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chartsheets/sheet2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drawings/drawing5.xml" ContentType="application/vnd.openxmlformats-officedocument.drawingml.chartshapes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charts/chart3.xml" ContentType="application/vnd.openxmlformats-officedocument.drawingml.chart+xml"/>
  <Override PartName="/xl/drawings/drawing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212636682\Desktop\项目\45.THANGLONG\"/>
    </mc:Choice>
  </mc:AlternateContent>
  <xr:revisionPtr revIDLastSave="0" documentId="13_ncr:1_{8A868B79-9BAD-4FA2-B742-EC8226114954}" xr6:coauthVersionLast="41" xr6:coauthVersionMax="41" xr10:uidLastSave="{00000000-0000-0000-0000-000000000000}"/>
  <bookViews>
    <workbookView xWindow="20370" yWindow="-120" windowWidth="21840" windowHeight="13740" tabRatio="887" activeTab="4" xr2:uid="{00000000-000D-0000-FFFF-FFFF00000000}"/>
  </bookViews>
  <sheets>
    <sheet name="Rev Info" sheetId="7" r:id="rId1"/>
    <sheet name="Finsum" sheetId="73" r:id="rId2"/>
    <sheet name="Consolidated" sheetId="29" r:id="rId3"/>
    <sheet name="Estimate Summary" sheetId="30" r:id="rId4"/>
    <sheet name="Estimate Detail" sheetId="3" r:id="rId5"/>
    <sheet name="Matl. Price" sheetId="58" r:id="rId6"/>
    <sheet name="Material analysis" sheetId="53" r:id="rId7"/>
    <sheet name="Breakdown" sheetId="74" r:id="rId8"/>
    <sheet name="Sheet1" sheetId="75" r:id="rId9"/>
    <sheet name="WBC PBOM" sheetId="31" r:id="rId10"/>
    <sheet name="Dictionaries" sheetId="71" r:id="rId11"/>
    <sheet name="WBC Mfg Matl" sheetId="23" r:id="rId12"/>
    <sheet name="Equipment(Stretch)" sheetId="68" r:id="rId13"/>
    <sheet name="Manufacture" sheetId="69" r:id="rId14"/>
    <sheet name="PcdCostScope01" sheetId="70" r:id="rId15"/>
    <sheet name="Offshore CF" sheetId="4" r:id="rId16"/>
    <sheet name="WBC Cancellation" sheetId="46" r:id="rId17"/>
    <sheet name="Logistics" sheetId="72" r:id="rId18"/>
    <sheet name="Offshore INT" sheetId="5" r:id="rId19"/>
    <sheet name="Offshore CF Chart" sheetId="37" r:id="rId20"/>
    <sheet name="Price Accuracy" sheetId="15" state="hidden" r:id="rId21"/>
    <sheet name="HS Code" sheetId="65" r:id="rId22"/>
    <sheet name="Tube Quote" sheetId="39" r:id="rId23"/>
    <sheet name="Plate Quote" sheetId="40" r:id="rId24"/>
    <sheet name="Other Quote" sheetId="41" r:id="rId25"/>
    <sheet name="Consortium Cancellation" sheetId="47" r:id="rId26"/>
    <sheet name="Chart2" sheetId="59" r:id="rId27"/>
  </sheets>
  <externalReferences>
    <externalReference r:id="rId28"/>
  </externalReferences>
  <definedNames>
    <definedName name="_Fill" localSheetId="12" hidden="1">#REF!</definedName>
    <definedName name="_Fill" localSheetId="1" hidden="1">#REF!</definedName>
    <definedName name="_Fill" localSheetId="21" hidden="1">#REF!</definedName>
    <definedName name="_Fill" localSheetId="13" hidden="1">#REF!</definedName>
    <definedName name="_Fill" localSheetId="16" hidden="1">#REF!</definedName>
    <definedName name="_Fill" hidden="1">#REF!</definedName>
    <definedName name="_fill_bb" localSheetId="12" hidden="1">#REF!</definedName>
    <definedName name="_fill_bb" localSheetId="1" hidden="1">#REF!</definedName>
    <definedName name="_fill_bb" localSheetId="21" hidden="1">#REF!</definedName>
    <definedName name="_fill_bb" localSheetId="13" hidden="1">#REF!</definedName>
    <definedName name="_fill_bb" hidden="1">#REF!</definedName>
    <definedName name="_xlnm._FilterDatabase" localSheetId="12" hidden="1">'Equipment(Stretch)'!$B$5:$P$147</definedName>
    <definedName name="_xlnm._FilterDatabase" localSheetId="4" hidden="1">'Estimate Detail'!$P$11:$AW$367</definedName>
    <definedName name="_xlnm._FilterDatabase" localSheetId="21" hidden="1">'HS Code'!$B$2:$O$101</definedName>
    <definedName name="_xlnm._FilterDatabase" localSheetId="13" hidden="1">Manufacture!$B$4:$G$21</definedName>
    <definedName name="_xlnm._FilterDatabase" localSheetId="5" hidden="1">'Matl. Price'!$B$5:$M$33</definedName>
    <definedName name="_xlnm._FilterDatabase" localSheetId="24" hidden="1">'Other Quote'!$A$3:$N$644</definedName>
    <definedName name="_xlnm._FilterDatabase" localSheetId="14" hidden="1">PcdCostScope01!$A$4:$W$239</definedName>
    <definedName name="_xlnm._FilterDatabase" localSheetId="23" hidden="1">'Plate Quote'!$A$7:$N$233</definedName>
    <definedName name="_xlnm._FilterDatabase" localSheetId="22" hidden="1">'Tube Quote'!$A$9:$Q$244</definedName>
    <definedName name="_xlnm._FilterDatabase" localSheetId="9" hidden="1">'WBC PBOM'!$A$30:$BO$251</definedName>
    <definedName name="_Order1" hidden="1">255</definedName>
    <definedName name="_Order2" hidden="1">255</definedName>
    <definedName name="ACwvu.PAGE1." localSheetId="15" hidden="1">'Offshore CF'!#REF!</definedName>
    <definedName name="ACwvu.PAGE1." localSheetId="16" hidden="1">'WBC Cancellation'!#REF!</definedName>
    <definedName name="ACwvu.PAGE2." localSheetId="15" hidden="1">'Offshore CF'!#REF!</definedName>
    <definedName name="ACwvu.PAGE2." localSheetId="16" hidden="1">'WBC Cancellation'!#REF!</definedName>
    <definedName name="ACwvu.PAGE3." localSheetId="15" hidden="1">'Offshore CF'!#REF!</definedName>
    <definedName name="ACwvu.PAGE3." localSheetId="16" hidden="1">'WBC Cancellation'!#REF!</definedName>
    <definedName name="ACwvu.PAGE4." localSheetId="15" hidden="1">'Offshore CF'!#REF!</definedName>
    <definedName name="ACwvu.PAGE4." localSheetId="16" hidden="1">'WBC Cancellation'!#REF!</definedName>
    <definedName name="ACwvu.PAGE5." localSheetId="15" hidden="1">'Offshore CF'!#REF!</definedName>
    <definedName name="ACwvu.PAGE5." localSheetId="16" hidden="1">'WBC Cancellation'!#REF!</definedName>
    <definedName name="ACwvu.PAGE6." localSheetId="15" hidden="1">'Offshore CF'!#REF!</definedName>
    <definedName name="ACwvu.PAGE6." localSheetId="16" hidden="1">'WBC Cancellation'!#REF!</definedName>
    <definedName name="ACwvu.PAGE7." localSheetId="15" hidden="1">'Offshore CF'!#REF!</definedName>
    <definedName name="ACwvu.PAGE7." localSheetId="16" hidden="1">'WBC Cancellation'!#REF!</definedName>
    <definedName name="ACwvu.PAGE8." localSheetId="15" hidden="1">'Offshore CF'!#REF!</definedName>
    <definedName name="ACwvu.PAGE8." localSheetId="16" hidden="1">'WBC Cancellation'!#REF!</definedName>
    <definedName name="Swvu.PAGE1." localSheetId="15" hidden="1">'Offshore CF'!#REF!</definedName>
    <definedName name="Swvu.PAGE1." localSheetId="16" hidden="1">'WBC Cancellation'!#REF!</definedName>
    <definedName name="Swvu.PAGE2." localSheetId="15" hidden="1">'Offshore CF'!#REF!</definedName>
    <definedName name="Swvu.PAGE2." localSheetId="16" hidden="1">'WBC Cancellation'!#REF!</definedName>
    <definedName name="Swvu.PAGE3." localSheetId="15" hidden="1">'Offshore CF'!#REF!</definedName>
    <definedName name="Swvu.PAGE3." localSheetId="16" hidden="1">'WBC Cancellation'!#REF!</definedName>
    <definedName name="Swvu.PAGE4." localSheetId="15" hidden="1">'Offshore CF'!#REF!</definedName>
    <definedName name="Swvu.PAGE4." localSheetId="16" hidden="1">'WBC Cancellation'!#REF!</definedName>
    <definedName name="Swvu.PAGE5." localSheetId="15" hidden="1">'Offshore CF'!#REF!</definedName>
    <definedName name="Swvu.PAGE5." localSheetId="16" hidden="1">'WBC Cancellation'!#REF!</definedName>
    <definedName name="Swvu.PAGE6." localSheetId="15" hidden="1">'Offshore CF'!#REF!</definedName>
    <definedName name="Swvu.PAGE6." localSheetId="16" hidden="1">'WBC Cancellation'!#REF!</definedName>
    <definedName name="Swvu.PAGE7." localSheetId="15" hidden="1">'Offshore CF'!#REF!</definedName>
    <definedName name="Swvu.PAGE7." localSheetId="16" hidden="1">'WBC Cancellation'!#REF!</definedName>
    <definedName name="Swvu.PAGE8." localSheetId="15" hidden="1">'Offshore CF'!#REF!</definedName>
    <definedName name="Swvu.PAGE8." localSheetId="16" hidden="1">'WBC Cancellation'!#REF!</definedName>
    <definedName name="Table" localSheetId="1">OFFSET('[1]WBC PBOM'!$A$22,0,0,COUNTA('[1]WBC PBOM'!$A:$A),COUNTA('[1]WBC PBOM'!$22:$22))</definedName>
    <definedName name="table">OFFSET('WBC PBOM'!$A$30,0,0,COUNTA('WBC PBOM'!$A:$A),COUNTA('WBC PBOM'!$30:$30))</definedName>
    <definedName name="wrn.CostDriver" localSheetId="12" hidden="1">{"sheet1",#N/A,FALSE,"easheet";"sheet2a",#N/A,FALSE,"easheet";"sheet2b",#N/A,FALSE,"easheet";"sheet3",#N/A,FALSE,"easheet"}</definedName>
    <definedName name="wrn.CostDriver" localSheetId="1" hidden="1">{"sheet1",#N/A,FALSE,"easheet";"sheet2a",#N/A,FALSE,"easheet";"sheet2b",#N/A,FALSE,"easheet";"sheet3",#N/A,FALSE,"easheet"}</definedName>
    <definedName name="wrn.CostDriver" localSheetId="21" hidden="1">{"sheet1",#N/A,FALSE,"easheet";"sheet2a",#N/A,FALSE,"easheet";"sheet2b",#N/A,FALSE,"easheet";"sheet3",#N/A,FALSE,"easheet"}</definedName>
    <definedName name="wrn.CostDriver" localSheetId="13" hidden="1">{"sheet1",#N/A,FALSE,"easheet";"sheet2a",#N/A,FALSE,"easheet";"sheet2b",#N/A,FALSE,"easheet";"sheet3",#N/A,FALSE,"easheet"}</definedName>
    <definedName name="wrn.CostDriver" localSheetId="23" hidden="1">{"sheet1",#N/A,FALSE,"easheet";"sheet2a",#N/A,FALSE,"easheet";"sheet2b",#N/A,FALSE,"easheet";"sheet3",#N/A,FALSE,"easheet"}</definedName>
    <definedName name="wrn.CostDriver" localSheetId="22" hidden="1">{"sheet1",#N/A,FALSE,"easheet";"sheet2a",#N/A,FALSE,"easheet";"sheet2b",#N/A,FALSE,"easheet";"sheet3",#N/A,FALSE,"easheet"}</definedName>
    <definedName name="wrn.CostDriver" localSheetId="9" hidden="1">{"sheet1",#N/A,FALSE,"easheet";"sheet2a",#N/A,FALSE,"easheet";"sheet2b",#N/A,FALSE,"easheet";"sheet3",#N/A,FALSE,"easheet"}</definedName>
    <definedName name="wrn.CostDriver" hidden="1">{"sheet1",#N/A,FALSE,"easheet";"sheet2a",#N/A,FALSE,"easheet";"sheet2b",#N/A,FALSE,"easheet";"sheet3",#N/A,FALSE,"easheet"}</definedName>
    <definedName name="wrn.printall." localSheetId="12" hidden="1">{"sheet1",#N/A,FALSE,"easheet";"sheet2a",#N/A,FALSE,"easheet";"sheet2b",#N/A,FALSE,"easheet";"sheet3",#N/A,FALSE,"easheet"}</definedName>
    <definedName name="wrn.printall." localSheetId="1" hidden="1">{"sheet1",#N/A,FALSE,"easheet";"sheet2a",#N/A,FALSE,"easheet";"sheet2b",#N/A,FALSE,"easheet";"sheet3",#N/A,FALSE,"easheet"}</definedName>
    <definedName name="wrn.printall." localSheetId="21" hidden="1">{"sheet1",#N/A,FALSE,"easheet";"sheet2a",#N/A,FALSE,"easheet";"sheet2b",#N/A,FALSE,"easheet";"sheet3",#N/A,FALSE,"easheet"}</definedName>
    <definedName name="wrn.printall." localSheetId="13" hidden="1">{"sheet1",#N/A,FALSE,"easheet";"sheet2a",#N/A,FALSE,"easheet";"sheet2b",#N/A,FALSE,"easheet";"sheet3",#N/A,FALSE,"easheet"}</definedName>
    <definedName name="wrn.printall." localSheetId="23" hidden="1">{"sheet1",#N/A,FALSE,"easheet";"sheet2a",#N/A,FALSE,"easheet";"sheet2b",#N/A,FALSE,"easheet";"sheet3",#N/A,FALSE,"easheet"}</definedName>
    <definedName name="wrn.printall." localSheetId="22" hidden="1">{"sheet1",#N/A,FALSE,"easheet";"sheet2a",#N/A,FALSE,"easheet";"sheet2b",#N/A,FALSE,"easheet";"sheet3",#N/A,FALSE,"easheet"}</definedName>
    <definedName name="wrn.printall." localSheetId="9" hidden="1">{"sheet1",#N/A,FALSE,"easheet";"sheet2a",#N/A,FALSE,"easheet";"sheet2b",#N/A,FALSE,"easheet";"sheet3",#N/A,FALSE,"easheet"}</definedName>
    <definedName name="wrn.printall." hidden="1">{"sheet1",#N/A,FALSE,"easheet";"sheet2a",#N/A,FALSE,"easheet";"sheet2b",#N/A,FALSE,"easheet";"sheet3",#N/A,FALSE,"easheet"}</definedName>
    <definedName name="wrn.totsch." localSheetId="12" hidden="1">{"offequipsch",#N/A,FALSE,"GTC_Schedule";"onconstsch",#N/A,FALSE,"GTC_Schedule";"techsch",#N/A,FALSE,"GTC_Schedule";"totsch",#N/A,FALSE,"GTC_Schedule"}</definedName>
    <definedName name="wrn.totsch." localSheetId="1" hidden="1">{"offequipsch",#N/A,FALSE,"GTC_Schedule";"onconstsch",#N/A,FALSE,"GTC_Schedule";"techsch",#N/A,FALSE,"GTC_Schedule";"totsch",#N/A,FALSE,"GTC_Schedule"}</definedName>
    <definedName name="wrn.totsch." localSheetId="21" hidden="1">{"offequipsch",#N/A,FALSE,"GTC_Schedule";"onconstsch",#N/A,FALSE,"GTC_Schedule";"techsch",#N/A,FALSE,"GTC_Schedule";"totsch",#N/A,FALSE,"GTC_Schedule"}</definedName>
    <definedName name="wrn.totsch." localSheetId="13" hidden="1">{"offequipsch",#N/A,FALSE,"GTC_Schedule";"onconstsch",#N/A,FALSE,"GTC_Schedule";"techsch",#N/A,FALSE,"GTC_Schedule";"totsch",#N/A,FALSE,"GTC_Schedule"}</definedName>
    <definedName name="wrn.totsch." localSheetId="23" hidden="1">{"offequipsch",#N/A,FALSE,"GTC_Schedule";"onconstsch",#N/A,FALSE,"GTC_Schedule";"techsch",#N/A,FALSE,"GTC_Schedule";"totsch",#N/A,FALSE,"GTC_Schedule"}</definedName>
    <definedName name="wrn.totsch." localSheetId="22" hidden="1">{"offequipsch",#N/A,FALSE,"GTC_Schedule";"onconstsch",#N/A,FALSE,"GTC_Schedule";"techsch",#N/A,FALSE,"GTC_Schedule";"totsch",#N/A,FALSE,"GTC_Schedule"}</definedName>
    <definedName name="wrn.totsch." localSheetId="9" hidden="1">{"offequipsch",#N/A,FALSE,"GTC_Schedule";"onconstsch",#N/A,FALSE,"GTC_Schedule";"techsch",#N/A,FALSE,"GTC_Schedule";"totsch",#N/A,FALSE,"GTC_Schedule"}</definedName>
    <definedName name="wrn.totsch." hidden="1">{"offequipsch",#N/A,FALSE,"GTC_Schedule";"onconstsch",#N/A,FALSE,"GTC_Schedule";"techsch",#N/A,FALSE,"GTC_Schedule";"totsch",#N/A,FALSE,"GTC_Schedule"}</definedName>
    <definedName name="wrn1.printall" localSheetId="12" hidden="1">{"sheet1",#N/A,FALSE,"easheet";"sheet2a",#N/A,FALSE,"easheet";"sheet2b",#N/A,FALSE,"easheet";"sheet3",#N/A,FALSE,"easheet"}</definedName>
    <definedName name="wrn1.printall" localSheetId="1" hidden="1">{"sheet1",#N/A,FALSE,"easheet";"sheet2a",#N/A,FALSE,"easheet";"sheet2b",#N/A,FALSE,"easheet";"sheet3",#N/A,FALSE,"easheet"}</definedName>
    <definedName name="wrn1.printall" localSheetId="21" hidden="1">{"sheet1",#N/A,FALSE,"easheet";"sheet2a",#N/A,FALSE,"easheet";"sheet2b",#N/A,FALSE,"easheet";"sheet3",#N/A,FALSE,"easheet"}</definedName>
    <definedName name="wrn1.printall" localSheetId="13" hidden="1">{"sheet1",#N/A,FALSE,"easheet";"sheet2a",#N/A,FALSE,"easheet";"sheet2b",#N/A,FALSE,"easheet";"sheet3",#N/A,FALSE,"easheet"}</definedName>
    <definedName name="wrn1.printall" localSheetId="23" hidden="1">{"sheet1",#N/A,FALSE,"easheet";"sheet2a",#N/A,FALSE,"easheet";"sheet2b",#N/A,FALSE,"easheet";"sheet3",#N/A,FALSE,"easheet"}</definedName>
    <definedName name="wrn1.printall" localSheetId="22" hidden="1">{"sheet1",#N/A,FALSE,"easheet";"sheet2a",#N/A,FALSE,"easheet";"sheet2b",#N/A,FALSE,"easheet";"sheet3",#N/A,FALSE,"easheet"}</definedName>
    <definedName name="wrn1.printall" localSheetId="9" hidden="1">{"sheet1",#N/A,FALSE,"easheet";"sheet2a",#N/A,FALSE,"easheet";"sheet2b",#N/A,FALSE,"easheet";"sheet3",#N/A,FALSE,"easheet"}</definedName>
    <definedName name="wrn1.printall" hidden="1">{"sheet1",#N/A,FALSE,"easheet";"sheet2a",#N/A,FALSE,"easheet";"sheet2b",#N/A,FALSE,"easheet";"sheet3",#N/A,FALSE,"easheet"}</definedName>
    <definedName name="wrn1.totsch" localSheetId="12" hidden="1">{"offequipsch",#N/A,FALSE,"GTC_Schedule";"onconstsch",#N/A,FALSE,"GTC_Schedule";"techsch",#N/A,FALSE,"GTC_Schedule";"totsch",#N/A,FALSE,"GTC_Schedule"}</definedName>
    <definedName name="wrn1.totsch" localSheetId="1" hidden="1">{"offequipsch",#N/A,FALSE,"GTC_Schedule";"onconstsch",#N/A,FALSE,"GTC_Schedule";"techsch",#N/A,FALSE,"GTC_Schedule";"totsch",#N/A,FALSE,"GTC_Schedule"}</definedName>
    <definedName name="wrn1.totsch" localSheetId="21" hidden="1">{"offequipsch",#N/A,FALSE,"GTC_Schedule";"onconstsch",#N/A,FALSE,"GTC_Schedule";"techsch",#N/A,FALSE,"GTC_Schedule";"totsch",#N/A,FALSE,"GTC_Schedule"}</definedName>
    <definedName name="wrn1.totsch" localSheetId="13" hidden="1">{"offequipsch",#N/A,FALSE,"GTC_Schedule";"onconstsch",#N/A,FALSE,"GTC_Schedule";"techsch",#N/A,FALSE,"GTC_Schedule";"totsch",#N/A,FALSE,"GTC_Schedule"}</definedName>
    <definedName name="wrn1.totsch" localSheetId="23" hidden="1">{"offequipsch",#N/A,FALSE,"GTC_Schedule";"onconstsch",#N/A,FALSE,"GTC_Schedule";"techsch",#N/A,FALSE,"GTC_Schedule";"totsch",#N/A,FALSE,"GTC_Schedule"}</definedName>
    <definedName name="wrn1.totsch" localSheetId="22" hidden="1">{"offequipsch",#N/A,FALSE,"GTC_Schedule";"onconstsch",#N/A,FALSE,"GTC_Schedule";"techsch",#N/A,FALSE,"GTC_Schedule";"totsch",#N/A,FALSE,"GTC_Schedule"}</definedName>
    <definedName name="wrn1.totsch" localSheetId="9" hidden="1">{"offequipsch",#N/A,FALSE,"GTC_Schedule";"onconstsch",#N/A,FALSE,"GTC_Schedule";"techsch",#N/A,FALSE,"GTC_Schedule";"totsch",#N/A,FALSE,"GTC_Schedule"}</definedName>
    <definedName name="wrn1.totsch" hidden="1">{"offequipsch",#N/A,FALSE,"GTC_Schedule";"onconstsch",#N/A,FALSE,"GTC_Schedule";"techsch",#N/A,FALSE,"GTC_Schedule";"totsch",#N/A,FALSE,"GTC_Schedule"}</definedName>
    <definedName name="wvu.PAGE1." localSheetId="15" hidden="1">{TRUE,TRUE,-1.25,-15.5,484.5,279.75,FALSE,FALSE,TRUE,TRUE,0,1,#N/A,1,#N/A,8.4375,8.39130434782609,1,FALSE,FALSE,3,TRUE,1,FALSE,100,"Swvu.PAGE1.","ACwvu.PAGE1.",1,FALSE,FALSE,0.5,0.5,1,1,1,"&amp;C&amp;F, &amp;D","Page &amp;P",FALSE,FALSE,FALSE,FALSE,2,100,#N/A,#N/A,FALSE,FALSE,#N/A,#N/A,TRUE,FALSE}</definedName>
    <definedName name="wvu.PAGE1." localSheetId="16" hidden="1">{TRUE,TRUE,-1.25,-15.5,484.5,279.75,FALSE,FALSE,TRUE,TRUE,0,1,#N/A,1,#N/A,8.4375,8.39130434782609,1,FALSE,FALSE,3,TRUE,1,FALSE,100,"Swvu.PAGE1.","ACwvu.PAGE1.",1,FALSE,FALSE,0.5,0.5,1,1,1,"&amp;C&amp;F, &amp;D","Page &amp;P",FALSE,FALSE,FALSE,FALSE,2,100,#N/A,#N/A,FALSE,FALSE,#N/A,#N/A,TRUE,FALSE}</definedName>
    <definedName name="wvu.PAGE2." localSheetId="15" hidden="1">{TRUE,TRUE,-1.25,-15.5,484.5,279.75,FALSE,FALSE,TRUE,TRUE,0,13,#N/A,1,#N/A,9.28125,8.39130434782609,1,FALSE,FALSE,3,TRUE,1,FALSE,100,"Swvu.PAGE2.","ACwvu.PAGE2.",1,FALSE,FALSE,0.5,0.5,1,1,1,"&amp;C&amp;F, &amp;D","Page &amp;P",FALSE,FALSE,FALSE,FALSE,2,100,#N/A,#N/A,FALSE,FALSE,#N/A,#N/A,TRUE,FALSE}</definedName>
    <definedName name="wvu.PAGE2." localSheetId="16" hidden="1">{TRUE,TRUE,-1.25,-15.5,484.5,279.75,FALSE,FALSE,TRUE,TRUE,0,13,#N/A,1,#N/A,9.28125,8.39130434782609,1,FALSE,FALSE,3,TRUE,1,FALSE,100,"Swvu.PAGE2.","ACwvu.PAGE2.",1,FALSE,FALSE,0.5,0.5,1,1,1,"&amp;C&amp;F, &amp;D","Page &amp;P",FALSE,FALSE,FALSE,FALSE,2,100,#N/A,#N/A,FALSE,FALSE,#N/A,#N/A,TRUE,FALSE}</definedName>
    <definedName name="wvu.PAGE3." localSheetId="15" hidden="1">{TRUE,TRUE,-1.25,-15.5,484.5,279.75,FALSE,FALSE,TRUE,TRUE,0,13,#N/A,1,#N/A,9.28125,8.39130434782609,1,FALSE,FALSE,3,TRUE,1,FALSE,100,"Swvu.PAGE3.","ACwvu.PAGE3.",1,FALSE,FALSE,0.5,0.5,1,1,1,"&amp;C&amp;F, &amp;D","Page &amp;P",FALSE,FALSE,FALSE,FALSE,2,100,#N/A,#N/A,FALSE,FALSE,#N/A,#N/A,TRUE,FALSE}</definedName>
    <definedName name="wvu.PAGE3." localSheetId="16" hidden="1">{TRUE,TRUE,-1.25,-15.5,484.5,279.75,FALSE,FALSE,TRUE,TRUE,0,13,#N/A,1,#N/A,9.28125,8.39130434782609,1,FALSE,FALSE,3,TRUE,1,FALSE,100,"Swvu.PAGE3.","ACwvu.PAGE3.",1,FALSE,FALSE,0.5,0.5,1,1,1,"&amp;C&amp;F, &amp;D","Page &amp;P",FALSE,FALSE,FALSE,FALSE,2,100,#N/A,#N/A,FALSE,FALSE,#N/A,#N/A,TRUE,FALSE}</definedName>
    <definedName name="wvu.PAGE4." localSheetId="15" hidden="1">{TRUE,TRUE,-1.25,-15.5,484.5,279.75,FALSE,FALSE,TRUE,TRUE,0,37,#N/A,1,#N/A,9.75,8.39130434782609,1,FALSE,FALSE,3,TRUE,1,FALSE,100,"Swvu.PAGE4.","ACwvu.PAGE4.",1,FALSE,FALSE,0.5,0.5,1,1,1,"&amp;C&amp;F, &amp;D","Page &amp;P",FALSE,FALSE,FALSE,FALSE,2,100,#N/A,#N/A,FALSE,FALSE,#N/A,#N/A,TRUE,FALSE}</definedName>
    <definedName name="wvu.PAGE4." localSheetId="16" hidden="1">{TRUE,TRUE,-1.25,-15.5,484.5,279.75,FALSE,FALSE,TRUE,TRUE,0,37,#N/A,1,#N/A,9.75,8.39130434782609,1,FALSE,FALSE,3,TRUE,1,FALSE,100,"Swvu.PAGE4.","ACwvu.PAGE4.",1,FALSE,FALSE,0.5,0.5,1,1,1,"&amp;C&amp;F, &amp;D","Page &amp;P",FALSE,FALSE,FALSE,FALSE,2,100,#N/A,#N/A,FALSE,FALSE,#N/A,#N/A,TRUE,FALSE}</definedName>
    <definedName name="wvu.PAGE5." localSheetId="15" hidden="1">{TRUE,TRUE,-1.25,-15.5,484.5,279.75,FALSE,FALSE,TRUE,TRUE,0,1,#N/A,42,#N/A,8.4375,19.9375,1,FALSE,FALSE,3,TRUE,1,FALSE,100,"Swvu.PAGE5.","ACwvu.PAGE5.",1,FALSE,FALSE,0.5,0.5,1,1,1,"&amp;C&amp;F, &amp;D","Page &amp;P",FALSE,FALSE,FALSE,FALSE,2,100,#N/A,#N/A,FALSE,FALSE,#N/A,#N/A,TRUE,FALSE}</definedName>
    <definedName name="wvu.PAGE5." localSheetId="16" hidden="1">{TRUE,TRUE,-1.25,-15.5,484.5,279.75,FALSE,FALSE,TRUE,TRUE,0,1,#N/A,42,#N/A,8.4375,19.9375,1,FALSE,FALSE,3,TRUE,1,FALSE,100,"Swvu.PAGE5.","ACwvu.PAGE5.",1,FALSE,FALSE,0.5,0.5,1,1,1,"&amp;C&amp;F, &amp;D","Page &amp;P",FALSE,FALSE,FALSE,FALSE,2,100,#N/A,#N/A,FALSE,FALSE,#N/A,#N/A,TRUE,FALSE}</definedName>
    <definedName name="wvu.PAGE6." localSheetId="15" hidden="1">{TRUE,TRUE,-1.25,-15.5,484.5,279.75,FALSE,FALSE,TRUE,TRUE,0,13,#N/A,42,#N/A,9.28125,19.9375,1,FALSE,FALSE,3,TRUE,1,FALSE,100,"Swvu.PAGE6.","ACwvu.PAGE6.",1,FALSE,FALSE,0.5,0.5,1,1,1,"&amp;C&amp;F, &amp;D","Page &amp;P",FALSE,FALSE,FALSE,FALSE,2,100,#N/A,#N/A,FALSE,FALSE,#N/A,#N/A,TRUE,FALSE}</definedName>
    <definedName name="wvu.PAGE6." localSheetId="16" hidden="1">{TRUE,TRUE,-1.25,-15.5,484.5,279.75,FALSE,FALSE,TRUE,TRUE,0,13,#N/A,42,#N/A,9.28125,19.9375,1,FALSE,FALSE,3,TRUE,1,FALSE,100,"Swvu.PAGE6.","ACwvu.PAGE6.",1,FALSE,FALSE,0.5,0.5,1,1,1,"&amp;C&amp;F, &amp;D","Page &amp;P",FALSE,FALSE,FALSE,FALSE,2,100,#N/A,#N/A,FALSE,FALSE,#N/A,#N/A,TRUE,FALSE}</definedName>
    <definedName name="wvu.PAGE7." localSheetId="15" hidden="1">{TRUE,TRUE,-1.25,-15.5,484.5,279.75,FALSE,FALSE,TRUE,TRUE,0,25,#N/A,42,#N/A,9.28125,19.9375,1,FALSE,FALSE,3,TRUE,1,FALSE,100,"Swvu.PAGE7.","ACwvu.PAGE7.",1,FALSE,FALSE,0.5,0.5,1,1,1,"&amp;C&amp;F, &amp;D","Page &amp;P",FALSE,FALSE,FALSE,FALSE,2,100,#N/A,#N/A,FALSE,FALSE,#N/A,#N/A,TRUE,FALSE}</definedName>
    <definedName name="wvu.PAGE7." localSheetId="16" hidden="1">{TRUE,TRUE,-1.25,-15.5,484.5,279.75,FALSE,FALSE,TRUE,TRUE,0,25,#N/A,42,#N/A,9.28125,19.9375,1,FALSE,FALSE,3,TRUE,1,FALSE,100,"Swvu.PAGE7.","ACwvu.PAGE7.",1,FALSE,FALSE,0.5,0.5,1,1,1,"&amp;C&amp;F, &amp;D","Page &amp;P",FALSE,FALSE,FALSE,FALSE,2,100,#N/A,#N/A,FALSE,FALSE,#N/A,#N/A,TRUE,FALSE}</definedName>
    <definedName name="wvu.PAGE8." localSheetId="15" hidden="1">{TRUE,TRUE,-1.25,-15.5,484.5,279.75,FALSE,FALSE,TRUE,TRUE,0,37,#N/A,42,#N/A,9.75,19.9375,1,FALSE,FALSE,3,TRUE,1,FALSE,100,"Swvu.PAGE8.","ACwvu.PAGE8.",1,FALSE,FALSE,0.5,0.5,1,1,1,"&amp;C&amp;F, &amp;D","Page &amp;P",FALSE,FALSE,FALSE,FALSE,2,100,#N/A,#N/A,FALSE,FALSE,#N/A,#N/A,TRUE,FALSE}</definedName>
    <definedName name="wvu.PAGE8." localSheetId="16" hidden="1">{TRUE,TRUE,-1.25,-15.5,484.5,279.75,FALSE,FALSE,TRUE,TRUE,0,37,#N/A,42,#N/A,9.75,19.9375,1,FALSE,FALSE,3,TRUE,1,FALSE,100,"Swvu.PAGE8.","ACwvu.PAGE8.",1,FALSE,FALSE,0.5,0.5,1,1,1,"&amp;C&amp;F, &amp;D","Page &amp;P",FALSE,FALSE,FALSE,FALSE,2,100,#N/A,#N/A,FALSE,FALSE,#N/A,#N/A,TRUE,FALSE}</definedName>
    <definedName name="Z_A5B6DBB0_4421_11D3_A489_00508B0D802A_.wvu.PrintArea" localSheetId="15" hidden="1">'Offshore CF'!$A$3:$J$156,'Offshore CF'!$O$3:$BR$156,'Offshore CF'!$BT$3:$CC$156,'Offshore CF'!$CD$3:$CD$156,'Offshore CF'!$CS$3:$CS$156,'Offshore CF'!#REF!</definedName>
    <definedName name="Z_A5B6DBB0_4421_11D3_A489_00508B0D802A_.wvu.PrintArea" localSheetId="16" hidden="1">'WBC Cancellation'!$A$3:$H$156,'WBC Cancellation'!$M$3:$BC$156,'WBC Cancellation'!$BE$3:$BM$156,'WBC Cancellation'!$BN$3:$BR$156,'WBC Cancellation'!$CQ$3:$CQ$156,'WBC Cancellation'!#REF!</definedName>
    <definedName name="Z_A5B6DBB0_4421_11D3_A489_00508B0D802A_.wvu.PrintTitles" localSheetId="15" hidden="1">'Offshore CF'!$L:$N,'Offshore CF'!$3:$23</definedName>
    <definedName name="Z_A5B6DBB0_4421_11D3_A489_00508B0D802A_.wvu.PrintTitles" localSheetId="16" hidden="1">'WBC Cancellation'!$J:$L,'WBC Cancellation'!$3:$23</definedName>
    <definedName name="Z_A5B6DBB3_4421_11D3_A489_00508B0D802A_.wvu.PrintArea" localSheetId="15" hidden="1">'Offshore CF'!$A$3:$J$156,'Offshore CF'!$O$3:$BR$156,'Offshore CF'!$BT$3:$CC$156,'Offshore CF'!$CD$3:$CD$156,'Offshore CF'!$CS$3:$CS$156,'Offshore CF'!#REF!</definedName>
    <definedName name="Z_A5B6DBB3_4421_11D3_A489_00508B0D802A_.wvu.PrintArea" localSheetId="16" hidden="1">'WBC Cancellation'!$A$3:$H$156,'WBC Cancellation'!$M$3:$BC$156,'WBC Cancellation'!$BE$3:$BM$156,'WBC Cancellation'!$BN$3:$BR$156,'WBC Cancellation'!$CQ$3:$CQ$156,'WBC Cancellation'!#REF!</definedName>
    <definedName name="Z_A5B6DBB3_4421_11D3_A489_00508B0D802A_.wvu.PrintTitles" localSheetId="15" hidden="1">'Offshore CF'!$L:$N,'Offshore CF'!$3:$23</definedName>
    <definedName name="Z_A5B6DBB3_4421_11D3_A489_00508B0D802A_.wvu.PrintTitles" localSheetId="16" hidden="1">'WBC Cancellation'!$J:$L,'WBC Cancellation'!$3:$23</definedName>
    <definedName name="Z_A5B6DBB6_4421_11D3_A489_00508B0D802A_.wvu.PrintArea" localSheetId="15" hidden="1">'Offshore CF'!$A$3:$J$156,'Offshore CF'!$O$3:$BR$156,'Offshore CF'!$BT$3:$CC$156,'Offshore CF'!$CD$3:$CD$156,'Offshore CF'!$CS$3:$CS$156,'Offshore CF'!#REF!</definedName>
    <definedName name="Z_A5B6DBB6_4421_11D3_A489_00508B0D802A_.wvu.PrintArea" localSheetId="16" hidden="1">'WBC Cancellation'!$A$3:$H$156,'WBC Cancellation'!$M$3:$BC$156,'WBC Cancellation'!$BE$3:$BM$156,'WBC Cancellation'!$BN$3:$BR$156,'WBC Cancellation'!$CQ$3:$CQ$156,'WBC Cancellation'!#REF!</definedName>
    <definedName name="Z_A5B6DBB6_4421_11D3_A489_00508B0D802A_.wvu.PrintTitles" localSheetId="15" hidden="1">'Offshore CF'!$L:$N,'Offshore CF'!$3:$23</definedName>
    <definedName name="Z_A5B6DBB6_4421_11D3_A489_00508B0D802A_.wvu.PrintTitles" localSheetId="16" hidden="1">'WBC Cancellation'!$J:$L,'WBC Cancellation'!$3:$23</definedName>
    <definedName name="Z_A5B6DBB9_4421_11D3_A489_00508B0D802A_.wvu.PrintArea" localSheetId="15" hidden="1">'Offshore CF'!$A$3:$J$156,'Offshore CF'!$O$3:$BR$156,'Offshore CF'!$BT$3:$CC$156,'Offshore CF'!$CD$3:$CD$156,'Offshore CF'!$CS$3:$CS$156,'Offshore CF'!#REF!</definedName>
    <definedName name="Z_A5B6DBB9_4421_11D3_A489_00508B0D802A_.wvu.PrintArea" localSheetId="16" hidden="1">'WBC Cancellation'!$A$3:$H$156,'WBC Cancellation'!$M$3:$BC$156,'WBC Cancellation'!$BE$3:$BM$156,'WBC Cancellation'!$BN$3:$BR$156,'WBC Cancellation'!$CQ$3:$CQ$156,'WBC Cancellation'!#REF!</definedName>
    <definedName name="Z_A5B6DBB9_4421_11D3_A489_00508B0D802A_.wvu.PrintTitles" localSheetId="15" hidden="1">'Offshore CF'!$L:$N,'Offshore CF'!$3:$23</definedName>
    <definedName name="Z_A5B6DBB9_4421_11D3_A489_00508B0D802A_.wvu.PrintTitles" localSheetId="16" hidden="1">'WBC Cancellation'!$J:$L,'WBC Cancellation'!$3:$23</definedName>
    <definedName name="Z_A5B6DBBC_4421_11D3_A489_00508B0D802A_.wvu.PrintArea" localSheetId="15" hidden="1">'Offshore CF'!$A$3:$J$156,'Offshore CF'!$O$3:$BR$156,'Offshore CF'!$BT$3:$CC$156,'Offshore CF'!$CD$3:$CD$156,'Offshore CF'!$CS$3:$CS$156,'Offshore CF'!#REF!</definedName>
    <definedName name="Z_A5B6DBBC_4421_11D3_A489_00508B0D802A_.wvu.PrintArea" localSheetId="16" hidden="1">'WBC Cancellation'!$A$3:$H$156,'WBC Cancellation'!$M$3:$BC$156,'WBC Cancellation'!$BE$3:$BM$156,'WBC Cancellation'!$BN$3:$BR$156,'WBC Cancellation'!$CQ$3:$CQ$156,'WBC Cancellation'!#REF!</definedName>
    <definedName name="Z_A5B6DBBC_4421_11D3_A489_00508B0D802A_.wvu.PrintTitles" localSheetId="15" hidden="1">'Offshore CF'!$L:$N,'Offshore CF'!$3:$23</definedName>
    <definedName name="Z_A5B6DBBC_4421_11D3_A489_00508B0D802A_.wvu.PrintTitles" localSheetId="16" hidden="1">'WBC Cancellation'!$J:$L,'WBC Cancellation'!$3:$23</definedName>
    <definedName name="Z_A5B6DBBF_4421_11D3_A489_00508B0D802A_.wvu.PrintArea" localSheetId="15" hidden="1">'Offshore CF'!$A$3:$J$156,'Offshore CF'!$O$3:$BR$156,'Offshore CF'!$BT$3:$CC$156,'Offshore CF'!$CD$3:$CD$156,'Offshore CF'!$CS$3:$CS$156,'Offshore CF'!#REF!</definedName>
    <definedName name="Z_A5B6DBBF_4421_11D3_A489_00508B0D802A_.wvu.PrintArea" localSheetId="16" hidden="1">'WBC Cancellation'!$A$3:$H$156,'WBC Cancellation'!$M$3:$BC$156,'WBC Cancellation'!$BE$3:$BM$156,'WBC Cancellation'!$BN$3:$BR$156,'WBC Cancellation'!$CQ$3:$CQ$156,'WBC Cancellation'!#REF!</definedName>
    <definedName name="Z_A5B6DBBF_4421_11D3_A489_00508B0D802A_.wvu.PrintTitles" localSheetId="15" hidden="1">'Offshore CF'!$L:$N,'Offshore CF'!$3:$23</definedName>
    <definedName name="Z_A5B6DBBF_4421_11D3_A489_00508B0D802A_.wvu.PrintTitles" localSheetId="16" hidden="1">'WBC Cancellation'!$J:$L,'WBC Cancellation'!$3:$23</definedName>
    <definedName name="Z_A5B6DBC2_4421_11D3_A489_00508B0D802A_.wvu.PrintArea" localSheetId="15" hidden="1">'Offshore CF'!$A$3:$J$156,'Offshore CF'!$O$3:$BR$156,'Offshore CF'!$BT$3:$CC$156,'Offshore CF'!$CD$3:$CD$156,'Offshore CF'!$CS$3:$CS$156,'Offshore CF'!#REF!</definedName>
    <definedName name="Z_A5B6DBC2_4421_11D3_A489_00508B0D802A_.wvu.PrintArea" localSheetId="16" hidden="1">'WBC Cancellation'!$A$3:$H$156,'WBC Cancellation'!$M$3:$BC$156,'WBC Cancellation'!$BE$3:$BM$156,'WBC Cancellation'!$BN$3:$BR$156,'WBC Cancellation'!$CQ$3:$CQ$156,'WBC Cancellation'!#REF!</definedName>
    <definedName name="Z_A5B6DBC2_4421_11D3_A489_00508B0D802A_.wvu.PrintTitles" localSheetId="15" hidden="1">'Offshore CF'!$L:$N,'Offshore CF'!$3:$23</definedName>
    <definedName name="Z_A5B6DBC2_4421_11D3_A489_00508B0D802A_.wvu.PrintTitles" localSheetId="16" hidden="1">'WBC Cancellation'!$J:$L,'WBC Cancellation'!$3:$23</definedName>
    <definedName name="Z_A5B6DBC5_4421_11D3_A489_00508B0D802A_.wvu.PrintArea" localSheetId="15" hidden="1">'Offshore CF'!$A$3:$J$156,'Offshore CF'!$O$3:$BR$156,'Offshore CF'!$BT$3:$CC$156,'Offshore CF'!$CD$3:$CD$156,'Offshore CF'!$CS$3:$CS$156,'Offshore CF'!#REF!</definedName>
    <definedName name="Z_A5B6DBC5_4421_11D3_A489_00508B0D802A_.wvu.PrintArea" localSheetId="16" hidden="1">'WBC Cancellation'!$A$3:$H$156,'WBC Cancellation'!$M$3:$BC$156,'WBC Cancellation'!$BE$3:$BM$156,'WBC Cancellation'!$BN$3:$BR$156,'WBC Cancellation'!$CQ$3:$CQ$156,'WBC Cancellation'!#REF!</definedName>
    <definedName name="Z_A5B6DBC5_4421_11D3_A489_00508B0D802A_.wvu.PrintTitles" localSheetId="15" hidden="1">'Offshore CF'!$L:$N,'Offshore CF'!$3:$23</definedName>
    <definedName name="Z_A5B6DBC5_4421_11D3_A489_00508B0D802A_.wvu.PrintTitles" localSheetId="16" hidden="1">'WBC Cancellation'!$J:$L,'WBC Cancellation'!$3:$23</definedName>
    <definedName name="内装LP" localSheetId="12" hidden="1">{"offequipsch",#N/A,FALSE,"GTC_Schedule";"onconstsch",#N/A,FALSE,"GTC_Schedule";"techsch",#N/A,FALSE,"GTC_Schedule";"totsch",#N/A,FALSE,"GTC_Schedule"}</definedName>
    <definedName name="内装LP" localSheetId="1" hidden="1">{"offequipsch",#N/A,FALSE,"GTC_Schedule";"onconstsch",#N/A,FALSE,"GTC_Schedule";"techsch",#N/A,FALSE,"GTC_Schedule";"totsch",#N/A,FALSE,"GTC_Schedule"}</definedName>
    <definedName name="内装LP" localSheetId="21" hidden="1">{"offequipsch",#N/A,FALSE,"GTC_Schedule";"onconstsch",#N/A,FALSE,"GTC_Schedule";"techsch",#N/A,FALSE,"GTC_Schedule";"totsch",#N/A,FALSE,"GTC_Schedule"}</definedName>
    <definedName name="内装LP" localSheetId="13" hidden="1">{"offequipsch",#N/A,FALSE,"GTC_Schedule";"onconstsch",#N/A,FALSE,"GTC_Schedule";"techsch",#N/A,FALSE,"GTC_Schedule";"totsch",#N/A,FALSE,"GTC_Schedule"}</definedName>
    <definedName name="内装LP" localSheetId="23" hidden="1">{"offequipsch",#N/A,FALSE,"GTC_Schedule";"onconstsch",#N/A,FALSE,"GTC_Schedule";"techsch",#N/A,FALSE,"GTC_Schedule";"totsch",#N/A,FALSE,"GTC_Schedule"}</definedName>
    <definedName name="内装LP" localSheetId="22" hidden="1">{"offequipsch",#N/A,FALSE,"GTC_Schedule";"onconstsch",#N/A,FALSE,"GTC_Schedule";"techsch",#N/A,FALSE,"GTC_Schedule";"totsch",#N/A,FALSE,"GTC_Schedule"}</definedName>
    <definedName name="内装LP" hidden="1">{"offequipsch",#N/A,FALSE,"GTC_Schedule";"onconstsch",#N/A,FALSE,"GTC_Schedule";"techsch",#N/A,FALSE,"GTC_Schedule";"totsch",#N/A,FALSE,"GTC_Schedule"}</definedName>
    <definedName name="切片器_Material_Category1">#N/A</definedName>
  </definedNames>
  <calcPr calcId="191029"/>
  <pivotCaches>
    <pivotCache cacheId="0" r:id="rId29"/>
    <pivotCache cacheId="1" r:id="rId30"/>
    <pivotCache cacheId="2" r:id="rId31"/>
  </pivotCaches>
  <extLst>
    <ext xmlns:x14="http://schemas.microsoft.com/office/spreadsheetml/2009/9/main" uri="{BBE1A952-AA13-448e-AADC-164F8A28A991}">
      <x14:slicerCaches>
        <x14:slicerCache r:id="rId32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9" i="73" l="1"/>
  <c r="E13" i="3" l="1"/>
  <c r="F13" i="3"/>
  <c r="G13" i="3"/>
  <c r="H13" i="3"/>
  <c r="E14" i="3"/>
  <c r="F14" i="3"/>
  <c r="G14" i="3"/>
  <c r="H14" i="3"/>
  <c r="E15" i="3"/>
  <c r="F15" i="3"/>
  <c r="G15" i="3"/>
  <c r="H15" i="3"/>
  <c r="E16" i="3"/>
  <c r="F16" i="3"/>
  <c r="G16" i="3"/>
  <c r="H16" i="3"/>
  <c r="E17" i="3"/>
  <c r="F17" i="3"/>
  <c r="G17" i="3"/>
  <c r="H17" i="3"/>
  <c r="E18" i="3"/>
  <c r="F18" i="3"/>
  <c r="G18" i="3"/>
  <c r="H18" i="3"/>
  <c r="E19" i="3"/>
  <c r="F19" i="3"/>
  <c r="G19" i="3"/>
  <c r="H19" i="3"/>
  <c r="E20" i="3"/>
  <c r="F20" i="3"/>
  <c r="G20" i="3"/>
  <c r="H20" i="3"/>
  <c r="E21" i="3"/>
  <c r="F21" i="3"/>
  <c r="G21" i="3"/>
  <c r="H21" i="3"/>
  <c r="E22" i="3"/>
  <c r="F22" i="3"/>
  <c r="G22" i="3"/>
  <c r="H22" i="3"/>
  <c r="E23" i="3"/>
  <c r="F23" i="3"/>
  <c r="G23" i="3"/>
  <c r="H23" i="3"/>
  <c r="E24" i="3"/>
  <c r="F24" i="3"/>
  <c r="G24" i="3"/>
  <c r="H24" i="3"/>
  <c r="E25" i="3"/>
  <c r="F25" i="3"/>
  <c r="G25" i="3"/>
  <c r="H25" i="3"/>
  <c r="E26" i="3"/>
  <c r="F26" i="3"/>
  <c r="G26" i="3"/>
  <c r="H26" i="3"/>
  <c r="E27" i="3"/>
  <c r="F27" i="3"/>
  <c r="G27" i="3"/>
  <c r="H27" i="3"/>
  <c r="E28" i="3"/>
  <c r="F28" i="3"/>
  <c r="G28" i="3"/>
  <c r="H28" i="3"/>
  <c r="E29" i="3"/>
  <c r="F29" i="3"/>
  <c r="G29" i="3"/>
  <c r="H29" i="3"/>
  <c r="E30" i="3"/>
  <c r="F30" i="3"/>
  <c r="G30" i="3"/>
  <c r="H30" i="3"/>
  <c r="E31" i="3"/>
  <c r="F31" i="3"/>
  <c r="G31" i="3"/>
  <c r="H31" i="3"/>
  <c r="E32" i="3"/>
  <c r="F32" i="3"/>
  <c r="G32" i="3"/>
  <c r="H32" i="3"/>
  <c r="E33" i="3"/>
  <c r="F33" i="3"/>
  <c r="G33" i="3"/>
  <c r="H33" i="3"/>
  <c r="E34" i="3"/>
  <c r="F34" i="3"/>
  <c r="G34" i="3"/>
  <c r="H34" i="3"/>
  <c r="E35" i="3"/>
  <c r="F35" i="3"/>
  <c r="G35" i="3"/>
  <c r="H35" i="3"/>
  <c r="E36" i="3"/>
  <c r="F36" i="3"/>
  <c r="G36" i="3"/>
  <c r="H36" i="3"/>
  <c r="E37" i="3"/>
  <c r="F37" i="3"/>
  <c r="G37" i="3"/>
  <c r="H37" i="3"/>
  <c r="E38" i="3"/>
  <c r="F38" i="3"/>
  <c r="G38" i="3"/>
  <c r="H38" i="3"/>
  <c r="E39" i="3"/>
  <c r="G39" i="3"/>
  <c r="H39" i="3"/>
  <c r="E40" i="3"/>
  <c r="F40" i="3"/>
  <c r="G40" i="3"/>
  <c r="H40" i="3"/>
  <c r="E41" i="3"/>
  <c r="F41" i="3"/>
  <c r="G41" i="3"/>
  <c r="H41" i="3"/>
  <c r="E42" i="3"/>
  <c r="F42" i="3"/>
  <c r="G42" i="3"/>
  <c r="H42" i="3"/>
  <c r="E43" i="3"/>
  <c r="F43" i="3"/>
  <c r="G43" i="3"/>
  <c r="H43" i="3"/>
  <c r="E44" i="3"/>
  <c r="F44" i="3"/>
  <c r="G44" i="3"/>
  <c r="H44" i="3"/>
  <c r="E45" i="3"/>
  <c r="F45" i="3"/>
  <c r="G45" i="3"/>
  <c r="H45" i="3"/>
  <c r="E46" i="3"/>
  <c r="F46" i="3"/>
  <c r="G46" i="3"/>
  <c r="H46" i="3"/>
  <c r="E47" i="3"/>
  <c r="F47" i="3"/>
  <c r="G47" i="3"/>
  <c r="H47" i="3"/>
  <c r="AW326" i="3"/>
  <c r="AP326" i="3"/>
  <c r="AO326" i="3"/>
  <c r="AM326" i="3"/>
  <c r="AL326" i="3"/>
  <c r="AU326" i="3" s="1"/>
  <c r="Z326" i="3"/>
  <c r="X326" i="3"/>
  <c r="AA326" i="3" s="1"/>
  <c r="V326" i="3"/>
  <c r="AB326" i="3" s="1"/>
  <c r="AI326" i="3" s="1"/>
  <c r="M326" i="3"/>
  <c r="L326" i="3"/>
  <c r="K326" i="3"/>
  <c r="J326" i="3"/>
  <c r="I326" i="3"/>
  <c r="H326" i="3"/>
  <c r="I327" i="3"/>
  <c r="J327" i="3"/>
  <c r="K327" i="3"/>
  <c r="L327" i="3"/>
  <c r="M327" i="3"/>
  <c r="V327" i="3"/>
  <c r="X327" i="3"/>
  <c r="Z327" i="3"/>
  <c r="AL327" i="3"/>
  <c r="AU327" i="3" s="1"/>
  <c r="AM327" i="3"/>
  <c r="AP327" i="3"/>
  <c r="AW327" i="3"/>
  <c r="E327" i="3"/>
  <c r="AB327" i="3" l="1"/>
  <c r="AI327" i="3" s="1"/>
  <c r="AA327" i="3"/>
  <c r="F327" i="3"/>
  <c r="AO327" i="3"/>
  <c r="H327" i="3"/>
  <c r="E300" i="3"/>
  <c r="AN32" i="31" l="1"/>
  <c r="AN31" i="31"/>
  <c r="AN33" i="31"/>
  <c r="L6" i="58"/>
  <c r="D6" i="58"/>
  <c r="G6" i="58" s="1"/>
  <c r="H6" i="58" s="1"/>
  <c r="E6" i="58"/>
  <c r="F6" i="58"/>
  <c r="C6" i="58"/>
  <c r="B6" i="58"/>
  <c r="M6" i="58" l="1"/>
  <c r="I6" i="58"/>
  <c r="J6" i="58" s="1"/>
  <c r="K6" i="58" s="1"/>
  <c r="O6" i="58"/>
  <c r="L5" i="74" l="1"/>
  <c r="L6" i="74"/>
  <c r="L4" i="74"/>
  <c r="L7" i="74" l="1"/>
  <c r="BG31" i="31" l="1"/>
  <c r="E12" i="3" l="1"/>
  <c r="F12" i="3"/>
  <c r="G12" i="3"/>
  <c r="H12" i="3"/>
  <c r="I12" i="3"/>
  <c r="J12" i="3"/>
  <c r="K12" i="3"/>
  <c r="L12" i="3"/>
  <c r="M12" i="3"/>
  <c r="I13" i="3"/>
  <c r="J13" i="3"/>
  <c r="K13" i="3"/>
  <c r="L13" i="3"/>
  <c r="M13" i="3"/>
  <c r="I14" i="3"/>
  <c r="J14" i="3"/>
  <c r="K14" i="3"/>
  <c r="L14" i="3"/>
  <c r="M14" i="3"/>
  <c r="I15" i="3"/>
  <c r="J15" i="3"/>
  <c r="K15" i="3"/>
  <c r="L15" i="3"/>
  <c r="M15" i="3"/>
  <c r="I16" i="3"/>
  <c r="J16" i="3"/>
  <c r="K16" i="3"/>
  <c r="L16" i="3"/>
  <c r="M16" i="3"/>
  <c r="I17" i="3"/>
  <c r="J17" i="3"/>
  <c r="K17" i="3"/>
  <c r="L17" i="3"/>
  <c r="M17" i="3"/>
  <c r="I18" i="3"/>
  <c r="J18" i="3"/>
  <c r="K18" i="3"/>
  <c r="L18" i="3"/>
  <c r="M18" i="3"/>
  <c r="I19" i="3"/>
  <c r="J19" i="3"/>
  <c r="K19" i="3"/>
  <c r="L19" i="3"/>
  <c r="M19" i="3"/>
  <c r="I20" i="3"/>
  <c r="J20" i="3"/>
  <c r="K20" i="3"/>
  <c r="L20" i="3"/>
  <c r="M20" i="3"/>
  <c r="I21" i="3"/>
  <c r="J21" i="3"/>
  <c r="K21" i="3"/>
  <c r="L21" i="3"/>
  <c r="M21" i="3"/>
  <c r="I22" i="3"/>
  <c r="J22" i="3"/>
  <c r="K22" i="3"/>
  <c r="L22" i="3"/>
  <c r="M22" i="3"/>
  <c r="D18" i="30" l="1"/>
  <c r="D20" i="30" s="1"/>
  <c r="BG32" i="31" l="1"/>
  <c r="BG33" i="31"/>
  <c r="BP33" i="31" l="1"/>
  <c r="BE33" i="31"/>
  <c r="BD33" i="31"/>
  <c r="BC33" i="31"/>
  <c r="BA33" i="31"/>
  <c r="AX33" i="31"/>
  <c r="AT33" i="31"/>
  <c r="AR33" i="31"/>
  <c r="AP33" i="31"/>
  <c r="AG33" i="31"/>
  <c r="Y33" i="31"/>
  <c r="BN33" i="31" s="1"/>
  <c r="X33" i="31"/>
  <c r="W33" i="31"/>
  <c r="U33" i="31"/>
  <c r="AU33" i="31" l="1"/>
  <c r="BI33" i="31" s="1"/>
  <c r="BF33" i="31"/>
  <c r="AF33" i="31"/>
  <c r="AS33" i="31"/>
  <c r="Q33" i="31"/>
  <c r="H59" i="7" l="1"/>
  <c r="H59" i="73"/>
  <c r="E256" i="3" l="1"/>
  <c r="E61" i="3"/>
  <c r="E62" i="3"/>
  <c r="E63" i="3"/>
  <c r="B44" i="73" l="1"/>
  <c r="B43" i="73"/>
  <c r="B41" i="73"/>
  <c r="B40" i="73"/>
  <c r="B39" i="73"/>
  <c r="B38" i="73"/>
  <c r="B37" i="73"/>
  <c r="B32" i="73"/>
  <c r="B31" i="73"/>
  <c r="B30" i="73"/>
  <c r="B29" i="73"/>
  <c r="B22" i="73"/>
  <c r="B20" i="73"/>
  <c r="K39" i="31" l="1"/>
  <c r="BP32" i="31" l="1"/>
  <c r="BE32" i="31"/>
  <c r="BD32" i="31"/>
  <c r="BC32" i="31"/>
  <c r="BA32" i="31"/>
  <c r="AX32" i="31"/>
  <c r="AT32" i="31"/>
  <c r="AR32" i="31"/>
  <c r="AP32" i="31"/>
  <c r="AG32" i="31"/>
  <c r="Y32" i="31"/>
  <c r="BN32" i="31" s="1"/>
  <c r="X32" i="31"/>
  <c r="W32" i="31"/>
  <c r="U32" i="31"/>
  <c r="BF32" i="31" l="1"/>
  <c r="Q32" i="31"/>
  <c r="AF32" i="31"/>
  <c r="G47" i="58" l="1"/>
  <c r="I47" i="58" s="1"/>
  <c r="H322" i="3" l="1"/>
  <c r="F51" i="3" l="1"/>
  <c r="E60" i="3" l="1"/>
  <c r="D13" i="30" l="1"/>
  <c r="AO24" i="3" l="1"/>
  <c r="I24" i="3"/>
  <c r="J24" i="3"/>
  <c r="K24" i="3"/>
  <c r="L24" i="3"/>
  <c r="M24" i="3"/>
  <c r="V24" i="3"/>
  <c r="AL24" i="3"/>
  <c r="AU24" i="3" s="1"/>
  <c r="AM24" i="3"/>
  <c r="AP24" i="3"/>
  <c r="AT24" i="3"/>
  <c r="AW24" i="3"/>
  <c r="W329" i="3" l="1"/>
  <c r="E72" i="3"/>
  <c r="D17" i="69" s="1"/>
  <c r="E17" i="69" s="1"/>
  <c r="F17" i="69" s="1"/>
  <c r="I50" i="3"/>
  <c r="Y31" i="31"/>
  <c r="BC31" i="31" s="1"/>
  <c r="G270" i="3"/>
  <c r="G271" i="3"/>
  <c r="H271" i="3" s="1"/>
  <c r="G260" i="3"/>
  <c r="H260" i="3" s="1"/>
  <c r="G301" i="3"/>
  <c r="AW301" i="3"/>
  <c r="AP301" i="3"/>
  <c r="AM301" i="3"/>
  <c r="AL301" i="3"/>
  <c r="AU301" i="3" s="1"/>
  <c r="Z301" i="3"/>
  <c r="V301" i="3"/>
  <c r="M301" i="3"/>
  <c r="L301" i="3"/>
  <c r="K301" i="3"/>
  <c r="J301" i="3"/>
  <c r="I301" i="3"/>
  <c r="V57" i="3"/>
  <c r="AL57" i="3"/>
  <c r="AU57" i="3" s="1"/>
  <c r="AM57" i="3"/>
  <c r="AO57" i="3"/>
  <c r="AP57" i="3"/>
  <c r="AT57" i="3"/>
  <c r="AW57" i="3"/>
  <c r="I57" i="3"/>
  <c r="J57" i="3"/>
  <c r="K57" i="3"/>
  <c r="L57" i="3"/>
  <c r="M57" i="3"/>
  <c r="R8" i="3"/>
  <c r="R6" i="3"/>
  <c r="AJ21" i="31" s="1"/>
  <c r="G300" i="3"/>
  <c r="G294" i="3"/>
  <c r="H294" i="3" s="1"/>
  <c r="B8" i="73"/>
  <c r="G8" i="73" s="1"/>
  <c r="B13" i="73"/>
  <c r="B14" i="73"/>
  <c r="G14" i="73" s="1"/>
  <c r="B15" i="73"/>
  <c r="G15" i="73" s="1"/>
  <c r="B16" i="73"/>
  <c r="G16" i="73" s="1"/>
  <c r="AO46" i="3"/>
  <c r="L148" i="70" s="1"/>
  <c r="AO47" i="3"/>
  <c r="L149" i="70" s="1"/>
  <c r="G48" i="3"/>
  <c r="AO48" i="3" s="1"/>
  <c r="J294" i="3"/>
  <c r="J300" i="3"/>
  <c r="I300" i="3"/>
  <c r="E269" i="3"/>
  <c r="J271" i="3"/>
  <c r="J269" i="3" s="1"/>
  <c r="I271" i="3"/>
  <c r="J270" i="3"/>
  <c r="I270" i="3"/>
  <c r="I296" i="3"/>
  <c r="J296" i="3"/>
  <c r="G296" i="3"/>
  <c r="BC27" i="31"/>
  <c r="BC21" i="31"/>
  <c r="G302" i="3"/>
  <c r="J302" i="3"/>
  <c r="I302" i="3"/>
  <c r="D6" i="69"/>
  <c r="E6" i="69" s="1"/>
  <c r="F6" i="69" s="1"/>
  <c r="D7" i="69"/>
  <c r="E7" i="69" s="1"/>
  <c r="F7" i="69" s="1"/>
  <c r="D8" i="69"/>
  <c r="E8" i="69" s="1"/>
  <c r="F8" i="69" s="1"/>
  <c r="E64" i="3"/>
  <c r="D9" i="69" s="1"/>
  <c r="E9" i="69" s="1"/>
  <c r="F9" i="69" s="1"/>
  <c r="E65" i="3"/>
  <c r="D10" i="69" s="1"/>
  <c r="E10" i="69" s="1"/>
  <c r="F10" i="69" s="1"/>
  <c r="E66" i="3"/>
  <c r="D11" i="69" s="1"/>
  <c r="E11" i="69" s="1"/>
  <c r="F11" i="69" s="1"/>
  <c r="E67" i="3"/>
  <c r="G67" i="3" s="1"/>
  <c r="H67" i="3" s="1"/>
  <c r="E68" i="3"/>
  <c r="D13" i="69" s="1"/>
  <c r="E13" i="69" s="1"/>
  <c r="F13" i="69" s="1"/>
  <c r="E69" i="3"/>
  <c r="D14" i="69" s="1"/>
  <c r="E14" i="69" s="1"/>
  <c r="F14" i="69" s="1"/>
  <c r="E70" i="3"/>
  <c r="E71" i="3"/>
  <c r="D16" i="69" s="1"/>
  <c r="E16" i="69" s="1"/>
  <c r="F16" i="69" s="1"/>
  <c r="J260" i="3"/>
  <c r="I260" i="3"/>
  <c r="G41" i="73"/>
  <c r="G40" i="73"/>
  <c r="G39" i="73"/>
  <c r="G38" i="73"/>
  <c r="G37" i="73"/>
  <c r="G32" i="73"/>
  <c r="G31" i="73"/>
  <c r="G30" i="73"/>
  <c r="G29" i="73"/>
  <c r="G20" i="73"/>
  <c r="G13" i="73"/>
  <c r="I52" i="30"/>
  <c r="J52" i="30"/>
  <c r="K52" i="30"/>
  <c r="I53" i="30"/>
  <c r="J53" i="30"/>
  <c r="K53" i="30"/>
  <c r="I54" i="30"/>
  <c r="J54" i="30"/>
  <c r="K54" i="30"/>
  <c r="I55" i="30"/>
  <c r="J55" i="30"/>
  <c r="K55" i="30"/>
  <c r="I56" i="30"/>
  <c r="AO56" i="30" s="1"/>
  <c r="Q56" i="30" s="1"/>
  <c r="J56" i="30"/>
  <c r="AP56" i="30" s="1"/>
  <c r="R56" i="30" s="1"/>
  <c r="K56" i="30"/>
  <c r="AQ56" i="30" s="1"/>
  <c r="S56" i="30" s="1"/>
  <c r="B6" i="69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5" i="69"/>
  <c r="N47" i="58"/>
  <c r="W31" i="31"/>
  <c r="G11" i="39"/>
  <c r="G12" i="39"/>
  <c r="G13" i="39"/>
  <c r="G14" i="39"/>
  <c r="G15" i="39"/>
  <c r="G16" i="39"/>
  <c r="G17" i="39"/>
  <c r="G18" i="39"/>
  <c r="G19" i="39"/>
  <c r="G20" i="39"/>
  <c r="G21" i="39"/>
  <c r="G22" i="39"/>
  <c r="G23" i="39"/>
  <c r="G24" i="39"/>
  <c r="G25" i="39"/>
  <c r="G26" i="39"/>
  <c r="G27" i="39"/>
  <c r="G28" i="39"/>
  <c r="G29" i="39"/>
  <c r="G30" i="39"/>
  <c r="G31" i="39"/>
  <c r="G32" i="39"/>
  <c r="G33" i="39"/>
  <c r="G34" i="39"/>
  <c r="G35" i="39"/>
  <c r="G36" i="39"/>
  <c r="G37" i="39"/>
  <c r="G38" i="39"/>
  <c r="G39" i="39"/>
  <c r="G40" i="39"/>
  <c r="G41" i="39"/>
  <c r="G42" i="39"/>
  <c r="G43" i="39"/>
  <c r="G44" i="39"/>
  <c r="G45" i="39"/>
  <c r="G46" i="39"/>
  <c r="G47" i="39"/>
  <c r="G48" i="39"/>
  <c r="G49" i="39"/>
  <c r="G50" i="39"/>
  <c r="G51" i="39"/>
  <c r="G52" i="39"/>
  <c r="G53" i="39"/>
  <c r="G54" i="39"/>
  <c r="G55" i="39"/>
  <c r="G56" i="39"/>
  <c r="G57" i="39"/>
  <c r="G58" i="39"/>
  <c r="G59" i="39"/>
  <c r="G60" i="39"/>
  <c r="G61" i="39"/>
  <c r="G62" i="39"/>
  <c r="G63" i="39"/>
  <c r="G64" i="39"/>
  <c r="G65" i="39"/>
  <c r="G66" i="39"/>
  <c r="G67" i="39"/>
  <c r="G68" i="39"/>
  <c r="G69" i="39"/>
  <c r="G70" i="39"/>
  <c r="G71" i="39"/>
  <c r="G72" i="39"/>
  <c r="G73" i="39"/>
  <c r="G74" i="39"/>
  <c r="G75" i="39"/>
  <c r="G76" i="39"/>
  <c r="G77" i="39"/>
  <c r="G78" i="39"/>
  <c r="G79" i="39"/>
  <c r="G80" i="39"/>
  <c r="G81" i="39"/>
  <c r="G82" i="39"/>
  <c r="G83" i="39"/>
  <c r="G84" i="39"/>
  <c r="G85" i="39"/>
  <c r="G86" i="39"/>
  <c r="G87" i="39"/>
  <c r="G88" i="39"/>
  <c r="G89" i="39"/>
  <c r="G90" i="39"/>
  <c r="G91" i="39"/>
  <c r="G92" i="39"/>
  <c r="G93" i="39"/>
  <c r="G94" i="39"/>
  <c r="G95" i="39"/>
  <c r="G96" i="39"/>
  <c r="G97" i="39"/>
  <c r="G98" i="39"/>
  <c r="G99" i="39"/>
  <c r="G100" i="39"/>
  <c r="G101" i="39"/>
  <c r="G102" i="39"/>
  <c r="G103" i="39"/>
  <c r="G104" i="39"/>
  <c r="G105" i="39"/>
  <c r="G106" i="39"/>
  <c r="G107" i="39"/>
  <c r="G108" i="39"/>
  <c r="G109" i="39"/>
  <c r="G110" i="39"/>
  <c r="G111" i="39"/>
  <c r="G112" i="39"/>
  <c r="G113" i="39"/>
  <c r="G114" i="39"/>
  <c r="G115" i="39"/>
  <c r="G116" i="39"/>
  <c r="G117" i="39"/>
  <c r="G118" i="39"/>
  <c r="G119" i="39"/>
  <c r="G120" i="39"/>
  <c r="G121" i="39"/>
  <c r="G122" i="39"/>
  <c r="G123" i="39"/>
  <c r="G124" i="39"/>
  <c r="G125" i="39"/>
  <c r="G126" i="39"/>
  <c r="G127" i="39"/>
  <c r="G128" i="39"/>
  <c r="G129" i="39"/>
  <c r="G130" i="39"/>
  <c r="G131" i="39"/>
  <c r="G132" i="39"/>
  <c r="G133" i="39"/>
  <c r="G134" i="39"/>
  <c r="G135" i="39"/>
  <c r="G136" i="39"/>
  <c r="G137" i="39"/>
  <c r="G138" i="39"/>
  <c r="G139" i="39"/>
  <c r="G140" i="39"/>
  <c r="G141" i="39"/>
  <c r="G142" i="39"/>
  <c r="G143" i="39"/>
  <c r="G144" i="39"/>
  <c r="G145" i="39"/>
  <c r="G146" i="39"/>
  <c r="G147" i="39"/>
  <c r="G148" i="39"/>
  <c r="G149" i="39"/>
  <c r="G150" i="39"/>
  <c r="G151" i="39"/>
  <c r="G152" i="39"/>
  <c r="G153" i="39"/>
  <c r="G154" i="39"/>
  <c r="G155" i="39"/>
  <c r="G156" i="39"/>
  <c r="G157" i="39"/>
  <c r="G158" i="39"/>
  <c r="G159" i="39"/>
  <c r="G160" i="39"/>
  <c r="G161" i="39"/>
  <c r="G162" i="39"/>
  <c r="G163" i="39"/>
  <c r="G164" i="39"/>
  <c r="G165" i="39"/>
  <c r="G166" i="39"/>
  <c r="G167" i="39"/>
  <c r="G168" i="39"/>
  <c r="G169" i="39"/>
  <c r="G170" i="39"/>
  <c r="G171" i="39"/>
  <c r="G172" i="39"/>
  <c r="G173" i="39"/>
  <c r="G174" i="39"/>
  <c r="G175" i="39"/>
  <c r="G176" i="39"/>
  <c r="G177" i="39"/>
  <c r="G178" i="39"/>
  <c r="G179" i="39"/>
  <c r="G180" i="39"/>
  <c r="G181" i="39"/>
  <c r="G182" i="39"/>
  <c r="G183" i="39"/>
  <c r="G184" i="39"/>
  <c r="G185" i="39"/>
  <c r="G186" i="39"/>
  <c r="G187" i="39"/>
  <c r="G188" i="39"/>
  <c r="G189" i="39"/>
  <c r="G190" i="39"/>
  <c r="G191" i="39"/>
  <c r="G192" i="39"/>
  <c r="G193" i="39"/>
  <c r="G194" i="39"/>
  <c r="G195" i="39"/>
  <c r="G196" i="39"/>
  <c r="G197" i="39"/>
  <c r="G198" i="39"/>
  <c r="G199" i="39"/>
  <c r="G200" i="39"/>
  <c r="G201" i="39"/>
  <c r="G202" i="39"/>
  <c r="G203" i="39"/>
  <c r="G204" i="39"/>
  <c r="G205" i="39"/>
  <c r="G206" i="39"/>
  <c r="G207" i="39"/>
  <c r="G208" i="39"/>
  <c r="G209" i="39"/>
  <c r="G210" i="39"/>
  <c r="G211" i="39"/>
  <c r="G212" i="39"/>
  <c r="G213" i="39"/>
  <c r="G214" i="39"/>
  <c r="G215" i="39"/>
  <c r="G216" i="39"/>
  <c r="G217" i="39"/>
  <c r="G218" i="39"/>
  <c r="G219" i="39"/>
  <c r="G220" i="39"/>
  <c r="G221" i="39"/>
  <c r="G222" i="39"/>
  <c r="G223" i="39"/>
  <c r="G224" i="39"/>
  <c r="G225" i="39"/>
  <c r="G226" i="39"/>
  <c r="G227" i="39"/>
  <c r="G228" i="39"/>
  <c r="G229" i="39"/>
  <c r="G230" i="39"/>
  <c r="G231" i="39"/>
  <c r="G232" i="39"/>
  <c r="G233" i="39"/>
  <c r="G234" i="39"/>
  <c r="G235" i="39"/>
  <c r="G236" i="39"/>
  <c r="G237" i="39"/>
  <c r="G238" i="39"/>
  <c r="G239" i="39"/>
  <c r="G240" i="39"/>
  <c r="G10" i="39"/>
  <c r="BH4" i="31"/>
  <c r="BG4" i="31"/>
  <c r="P82" i="39"/>
  <c r="P59" i="39"/>
  <c r="P46" i="39"/>
  <c r="I9" i="71"/>
  <c r="F111" i="41"/>
  <c r="F112" i="41"/>
  <c r="F113" i="41"/>
  <c r="F114" i="41"/>
  <c r="F115" i="41"/>
  <c r="F116" i="41"/>
  <c r="F117" i="41"/>
  <c r="F118" i="41"/>
  <c r="F119" i="41"/>
  <c r="F120" i="41"/>
  <c r="F121" i="41"/>
  <c r="F122" i="41"/>
  <c r="F123" i="41"/>
  <c r="F124" i="41"/>
  <c r="F125" i="41"/>
  <c r="F126" i="41"/>
  <c r="F127" i="41"/>
  <c r="F128" i="41"/>
  <c r="F129" i="41"/>
  <c r="F130" i="41"/>
  <c r="F131" i="41"/>
  <c r="F132" i="41"/>
  <c r="F133" i="41"/>
  <c r="F134" i="41"/>
  <c r="F135" i="41"/>
  <c r="F136" i="41"/>
  <c r="F137" i="41"/>
  <c r="F138" i="41"/>
  <c r="F139" i="41"/>
  <c r="F140" i="41"/>
  <c r="F141" i="41"/>
  <c r="F142" i="41"/>
  <c r="F143" i="41"/>
  <c r="F144" i="41"/>
  <c r="F145" i="41"/>
  <c r="F146" i="41"/>
  <c r="F147" i="41"/>
  <c r="F148" i="41"/>
  <c r="F149" i="41"/>
  <c r="F150" i="41"/>
  <c r="F151" i="41"/>
  <c r="F152" i="41"/>
  <c r="F153" i="41"/>
  <c r="F154" i="41"/>
  <c r="F155" i="41"/>
  <c r="F156" i="41"/>
  <c r="F157" i="41"/>
  <c r="F158" i="41"/>
  <c r="F159" i="41"/>
  <c r="F160" i="41"/>
  <c r="F161" i="41"/>
  <c r="F162" i="41"/>
  <c r="F163" i="41"/>
  <c r="F164" i="41"/>
  <c r="F165" i="41"/>
  <c r="F166" i="41"/>
  <c r="F167" i="41"/>
  <c r="F168" i="41"/>
  <c r="F169" i="41"/>
  <c r="F170" i="41"/>
  <c r="F171" i="41"/>
  <c r="F172" i="41"/>
  <c r="F173" i="41"/>
  <c r="F174" i="41"/>
  <c r="F175" i="41"/>
  <c r="F176" i="41"/>
  <c r="F177" i="41"/>
  <c r="F178" i="41"/>
  <c r="F179" i="41"/>
  <c r="F180" i="41"/>
  <c r="F181" i="41"/>
  <c r="F182" i="41"/>
  <c r="F183" i="41"/>
  <c r="F184" i="41"/>
  <c r="F185" i="41"/>
  <c r="F186" i="41"/>
  <c r="F187" i="41"/>
  <c r="F188" i="41"/>
  <c r="F189" i="41"/>
  <c r="F190" i="41"/>
  <c r="F191" i="41"/>
  <c r="F192" i="41"/>
  <c r="F193" i="41"/>
  <c r="F194" i="41"/>
  <c r="F195" i="41"/>
  <c r="F196" i="41"/>
  <c r="F197" i="41"/>
  <c r="F198" i="41"/>
  <c r="F199" i="41"/>
  <c r="F200" i="41"/>
  <c r="F201" i="41"/>
  <c r="F202" i="41"/>
  <c r="F203" i="41"/>
  <c r="F204" i="41"/>
  <c r="F205" i="41"/>
  <c r="F206" i="41"/>
  <c r="F207" i="41"/>
  <c r="F208" i="41"/>
  <c r="F209" i="41"/>
  <c r="F210" i="41"/>
  <c r="F211" i="41"/>
  <c r="F212" i="41"/>
  <c r="F213" i="41"/>
  <c r="F214" i="41"/>
  <c r="F215" i="41"/>
  <c r="F216" i="41"/>
  <c r="F217" i="41"/>
  <c r="F218" i="41"/>
  <c r="F219" i="41"/>
  <c r="F220" i="41"/>
  <c r="F221" i="41"/>
  <c r="F222" i="41"/>
  <c r="F223" i="41"/>
  <c r="F224" i="41"/>
  <c r="F225" i="41"/>
  <c r="F226" i="41"/>
  <c r="F227" i="41"/>
  <c r="F228" i="41"/>
  <c r="F229" i="41"/>
  <c r="F230" i="41"/>
  <c r="F231" i="41"/>
  <c r="F232" i="41"/>
  <c r="F233" i="41"/>
  <c r="F234" i="41"/>
  <c r="F235" i="41"/>
  <c r="F236" i="41"/>
  <c r="F237" i="41"/>
  <c r="F238" i="41"/>
  <c r="F239" i="41"/>
  <c r="F240" i="41"/>
  <c r="F241" i="41"/>
  <c r="F242" i="41"/>
  <c r="F243" i="41"/>
  <c r="F244" i="41"/>
  <c r="F245" i="41"/>
  <c r="F246" i="41"/>
  <c r="F247" i="41"/>
  <c r="F248" i="41"/>
  <c r="F249" i="41"/>
  <c r="F250" i="41"/>
  <c r="F251" i="41"/>
  <c r="F252" i="41"/>
  <c r="F253" i="41"/>
  <c r="F254" i="41"/>
  <c r="F255" i="41"/>
  <c r="F256" i="41"/>
  <c r="F257" i="41"/>
  <c r="F258" i="41"/>
  <c r="F259" i="41"/>
  <c r="F260" i="41"/>
  <c r="F261" i="41"/>
  <c r="F262" i="41"/>
  <c r="F263" i="41"/>
  <c r="F264" i="41"/>
  <c r="F265" i="41"/>
  <c r="F266" i="41"/>
  <c r="F267" i="41"/>
  <c r="F268" i="41"/>
  <c r="F269" i="41"/>
  <c r="F270" i="41"/>
  <c r="F271" i="41"/>
  <c r="F272" i="41"/>
  <c r="F273" i="41"/>
  <c r="F274" i="41"/>
  <c r="F275" i="41"/>
  <c r="F276" i="41"/>
  <c r="F277" i="41"/>
  <c r="F278" i="41"/>
  <c r="F279" i="41"/>
  <c r="F280" i="41"/>
  <c r="F281" i="41"/>
  <c r="F282" i="41"/>
  <c r="F283" i="41"/>
  <c r="F284" i="41"/>
  <c r="F285" i="41"/>
  <c r="F286" i="41"/>
  <c r="F287" i="41"/>
  <c r="F288" i="41"/>
  <c r="F289" i="41"/>
  <c r="F290" i="41"/>
  <c r="F291" i="41"/>
  <c r="F292" i="41"/>
  <c r="F293" i="41"/>
  <c r="F294" i="41"/>
  <c r="F295" i="41"/>
  <c r="F296" i="41"/>
  <c r="F297" i="41"/>
  <c r="F298" i="41"/>
  <c r="F299" i="41"/>
  <c r="F300" i="41"/>
  <c r="F301" i="41"/>
  <c r="F302" i="41"/>
  <c r="F303" i="41"/>
  <c r="F304" i="41"/>
  <c r="F305" i="41"/>
  <c r="F306" i="41"/>
  <c r="F307" i="41"/>
  <c r="F308" i="41"/>
  <c r="F309" i="41"/>
  <c r="F310" i="41"/>
  <c r="F311" i="41"/>
  <c r="F312" i="41"/>
  <c r="F313" i="41"/>
  <c r="F314" i="41"/>
  <c r="F315" i="41"/>
  <c r="F316" i="41"/>
  <c r="F317" i="41"/>
  <c r="F318" i="41"/>
  <c r="F319" i="41"/>
  <c r="F320" i="41"/>
  <c r="F321" i="41"/>
  <c r="F322" i="41"/>
  <c r="F323" i="41"/>
  <c r="F324" i="41"/>
  <c r="F325" i="41"/>
  <c r="F326" i="41"/>
  <c r="F327" i="41"/>
  <c r="F328" i="41"/>
  <c r="F329" i="41"/>
  <c r="F330" i="41"/>
  <c r="F331" i="41"/>
  <c r="F332" i="41"/>
  <c r="F333" i="41"/>
  <c r="F334" i="41"/>
  <c r="F335" i="41"/>
  <c r="F336" i="41"/>
  <c r="F337" i="41"/>
  <c r="F338" i="41"/>
  <c r="F339" i="41"/>
  <c r="F340" i="41"/>
  <c r="F341" i="41"/>
  <c r="F342" i="41"/>
  <c r="F343" i="41"/>
  <c r="F344" i="41"/>
  <c r="F345" i="41"/>
  <c r="F346" i="41"/>
  <c r="F347" i="41"/>
  <c r="F348" i="41"/>
  <c r="F349" i="41"/>
  <c r="F350" i="41"/>
  <c r="F351" i="41"/>
  <c r="F352" i="41"/>
  <c r="F353" i="41"/>
  <c r="F354" i="41"/>
  <c r="F355" i="41"/>
  <c r="F356" i="41"/>
  <c r="F357" i="41"/>
  <c r="F358" i="41"/>
  <c r="F359" i="41"/>
  <c r="F360" i="41"/>
  <c r="F361" i="41"/>
  <c r="F362" i="41"/>
  <c r="F363" i="41"/>
  <c r="F364" i="41"/>
  <c r="F365" i="41"/>
  <c r="F366" i="41"/>
  <c r="F367" i="41"/>
  <c r="F368" i="41"/>
  <c r="F369" i="41"/>
  <c r="F370" i="41"/>
  <c r="F371" i="41"/>
  <c r="F372" i="41"/>
  <c r="F373" i="41"/>
  <c r="F374" i="41"/>
  <c r="F375" i="41"/>
  <c r="F376" i="41"/>
  <c r="F377" i="41"/>
  <c r="F378" i="41"/>
  <c r="F379" i="41"/>
  <c r="F380" i="41"/>
  <c r="F381" i="41"/>
  <c r="F382" i="41"/>
  <c r="F383" i="41"/>
  <c r="F384" i="41"/>
  <c r="F385" i="41"/>
  <c r="F386" i="41"/>
  <c r="F387" i="41"/>
  <c r="F388" i="41"/>
  <c r="F389" i="41"/>
  <c r="F390" i="41"/>
  <c r="F391" i="41"/>
  <c r="F392" i="41"/>
  <c r="F393" i="41"/>
  <c r="F394" i="41"/>
  <c r="F395" i="41"/>
  <c r="F396" i="41"/>
  <c r="F397" i="41"/>
  <c r="F398" i="41"/>
  <c r="F399" i="41"/>
  <c r="F400" i="41"/>
  <c r="F401" i="41"/>
  <c r="F402" i="41"/>
  <c r="F403" i="41"/>
  <c r="F404" i="41"/>
  <c r="F405" i="41"/>
  <c r="F406" i="41"/>
  <c r="F407" i="41"/>
  <c r="F408" i="41"/>
  <c r="F409" i="41"/>
  <c r="F410" i="41"/>
  <c r="F411" i="41"/>
  <c r="F412" i="41"/>
  <c r="F413" i="41"/>
  <c r="F414" i="41"/>
  <c r="F415" i="41"/>
  <c r="F416" i="41"/>
  <c r="F417" i="41"/>
  <c r="F418" i="41"/>
  <c r="F419" i="41"/>
  <c r="F420" i="41"/>
  <c r="F421" i="41"/>
  <c r="F422" i="41"/>
  <c r="F423" i="41"/>
  <c r="F424" i="41"/>
  <c r="F425" i="41"/>
  <c r="F426" i="41"/>
  <c r="F427" i="41"/>
  <c r="F428" i="41"/>
  <c r="F429" i="41"/>
  <c r="F430" i="41"/>
  <c r="F431" i="41"/>
  <c r="F432" i="41"/>
  <c r="F433" i="41"/>
  <c r="F434" i="41"/>
  <c r="F435" i="41"/>
  <c r="F436" i="41"/>
  <c r="F437" i="41"/>
  <c r="F438" i="41"/>
  <c r="F439" i="41"/>
  <c r="F440" i="41"/>
  <c r="F441" i="41"/>
  <c r="F442" i="41"/>
  <c r="F443" i="41"/>
  <c r="F444" i="41"/>
  <c r="F445" i="41"/>
  <c r="F446" i="41"/>
  <c r="F447" i="41"/>
  <c r="F448" i="41"/>
  <c r="F449" i="41"/>
  <c r="F450" i="41"/>
  <c r="F451" i="41"/>
  <c r="F452" i="41"/>
  <c r="F453" i="41"/>
  <c r="F454" i="41"/>
  <c r="F455" i="41"/>
  <c r="F456" i="41"/>
  <c r="F457" i="41"/>
  <c r="F458" i="41"/>
  <c r="F459" i="41"/>
  <c r="F460" i="41"/>
  <c r="F461" i="41"/>
  <c r="F462" i="41"/>
  <c r="F463" i="41"/>
  <c r="F464" i="41"/>
  <c r="F465" i="41"/>
  <c r="F466" i="41"/>
  <c r="F467" i="41"/>
  <c r="F468" i="41"/>
  <c r="F469" i="41"/>
  <c r="F470" i="41"/>
  <c r="F471" i="41"/>
  <c r="F472" i="41"/>
  <c r="F473" i="41"/>
  <c r="F474" i="41"/>
  <c r="F475" i="41"/>
  <c r="F476" i="41"/>
  <c r="F477" i="41"/>
  <c r="F478" i="41"/>
  <c r="F479" i="41"/>
  <c r="F480" i="41"/>
  <c r="F481" i="41"/>
  <c r="F482" i="41"/>
  <c r="F483" i="41"/>
  <c r="F484" i="41"/>
  <c r="F485" i="41"/>
  <c r="F486" i="41"/>
  <c r="F487" i="41"/>
  <c r="F488" i="41"/>
  <c r="F489" i="41"/>
  <c r="F490" i="41"/>
  <c r="F491" i="41"/>
  <c r="F492" i="41"/>
  <c r="F493" i="41"/>
  <c r="F494" i="41"/>
  <c r="F495" i="41"/>
  <c r="F496" i="41"/>
  <c r="F497" i="41"/>
  <c r="F498" i="41"/>
  <c r="F499" i="41"/>
  <c r="F500" i="41"/>
  <c r="F501" i="41"/>
  <c r="F502" i="41"/>
  <c r="F503" i="41"/>
  <c r="F504" i="41"/>
  <c r="F505" i="41"/>
  <c r="F506" i="41"/>
  <c r="F507" i="41"/>
  <c r="F508" i="41"/>
  <c r="F509" i="41"/>
  <c r="F510" i="41"/>
  <c r="F511" i="41"/>
  <c r="F512" i="41"/>
  <c r="F513" i="41"/>
  <c r="F514" i="41"/>
  <c r="F515" i="41"/>
  <c r="F516" i="41"/>
  <c r="F517" i="41"/>
  <c r="F518" i="41"/>
  <c r="F519" i="41"/>
  <c r="F520" i="41"/>
  <c r="F521" i="41"/>
  <c r="F522" i="41"/>
  <c r="F523" i="41"/>
  <c r="F524" i="41"/>
  <c r="F525" i="41"/>
  <c r="F526" i="41"/>
  <c r="F527" i="41"/>
  <c r="F528" i="41"/>
  <c r="F529" i="41"/>
  <c r="F530" i="41"/>
  <c r="F531" i="41"/>
  <c r="F532" i="41"/>
  <c r="F533" i="41"/>
  <c r="F534" i="41"/>
  <c r="F535" i="41"/>
  <c r="F536" i="41"/>
  <c r="F537" i="41"/>
  <c r="F538" i="41"/>
  <c r="F539" i="41"/>
  <c r="F540" i="41"/>
  <c r="F541" i="41"/>
  <c r="F542" i="41"/>
  <c r="F543" i="41"/>
  <c r="F544" i="41"/>
  <c r="F545" i="41"/>
  <c r="F546" i="41"/>
  <c r="F547" i="41"/>
  <c r="F548" i="41"/>
  <c r="F549" i="41"/>
  <c r="F550" i="41"/>
  <c r="F551" i="41"/>
  <c r="F552" i="41"/>
  <c r="F553" i="41"/>
  <c r="F554" i="41"/>
  <c r="F555" i="41"/>
  <c r="F556" i="41"/>
  <c r="F557" i="41"/>
  <c r="F558" i="41"/>
  <c r="F559" i="41"/>
  <c r="F560" i="41"/>
  <c r="F561" i="41"/>
  <c r="F562" i="41"/>
  <c r="F563" i="41"/>
  <c r="F564" i="41"/>
  <c r="F565" i="41"/>
  <c r="F566" i="41"/>
  <c r="F567" i="41"/>
  <c r="F568" i="41"/>
  <c r="F569" i="41"/>
  <c r="F570" i="41"/>
  <c r="F571" i="41"/>
  <c r="F572" i="41"/>
  <c r="F573" i="41"/>
  <c r="F574" i="41"/>
  <c r="F575" i="41"/>
  <c r="F576" i="41"/>
  <c r="F577" i="41"/>
  <c r="F578" i="41"/>
  <c r="F579" i="41"/>
  <c r="F580" i="41"/>
  <c r="F581" i="41"/>
  <c r="F582" i="41"/>
  <c r="F583" i="41"/>
  <c r="F584" i="41"/>
  <c r="F585" i="41"/>
  <c r="F586" i="41"/>
  <c r="F587" i="41"/>
  <c r="F588" i="41"/>
  <c r="F589" i="41"/>
  <c r="F590" i="41"/>
  <c r="F591" i="41"/>
  <c r="F592" i="41"/>
  <c r="F593" i="41"/>
  <c r="F594" i="41"/>
  <c r="F595" i="41"/>
  <c r="F596" i="41"/>
  <c r="F597" i="41"/>
  <c r="F598" i="41"/>
  <c r="F599" i="41"/>
  <c r="F600" i="41"/>
  <c r="F601" i="41"/>
  <c r="F602" i="41"/>
  <c r="F603" i="41"/>
  <c r="F604" i="41"/>
  <c r="F605" i="41"/>
  <c r="F606" i="41"/>
  <c r="F607" i="41"/>
  <c r="F608" i="41"/>
  <c r="F609" i="41"/>
  <c r="F610" i="41"/>
  <c r="F611" i="41"/>
  <c r="F612" i="41"/>
  <c r="F613" i="41"/>
  <c r="F614" i="41"/>
  <c r="F615" i="41"/>
  <c r="F616" i="41"/>
  <c r="F617" i="41"/>
  <c r="F618" i="41"/>
  <c r="F619" i="41"/>
  <c r="F620" i="41"/>
  <c r="F621" i="41"/>
  <c r="F622" i="41"/>
  <c r="F623" i="41"/>
  <c r="F624" i="41"/>
  <c r="F625" i="41"/>
  <c r="F626" i="41"/>
  <c r="F627" i="41"/>
  <c r="F628" i="41"/>
  <c r="F629" i="41"/>
  <c r="F630" i="41"/>
  <c r="F631" i="41"/>
  <c r="F632" i="41"/>
  <c r="F633" i="41"/>
  <c r="F634" i="41"/>
  <c r="F635" i="41"/>
  <c r="F636" i="41"/>
  <c r="F637" i="41"/>
  <c r="F638" i="41"/>
  <c r="F639" i="41"/>
  <c r="F640" i="41"/>
  <c r="F641" i="41"/>
  <c r="F642" i="41"/>
  <c r="F643" i="41"/>
  <c r="F644" i="41"/>
  <c r="F16" i="40"/>
  <c r="F17" i="40"/>
  <c r="F18" i="40"/>
  <c r="F19" i="40"/>
  <c r="F20" i="40"/>
  <c r="F21" i="40"/>
  <c r="F22" i="40"/>
  <c r="F23" i="40"/>
  <c r="F24" i="40"/>
  <c r="F25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0" i="40"/>
  <c r="F131" i="40"/>
  <c r="F132" i="40"/>
  <c r="F133" i="40"/>
  <c r="F134" i="40"/>
  <c r="F135" i="40"/>
  <c r="F136" i="40"/>
  <c r="F137" i="40"/>
  <c r="F138" i="40"/>
  <c r="F139" i="40"/>
  <c r="F140" i="40"/>
  <c r="F141" i="40"/>
  <c r="F142" i="40"/>
  <c r="F143" i="40"/>
  <c r="F144" i="40"/>
  <c r="F145" i="40"/>
  <c r="F146" i="40"/>
  <c r="F147" i="40"/>
  <c r="F148" i="40"/>
  <c r="F149" i="40"/>
  <c r="F150" i="40"/>
  <c r="F151" i="40"/>
  <c r="F152" i="40"/>
  <c r="F153" i="40"/>
  <c r="F154" i="40"/>
  <c r="F155" i="40"/>
  <c r="F156" i="40"/>
  <c r="F157" i="40"/>
  <c r="F158" i="40"/>
  <c r="F159" i="40"/>
  <c r="F160" i="40"/>
  <c r="F161" i="40"/>
  <c r="F162" i="40"/>
  <c r="F163" i="40"/>
  <c r="F164" i="40"/>
  <c r="F165" i="40"/>
  <c r="F166" i="40"/>
  <c r="F167" i="40"/>
  <c r="F168" i="40"/>
  <c r="F169" i="40"/>
  <c r="F170" i="40"/>
  <c r="F171" i="40"/>
  <c r="F172" i="40"/>
  <c r="F173" i="40"/>
  <c r="F174" i="40"/>
  <c r="F175" i="40"/>
  <c r="F176" i="40"/>
  <c r="F177" i="40"/>
  <c r="F178" i="40"/>
  <c r="F179" i="40"/>
  <c r="F180" i="40"/>
  <c r="F181" i="40"/>
  <c r="F182" i="40"/>
  <c r="F183" i="40"/>
  <c r="F184" i="40"/>
  <c r="F185" i="40"/>
  <c r="F186" i="40"/>
  <c r="F187" i="40"/>
  <c r="F188" i="40"/>
  <c r="F189" i="40"/>
  <c r="F190" i="40"/>
  <c r="F191" i="40"/>
  <c r="F192" i="40"/>
  <c r="F193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9" i="40"/>
  <c r="F10" i="40"/>
  <c r="F11" i="40"/>
  <c r="F12" i="40"/>
  <c r="F13" i="40"/>
  <c r="F14" i="40"/>
  <c r="F15" i="40"/>
  <c r="H188" i="39"/>
  <c r="H185" i="39"/>
  <c r="H184" i="39"/>
  <c r="H183" i="39"/>
  <c r="H177" i="39"/>
  <c r="H174" i="39"/>
  <c r="H173" i="39"/>
  <c r="H151" i="39"/>
  <c r="H149" i="39"/>
  <c r="H130" i="39"/>
  <c r="H128" i="39"/>
  <c r="H118" i="39"/>
  <c r="H117" i="39"/>
  <c r="H116" i="39"/>
  <c r="H110" i="39"/>
  <c r="H100" i="39"/>
  <c r="H99" i="39"/>
  <c r="H98" i="39"/>
  <c r="H97" i="39"/>
  <c r="H96" i="39"/>
  <c r="H95" i="39"/>
  <c r="H94" i="39"/>
  <c r="H93" i="39"/>
  <c r="H92" i="39"/>
  <c r="H91" i="39"/>
  <c r="H90" i="39"/>
  <c r="H89" i="39"/>
  <c r="H88" i="39"/>
  <c r="H87" i="39"/>
  <c r="H86" i="39"/>
  <c r="H85" i="39"/>
  <c r="H69" i="39"/>
  <c r="H68" i="39"/>
  <c r="H67" i="39"/>
  <c r="H66" i="39"/>
  <c r="H65" i="39"/>
  <c r="H64" i="39"/>
  <c r="H63" i="39"/>
  <c r="H62" i="39"/>
  <c r="H61" i="39"/>
  <c r="H60" i="39"/>
  <c r="H56" i="39"/>
  <c r="H50" i="39"/>
  <c r="H49" i="39"/>
  <c r="H45" i="39"/>
  <c r="H44" i="39"/>
  <c r="H42" i="39"/>
  <c r="H41" i="39"/>
  <c r="H38" i="39"/>
  <c r="H37" i="39"/>
  <c r="A101" i="70"/>
  <c r="E101" i="70"/>
  <c r="F101" i="70"/>
  <c r="G101" i="70"/>
  <c r="H101" i="70"/>
  <c r="K101" i="70"/>
  <c r="N101" i="70"/>
  <c r="O101" i="70"/>
  <c r="P101" i="70"/>
  <c r="Q101" i="70"/>
  <c r="S101" i="70"/>
  <c r="A102" i="70"/>
  <c r="E102" i="70"/>
  <c r="F102" i="70"/>
  <c r="G102" i="70"/>
  <c r="H102" i="70"/>
  <c r="K102" i="70"/>
  <c r="N102" i="70"/>
  <c r="O102" i="70"/>
  <c r="P102" i="70"/>
  <c r="Q102" i="70"/>
  <c r="S102" i="70"/>
  <c r="G24" i="4"/>
  <c r="M24" i="4"/>
  <c r="BG24" i="4" s="1"/>
  <c r="BN24" i="4"/>
  <c r="G25" i="4"/>
  <c r="G26" i="4" s="1"/>
  <c r="G27" i="4" s="1"/>
  <c r="B27" i="4"/>
  <c r="B26" i="4" s="1"/>
  <c r="DP27" i="46"/>
  <c r="A161" i="70"/>
  <c r="E161" i="70"/>
  <c r="F161" i="70"/>
  <c r="G161" i="70"/>
  <c r="H161" i="70"/>
  <c r="K161" i="70"/>
  <c r="N161" i="70"/>
  <c r="O161" i="70"/>
  <c r="P161" i="70"/>
  <c r="Q161" i="70"/>
  <c r="S161" i="70"/>
  <c r="A162" i="70"/>
  <c r="E162" i="70"/>
  <c r="F162" i="70"/>
  <c r="G162" i="70"/>
  <c r="H162" i="70"/>
  <c r="K162" i="70"/>
  <c r="N162" i="70"/>
  <c r="O162" i="70"/>
  <c r="P162" i="70"/>
  <c r="Q162" i="70"/>
  <c r="S162" i="70"/>
  <c r="A163" i="70"/>
  <c r="E163" i="70"/>
  <c r="F163" i="70"/>
  <c r="G163" i="70"/>
  <c r="H163" i="70"/>
  <c r="K163" i="70"/>
  <c r="N163" i="70"/>
  <c r="O163" i="70"/>
  <c r="P163" i="70"/>
  <c r="Q163" i="70"/>
  <c r="S163" i="70"/>
  <c r="A164" i="70"/>
  <c r="E164" i="70"/>
  <c r="F164" i="70"/>
  <c r="G164" i="70"/>
  <c r="H164" i="70"/>
  <c r="K164" i="70"/>
  <c r="N164" i="70"/>
  <c r="O164" i="70"/>
  <c r="P164" i="70"/>
  <c r="Q164" i="70"/>
  <c r="S164" i="70"/>
  <c r="A165" i="70"/>
  <c r="E165" i="70"/>
  <c r="F165" i="70"/>
  <c r="G165" i="70"/>
  <c r="H165" i="70"/>
  <c r="K165" i="70"/>
  <c r="N165" i="70"/>
  <c r="O165" i="70"/>
  <c r="P165" i="70"/>
  <c r="Q165" i="70"/>
  <c r="S165" i="70"/>
  <c r="A166" i="70"/>
  <c r="E166" i="70"/>
  <c r="F166" i="70"/>
  <c r="G166" i="70"/>
  <c r="H166" i="70"/>
  <c r="K166" i="70"/>
  <c r="N166" i="70"/>
  <c r="O166" i="70"/>
  <c r="P166" i="70"/>
  <c r="Q166" i="70"/>
  <c r="S166" i="70"/>
  <c r="A157" i="70"/>
  <c r="E157" i="70"/>
  <c r="F157" i="70"/>
  <c r="G157" i="70"/>
  <c r="H157" i="70"/>
  <c r="K157" i="70"/>
  <c r="N157" i="70"/>
  <c r="O157" i="70"/>
  <c r="P157" i="70"/>
  <c r="Q157" i="70"/>
  <c r="S157" i="70"/>
  <c r="A142" i="70"/>
  <c r="E142" i="70"/>
  <c r="F142" i="70"/>
  <c r="G142" i="70"/>
  <c r="H142" i="70"/>
  <c r="K142" i="70"/>
  <c r="N142" i="70"/>
  <c r="O142" i="70"/>
  <c r="P142" i="70"/>
  <c r="S142" i="70"/>
  <c r="A143" i="70"/>
  <c r="E143" i="70"/>
  <c r="F143" i="70"/>
  <c r="G143" i="70"/>
  <c r="H143" i="70"/>
  <c r="K143" i="70"/>
  <c r="N143" i="70"/>
  <c r="O143" i="70"/>
  <c r="P143" i="70"/>
  <c r="S143" i="70"/>
  <c r="A144" i="70"/>
  <c r="E144" i="70"/>
  <c r="F144" i="70"/>
  <c r="G144" i="70"/>
  <c r="H144" i="70"/>
  <c r="K144" i="70"/>
  <c r="N144" i="70"/>
  <c r="O144" i="70"/>
  <c r="P144" i="70"/>
  <c r="S144" i="70"/>
  <c r="A145" i="70"/>
  <c r="E145" i="70"/>
  <c r="F145" i="70"/>
  <c r="G145" i="70"/>
  <c r="H145" i="70"/>
  <c r="K145" i="70"/>
  <c r="N145" i="70"/>
  <c r="O145" i="70"/>
  <c r="P145" i="70"/>
  <c r="S145" i="70"/>
  <c r="A146" i="70"/>
  <c r="E146" i="70"/>
  <c r="F146" i="70"/>
  <c r="G146" i="70"/>
  <c r="H146" i="70"/>
  <c r="K146" i="70"/>
  <c r="N146" i="70"/>
  <c r="O146" i="70"/>
  <c r="P146" i="70"/>
  <c r="S146" i="70"/>
  <c r="A147" i="70"/>
  <c r="E147" i="70"/>
  <c r="F147" i="70"/>
  <c r="G147" i="70"/>
  <c r="H147" i="70"/>
  <c r="K147" i="70"/>
  <c r="N147" i="70"/>
  <c r="O147" i="70"/>
  <c r="P147" i="70"/>
  <c r="S147" i="70"/>
  <c r="A148" i="70"/>
  <c r="E148" i="70"/>
  <c r="F148" i="70"/>
  <c r="G148" i="70"/>
  <c r="H148" i="70"/>
  <c r="K148" i="70"/>
  <c r="N148" i="70"/>
  <c r="O148" i="70"/>
  <c r="P148" i="70"/>
  <c r="S148" i="70"/>
  <c r="A149" i="70"/>
  <c r="E149" i="70"/>
  <c r="F149" i="70"/>
  <c r="G149" i="70"/>
  <c r="H149" i="70"/>
  <c r="K149" i="70"/>
  <c r="N149" i="70"/>
  <c r="O149" i="70"/>
  <c r="P149" i="70"/>
  <c r="S149" i="70"/>
  <c r="A132" i="70"/>
  <c r="E132" i="70"/>
  <c r="F132" i="70"/>
  <c r="G132" i="70"/>
  <c r="H132" i="70"/>
  <c r="K132" i="70"/>
  <c r="N132" i="70"/>
  <c r="O132" i="70"/>
  <c r="P132" i="70"/>
  <c r="S132" i="70"/>
  <c r="A133" i="70"/>
  <c r="E133" i="70"/>
  <c r="F133" i="70"/>
  <c r="G133" i="70"/>
  <c r="H133" i="70"/>
  <c r="K133" i="70"/>
  <c r="N133" i="70"/>
  <c r="O133" i="70"/>
  <c r="P133" i="70"/>
  <c r="S133" i="70"/>
  <c r="A134" i="70"/>
  <c r="E134" i="70"/>
  <c r="F134" i="70"/>
  <c r="G134" i="70"/>
  <c r="H134" i="70"/>
  <c r="K134" i="70"/>
  <c r="N134" i="70"/>
  <c r="O134" i="70"/>
  <c r="P134" i="70"/>
  <c r="S134" i="70"/>
  <c r="A135" i="70"/>
  <c r="E135" i="70"/>
  <c r="F135" i="70"/>
  <c r="G135" i="70"/>
  <c r="H135" i="70"/>
  <c r="K135" i="70"/>
  <c r="N135" i="70"/>
  <c r="O135" i="70"/>
  <c r="P135" i="70"/>
  <c r="S135" i="70"/>
  <c r="A136" i="70"/>
  <c r="E136" i="70"/>
  <c r="F136" i="70"/>
  <c r="G136" i="70"/>
  <c r="H136" i="70"/>
  <c r="K136" i="70"/>
  <c r="N136" i="70"/>
  <c r="O136" i="70"/>
  <c r="P136" i="70"/>
  <c r="S136" i="70"/>
  <c r="A137" i="70"/>
  <c r="E137" i="70"/>
  <c r="F137" i="70"/>
  <c r="G137" i="70"/>
  <c r="H137" i="70"/>
  <c r="K137" i="70"/>
  <c r="N137" i="70"/>
  <c r="O137" i="70"/>
  <c r="P137" i="70"/>
  <c r="S137" i="70"/>
  <c r="A138" i="70"/>
  <c r="E138" i="70"/>
  <c r="F138" i="70"/>
  <c r="G138" i="70"/>
  <c r="H138" i="70"/>
  <c r="K138" i="70"/>
  <c r="N138" i="70"/>
  <c r="O138" i="70"/>
  <c r="P138" i="70"/>
  <c r="S138" i="70"/>
  <c r="A139" i="70"/>
  <c r="E139" i="70"/>
  <c r="F139" i="70"/>
  <c r="G139" i="70"/>
  <c r="H139" i="70"/>
  <c r="K139" i="70"/>
  <c r="N139" i="70"/>
  <c r="O139" i="70"/>
  <c r="P139" i="70"/>
  <c r="S139" i="70"/>
  <c r="A140" i="70"/>
  <c r="E140" i="70"/>
  <c r="F140" i="70"/>
  <c r="G140" i="70"/>
  <c r="H140" i="70"/>
  <c r="K140" i="70"/>
  <c r="N140" i="70"/>
  <c r="O140" i="70"/>
  <c r="P140" i="70"/>
  <c r="S140" i="70"/>
  <c r="A141" i="70"/>
  <c r="E141" i="70"/>
  <c r="F141" i="70"/>
  <c r="G141" i="70"/>
  <c r="H141" i="70"/>
  <c r="K141" i="70"/>
  <c r="N141" i="70"/>
  <c r="O141" i="70"/>
  <c r="P141" i="70"/>
  <c r="S141" i="70"/>
  <c r="A115" i="70"/>
  <c r="E115" i="70"/>
  <c r="F115" i="70"/>
  <c r="G115" i="70"/>
  <c r="H115" i="70"/>
  <c r="K115" i="70"/>
  <c r="N115" i="70"/>
  <c r="O115" i="70"/>
  <c r="P115" i="70"/>
  <c r="S115" i="70"/>
  <c r="A116" i="70"/>
  <c r="E116" i="70"/>
  <c r="F116" i="70"/>
  <c r="G116" i="70"/>
  <c r="H116" i="70"/>
  <c r="K116" i="70"/>
  <c r="N116" i="70"/>
  <c r="O116" i="70"/>
  <c r="P116" i="70"/>
  <c r="S116" i="70"/>
  <c r="A117" i="70"/>
  <c r="E117" i="70"/>
  <c r="F117" i="70"/>
  <c r="G117" i="70"/>
  <c r="H117" i="70"/>
  <c r="K117" i="70"/>
  <c r="N117" i="70"/>
  <c r="O117" i="70"/>
  <c r="P117" i="70"/>
  <c r="S117" i="70"/>
  <c r="A118" i="70"/>
  <c r="E118" i="70"/>
  <c r="F118" i="70"/>
  <c r="G118" i="70"/>
  <c r="H118" i="70"/>
  <c r="K118" i="70"/>
  <c r="N118" i="70"/>
  <c r="O118" i="70"/>
  <c r="P118" i="70"/>
  <c r="S118" i="70"/>
  <c r="A119" i="70"/>
  <c r="E119" i="70"/>
  <c r="F119" i="70"/>
  <c r="G119" i="70"/>
  <c r="H119" i="70"/>
  <c r="K119" i="70"/>
  <c r="N119" i="70"/>
  <c r="O119" i="70"/>
  <c r="P119" i="70"/>
  <c r="S119" i="70"/>
  <c r="A120" i="70"/>
  <c r="E120" i="70"/>
  <c r="F120" i="70"/>
  <c r="G120" i="70"/>
  <c r="H120" i="70"/>
  <c r="K120" i="70"/>
  <c r="N120" i="70"/>
  <c r="O120" i="70"/>
  <c r="P120" i="70"/>
  <c r="S120" i="70"/>
  <c r="A121" i="70"/>
  <c r="E121" i="70"/>
  <c r="F121" i="70"/>
  <c r="G121" i="70"/>
  <c r="H121" i="70"/>
  <c r="K121" i="70"/>
  <c r="N121" i="70"/>
  <c r="O121" i="70"/>
  <c r="P121" i="70"/>
  <c r="S121" i="70"/>
  <c r="A122" i="70"/>
  <c r="E122" i="70"/>
  <c r="F122" i="70"/>
  <c r="G122" i="70"/>
  <c r="H122" i="70"/>
  <c r="K122" i="70"/>
  <c r="N122" i="70"/>
  <c r="O122" i="70"/>
  <c r="P122" i="70"/>
  <c r="S122" i="70"/>
  <c r="A123" i="70"/>
  <c r="E123" i="70"/>
  <c r="F123" i="70"/>
  <c r="G123" i="70"/>
  <c r="H123" i="70"/>
  <c r="K123" i="70"/>
  <c r="N123" i="70"/>
  <c r="O123" i="70"/>
  <c r="P123" i="70"/>
  <c r="S123" i="70"/>
  <c r="A124" i="70"/>
  <c r="E124" i="70"/>
  <c r="F124" i="70"/>
  <c r="G124" i="70"/>
  <c r="H124" i="70"/>
  <c r="K124" i="70"/>
  <c r="N124" i="70"/>
  <c r="O124" i="70"/>
  <c r="P124" i="70"/>
  <c r="S124" i="70"/>
  <c r="A125" i="70"/>
  <c r="E125" i="70"/>
  <c r="F125" i="70"/>
  <c r="G125" i="70"/>
  <c r="H125" i="70"/>
  <c r="K125" i="70"/>
  <c r="N125" i="70"/>
  <c r="O125" i="70"/>
  <c r="P125" i="70"/>
  <c r="S125" i="70"/>
  <c r="A126" i="70"/>
  <c r="E126" i="70"/>
  <c r="F126" i="70"/>
  <c r="G126" i="70"/>
  <c r="H126" i="70"/>
  <c r="K126" i="70"/>
  <c r="N126" i="70"/>
  <c r="O126" i="70"/>
  <c r="P126" i="70"/>
  <c r="S126" i="70"/>
  <c r="A127" i="70"/>
  <c r="E127" i="70"/>
  <c r="F127" i="70"/>
  <c r="G127" i="70"/>
  <c r="H127" i="70"/>
  <c r="K127" i="70"/>
  <c r="N127" i="70"/>
  <c r="O127" i="70"/>
  <c r="P127" i="70"/>
  <c r="S127" i="70"/>
  <c r="A128" i="70"/>
  <c r="E128" i="70"/>
  <c r="F128" i="70"/>
  <c r="G128" i="70"/>
  <c r="H128" i="70"/>
  <c r="K128" i="70"/>
  <c r="N128" i="70"/>
  <c r="O128" i="70"/>
  <c r="P128" i="70"/>
  <c r="S128" i="70"/>
  <c r="A129" i="70"/>
  <c r="E129" i="70"/>
  <c r="F129" i="70"/>
  <c r="G129" i="70"/>
  <c r="H129" i="70"/>
  <c r="K129" i="70"/>
  <c r="N129" i="70"/>
  <c r="O129" i="70"/>
  <c r="P129" i="70"/>
  <c r="S129" i="70"/>
  <c r="A130" i="70"/>
  <c r="E130" i="70"/>
  <c r="F130" i="70"/>
  <c r="G130" i="70"/>
  <c r="H130" i="70"/>
  <c r="K130" i="70"/>
  <c r="N130" i="70"/>
  <c r="O130" i="70"/>
  <c r="P130" i="70"/>
  <c r="S130" i="70"/>
  <c r="A131" i="70"/>
  <c r="E131" i="70"/>
  <c r="F131" i="70"/>
  <c r="G131" i="70"/>
  <c r="H131" i="70"/>
  <c r="K131" i="70"/>
  <c r="N131" i="70"/>
  <c r="O131" i="70"/>
  <c r="P131" i="70"/>
  <c r="S131" i="70"/>
  <c r="I69" i="30"/>
  <c r="J69" i="30"/>
  <c r="K69" i="30"/>
  <c r="M27" i="4"/>
  <c r="EC24" i="4"/>
  <c r="CT27" i="4"/>
  <c r="DG27" i="4"/>
  <c r="DK27" i="4"/>
  <c r="T24" i="4"/>
  <c r="AF24" i="4"/>
  <c r="AJ24" i="4"/>
  <c r="AZ24" i="4"/>
  <c r="BL24" i="4"/>
  <c r="BP24" i="4"/>
  <c r="CF24" i="4"/>
  <c r="CR24" i="4"/>
  <c r="DE24" i="4"/>
  <c r="S24" i="4"/>
  <c r="AI24" i="4"/>
  <c r="AO24" i="4"/>
  <c r="BJ24" i="4"/>
  <c r="BZ24" i="4"/>
  <c r="CE24" i="4"/>
  <c r="DJ24" i="4"/>
  <c r="U24" i="4"/>
  <c r="Z24" i="4"/>
  <c r="AU24" i="4"/>
  <c r="BK24" i="4"/>
  <c r="BQ24" i="4"/>
  <c r="CL24" i="4"/>
  <c r="DK24" i="4"/>
  <c r="DP24" i="4"/>
  <c r="DH27" i="4"/>
  <c r="CS27" i="4"/>
  <c r="DL24" i="4"/>
  <c r="BM24" i="4"/>
  <c r="AG24" i="4"/>
  <c r="V24" i="4"/>
  <c r="DQ27" i="4"/>
  <c r="DL27" i="4"/>
  <c r="DF27" i="4"/>
  <c r="BS24" i="4"/>
  <c r="AM24" i="4"/>
  <c r="AC24" i="4"/>
  <c r="F60" i="58"/>
  <c r="D59" i="58"/>
  <c r="O59" i="58" s="1"/>
  <c r="D60" i="58"/>
  <c r="O60" i="58" s="1"/>
  <c r="B59" i="58"/>
  <c r="B60" i="58"/>
  <c r="DJ27" i="4"/>
  <c r="DD27" i="4"/>
  <c r="DN27" i="4"/>
  <c r="DE27" i="4"/>
  <c r="DP27" i="4"/>
  <c r="DI27" i="4"/>
  <c r="EC27" i="4"/>
  <c r="DM27" i="4"/>
  <c r="F51" i="41"/>
  <c r="F52" i="41"/>
  <c r="F4" i="41"/>
  <c r="I4" i="71"/>
  <c r="I5" i="71"/>
  <c r="I6" i="71"/>
  <c r="I7" i="71"/>
  <c r="I8" i="71"/>
  <c r="I10" i="71"/>
  <c r="I11" i="71"/>
  <c r="I12" i="71"/>
  <c r="I13" i="71"/>
  <c r="I14" i="71"/>
  <c r="I15" i="71"/>
  <c r="I3" i="71"/>
  <c r="BQ69" i="30"/>
  <c r="BP69" i="30"/>
  <c r="BO69" i="30"/>
  <c r="BI69" i="30"/>
  <c r="BH69" i="30"/>
  <c r="BG69" i="30"/>
  <c r="AZ69" i="30"/>
  <c r="AY69" i="30"/>
  <c r="AX69" i="30"/>
  <c r="EA23" i="4"/>
  <c r="BJ27" i="30"/>
  <c r="BJ29" i="30"/>
  <c r="BJ30" i="30"/>
  <c r="BJ31" i="30"/>
  <c r="BJ32" i="30"/>
  <c r="BJ33" i="30"/>
  <c r="BJ34" i="30"/>
  <c r="BJ35" i="30"/>
  <c r="BJ36" i="30"/>
  <c r="BJ37" i="30"/>
  <c r="BJ38" i="30"/>
  <c r="BJ44" i="30"/>
  <c r="BJ46" i="30"/>
  <c r="BJ47" i="30"/>
  <c r="BJ48" i="30"/>
  <c r="BJ49" i="30"/>
  <c r="BJ51" i="30"/>
  <c r="BJ56" i="30"/>
  <c r="BJ60" i="30"/>
  <c r="BJ61" i="30"/>
  <c r="BJ62" i="30"/>
  <c r="BJ63" i="30"/>
  <c r="BJ64" i="30"/>
  <c r="BJ26" i="30"/>
  <c r="BB27" i="30"/>
  <c r="BB29" i="30"/>
  <c r="BB30" i="30"/>
  <c r="BB31" i="30"/>
  <c r="BB32" i="30"/>
  <c r="BB33" i="30"/>
  <c r="BB34" i="30"/>
  <c r="BB35" i="30"/>
  <c r="BB36" i="30"/>
  <c r="BB37" i="30"/>
  <c r="BB44" i="30"/>
  <c r="Q30" i="29" s="1"/>
  <c r="BB46" i="30"/>
  <c r="BB47" i="30"/>
  <c r="BB48" i="30"/>
  <c r="BB49" i="30"/>
  <c r="Q37" i="29" s="1"/>
  <c r="BB56" i="30"/>
  <c r="BB60" i="30"/>
  <c r="BB61" i="30"/>
  <c r="BB62" i="30"/>
  <c r="BB63" i="30"/>
  <c r="BB64" i="30"/>
  <c r="BB26" i="30"/>
  <c r="AS27" i="30"/>
  <c r="O23" i="29" s="1"/>
  <c r="AS29" i="30"/>
  <c r="AS30" i="30"/>
  <c r="AS31" i="30"/>
  <c r="AS32" i="30"/>
  <c r="AS33" i="30"/>
  <c r="AS34" i="30"/>
  <c r="AS36" i="30"/>
  <c r="AS37" i="30"/>
  <c r="AS41" i="30"/>
  <c r="AS42" i="30"/>
  <c r="AS43" i="30"/>
  <c r="AS44" i="30"/>
  <c r="O30" i="29" s="1"/>
  <c r="AS46" i="30"/>
  <c r="AS47" i="30"/>
  <c r="AS48" i="30"/>
  <c r="AS49" i="30"/>
  <c r="O37" i="29" s="1"/>
  <c r="AS52" i="30"/>
  <c r="AS53" i="30"/>
  <c r="AS54" i="30"/>
  <c r="AS55" i="30"/>
  <c r="AS56" i="30"/>
  <c r="AS60" i="30"/>
  <c r="AS61" i="30"/>
  <c r="AS62" i="30"/>
  <c r="AS63" i="30"/>
  <c r="AS64" i="30"/>
  <c r="AS65" i="30"/>
  <c r="AS66" i="30"/>
  <c r="AJ35" i="30"/>
  <c r="AJ41" i="30"/>
  <c r="AJ42" i="30"/>
  <c r="AJ43" i="30"/>
  <c r="AJ44" i="30"/>
  <c r="AJ48" i="30"/>
  <c r="AJ49" i="30"/>
  <c r="AI69" i="30"/>
  <c r="AH69" i="30"/>
  <c r="AG69" i="30"/>
  <c r="AB29" i="30"/>
  <c r="AB30" i="30"/>
  <c r="AB31" i="30"/>
  <c r="AB32" i="30"/>
  <c r="AB33" i="30"/>
  <c r="AB34" i="30"/>
  <c r="AB35" i="30"/>
  <c r="AB36" i="30"/>
  <c r="AB46" i="30"/>
  <c r="AB47" i="30"/>
  <c r="S35" i="29" s="1"/>
  <c r="AB48" i="30"/>
  <c r="AB49" i="30"/>
  <c r="AB52" i="30"/>
  <c r="AB53" i="30"/>
  <c r="AB54" i="30"/>
  <c r="AB55" i="30"/>
  <c r="AB56" i="30"/>
  <c r="AB60" i="30"/>
  <c r="AB61" i="30"/>
  <c r="AB62" i="30"/>
  <c r="AB63" i="30"/>
  <c r="AB64" i="30"/>
  <c r="AB65" i="30"/>
  <c r="AA69" i="30"/>
  <c r="Z69" i="30"/>
  <c r="Y69" i="30"/>
  <c r="T29" i="30"/>
  <c r="T30" i="30"/>
  <c r="T31" i="30"/>
  <c r="T32" i="30"/>
  <c r="T33" i="30"/>
  <c r="T34" i="30"/>
  <c r="T35" i="30"/>
  <c r="T36" i="30"/>
  <c r="T46" i="30"/>
  <c r="T59" i="30"/>
  <c r="T60" i="30"/>
  <c r="T61" i="30"/>
  <c r="T62" i="30"/>
  <c r="T63" i="30"/>
  <c r="T64" i="30"/>
  <c r="T65" i="30"/>
  <c r="T66" i="30"/>
  <c r="V53" i="30"/>
  <c r="W53" i="30"/>
  <c r="V54" i="30"/>
  <c r="W54" i="30"/>
  <c r="W55" i="30"/>
  <c r="V56" i="30"/>
  <c r="W56" i="30"/>
  <c r="X56" i="30"/>
  <c r="Y56" i="30"/>
  <c r="Z56" i="30"/>
  <c r="AA56" i="30"/>
  <c r="V48" i="30"/>
  <c r="W48" i="30"/>
  <c r="X48" i="30"/>
  <c r="Y48" i="30"/>
  <c r="Z48" i="30"/>
  <c r="AA48" i="30"/>
  <c r="V49" i="30"/>
  <c r="W49" i="30"/>
  <c r="X49" i="30"/>
  <c r="Y49" i="30"/>
  <c r="Z49" i="30"/>
  <c r="AA49" i="30"/>
  <c r="N48" i="30"/>
  <c r="O48" i="30"/>
  <c r="P48" i="30"/>
  <c r="Q48" i="30"/>
  <c r="R48" i="30"/>
  <c r="S48" i="30"/>
  <c r="N49" i="30"/>
  <c r="CV22" i="46" s="1"/>
  <c r="O49" i="30"/>
  <c r="P49" i="30"/>
  <c r="Q49" i="30"/>
  <c r="R49" i="30"/>
  <c r="S49" i="30"/>
  <c r="I48" i="30"/>
  <c r="J48" i="30"/>
  <c r="K48" i="30"/>
  <c r="I49" i="30"/>
  <c r="J49" i="30"/>
  <c r="K49" i="30"/>
  <c r="K47" i="30"/>
  <c r="AQ47" i="30" s="1"/>
  <c r="S47" i="30" s="1"/>
  <c r="J47" i="30"/>
  <c r="AP47" i="30" s="1"/>
  <c r="R47" i="30" s="1"/>
  <c r="I47" i="30"/>
  <c r="AO47" i="30" s="1"/>
  <c r="Q47" i="30" s="1"/>
  <c r="I60" i="30"/>
  <c r="AO60" i="30" s="1"/>
  <c r="Q60" i="30" s="1"/>
  <c r="J60" i="30"/>
  <c r="AP60" i="30" s="1"/>
  <c r="R60" i="30" s="1"/>
  <c r="K60" i="30"/>
  <c r="AQ60" i="30" s="1"/>
  <c r="S60" i="30" s="1"/>
  <c r="I61" i="30"/>
  <c r="AO61" i="30" s="1"/>
  <c r="Q61" i="30" s="1"/>
  <c r="J61" i="30"/>
  <c r="AP61" i="30" s="1"/>
  <c r="R61" i="30" s="1"/>
  <c r="K61" i="30"/>
  <c r="AQ61" i="30" s="1"/>
  <c r="S61" i="30" s="1"/>
  <c r="I62" i="30"/>
  <c r="AO62" i="30" s="1"/>
  <c r="Q62" i="30" s="1"/>
  <c r="J62" i="30"/>
  <c r="AP62" i="30" s="1"/>
  <c r="R62" i="30" s="1"/>
  <c r="K62" i="30"/>
  <c r="AQ62" i="30" s="1"/>
  <c r="S62" i="30" s="1"/>
  <c r="I63" i="30"/>
  <c r="AO63" i="30" s="1"/>
  <c r="Q63" i="30" s="1"/>
  <c r="J63" i="30"/>
  <c r="AP63" i="30" s="1"/>
  <c r="R63" i="30" s="1"/>
  <c r="K63" i="30"/>
  <c r="AQ63" i="30" s="1"/>
  <c r="S63" i="30" s="1"/>
  <c r="I64" i="30"/>
  <c r="AO64" i="30" s="1"/>
  <c r="Q64" i="30" s="1"/>
  <c r="J64" i="30"/>
  <c r="AP64" i="30" s="1"/>
  <c r="R64" i="30" s="1"/>
  <c r="K64" i="30"/>
  <c r="AQ64" i="30" s="1"/>
  <c r="S64" i="30" s="1"/>
  <c r="I65" i="30"/>
  <c r="J65" i="30"/>
  <c r="K65" i="30"/>
  <c r="I66" i="30"/>
  <c r="J66" i="30"/>
  <c r="K66" i="30"/>
  <c r="K59" i="30"/>
  <c r="J59" i="30"/>
  <c r="I59" i="30"/>
  <c r="W52" i="30"/>
  <c r="V52" i="30"/>
  <c r="W47" i="30"/>
  <c r="X47" i="30"/>
  <c r="Y47" i="30"/>
  <c r="Z47" i="30"/>
  <c r="AA47" i="30"/>
  <c r="V47" i="30"/>
  <c r="CP13" i="46"/>
  <c r="CP14" i="46"/>
  <c r="CP15" i="46"/>
  <c r="DQ15" i="46"/>
  <c r="DR15" i="46"/>
  <c r="DS15" i="46"/>
  <c r="DT15" i="46"/>
  <c r="DU15" i="46"/>
  <c r="DV15" i="46"/>
  <c r="DW15" i="46"/>
  <c r="DX15" i="46"/>
  <c r="DY15" i="46"/>
  <c r="BC13" i="46"/>
  <c r="BD13" i="46"/>
  <c r="BE13" i="46"/>
  <c r="BF13" i="46"/>
  <c r="BG13" i="46"/>
  <c r="BH13" i="46"/>
  <c r="BI13" i="46"/>
  <c r="BJ13" i="46"/>
  <c r="BK13" i="46"/>
  <c r="BL13" i="46"/>
  <c r="BM13" i="46"/>
  <c r="BN13" i="46"/>
  <c r="BO13" i="46"/>
  <c r="BP13" i="46"/>
  <c r="BQ13" i="46"/>
  <c r="BR13" i="46"/>
  <c r="BS13" i="46"/>
  <c r="BT13" i="46"/>
  <c r="BU13" i="46"/>
  <c r="BV13" i="46"/>
  <c r="BW13" i="46"/>
  <c r="BX13" i="46"/>
  <c r="BY13" i="46"/>
  <c r="BZ13" i="46"/>
  <c r="CA13" i="46"/>
  <c r="CB13" i="46"/>
  <c r="CC13" i="46"/>
  <c r="CD13" i="46"/>
  <c r="CE13" i="46"/>
  <c r="CF13" i="46"/>
  <c r="CG13" i="46"/>
  <c r="CH13" i="46"/>
  <c r="CI13" i="46"/>
  <c r="CJ13" i="46"/>
  <c r="CK13" i="46"/>
  <c r="CL13" i="46"/>
  <c r="CM13" i="46"/>
  <c r="CN13" i="46"/>
  <c r="CO13" i="46"/>
  <c r="BC14" i="46"/>
  <c r="BD14" i="46"/>
  <c r="BE14" i="46"/>
  <c r="BF14" i="46"/>
  <c r="BG14" i="46"/>
  <c r="BH14" i="46"/>
  <c r="BI14" i="46"/>
  <c r="BJ14" i="46"/>
  <c r="BK14" i="46"/>
  <c r="BL14" i="46"/>
  <c r="BM14" i="46"/>
  <c r="BN14" i="46"/>
  <c r="BO14" i="46"/>
  <c r="BP14" i="46"/>
  <c r="BQ14" i="46"/>
  <c r="BR14" i="46"/>
  <c r="BS14" i="46"/>
  <c r="BT14" i="46"/>
  <c r="BU14" i="46"/>
  <c r="BV14" i="46"/>
  <c r="BW14" i="46"/>
  <c r="BX14" i="46"/>
  <c r="BY14" i="46"/>
  <c r="BZ14" i="46"/>
  <c r="CA14" i="46"/>
  <c r="CB14" i="46"/>
  <c r="CC14" i="46"/>
  <c r="CD14" i="46"/>
  <c r="CE14" i="46"/>
  <c r="CF14" i="46"/>
  <c r="CG14" i="46"/>
  <c r="CH14" i="46"/>
  <c r="CI14" i="46"/>
  <c r="CJ14" i="46"/>
  <c r="CK14" i="46"/>
  <c r="CL14" i="46"/>
  <c r="CM14" i="46"/>
  <c r="CN14" i="46"/>
  <c r="CO14" i="46"/>
  <c r="BC15" i="46"/>
  <c r="BD15" i="46"/>
  <c r="BE15" i="46"/>
  <c r="BF15" i="46"/>
  <c r="BG15" i="46"/>
  <c r="BH15" i="46"/>
  <c r="BI15" i="46"/>
  <c r="BJ15" i="46"/>
  <c r="BK15" i="46"/>
  <c r="BL15" i="46"/>
  <c r="BM15" i="46"/>
  <c r="BN15" i="46"/>
  <c r="BO15" i="46"/>
  <c r="BP15" i="46"/>
  <c r="BQ15" i="46"/>
  <c r="BR15" i="46"/>
  <c r="BS15" i="46"/>
  <c r="BT15" i="46"/>
  <c r="BU15" i="46"/>
  <c r="BV15" i="46"/>
  <c r="BW15" i="46"/>
  <c r="BX15" i="46"/>
  <c r="BY15" i="46"/>
  <c r="BZ15" i="46"/>
  <c r="CA15" i="46"/>
  <c r="CB15" i="46"/>
  <c r="CC15" i="46"/>
  <c r="CD15" i="46"/>
  <c r="CE15" i="46"/>
  <c r="CF15" i="46"/>
  <c r="CG15" i="46"/>
  <c r="CH15" i="46"/>
  <c r="CI15" i="46"/>
  <c r="CJ15" i="46"/>
  <c r="CK15" i="46"/>
  <c r="CL15" i="46"/>
  <c r="CM15" i="46"/>
  <c r="CN15" i="46"/>
  <c r="CO15" i="46"/>
  <c r="BB14" i="46"/>
  <c r="BB15" i="46"/>
  <c r="BB13" i="46"/>
  <c r="DP15" i="46"/>
  <c r="DO23" i="46"/>
  <c r="DN23" i="46"/>
  <c r="DN15" i="46"/>
  <c r="DO15" i="46"/>
  <c r="DM23" i="46"/>
  <c r="DL23" i="46"/>
  <c r="DK23" i="46"/>
  <c r="DJ23" i="46"/>
  <c r="DI23" i="46"/>
  <c r="DH23" i="46"/>
  <c r="DG23" i="46"/>
  <c r="DF23" i="46"/>
  <c r="DE23" i="46"/>
  <c r="DD23" i="46"/>
  <c r="DC23" i="46"/>
  <c r="DC15" i="46"/>
  <c r="DD15" i="46"/>
  <c r="DE15" i="46"/>
  <c r="DF15" i="46"/>
  <c r="DG15" i="46"/>
  <c r="DH15" i="46"/>
  <c r="DI15" i="46"/>
  <c r="DJ15" i="46"/>
  <c r="DK15" i="46"/>
  <c r="DL15" i="46"/>
  <c r="DM15" i="46"/>
  <c r="CU13" i="46"/>
  <c r="CV13" i="46"/>
  <c r="CW13" i="46"/>
  <c r="CX13" i="46"/>
  <c r="CY13" i="46"/>
  <c r="CZ13" i="46"/>
  <c r="DA13" i="46"/>
  <c r="CT13" i="46"/>
  <c r="DA23" i="46"/>
  <c r="CZ23" i="46"/>
  <c r="CY23" i="46"/>
  <c r="CX23" i="46"/>
  <c r="CW23" i="46"/>
  <c r="CV23" i="46"/>
  <c r="CU23" i="46"/>
  <c r="CT2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AA13" i="46"/>
  <c r="AB13" i="46"/>
  <c r="AC13" i="46"/>
  <c r="AD13" i="46"/>
  <c r="AE13" i="46"/>
  <c r="AF13" i="46"/>
  <c r="AG13" i="46"/>
  <c r="AH13" i="46"/>
  <c r="AI13" i="46"/>
  <c r="AJ13" i="46"/>
  <c r="AK13" i="46"/>
  <c r="AL13" i="46"/>
  <c r="AM13" i="46"/>
  <c r="AN13" i="46"/>
  <c r="AO13" i="46"/>
  <c r="AP13" i="46"/>
  <c r="AQ13" i="46"/>
  <c r="AR13" i="46"/>
  <c r="AS13" i="46"/>
  <c r="AT13" i="46"/>
  <c r="AU13" i="46"/>
  <c r="AV13" i="46"/>
  <c r="AW13" i="46"/>
  <c r="AX13" i="46"/>
  <c r="AY13" i="46"/>
  <c r="AZ13" i="46"/>
  <c r="BA13" i="46"/>
  <c r="N14" i="46"/>
  <c r="O14" i="46"/>
  <c r="P14" i="46"/>
  <c r="Q14" i="46"/>
  <c r="R14" i="46"/>
  <c r="S14" i="46"/>
  <c r="T14" i="46"/>
  <c r="U14" i="46"/>
  <c r="V14" i="46"/>
  <c r="W14" i="46"/>
  <c r="X14" i="46"/>
  <c r="Y14" i="46"/>
  <c r="Z14" i="46"/>
  <c r="AA14" i="46"/>
  <c r="AB14" i="46"/>
  <c r="AC14" i="46"/>
  <c r="AD14" i="46"/>
  <c r="AE14" i="46"/>
  <c r="AF14" i="46"/>
  <c r="AG14" i="46"/>
  <c r="AH14" i="46"/>
  <c r="AI14" i="46"/>
  <c r="AJ14" i="46"/>
  <c r="AK14" i="46"/>
  <c r="AL14" i="46"/>
  <c r="AM14" i="46"/>
  <c r="AN14" i="46"/>
  <c r="AO14" i="46"/>
  <c r="AP14" i="46"/>
  <c r="AQ14" i="46"/>
  <c r="AR14" i="46"/>
  <c r="AS14" i="46"/>
  <c r="AT14" i="46"/>
  <c r="AU14" i="46"/>
  <c r="AV14" i="46"/>
  <c r="AW14" i="46"/>
  <c r="AX14" i="46"/>
  <c r="AY14" i="46"/>
  <c r="AZ14" i="46"/>
  <c r="BA14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AA15" i="46"/>
  <c r="AB15" i="46"/>
  <c r="AC15" i="46"/>
  <c r="AD15" i="46"/>
  <c r="AE15" i="46"/>
  <c r="AF15" i="46"/>
  <c r="AG15" i="46"/>
  <c r="AH15" i="46"/>
  <c r="AI15" i="46"/>
  <c r="AJ15" i="46"/>
  <c r="AK15" i="46"/>
  <c r="AL15" i="46"/>
  <c r="AM15" i="46"/>
  <c r="AN15" i="46"/>
  <c r="AO15" i="46"/>
  <c r="AP15" i="46"/>
  <c r="AQ15" i="46"/>
  <c r="AR15" i="46"/>
  <c r="AS15" i="46"/>
  <c r="AT15" i="46"/>
  <c r="AU15" i="46"/>
  <c r="AV15" i="46"/>
  <c r="AW15" i="46"/>
  <c r="AX15" i="46"/>
  <c r="AY15" i="46"/>
  <c r="AZ15" i="46"/>
  <c r="BA15" i="46"/>
  <c r="CC23" i="46"/>
  <c r="CC11" i="46"/>
  <c r="CO23" i="46"/>
  <c r="CN22" i="46"/>
  <c r="CN23" i="46"/>
  <c r="CM23" i="46"/>
  <c r="CL23" i="46"/>
  <c r="CK23" i="46"/>
  <c r="CJ23" i="46"/>
  <c r="CI23" i="46"/>
  <c r="CH23" i="46"/>
  <c r="CG23" i="46"/>
  <c r="CF23" i="46"/>
  <c r="CE23" i="46"/>
  <c r="CD23" i="46"/>
  <c r="CB23" i="46"/>
  <c r="CA23" i="46"/>
  <c r="BZ23" i="46"/>
  <c r="BY23" i="46"/>
  <c r="BX23" i="46"/>
  <c r="BW23" i="46"/>
  <c r="BV23" i="46"/>
  <c r="BU23" i="46"/>
  <c r="BT23" i="46"/>
  <c r="BS23" i="46"/>
  <c r="BR23" i="46"/>
  <c r="BQ23" i="46"/>
  <c r="BP23" i="46"/>
  <c r="BO23" i="46"/>
  <c r="BN23" i="46"/>
  <c r="BM23" i="46"/>
  <c r="BL23" i="46"/>
  <c r="BK23" i="46"/>
  <c r="BJ23" i="46"/>
  <c r="BI23" i="46"/>
  <c r="BH23" i="46"/>
  <c r="BG23" i="46"/>
  <c r="BF23" i="46"/>
  <c r="BE23" i="46"/>
  <c r="BD23" i="46"/>
  <c r="BC23" i="46"/>
  <c r="BB23" i="46"/>
  <c r="BA23" i="46"/>
  <c r="AZ23" i="46"/>
  <c r="AY23" i="46"/>
  <c r="AX23" i="46"/>
  <c r="AW23" i="46"/>
  <c r="AV23" i="46"/>
  <c r="AU23" i="46"/>
  <c r="AT23" i="46"/>
  <c r="AS23" i="46"/>
  <c r="AR23" i="46"/>
  <c r="AQ23" i="46"/>
  <c r="AP23" i="46"/>
  <c r="AO23" i="46"/>
  <c r="AN23" i="46"/>
  <c r="AM23" i="46"/>
  <c r="AL23" i="46"/>
  <c r="AK23" i="46"/>
  <c r="AJ23" i="46"/>
  <c r="AI23" i="46"/>
  <c r="AH23" i="46"/>
  <c r="AG23" i="46"/>
  <c r="AF23" i="46"/>
  <c r="AE23" i="46"/>
  <c r="AD23" i="46"/>
  <c r="AC23" i="46"/>
  <c r="AB23" i="46"/>
  <c r="AA23" i="46"/>
  <c r="Z23" i="46"/>
  <c r="Y23" i="46"/>
  <c r="X23" i="46"/>
  <c r="W23" i="46"/>
  <c r="V23" i="46"/>
  <c r="U23" i="46"/>
  <c r="T23" i="46"/>
  <c r="S23" i="46"/>
  <c r="R23" i="46"/>
  <c r="Q23" i="46"/>
  <c r="O23" i="46"/>
  <c r="M23" i="46"/>
  <c r="R11" i="46"/>
  <c r="S11" i="46"/>
  <c r="T11" i="46"/>
  <c r="P11" i="46"/>
  <c r="Q11" i="46"/>
  <c r="U11" i="46"/>
  <c r="V11" i="46"/>
  <c r="W11" i="46"/>
  <c r="X11" i="46"/>
  <c r="Y11" i="46"/>
  <c r="Z11" i="46"/>
  <c r="AA11" i="46"/>
  <c r="AB11" i="46"/>
  <c r="AC11" i="46"/>
  <c r="AD11" i="46"/>
  <c r="P23" i="46"/>
  <c r="I36" i="23"/>
  <c r="I37" i="23"/>
  <c r="I38" i="23"/>
  <c r="I39" i="23"/>
  <c r="I40" i="23"/>
  <c r="I41" i="23"/>
  <c r="I42" i="23"/>
  <c r="I43" i="23"/>
  <c r="I44" i="23"/>
  <c r="I45" i="23"/>
  <c r="I35" i="23"/>
  <c r="DS26" i="4"/>
  <c r="DS25" i="4"/>
  <c r="DS24" i="4"/>
  <c r="AP13" i="3"/>
  <c r="M115" i="70" s="1"/>
  <c r="AP14" i="3"/>
  <c r="M116" i="70" s="1"/>
  <c r="AP15" i="3"/>
  <c r="M117" i="70" s="1"/>
  <c r="AP16" i="3"/>
  <c r="M118" i="70" s="1"/>
  <c r="AP17" i="3"/>
  <c r="M119" i="70" s="1"/>
  <c r="AP18" i="3"/>
  <c r="M120" i="70" s="1"/>
  <c r="AP19" i="3"/>
  <c r="M121" i="70" s="1"/>
  <c r="AP20" i="3"/>
  <c r="M122" i="70" s="1"/>
  <c r="AP21" i="3"/>
  <c r="M123" i="70" s="1"/>
  <c r="AP22" i="3"/>
  <c r="M124" i="70" s="1"/>
  <c r="AP23" i="3"/>
  <c r="M125" i="70" s="1"/>
  <c r="M126" i="70"/>
  <c r="AP25" i="3"/>
  <c r="M127" i="70" s="1"/>
  <c r="AP26" i="3"/>
  <c r="M128" i="70" s="1"/>
  <c r="AP27" i="3"/>
  <c r="M129" i="70" s="1"/>
  <c r="AP28" i="3"/>
  <c r="M130" i="70" s="1"/>
  <c r="AP29" i="3"/>
  <c r="M131" i="70" s="1"/>
  <c r="AP30" i="3"/>
  <c r="M132" i="70" s="1"/>
  <c r="AP31" i="3"/>
  <c r="M133" i="70" s="1"/>
  <c r="AP32" i="3"/>
  <c r="M134" i="70" s="1"/>
  <c r="AP33" i="3"/>
  <c r="M135" i="70" s="1"/>
  <c r="AP34" i="3"/>
  <c r="M136" i="70" s="1"/>
  <c r="AP35" i="3"/>
  <c r="M137" i="70" s="1"/>
  <c r="AP36" i="3"/>
  <c r="M138" i="70" s="1"/>
  <c r="AP37" i="3"/>
  <c r="M139" i="70" s="1"/>
  <c r="AP38" i="3"/>
  <c r="M140" i="70" s="1"/>
  <c r="AP39" i="3"/>
  <c r="M141" i="70" s="1"/>
  <c r="AP40" i="3"/>
  <c r="M142" i="70" s="1"/>
  <c r="AP41" i="3"/>
  <c r="M143" i="70" s="1"/>
  <c r="AP42" i="3"/>
  <c r="M144" i="70" s="1"/>
  <c r="AP43" i="3"/>
  <c r="M145" i="70" s="1"/>
  <c r="AP44" i="3"/>
  <c r="M146" i="70" s="1"/>
  <c r="AP45" i="3"/>
  <c r="M147" i="70" s="1"/>
  <c r="AP46" i="3"/>
  <c r="M148" i="70" s="1"/>
  <c r="AP47" i="3"/>
  <c r="M149" i="70" s="1"/>
  <c r="AP48" i="3"/>
  <c r="AP49" i="3"/>
  <c r="AP50" i="3"/>
  <c r="M150" i="70" s="1"/>
  <c r="AP51" i="3"/>
  <c r="AP52" i="3"/>
  <c r="AP53" i="3"/>
  <c r="AP54" i="3"/>
  <c r="AP55" i="3"/>
  <c r="AP56" i="3"/>
  <c r="AP58" i="3"/>
  <c r="AP59" i="3"/>
  <c r="AP60" i="3"/>
  <c r="AP61" i="3"/>
  <c r="M156" i="70" s="1"/>
  <c r="AP62" i="3"/>
  <c r="M157" i="70" s="1"/>
  <c r="AP63" i="3"/>
  <c r="M158" i="70" s="1"/>
  <c r="AP64" i="3"/>
  <c r="M159" i="70" s="1"/>
  <c r="AP65" i="3"/>
  <c r="M160" i="70" s="1"/>
  <c r="AP66" i="3"/>
  <c r="M161" i="70" s="1"/>
  <c r="AP67" i="3"/>
  <c r="M162" i="70" s="1"/>
  <c r="AP68" i="3"/>
  <c r="M163" i="70" s="1"/>
  <c r="AP69" i="3"/>
  <c r="M164" i="70" s="1"/>
  <c r="AP70" i="3"/>
  <c r="M165" i="70" s="1"/>
  <c r="AP71" i="3"/>
  <c r="M166" i="70" s="1"/>
  <c r="AP72" i="3"/>
  <c r="M167" i="70" s="1"/>
  <c r="AP73" i="3"/>
  <c r="AP74" i="3"/>
  <c r="AP75" i="3"/>
  <c r="M168" i="70" s="1"/>
  <c r="AP76" i="3"/>
  <c r="AP78" i="3"/>
  <c r="AP79" i="3"/>
  <c r="AP80" i="3"/>
  <c r="M6" i="70" s="1"/>
  <c r="Z6" i="70" s="1"/>
  <c r="AP81" i="3"/>
  <c r="AP82" i="3"/>
  <c r="AP84" i="3"/>
  <c r="AP247" i="3"/>
  <c r="AP85" i="3"/>
  <c r="AP86" i="3"/>
  <c r="M9" i="70" s="1"/>
  <c r="AP87" i="3"/>
  <c r="AP88" i="3"/>
  <c r="M10" i="70" s="1"/>
  <c r="AP89" i="3"/>
  <c r="AP90" i="3"/>
  <c r="AP91" i="3"/>
  <c r="AP92" i="3"/>
  <c r="AP93" i="3"/>
  <c r="AP94" i="3"/>
  <c r="M12" i="70" s="1"/>
  <c r="AP95" i="3"/>
  <c r="AP96" i="3"/>
  <c r="M13" i="70" s="1"/>
  <c r="AP99" i="3"/>
  <c r="AP100" i="3"/>
  <c r="AP98" i="3"/>
  <c r="AP101" i="3"/>
  <c r="AP102" i="3"/>
  <c r="AP103" i="3"/>
  <c r="M16" i="70" s="1"/>
  <c r="AP104" i="3"/>
  <c r="M17" i="70" s="1"/>
  <c r="AP97" i="3"/>
  <c r="AP105" i="3"/>
  <c r="AP106" i="3"/>
  <c r="AP107" i="3"/>
  <c r="M19" i="70" s="1"/>
  <c r="AP108" i="3"/>
  <c r="M20" i="70" s="1"/>
  <c r="AP109" i="3"/>
  <c r="AP110" i="3"/>
  <c r="AP111" i="3"/>
  <c r="AP112" i="3"/>
  <c r="AP113" i="3"/>
  <c r="AP114" i="3"/>
  <c r="AP213" i="3"/>
  <c r="M22" i="70" s="1"/>
  <c r="Z22" i="70" s="1"/>
  <c r="AP115" i="3"/>
  <c r="M23" i="70" s="1"/>
  <c r="Z23" i="70" s="1"/>
  <c r="AP116" i="3"/>
  <c r="AP117" i="3"/>
  <c r="AP118" i="3"/>
  <c r="AP119" i="3"/>
  <c r="M25" i="70" s="1"/>
  <c r="Z25" i="70" s="1"/>
  <c r="AP120" i="3"/>
  <c r="AP121" i="3"/>
  <c r="M26" i="70" s="1"/>
  <c r="AP122" i="3"/>
  <c r="M27" i="70" s="1"/>
  <c r="AP123" i="3"/>
  <c r="AP124" i="3"/>
  <c r="AP125" i="3"/>
  <c r="AP126" i="3"/>
  <c r="M28" i="70" s="1"/>
  <c r="AP127" i="3"/>
  <c r="M29" i="70" s="1"/>
  <c r="AP128" i="3"/>
  <c r="AP129" i="3"/>
  <c r="AP130" i="3"/>
  <c r="AP131" i="3"/>
  <c r="AP132" i="3"/>
  <c r="AP133" i="3"/>
  <c r="M31" i="70" s="1"/>
  <c r="AP134" i="3"/>
  <c r="M32" i="70" s="1"/>
  <c r="AP135" i="3"/>
  <c r="M33" i="70" s="1"/>
  <c r="AP136" i="3"/>
  <c r="AP137" i="3"/>
  <c r="M35" i="70" s="1"/>
  <c r="AP138" i="3"/>
  <c r="AP139" i="3"/>
  <c r="AP140" i="3"/>
  <c r="AP141" i="3"/>
  <c r="M39" i="70" s="1"/>
  <c r="AP142" i="3"/>
  <c r="M40" i="70" s="1"/>
  <c r="Z40" i="70" s="1"/>
  <c r="AP143" i="3"/>
  <c r="AP144" i="3"/>
  <c r="AP145" i="3"/>
  <c r="AP146" i="3"/>
  <c r="AP147" i="3"/>
  <c r="AP148" i="3"/>
  <c r="AP149" i="3"/>
  <c r="AP150" i="3"/>
  <c r="AP151" i="3"/>
  <c r="AP152" i="3"/>
  <c r="AP153" i="3"/>
  <c r="M43" i="70" s="1"/>
  <c r="AP154" i="3"/>
  <c r="AP155" i="3"/>
  <c r="AP156" i="3"/>
  <c r="AP157" i="3"/>
  <c r="AP158" i="3"/>
  <c r="M45" i="70" s="1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M48" i="70" s="1"/>
  <c r="AP172" i="3"/>
  <c r="AP173" i="3"/>
  <c r="AP174" i="3"/>
  <c r="AP175" i="3"/>
  <c r="AP176" i="3"/>
  <c r="AP177" i="3"/>
  <c r="AP178" i="3"/>
  <c r="M52" i="70" s="1"/>
  <c r="AP179" i="3"/>
  <c r="M53" i="70" s="1"/>
  <c r="AP180" i="3"/>
  <c r="AP181" i="3"/>
  <c r="AP182" i="3"/>
  <c r="M56" i="70" s="1"/>
  <c r="AP183" i="3"/>
  <c r="M57" i="70" s="1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M62" i="70" s="1"/>
  <c r="AP208" i="3"/>
  <c r="AP209" i="3"/>
  <c r="AP210" i="3"/>
  <c r="AP211" i="3"/>
  <c r="AP212" i="3"/>
  <c r="AP214" i="3"/>
  <c r="AP215" i="3"/>
  <c r="AP216" i="3"/>
  <c r="M63" i="70" s="1"/>
  <c r="AP217" i="3"/>
  <c r="AP218" i="3"/>
  <c r="M65" i="70" s="1"/>
  <c r="AP219" i="3"/>
  <c r="M66" i="70" s="1"/>
  <c r="AP220" i="3"/>
  <c r="AP221" i="3"/>
  <c r="AP222" i="3"/>
  <c r="M69" i="70" s="1"/>
  <c r="AP223" i="3"/>
  <c r="AP224" i="3"/>
  <c r="M71" i="70" s="1"/>
  <c r="AP225" i="3"/>
  <c r="AP226" i="3"/>
  <c r="M73" i="70" s="1"/>
  <c r="AP227" i="3"/>
  <c r="M74" i="70" s="1"/>
  <c r="AP228" i="3"/>
  <c r="AP229" i="3"/>
  <c r="AP230" i="3"/>
  <c r="M75" i="70" s="1"/>
  <c r="AP231" i="3"/>
  <c r="AP232" i="3"/>
  <c r="AP233" i="3"/>
  <c r="AP234" i="3"/>
  <c r="AP235" i="3"/>
  <c r="M76" i="70" s="1"/>
  <c r="AP236" i="3"/>
  <c r="M77" i="70" s="1"/>
  <c r="AP237" i="3"/>
  <c r="AP238" i="3"/>
  <c r="M79" i="70" s="1"/>
  <c r="AP239" i="3"/>
  <c r="M80" i="70" s="1"/>
  <c r="AP240" i="3"/>
  <c r="AP241" i="3"/>
  <c r="AP242" i="3"/>
  <c r="AP243" i="3"/>
  <c r="AP244" i="3"/>
  <c r="M81" i="70" s="1"/>
  <c r="AP245" i="3"/>
  <c r="AP246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M83" i="70" s="1"/>
  <c r="AP260" i="3"/>
  <c r="AP261" i="3"/>
  <c r="AP262" i="3"/>
  <c r="AP263" i="3"/>
  <c r="AP264" i="3"/>
  <c r="AP265" i="3"/>
  <c r="AP266" i="3"/>
  <c r="AP267" i="3"/>
  <c r="AP268" i="3"/>
  <c r="AP269" i="3"/>
  <c r="AP270" i="3"/>
  <c r="M85" i="70" s="1"/>
  <c r="AP271" i="3"/>
  <c r="M86" i="70" s="1"/>
  <c r="AP272" i="3"/>
  <c r="AP273" i="3"/>
  <c r="AP274" i="3"/>
  <c r="AP275" i="3"/>
  <c r="AP276" i="3"/>
  <c r="AP277" i="3"/>
  <c r="AP278" i="3"/>
  <c r="AP279" i="3"/>
  <c r="AP280" i="3"/>
  <c r="M91" i="70" s="1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02" i="3"/>
  <c r="M95" i="70" s="1"/>
  <c r="AP303" i="3"/>
  <c r="AP304" i="3"/>
  <c r="AP305" i="3"/>
  <c r="M96" i="70" s="1"/>
  <c r="AP306" i="3"/>
  <c r="M97" i="70" s="1"/>
  <c r="AP307" i="3"/>
  <c r="M98" i="70" s="1"/>
  <c r="AP308" i="3"/>
  <c r="M99" i="70" s="1"/>
  <c r="AP309" i="3"/>
  <c r="AP310" i="3"/>
  <c r="AP311" i="3"/>
  <c r="M100" i="70" s="1"/>
  <c r="AP312" i="3"/>
  <c r="M101" i="70" s="1"/>
  <c r="AP313" i="3"/>
  <c r="M102" i="70" s="1"/>
  <c r="AP314" i="3"/>
  <c r="AP315" i="3"/>
  <c r="AP316" i="3"/>
  <c r="AP317" i="3"/>
  <c r="AP318" i="3"/>
  <c r="M104" i="70" s="1"/>
  <c r="AP319" i="3"/>
  <c r="AP320" i="3"/>
  <c r="AP321" i="3"/>
  <c r="AP322" i="3"/>
  <c r="M105" i="70" s="1"/>
  <c r="AP323" i="3"/>
  <c r="AP324" i="3"/>
  <c r="AP325" i="3"/>
  <c r="AP328" i="3"/>
  <c r="AP329" i="3"/>
  <c r="AP330" i="3"/>
  <c r="AP331" i="3"/>
  <c r="AP332" i="3"/>
  <c r="AP333" i="3"/>
  <c r="AP334" i="3"/>
  <c r="AP335" i="3"/>
  <c r="AP336" i="3"/>
  <c r="AP337" i="3"/>
  <c r="AP338" i="3"/>
  <c r="AP339" i="3"/>
  <c r="AP340" i="3"/>
  <c r="AP341" i="3"/>
  <c r="AP342" i="3"/>
  <c r="AP343" i="3"/>
  <c r="AP344" i="3"/>
  <c r="AP345" i="3"/>
  <c r="AP346" i="3"/>
  <c r="AP347" i="3"/>
  <c r="AP348" i="3"/>
  <c r="AP349" i="3"/>
  <c r="AP350" i="3"/>
  <c r="AP351" i="3"/>
  <c r="AP352" i="3"/>
  <c r="AP353" i="3"/>
  <c r="AP354" i="3"/>
  <c r="AP355" i="3"/>
  <c r="AP356" i="3"/>
  <c r="AP357" i="3"/>
  <c r="AP358" i="3"/>
  <c r="AP359" i="3"/>
  <c r="AP360" i="3"/>
  <c r="AP361" i="3"/>
  <c r="AP362" i="3"/>
  <c r="AP363" i="3"/>
  <c r="AP364" i="3"/>
  <c r="AP365" i="3"/>
  <c r="AP366" i="3"/>
  <c r="AP367" i="3"/>
  <c r="AP368" i="3"/>
  <c r="AP369" i="3"/>
  <c r="AP370" i="3"/>
  <c r="AP371" i="3"/>
  <c r="AP372" i="3"/>
  <c r="AP373" i="3"/>
  <c r="AP12" i="3"/>
  <c r="M114" i="70" s="1"/>
  <c r="A96" i="70"/>
  <c r="E96" i="70"/>
  <c r="F96" i="70"/>
  <c r="G96" i="70"/>
  <c r="H96" i="70"/>
  <c r="K96" i="70"/>
  <c r="N96" i="70"/>
  <c r="O96" i="70"/>
  <c r="P96" i="70"/>
  <c r="Q96" i="70"/>
  <c r="S96" i="70"/>
  <c r="Z305" i="3"/>
  <c r="V305" i="3"/>
  <c r="AD305" i="3" s="1"/>
  <c r="W96" i="3"/>
  <c r="A91" i="70"/>
  <c r="E91" i="70"/>
  <c r="F91" i="70"/>
  <c r="G91" i="70"/>
  <c r="H91" i="70"/>
  <c r="K91" i="70"/>
  <c r="N91" i="70"/>
  <c r="O91" i="70"/>
  <c r="P91" i="70"/>
  <c r="Q91" i="70"/>
  <c r="S91" i="70"/>
  <c r="A74" i="70"/>
  <c r="E74" i="70"/>
  <c r="F74" i="70"/>
  <c r="G74" i="70"/>
  <c r="H74" i="70"/>
  <c r="K74" i="70"/>
  <c r="N74" i="70"/>
  <c r="O74" i="70"/>
  <c r="P74" i="70"/>
  <c r="S74" i="70"/>
  <c r="A62" i="70"/>
  <c r="E62" i="70"/>
  <c r="F62" i="70"/>
  <c r="G62" i="70"/>
  <c r="H62" i="70"/>
  <c r="K62" i="70"/>
  <c r="N62" i="70"/>
  <c r="O62" i="70"/>
  <c r="P62" i="70"/>
  <c r="S62" i="70"/>
  <c r="A43" i="70"/>
  <c r="E43" i="70"/>
  <c r="F43" i="70"/>
  <c r="G43" i="70"/>
  <c r="H43" i="70"/>
  <c r="K43" i="70"/>
  <c r="N43" i="70"/>
  <c r="O43" i="70"/>
  <c r="P43" i="70"/>
  <c r="S43" i="70"/>
  <c r="A29" i="70"/>
  <c r="E29" i="70"/>
  <c r="F29" i="70"/>
  <c r="G29" i="70"/>
  <c r="H29" i="70"/>
  <c r="K29" i="70"/>
  <c r="N29" i="70"/>
  <c r="O29" i="70"/>
  <c r="P29" i="70"/>
  <c r="S29" i="70"/>
  <c r="A9" i="70"/>
  <c r="E9" i="70"/>
  <c r="F9" i="70"/>
  <c r="G9" i="70"/>
  <c r="H9" i="70"/>
  <c r="K9" i="70"/>
  <c r="N9" i="70"/>
  <c r="O9" i="70"/>
  <c r="P9" i="70"/>
  <c r="S9" i="70"/>
  <c r="B70" i="68"/>
  <c r="C70" i="68"/>
  <c r="D70" i="68"/>
  <c r="E70" i="68"/>
  <c r="G70" i="68"/>
  <c r="L70" i="68"/>
  <c r="N70" i="68" s="1"/>
  <c r="B14" i="68"/>
  <c r="C14" i="68"/>
  <c r="D14" i="68"/>
  <c r="E14" i="68"/>
  <c r="G14" i="68"/>
  <c r="L14" i="68"/>
  <c r="N14" i="68" s="1"/>
  <c r="B48" i="68"/>
  <c r="C48" i="68"/>
  <c r="D48" i="68"/>
  <c r="E48" i="68"/>
  <c r="G48" i="68"/>
  <c r="L48" i="68"/>
  <c r="N48" i="68" s="1"/>
  <c r="B127" i="68"/>
  <c r="C127" i="68"/>
  <c r="D127" i="68"/>
  <c r="E127" i="68"/>
  <c r="G127" i="68"/>
  <c r="L127" i="68"/>
  <c r="N127" i="68" s="1"/>
  <c r="P280" i="3"/>
  <c r="V280" i="3"/>
  <c r="Z280" i="3"/>
  <c r="AH280" i="3"/>
  <c r="AL280" i="3"/>
  <c r="AU280" i="3" s="1"/>
  <c r="R91" i="70" s="1"/>
  <c r="AM280" i="3"/>
  <c r="J91" i="70" s="1"/>
  <c r="AW280" i="3"/>
  <c r="T91" i="70"/>
  <c r="K127" i="3"/>
  <c r="L127" i="3"/>
  <c r="M127" i="3"/>
  <c r="V127" i="3"/>
  <c r="Z127" i="3"/>
  <c r="AL127" i="3"/>
  <c r="AU127" i="3" s="1"/>
  <c r="R29" i="70" s="1"/>
  <c r="AM127" i="3"/>
  <c r="J29" i="70" s="1"/>
  <c r="AT127" i="3"/>
  <c r="Q29" i="70" s="1"/>
  <c r="AW127" i="3"/>
  <c r="T29" i="70" s="1"/>
  <c r="K227" i="3"/>
  <c r="L227" i="3"/>
  <c r="M227" i="3"/>
  <c r="V227" i="3"/>
  <c r="AG227" i="3" s="1"/>
  <c r="Z227" i="3"/>
  <c r="AL227" i="3"/>
  <c r="AM227" i="3"/>
  <c r="J74" i="70"/>
  <c r="AT227" i="3"/>
  <c r="Q74" i="70" s="1"/>
  <c r="AW227" i="3"/>
  <c r="T74" i="70" s="1"/>
  <c r="AW86" i="3"/>
  <c r="T9" i="70" s="1"/>
  <c r="AT86" i="3"/>
  <c r="Q9" i="70" s="1"/>
  <c r="AM86" i="3"/>
  <c r="J9" i="70" s="1"/>
  <c r="AL86" i="3"/>
  <c r="I9" i="70" s="1"/>
  <c r="Z86" i="3"/>
  <c r="V86" i="3"/>
  <c r="AD86" i="3" s="1"/>
  <c r="K86" i="3"/>
  <c r="L86" i="3"/>
  <c r="M86" i="3"/>
  <c r="AW207" i="3"/>
  <c r="T62" i="70" s="1"/>
  <c r="AT207" i="3"/>
  <c r="Q62" i="70" s="1"/>
  <c r="AM207" i="3"/>
  <c r="J62" i="70" s="1"/>
  <c r="AL207" i="3"/>
  <c r="AU207" i="3" s="1"/>
  <c r="R62" i="70" s="1"/>
  <c r="Z207" i="3"/>
  <c r="V207" i="3"/>
  <c r="K153" i="3"/>
  <c r="L153" i="3"/>
  <c r="M153" i="3"/>
  <c r="AW153" i="3"/>
  <c r="T43" i="70" s="1"/>
  <c r="AT153" i="3"/>
  <c r="Q43" i="70" s="1"/>
  <c r="AM153" i="3"/>
  <c r="J43" i="70" s="1"/>
  <c r="AL153" i="3"/>
  <c r="I43" i="70" s="1"/>
  <c r="Z153" i="3"/>
  <c r="V153" i="3"/>
  <c r="AU86" i="3"/>
  <c r="R9" i="70" s="1"/>
  <c r="AU153" i="3"/>
  <c r="R43" i="70" s="1"/>
  <c r="X86" i="3"/>
  <c r="I14" i="68" s="1"/>
  <c r="J86" i="3"/>
  <c r="X280" i="3"/>
  <c r="AF86" i="3"/>
  <c r="AG86" i="3"/>
  <c r="I86" i="3"/>
  <c r="J127" i="3"/>
  <c r="J227" i="3"/>
  <c r="J153" i="3"/>
  <c r="S61" i="70"/>
  <c r="P61" i="70"/>
  <c r="O61" i="70"/>
  <c r="N61" i="70"/>
  <c r="M61" i="70"/>
  <c r="K61" i="70"/>
  <c r="H61" i="70"/>
  <c r="F61" i="70"/>
  <c r="G61" i="70"/>
  <c r="E61" i="70"/>
  <c r="A61" i="70"/>
  <c r="V197" i="3"/>
  <c r="Z197" i="3"/>
  <c r="AL197" i="3"/>
  <c r="AU197" i="3" s="1"/>
  <c r="R61" i="70" s="1"/>
  <c r="AM197" i="3"/>
  <c r="J61" i="70" s="1"/>
  <c r="AT197" i="3"/>
  <c r="Q61" i="70" s="1"/>
  <c r="AW197" i="3"/>
  <c r="T61" i="70" s="1"/>
  <c r="E150" i="70"/>
  <c r="F150" i="70"/>
  <c r="G150" i="70"/>
  <c r="H150" i="70"/>
  <c r="K150" i="70"/>
  <c r="N150" i="70"/>
  <c r="O150" i="70"/>
  <c r="P150" i="70"/>
  <c r="S150" i="70"/>
  <c r="E151" i="70"/>
  <c r="F151" i="70"/>
  <c r="G151" i="70"/>
  <c r="H151" i="70"/>
  <c r="K151" i="70"/>
  <c r="N151" i="70"/>
  <c r="O151" i="70"/>
  <c r="P151" i="70"/>
  <c r="S151" i="70"/>
  <c r="E152" i="70"/>
  <c r="F152" i="70"/>
  <c r="G152" i="70"/>
  <c r="H152" i="70"/>
  <c r="K152" i="70"/>
  <c r="N152" i="70"/>
  <c r="O152" i="70"/>
  <c r="P152" i="70"/>
  <c r="S152" i="70"/>
  <c r="E153" i="70"/>
  <c r="F153" i="70"/>
  <c r="G153" i="70"/>
  <c r="H153" i="70"/>
  <c r="K153" i="70"/>
  <c r="N153" i="70"/>
  <c r="O153" i="70"/>
  <c r="P153" i="70"/>
  <c r="S153" i="70"/>
  <c r="E154" i="70"/>
  <c r="F154" i="70"/>
  <c r="G154" i="70"/>
  <c r="H154" i="70"/>
  <c r="K154" i="70"/>
  <c r="N154" i="70"/>
  <c r="O154" i="70"/>
  <c r="P154" i="70"/>
  <c r="S154" i="70"/>
  <c r="E155" i="70"/>
  <c r="F155" i="70"/>
  <c r="G155" i="70"/>
  <c r="H155" i="70"/>
  <c r="K155" i="70"/>
  <c r="N155" i="70"/>
  <c r="O155" i="70"/>
  <c r="P155" i="70"/>
  <c r="Q155" i="70"/>
  <c r="S155" i="70"/>
  <c r="E156" i="70"/>
  <c r="F156" i="70"/>
  <c r="G156" i="70"/>
  <c r="H156" i="70"/>
  <c r="K156" i="70"/>
  <c r="N156" i="70"/>
  <c r="O156" i="70"/>
  <c r="P156" i="70"/>
  <c r="Q156" i="70"/>
  <c r="S156" i="70"/>
  <c r="E158" i="70"/>
  <c r="F158" i="70"/>
  <c r="G158" i="70"/>
  <c r="H158" i="70"/>
  <c r="K158" i="70"/>
  <c r="N158" i="70"/>
  <c r="O158" i="70"/>
  <c r="P158" i="70"/>
  <c r="Q158" i="70"/>
  <c r="S158" i="70"/>
  <c r="E159" i="70"/>
  <c r="F159" i="70"/>
  <c r="G159" i="70"/>
  <c r="H159" i="70"/>
  <c r="K159" i="70"/>
  <c r="N159" i="70"/>
  <c r="O159" i="70"/>
  <c r="P159" i="70"/>
  <c r="Q159" i="70"/>
  <c r="S159" i="70"/>
  <c r="E160" i="70"/>
  <c r="F160" i="70"/>
  <c r="G160" i="70"/>
  <c r="H160" i="70"/>
  <c r="K160" i="70"/>
  <c r="N160" i="70"/>
  <c r="O160" i="70"/>
  <c r="P160" i="70"/>
  <c r="Q160" i="70"/>
  <c r="S160" i="70"/>
  <c r="E167" i="70"/>
  <c r="F167" i="70"/>
  <c r="G167" i="70"/>
  <c r="H167" i="70"/>
  <c r="K167" i="70"/>
  <c r="N167" i="70"/>
  <c r="O167" i="70"/>
  <c r="P167" i="70"/>
  <c r="Q167" i="70"/>
  <c r="S167" i="70"/>
  <c r="E168" i="70"/>
  <c r="F168" i="70"/>
  <c r="G168" i="70"/>
  <c r="H168" i="70"/>
  <c r="K168" i="70"/>
  <c r="N168" i="70"/>
  <c r="O168" i="70"/>
  <c r="P168" i="70"/>
  <c r="Q168" i="70"/>
  <c r="S168" i="70"/>
  <c r="E114" i="70"/>
  <c r="S114" i="70"/>
  <c r="P114" i="70"/>
  <c r="O114" i="70"/>
  <c r="N114" i="70"/>
  <c r="K114" i="70"/>
  <c r="H114" i="70"/>
  <c r="G114" i="70"/>
  <c r="F114" i="70"/>
  <c r="A6" i="70"/>
  <c r="E6" i="70"/>
  <c r="F6" i="70"/>
  <c r="G6" i="70"/>
  <c r="H6" i="70"/>
  <c r="K6" i="70"/>
  <c r="N6" i="70"/>
  <c r="O6" i="70"/>
  <c r="P6" i="70"/>
  <c r="S6" i="70"/>
  <c r="A7" i="70"/>
  <c r="E7" i="70"/>
  <c r="F7" i="70"/>
  <c r="G7" i="70"/>
  <c r="H7" i="70"/>
  <c r="K7" i="70"/>
  <c r="N7" i="70"/>
  <c r="O7" i="70"/>
  <c r="P7" i="70"/>
  <c r="S7" i="70"/>
  <c r="A8" i="70"/>
  <c r="E8" i="70"/>
  <c r="F8" i="70"/>
  <c r="G8" i="70"/>
  <c r="H8" i="70"/>
  <c r="K8" i="70"/>
  <c r="N8" i="70"/>
  <c r="O8" i="70"/>
  <c r="P8" i="70"/>
  <c r="S8" i="70"/>
  <c r="A10" i="70"/>
  <c r="E10" i="70"/>
  <c r="F10" i="70"/>
  <c r="G10" i="70"/>
  <c r="H10" i="70"/>
  <c r="K10" i="70"/>
  <c r="N10" i="70"/>
  <c r="O10" i="70"/>
  <c r="P10" i="70"/>
  <c r="S10" i="70"/>
  <c r="A11" i="70"/>
  <c r="E11" i="70"/>
  <c r="F11" i="70"/>
  <c r="G11" i="70"/>
  <c r="H11" i="70"/>
  <c r="K11" i="70"/>
  <c r="N11" i="70"/>
  <c r="O11" i="70"/>
  <c r="P11" i="70"/>
  <c r="S11" i="70"/>
  <c r="A12" i="70"/>
  <c r="E12" i="70"/>
  <c r="F12" i="70"/>
  <c r="G12" i="70"/>
  <c r="H12" i="70"/>
  <c r="K12" i="70"/>
  <c r="N12" i="70"/>
  <c r="O12" i="70"/>
  <c r="P12" i="70"/>
  <c r="S12" i="70"/>
  <c r="A13" i="70"/>
  <c r="E13" i="70"/>
  <c r="F13" i="70"/>
  <c r="G13" i="70"/>
  <c r="H13" i="70"/>
  <c r="K13" i="70"/>
  <c r="N13" i="70"/>
  <c r="O13" i="70"/>
  <c r="P13" i="70"/>
  <c r="S13" i="70"/>
  <c r="A14" i="70"/>
  <c r="E14" i="70"/>
  <c r="F14" i="70"/>
  <c r="G14" i="70"/>
  <c r="H14" i="70"/>
  <c r="K14" i="70"/>
  <c r="N14" i="70"/>
  <c r="O14" i="70"/>
  <c r="P14" i="70"/>
  <c r="S14" i="70"/>
  <c r="A15" i="70"/>
  <c r="E15" i="70"/>
  <c r="F15" i="70"/>
  <c r="G15" i="70"/>
  <c r="H15" i="70"/>
  <c r="K15" i="70"/>
  <c r="N15" i="70"/>
  <c r="O15" i="70"/>
  <c r="P15" i="70"/>
  <c r="S15" i="70"/>
  <c r="A16" i="70"/>
  <c r="E16" i="70"/>
  <c r="F16" i="70"/>
  <c r="G16" i="70"/>
  <c r="H16" i="70"/>
  <c r="K16" i="70"/>
  <c r="N16" i="70"/>
  <c r="O16" i="70"/>
  <c r="P16" i="70"/>
  <c r="S16" i="70"/>
  <c r="A17" i="70"/>
  <c r="E17" i="70"/>
  <c r="F17" i="70"/>
  <c r="G17" i="70"/>
  <c r="H17" i="70"/>
  <c r="K17" i="70"/>
  <c r="N17" i="70"/>
  <c r="O17" i="70"/>
  <c r="P17" i="70"/>
  <c r="S17" i="70"/>
  <c r="A18" i="70"/>
  <c r="E18" i="70"/>
  <c r="F18" i="70"/>
  <c r="G18" i="70"/>
  <c r="H18" i="70"/>
  <c r="K18" i="70"/>
  <c r="N18" i="70"/>
  <c r="O18" i="70"/>
  <c r="P18" i="70"/>
  <c r="S18" i="70"/>
  <c r="A19" i="70"/>
  <c r="E19" i="70"/>
  <c r="F19" i="70"/>
  <c r="G19" i="70"/>
  <c r="H19" i="70"/>
  <c r="K19" i="70"/>
  <c r="N19" i="70"/>
  <c r="O19" i="70"/>
  <c r="P19" i="70"/>
  <c r="S19" i="70"/>
  <c r="A20" i="70"/>
  <c r="E20" i="70"/>
  <c r="F20" i="70"/>
  <c r="G20" i="70"/>
  <c r="H20" i="70"/>
  <c r="K20" i="70"/>
  <c r="N20" i="70"/>
  <c r="O20" i="70"/>
  <c r="P20" i="70"/>
  <c r="S20" i="70"/>
  <c r="A21" i="70"/>
  <c r="E21" i="70"/>
  <c r="F21" i="70"/>
  <c r="G21" i="70"/>
  <c r="H21" i="70"/>
  <c r="K21" i="70"/>
  <c r="N21" i="70"/>
  <c r="O21" i="70"/>
  <c r="P21" i="70"/>
  <c r="S21" i="70"/>
  <c r="A22" i="70"/>
  <c r="E22" i="70"/>
  <c r="F22" i="70"/>
  <c r="G22" i="70"/>
  <c r="H22" i="70"/>
  <c r="K22" i="70"/>
  <c r="N22" i="70"/>
  <c r="O22" i="70"/>
  <c r="P22" i="70"/>
  <c r="S22" i="70"/>
  <c r="A23" i="70"/>
  <c r="E23" i="70"/>
  <c r="F23" i="70"/>
  <c r="G23" i="70"/>
  <c r="H23" i="70"/>
  <c r="K23" i="70"/>
  <c r="N23" i="70"/>
  <c r="O23" i="70"/>
  <c r="P23" i="70"/>
  <c r="S23" i="70"/>
  <c r="A24" i="70"/>
  <c r="E24" i="70"/>
  <c r="F24" i="70"/>
  <c r="G24" i="70"/>
  <c r="H24" i="70"/>
  <c r="K24" i="70"/>
  <c r="N24" i="70"/>
  <c r="O24" i="70"/>
  <c r="P24" i="70"/>
  <c r="S24" i="70"/>
  <c r="A25" i="70"/>
  <c r="E25" i="70"/>
  <c r="F25" i="70"/>
  <c r="G25" i="70"/>
  <c r="H25" i="70"/>
  <c r="K25" i="70"/>
  <c r="N25" i="70"/>
  <c r="O25" i="70"/>
  <c r="P25" i="70"/>
  <c r="S25" i="70"/>
  <c r="A26" i="70"/>
  <c r="E26" i="70"/>
  <c r="F26" i="70"/>
  <c r="G26" i="70"/>
  <c r="H26" i="70"/>
  <c r="K26" i="70"/>
  <c r="N26" i="70"/>
  <c r="O26" i="70"/>
  <c r="P26" i="70"/>
  <c r="S26" i="70"/>
  <c r="A27" i="70"/>
  <c r="E27" i="70"/>
  <c r="F27" i="70"/>
  <c r="G27" i="70"/>
  <c r="H27" i="70"/>
  <c r="K27" i="70"/>
  <c r="N27" i="70"/>
  <c r="O27" i="70"/>
  <c r="P27" i="70"/>
  <c r="S27" i="70"/>
  <c r="A28" i="70"/>
  <c r="E28" i="70"/>
  <c r="F28" i="70"/>
  <c r="G28" i="70"/>
  <c r="H28" i="70"/>
  <c r="K28" i="70"/>
  <c r="N28" i="70"/>
  <c r="O28" i="70"/>
  <c r="P28" i="70"/>
  <c r="S28" i="70"/>
  <c r="A30" i="70"/>
  <c r="E30" i="70"/>
  <c r="F30" i="70"/>
  <c r="G30" i="70"/>
  <c r="H30" i="70"/>
  <c r="K30" i="70"/>
  <c r="N30" i="70"/>
  <c r="O30" i="70"/>
  <c r="P30" i="70"/>
  <c r="S30" i="70"/>
  <c r="A31" i="70"/>
  <c r="E31" i="70"/>
  <c r="F31" i="70"/>
  <c r="G31" i="70"/>
  <c r="H31" i="70"/>
  <c r="K31" i="70"/>
  <c r="N31" i="70"/>
  <c r="O31" i="70"/>
  <c r="P31" i="70"/>
  <c r="S31" i="70"/>
  <c r="A32" i="70"/>
  <c r="E32" i="70"/>
  <c r="F32" i="70"/>
  <c r="G32" i="70"/>
  <c r="H32" i="70"/>
  <c r="K32" i="70"/>
  <c r="N32" i="70"/>
  <c r="O32" i="70"/>
  <c r="P32" i="70"/>
  <c r="S32" i="70"/>
  <c r="A33" i="70"/>
  <c r="E33" i="70"/>
  <c r="F33" i="70"/>
  <c r="G33" i="70"/>
  <c r="H33" i="70"/>
  <c r="K33" i="70"/>
  <c r="N33" i="70"/>
  <c r="O33" i="70"/>
  <c r="P33" i="70"/>
  <c r="S33" i="70"/>
  <c r="A34" i="70"/>
  <c r="E34" i="70"/>
  <c r="F34" i="70"/>
  <c r="G34" i="70"/>
  <c r="H34" i="70"/>
  <c r="K34" i="70"/>
  <c r="N34" i="70"/>
  <c r="O34" i="70"/>
  <c r="P34" i="70"/>
  <c r="S34" i="70"/>
  <c r="A35" i="70"/>
  <c r="E35" i="70"/>
  <c r="F35" i="70"/>
  <c r="G35" i="70"/>
  <c r="H35" i="70"/>
  <c r="K35" i="70"/>
  <c r="N35" i="70"/>
  <c r="O35" i="70"/>
  <c r="P35" i="70"/>
  <c r="S35" i="70"/>
  <c r="A36" i="70"/>
  <c r="E36" i="70"/>
  <c r="F36" i="70"/>
  <c r="G36" i="70"/>
  <c r="H36" i="70"/>
  <c r="K36" i="70"/>
  <c r="N36" i="70"/>
  <c r="O36" i="70"/>
  <c r="P36" i="70"/>
  <c r="S36" i="70"/>
  <c r="A37" i="70"/>
  <c r="E37" i="70"/>
  <c r="F37" i="70"/>
  <c r="G37" i="70"/>
  <c r="H37" i="70"/>
  <c r="K37" i="70"/>
  <c r="N37" i="70"/>
  <c r="O37" i="70"/>
  <c r="P37" i="70"/>
  <c r="S37" i="70"/>
  <c r="A38" i="70"/>
  <c r="E38" i="70"/>
  <c r="F38" i="70"/>
  <c r="G38" i="70"/>
  <c r="H38" i="70"/>
  <c r="K38" i="70"/>
  <c r="N38" i="70"/>
  <c r="O38" i="70"/>
  <c r="P38" i="70"/>
  <c r="S38" i="70"/>
  <c r="A39" i="70"/>
  <c r="E39" i="70"/>
  <c r="F39" i="70"/>
  <c r="G39" i="70"/>
  <c r="H39" i="70"/>
  <c r="K39" i="70"/>
  <c r="N39" i="70"/>
  <c r="O39" i="70"/>
  <c r="P39" i="70"/>
  <c r="S39" i="70"/>
  <c r="A40" i="70"/>
  <c r="E40" i="70"/>
  <c r="F40" i="70"/>
  <c r="G40" i="70"/>
  <c r="H40" i="70"/>
  <c r="K40" i="70"/>
  <c r="N40" i="70"/>
  <c r="O40" i="70"/>
  <c r="P40" i="70"/>
  <c r="S40" i="70"/>
  <c r="A41" i="70"/>
  <c r="E41" i="70"/>
  <c r="F41" i="70"/>
  <c r="G41" i="70"/>
  <c r="H41" i="70"/>
  <c r="K41" i="70"/>
  <c r="N41" i="70"/>
  <c r="O41" i="70"/>
  <c r="P41" i="70"/>
  <c r="S41" i="70"/>
  <c r="A42" i="70"/>
  <c r="E42" i="70"/>
  <c r="F42" i="70"/>
  <c r="G42" i="70"/>
  <c r="H42" i="70"/>
  <c r="K42" i="70"/>
  <c r="N42" i="70"/>
  <c r="O42" i="70"/>
  <c r="P42" i="70"/>
  <c r="S42" i="70"/>
  <c r="A44" i="70"/>
  <c r="E44" i="70"/>
  <c r="F44" i="70"/>
  <c r="G44" i="70"/>
  <c r="H44" i="70"/>
  <c r="K44" i="70"/>
  <c r="N44" i="70"/>
  <c r="O44" i="70"/>
  <c r="P44" i="70"/>
  <c r="S44" i="70"/>
  <c r="A45" i="70"/>
  <c r="E45" i="70"/>
  <c r="F45" i="70"/>
  <c r="G45" i="70"/>
  <c r="H45" i="70"/>
  <c r="K45" i="70"/>
  <c r="N45" i="70"/>
  <c r="O45" i="70"/>
  <c r="P45" i="70"/>
  <c r="S45" i="70"/>
  <c r="A46" i="70"/>
  <c r="E46" i="70"/>
  <c r="F46" i="70"/>
  <c r="G46" i="70"/>
  <c r="H46" i="70"/>
  <c r="K46" i="70"/>
  <c r="N46" i="70"/>
  <c r="O46" i="70"/>
  <c r="P46" i="70"/>
  <c r="S46" i="70"/>
  <c r="A47" i="70"/>
  <c r="E47" i="70"/>
  <c r="F47" i="70"/>
  <c r="G47" i="70"/>
  <c r="H47" i="70"/>
  <c r="K47" i="70"/>
  <c r="N47" i="70"/>
  <c r="O47" i="70"/>
  <c r="P47" i="70"/>
  <c r="S47" i="70"/>
  <c r="A48" i="70"/>
  <c r="E48" i="70"/>
  <c r="F48" i="70"/>
  <c r="G48" i="70"/>
  <c r="H48" i="70"/>
  <c r="K48" i="70"/>
  <c r="N48" i="70"/>
  <c r="O48" i="70"/>
  <c r="P48" i="70"/>
  <c r="S48" i="70"/>
  <c r="A49" i="70"/>
  <c r="E49" i="70"/>
  <c r="F49" i="70"/>
  <c r="G49" i="70"/>
  <c r="H49" i="70"/>
  <c r="K49" i="70"/>
  <c r="N49" i="70"/>
  <c r="O49" i="70"/>
  <c r="P49" i="70"/>
  <c r="S49" i="70"/>
  <c r="A50" i="70"/>
  <c r="E50" i="70"/>
  <c r="F50" i="70"/>
  <c r="G50" i="70"/>
  <c r="H50" i="70"/>
  <c r="K50" i="70"/>
  <c r="N50" i="70"/>
  <c r="O50" i="70"/>
  <c r="P50" i="70"/>
  <c r="S50" i="70"/>
  <c r="A51" i="70"/>
  <c r="E51" i="70"/>
  <c r="F51" i="70"/>
  <c r="G51" i="70"/>
  <c r="H51" i="70"/>
  <c r="K51" i="70"/>
  <c r="N51" i="70"/>
  <c r="O51" i="70"/>
  <c r="P51" i="70"/>
  <c r="S51" i="70"/>
  <c r="A52" i="70"/>
  <c r="E52" i="70"/>
  <c r="F52" i="70"/>
  <c r="G52" i="70"/>
  <c r="H52" i="70"/>
  <c r="K52" i="70"/>
  <c r="N52" i="70"/>
  <c r="O52" i="70"/>
  <c r="P52" i="70"/>
  <c r="S52" i="70"/>
  <c r="A53" i="70"/>
  <c r="E53" i="70"/>
  <c r="F53" i="70"/>
  <c r="G53" i="70"/>
  <c r="H53" i="70"/>
  <c r="K53" i="70"/>
  <c r="N53" i="70"/>
  <c r="O53" i="70"/>
  <c r="P53" i="70"/>
  <c r="S53" i="70"/>
  <c r="A54" i="70"/>
  <c r="E54" i="70"/>
  <c r="F54" i="70"/>
  <c r="G54" i="70"/>
  <c r="H54" i="70"/>
  <c r="K54" i="70"/>
  <c r="N54" i="70"/>
  <c r="O54" i="70"/>
  <c r="P54" i="70"/>
  <c r="S54" i="70"/>
  <c r="A55" i="70"/>
  <c r="E55" i="70"/>
  <c r="F55" i="70"/>
  <c r="G55" i="70"/>
  <c r="H55" i="70"/>
  <c r="K55" i="70"/>
  <c r="N55" i="70"/>
  <c r="O55" i="70"/>
  <c r="P55" i="70"/>
  <c r="S55" i="70"/>
  <c r="A56" i="70"/>
  <c r="E56" i="70"/>
  <c r="F56" i="70"/>
  <c r="G56" i="70"/>
  <c r="H56" i="70"/>
  <c r="K56" i="70"/>
  <c r="N56" i="70"/>
  <c r="O56" i="70"/>
  <c r="P56" i="70"/>
  <c r="S56" i="70"/>
  <c r="A57" i="70"/>
  <c r="E57" i="70"/>
  <c r="F57" i="70"/>
  <c r="G57" i="70"/>
  <c r="H57" i="70"/>
  <c r="K57" i="70"/>
  <c r="N57" i="70"/>
  <c r="O57" i="70"/>
  <c r="P57" i="70"/>
  <c r="S57" i="70"/>
  <c r="A58" i="70"/>
  <c r="E58" i="70"/>
  <c r="F58" i="70"/>
  <c r="G58" i="70"/>
  <c r="H58" i="70"/>
  <c r="K58" i="70"/>
  <c r="N58" i="70"/>
  <c r="O58" i="70"/>
  <c r="P58" i="70"/>
  <c r="S58" i="70"/>
  <c r="A59" i="70"/>
  <c r="E59" i="70"/>
  <c r="F59" i="70"/>
  <c r="G59" i="70"/>
  <c r="H59" i="70"/>
  <c r="K59" i="70"/>
  <c r="N59" i="70"/>
  <c r="O59" i="70"/>
  <c r="P59" i="70"/>
  <c r="S59" i="70"/>
  <c r="A60" i="70"/>
  <c r="E60" i="70"/>
  <c r="F60" i="70"/>
  <c r="G60" i="70"/>
  <c r="H60" i="70"/>
  <c r="K60" i="70"/>
  <c r="N60" i="70"/>
  <c r="O60" i="70"/>
  <c r="P60" i="70"/>
  <c r="S60" i="70"/>
  <c r="A63" i="70"/>
  <c r="E63" i="70"/>
  <c r="F63" i="70"/>
  <c r="G63" i="70"/>
  <c r="H63" i="70"/>
  <c r="K63" i="70"/>
  <c r="N63" i="70"/>
  <c r="O63" i="70"/>
  <c r="P63" i="70"/>
  <c r="S63" i="70"/>
  <c r="A64" i="70"/>
  <c r="E64" i="70"/>
  <c r="F64" i="70"/>
  <c r="G64" i="70"/>
  <c r="H64" i="70"/>
  <c r="K64" i="70"/>
  <c r="N64" i="70"/>
  <c r="O64" i="70"/>
  <c r="P64" i="70"/>
  <c r="S64" i="70"/>
  <c r="A65" i="70"/>
  <c r="E65" i="70"/>
  <c r="F65" i="70"/>
  <c r="G65" i="70"/>
  <c r="H65" i="70"/>
  <c r="K65" i="70"/>
  <c r="N65" i="70"/>
  <c r="O65" i="70"/>
  <c r="P65" i="70"/>
  <c r="S65" i="70"/>
  <c r="A66" i="70"/>
  <c r="E66" i="70"/>
  <c r="F66" i="70"/>
  <c r="G66" i="70"/>
  <c r="H66" i="70"/>
  <c r="K66" i="70"/>
  <c r="N66" i="70"/>
  <c r="O66" i="70"/>
  <c r="P66" i="70"/>
  <c r="S66" i="70"/>
  <c r="A67" i="70"/>
  <c r="E67" i="70"/>
  <c r="F67" i="70"/>
  <c r="G67" i="70"/>
  <c r="H67" i="70"/>
  <c r="K67" i="70"/>
  <c r="N67" i="70"/>
  <c r="O67" i="70"/>
  <c r="P67" i="70"/>
  <c r="S67" i="70"/>
  <c r="A68" i="70"/>
  <c r="E68" i="70"/>
  <c r="F68" i="70"/>
  <c r="G68" i="70"/>
  <c r="H68" i="70"/>
  <c r="K68" i="70"/>
  <c r="N68" i="70"/>
  <c r="O68" i="70"/>
  <c r="P68" i="70"/>
  <c r="S68" i="70"/>
  <c r="A69" i="70"/>
  <c r="E69" i="70"/>
  <c r="F69" i="70"/>
  <c r="G69" i="70"/>
  <c r="H69" i="70"/>
  <c r="K69" i="70"/>
  <c r="N69" i="70"/>
  <c r="O69" i="70"/>
  <c r="P69" i="70"/>
  <c r="S69" i="70"/>
  <c r="A70" i="70"/>
  <c r="E70" i="70"/>
  <c r="F70" i="70"/>
  <c r="G70" i="70"/>
  <c r="H70" i="70"/>
  <c r="K70" i="70"/>
  <c r="N70" i="70"/>
  <c r="O70" i="70"/>
  <c r="P70" i="70"/>
  <c r="S70" i="70"/>
  <c r="A71" i="70"/>
  <c r="E71" i="70"/>
  <c r="F71" i="70"/>
  <c r="G71" i="70"/>
  <c r="H71" i="70"/>
  <c r="K71" i="70"/>
  <c r="N71" i="70"/>
  <c r="O71" i="70"/>
  <c r="P71" i="70"/>
  <c r="S71" i="70"/>
  <c r="A72" i="70"/>
  <c r="E72" i="70"/>
  <c r="F72" i="70"/>
  <c r="G72" i="70"/>
  <c r="H72" i="70"/>
  <c r="K72" i="70"/>
  <c r="N72" i="70"/>
  <c r="O72" i="70"/>
  <c r="P72" i="70"/>
  <c r="S72" i="70"/>
  <c r="A73" i="70"/>
  <c r="E73" i="70"/>
  <c r="F73" i="70"/>
  <c r="G73" i="70"/>
  <c r="H73" i="70"/>
  <c r="K73" i="70"/>
  <c r="N73" i="70"/>
  <c r="O73" i="70"/>
  <c r="P73" i="70"/>
  <c r="S73" i="70"/>
  <c r="A75" i="70"/>
  <c r="E75" i="70"/>
  <c r="F75" i="70"/>
  <c r="G75" i="70"/>
  <c r="H75" i="70"/>
  <c r="K75" i="70"/>
  <c r="N75" i="70"/>
  <c r="O75" i="70"/>
  <c r="P75" i="70"/>
  <c r="S75" i="70"/>
  <c r="A76" i="70"/>
  <c r="E76" i="70"/>
  <c r="F76" i="70"/>
  <c r="G76" i="70"/>
  <c r="H76" i="70"/>
  <c r="K76" i="70"/>
  <c r="N76" i="70"/>
  <c r="O76" i="70"/>
  <c r="P76" i="70"/>
  <c r="S76" i="70"/>
  <c r="A77" i="70"/>
  <c r="E77" i="70"/>
  <c r="F77" i="70"/>
  <c r="G77" i="70"/>
  <c r="H77" i="70"/>
  <c r="K77" i="70"/>
  <c r="N77" i="70"/>
  <c r="O77" i="70"/>
  <c r="P77" i="70"/>
  <c r="S77" i="70"/>
  <c r="A78" i="70"/>
  <c r="E78" i="70"/>
  <c r="F78" i="70"/>
  <c r="G78" i="70"/>
  <c r="H78" i="70"/>
  <c r="K78" i="70"/>
  <c r="N78" i="70"/>
  <c r="O78" i="70"/>
  <c r="P78" i="70"/>
  <c r="S78" i="70"/>
  <c r="A79" i="70"/>
  <c r="E79" i="70"/>
  <c r="F79" i="70"/>
  <c r="G79" i="70"/>
  <c r="H79" i="70"/>
  <c r="K79" i="70"/>
  <c r="N79" i="70"/>
  <c r="O79" i="70"/>
  <c r="P79" i="70"/>
  <c r="S79" i="70"/>
  <c r="A80" i="70"/>
  <c r="E80" i="70"/>
  <c r="F80" i="70"/>
  <c r="G80" i="70"/>
  <c r="H80" i="70"/>
  <c r="K80" i="70"/>
  <c r="N80" i="70"/>
  <c r="O80" i="70"/>
  <c r="P80" i="70"/>
  <c r="S80" i="70"/>
  <c r="A81" i="70"/>
  <c r="E81" i="70"/>
  <c r="F81" i="70"/>
  <c r="G81" i="70"/>
  <c r="H81" i="70"/>
  <c r="K81" i="70"/>
  <c r="N81" i="70"/>
  <c r="O81" i="70"/>
  <c r="P81" i="70"/>
  <c r="S81" i="70"/>
  <c r="A82" i="70"/>
  <c r="E82" i="70"/>
  <c r="F82" i="70"/>
  <c r="G82" i="70"/>
  <c r="H82" i="70"/>
  <c r="K82" i="70"/>
  <c r="N82" i="70"/>
  <c r="O82" i="70"/>
  <c r="P82" i="70"/>
  <c r="Q82" i="70"/>
  <c r="S82" i="70"/>
  <c r="A83" i="70"/>
  <c r="E83" i="70"/>
  <c r="F83" i="70"/>
  <c r="G83" i="70"/>
  <c r="H83" i="70"/>
  <c r="K83" i="70"/>
  <c r="N83" i="70"/>
  <c r="O83" i="70"/>
  <c r="P83" i="70"/>
  <c r="Q83" i="70"/>
  <c r="S83" i="70"/>
  <c r="A84" i="70"/>
  <c r="E84" i="70"/>
  <c r="F84" i="70"/>
  <c r="G84" i="70"/>
  <c r="H84" i="70"/>
  <c r="K84" i="70"/>
  <c r="N84" i="70"/>
  <c r="O84" i="70"/>
  <c r="P84" i="70"/>
  <c r="Q84" i="70"/>
  <c r="S84" i="70"/>
  <c r="A85" i="70"/>
  <c r="E85" i="70"/>
  <c r="F85" i="70"/>
  <c r="G85" i="70"/>
  <c r="H85" i="70"/>
  <c r="K85" i="70"/>
  <c r="N85" i="70"/>
  <c r="O85" i="70"/>
  <c r="P85" i="70"/>
  <c r="Q85" i="70"/>
  <c r="S85" i="70"/>
  <c r="A86" i="70"/>
  <c r="E86" i="70"/>
  <c r="F86" i="70"/>
  <c r="G86" i="70"/>
  <c r="H86" i="70"/>
  <c r="K86" i="70"/>
  <c r="N86" i="70"/>
  <c r="O86" i="70"/>
  <c r="P86" i="70"/>
  <c r="Q86" i="70"/>
  <c r="S86" i="70"/>
  <c r="A87" i="70"/>
  <c r="E87" i="70"/>
  <c r="F87" i="70"/>
  <c r="G87" i="70"/>
  <c r="H87" i="70"/>
  <c r="K87" i="70"/>
  <c r="N87" i="70"/>
  <c r="O87" i="70"/>
  <c r="P87" i="70"/>
  <c r="Q87" i="70"/>
  <c r="S87" i="70"/>
  <c r="A88" i="70"/>
  <c r="E88" i="70"/>
  <c r="F88" i="70"/>
  <c r="G88" i="70"/>
  <c r="H88" i="70"/>
  <c r="K88" i="70"/>
  <c r="N88" i="70"/>
  <c r="O88" i="70"/>
  <c r="P88" i="70"/>
  <c r="Q88" i="70"/>
  <c r="S88" i="70"/>
  <c r="A89" i="70"/>
  <c r="E89" i="70"/>
  <c r="F89" i="70"/>
  <c r="G89" i="70"/>
  <c r="H89" i="70"/>
  <c r="K89" i="70"/>
  <c r="N89" i="70"/>
  <c r="O89" i="70"/>
  <c r="P89" i="70"/>
  <c r="Q89" i="70"/>
  <c r="S89" i="70"/>
  <c r="A90" i="70"/>
  <c r="E90" i="70"/>
  <c r="F90" i="70"/>
  <c r="G90" i="70"/>
  <c r="H90" i="70"/>
  <c r="K90" i="70"/>
  <c r="N90" i="70"/>
  <c r="O90" i="70"/>
  <c r="P90" i="70"/>
  <c r="Q90" i="70"/>
  <c r="S90" i="70"/>
  <c r="A92" i="70"/>
  <c r="E92" i="70"/>
  <c r="F92" i="70"/>
  <c r="G92" i="70"/>
  <c r="H92" i="70"/>
  <c r="K92" i="70"/>
  <c r="M92" i="70"/>
  <c r="N92" i="70"/>
  <c r="O92" i="70"/>
  <c r="P92" i="70"/>
  <c r="Q92" i="70"/>
  <c r="S92" i="70"/>
  <c r="A93" i="70"/>
  <c r="E93" i="70"/>
  <c r="F93" i="70"/>
  <c r="G93" i="70"/>
  <c r="H93" i="70"/>
  <c r="K93" i="70"/>
  <c r="M93" i="70"/>
  <c r="N93" i="70"/>
  <c r="O93" i="70"/>
  <c r="P93" i="70"/>
  <c r="Q93" i="70"/>
  <c r="S93" i="70"/>
  <c r="A94" i="70"/>
  <c r="E94" i="70"/>
  <c r="F94" i="70"/>
  <c r="G94" i="70"/>
  <c r="H94" i="70"/>
  <c r="K94" i="70"/>
  <c r="N94" i="70"/>
  <c r="O94" i="70"/>
  <c r="P94" i="70"/>
  <c r="Q94" i="70"/>
  <c r="S94" i="70"/>
  <c r="A95" i="70"/>
  <c r="E95" i="70"/>
  <c r="F95" i="70"/>
  <c r="G95" i="70"/>
  <c r="H95" i="70"/>
  <c r="K95" i="70"/>
  <c r="N95" i="70"/>
  <c r="O95" i="70"/>
  <c r="P95" i="70"/>
  <c r="Q95" i="70"/>
  <c r="S95" i="70"/>
  <c r="A97" i="70"/>
  <c r="E97" i="70"/>
  <c r="F97" i="70"/>
  <c r="G97" i="70"/>
  <c r="H97" i="70"/>
  <c r="K97" i="70"/>
  <c r="N97" i="70"/>
  <c r="O97" i="70"/>
  <c r="P97" i="70"/>
  <c r="Q97" i="70"/>
  <c r="S97" i="70"/>
  <c r="A98" i="70"/>
  <c r="E98" i="70"/>
  <c r="F98" i="70"/>
  <c r="G98" i="70"/>
  <c r="H98" i="70"/>
  <c r="K98" i="70"/>
  <c r="N98" i="70"/>
  <c r="O98" i="70"/>
  <c r="P98" i="70"/>
  <c r="Q98" i="70"/>
  <c r="S98" i="70"/>
  <c r="A99" i="70"/>
  <c r="E99" i="70"/>
  <c r="F99" i="70"/>
  <c r="G99" i="70"/>
  <c r="H99" i="70"/>
  <c r="K99" i="70"/>
  <c r="N99" i="70"/>
  <c r="O99" i="70"/>
  <c r="P99" i="70"/>
  <c r="Q99" i="70"/>
  <c r="S99" i="70"/>
  <c r="A100" i="70"/>
  <c r="E100" i="70"/>
  <c r="F100" i="70"/>
  <c r="G100" i="70"/>
  <c r="H100" i="70"/>
  <c r="K100" i="70"/>
  <c r="N100" i="70"/>
  <c r="O100" i="70"/>
  <c r="P100" i="70"/>
  <c r="Q100" i="70"/>
  <c r="S100" i="70"/>
  <c r="A103" i="70"/>
  <c r="E103" i="70"/>
  <c r="F103" i="70"/>
  <c r="G103" i="70"/>
  <c r="H103" i="70"/>
  <c r="K103" i="70"/>
  <c r="N103" i="70"/>
  <c r="O103" i="70"/>
  <c r="P103" i="70"/>
  <c r="Q103" i="70"/>
  <c r="S103" i="70"/>
  <c r="A104" i="70"/>
  <c r="E104" i="70"/>
  <c r="F104" i="70"/>
  <c r="G104" i="70"/>
  <c r="H104" i="70"/>
  <c r="K104" i="70"/>
  <c r="N104" i="70"/>
  <c r="O104" i="70"/>
  <c r="P104" i="70"/>
  <c r="Q104" i="70"/>
  <c r="S104" i="70"/>
  <c r="A105" i="70"/>
  <c r="E105" i="70"/>
  <c r="F105" i="70"/>
  <c r="G105" i="70"/>
  <c r="H105" i="70"/>
  <c r="K105" i="70"/>
  <c r="N105" i="70"/>
  <c r="O105" i="70"/>
  <c r="P105" i="70"/>
  <c r="Q105" i="70"/>
  <c r="S105" i="70"/>
  <c r="A106" i="70"/>
  <c r="E106" i="70"/>
  <c r="F106" i="70"/>
  <c r="G106" i="70"/>
  <c r="H106" i="70"/>
  <c r="K106" i="70"/>
  <c r="N106" i="70"/>
  <c r="O106" i="70"/>
  <c r="P106" i="70"/>
  <c r="Q106" i="70"/>
  <c r="S106" i="70"/>
  <c r="A107" i="70"/>
  <c r="E107" i="70"/>
  <c r="F107" i="70"/>
  <c r="G107" i="70"/>
  <c r="H107" i="70"/>
  <c r="K107" i="70"/>
  <c r="M107" i="70"/>
  <c r="N107" i="70"/>
  <c r="O107" i="70"/>
  <c r="P107" i="70"/>
  <c r="Q107" i="70"/>
  <c r="S107" i="70"/>
  <c r="A108" i="70"/>
  <c r="E108" i="70"/>
  <c r="F108" i="70"/>
  <c r="G108" i="70"/>
  <c r="H108" i="70"/>
  <c r="K108" i="70"/>
  <c r="M108" i="70"/>
  <c r="N108" i="70"/>
  <c r="O108" i="70"/>
  <c r="P108" i="70"/>
  <c r="Q108" i="70"/>
  <c r="S108" i="70"/>
  <c r="A109" i="70"/>
  <c r="E109" i="70"/>
  <c r="F109" i="70"/>
  <c r="G109" i="70"/>
  <c r="H109" i="70"/>
  <c r="K109" i="70"/>
  <c r="N109" i="70"/>
  <c r="O109" i="70"/>
  <c r="P109" i="70"/>
  <c r="Q109" i="70"/>
  <c r="S109" i="70"/>
  <c r="A110" i="70"/>
  <c r="E110" i="70"/>
  <c r="F110" i="70"/>
  <c r="G110" i="70"/>
  <c r="H110" i="70"/>
  <c r="K110" i="70"/>
  <c r="N110" i="70"/>
  <c r="O110" i="70"/>
  <c r="P110" i="70"/>
  <c r="Q110" i="70"/>
  <c r="S110" i="70"/>
  <c r="A111" i="70"/>
  <c r="E111" i="70"/>
  <c r="F111" i="70"/>
  <c r="G111" i="70"/>
  <c r="H111" i="70"/>
  <c r="K111" i="70"/>
  <c r="N111" i="70"/>
  <c r="O111" i="70"/>
  <c r="P111" i="70"/>
  <c r="Q111" i="70"/>
  <c r="S111" i="70"/>
  <c r="A112" i="70"/>
  <c r="E112" i="70"/>
  <c r="F112" i="70"/>
  <c r="G112" i="70"/>
  <c r="H112" i="70"/>
  <c r="K112" i="70"/>
  <c r="N112" i="70"/>
  <c r="O112" i="70"/>
  <c r="P112" i="70"/>
  <c r="Q112" i="70"/>
  <c r="S112" i="70"/>
  <c r="A113" i="70"/>
  <c r="E113" i="70"/>
  <c r="F113" i="70"/>
  <c r="G113" i="70"/>
  <c r="H113" i="70"/>
  <c r="K113" i="70"/>
  <c r="N113" i="70"/>
  <c r="O113" i="70"/>
  <c r="P113" i="70"/>
  <c r="Q113" i="70"/>
  <c r="S113" i="70"/>
  <c r="N5" i="70"/>
  <c r="O5" i="70"/>
  <c r="P5" i="70"/>
  <c r="S5" i="70"/>
  <c r="K5" i="70"/>
  <c r="H5" i="70"/>
  <c r="G5" i="70"/>
  <c r="F5" i="70"/>
  <c r="E5" i="70"/>
  <c r="AW13" i="3"/>
  <c r="T115" i="70" s="1"/>
  <c r="AW14" i="3"/>
  <c r="T116" i="70" s="1"/>
  <c r="AW15" i="3"/>
  <c r="T117" i="70" s="1"/>
  <c r="AW16" i="3"/>
  <c r="T118" i="70" s="1"/>
  <c r="AW17" i="3"/>
  <c r="T119" i="70" s="1"/>
  <c r="AW18" i="3"/>
  <c r="T120" i="70" s="1"/>
  <c r="AW19" i="3"/>
  <c r="T121" i="70" s="1"/>
  <c r="AW20" i="3"/>
  <c r="T122" i="70" s="1"/>
  <c r="AW21" i="3"/>
  <c r="T123" i="70" s="1"/>
  <c r="AW22" i="3"/>
  <c r="T124" i="70" s="1"/>
  <c r="AW23" i="3"/>
  <c r="T125" i="70" s="1"/>
  <c r="T126" i="70"/>
  <c r="AW25" i="3"/>
  <c r="T127" i="70" s="1"/>
  <c r="AW26" i="3"/>
  <c r="T128" i="70" s="1"/>
  <c r="AW27" i="3"/>
  <c r="T129" i="70" s="1"/>
  <c r="AW28" i="3"/>
  <c r="T150" i="70" s="1"/>
  <c r="AW29" i="3"/>
  <c r="T151" i="70" s="1"/>
  <c r="AW30" i="3"/>
  <c r="AW31" i="3"/>
  <c r="T153" i="70" s="1"/>
  <c r="AW32" i="3"/>
  <c r="T154" i="70" s="1"/>
  <c r="AW33" i="3"/>
  <c r="T135" i="70" s="1"/>
  <c r="AW34" i="3"/>
  <c r="T136" i="70" s="1"/>
  <c r="AW35" i="3"/>
  <c r="T137" i="70" s="1"/>
  <c r="AW36" i="3"/>
  <c r="T138" i="70" s="1"/>
  <c r="AW37" i="3"/>
  <c r="T139" i="70" s="1"/>
  <c r="AW38" i="3"/>
  <c r="T140" i="70" s="1"/>
  <c r="AW39" i="3"/>
  <c r="T141" i="70" s="1"/>
  <c r="AW40" i="3"/>
  <c r="T142" i="70" s="1"/>
  <c r="AW41" i="3"/>
  <c r="T143" i="70" s="1"/>
  <c r="AW42" i="3"/>
  <c r="T144" i="70" s="1"/>
  <c r="AW43" i="3"/>
  <c r="T145" i="70" s="1"/>
  <c r="AW44" i="3"/>
  <c r="T146" i="70" s="1"/>
  <c r="AW45" i="3"/>
  <c r="T147" i="70" s="1"/>
  <c r="AW46" i="3"/>
  <c r="T148" i="70" s="1"/>
  <c r="AW47" i="3"/>
  <c r="T149" i="70" s="1"/>
  <c r="AW48" i="3"/>
  <c r="AW49" i="3"/>
  <c r="AW50" i="3"/>
  <c r="AW51" i="3"/>
  <c r="AW52" i="3"/>
  <c r="AW53" i="3"/>
  <c r="AW54" i="3"/>
  <c r="AW55" i="3"/>
  <c r="AW56" i="3"/>
  <c r="AW58" i="3"/>
  <c r="AW59" i="3"/>
  <c r="AW60" i="3"/>
  <c r="T155" i="70" s="1"/>
  <c r="AW61" i="3"/>
  <c r="T156" i="70" s="1"/>
  <c r="AW62" i="3"/>
  <c r="T158" i="70" s="1"/>
  <c r="AW63" i="3"/>
  <c r="T159" i="70" s="1"/>
  <c r="AW64" i="3"/>
  <c r="T160" i="70" s="1"/>
  <c r="AW65" i="3"/>
  <c r="T161" i="70" s="1"/>
  <c r="AW66" i="3"/>
  <c r="T162" i="70" s="1"/>
  <c r="AW67" i="3"/>
  <c r="T163" i="70" s="1"/>
  <c r="AW68" i="3"/>
  <c r="T164" i="70" s="1"/>
  <c r="AW69" i="3"/>
  <c r="T167" i="70" s="1"/>
  <c r="AW70" i="3"/>
  <c r="T168" i="70" s="1"/>
  <c r="AW71" i="3"/>
  <c r="AW72" i="3"/>
  <c r="AW73" i="3"/>
  <c r="AW74" i="3"/>
  <c r="AW75" i="3"/>
  <c r="AW76" i="3"/>
  <c r="AW78" i="3"/>
  <c r="AW79" i="3"/>
  <c r="T5" i="70" s="1"/>
  <c r="AW80" i="3"/>
  <c r="T6" i="70" s="1"/>
  <c r="AW81" i="3"/>
  <c r="T7" i="70" s="1"/>
  <c r="AW82" i="3"/>
  <c r="T8" i="70" s="1"/>
  <c r="AW84" i="3"/>
  <c r="AW247" i="3"/>
  <c r="AW85" i="3"/>
  <c r="AW87" i="3"/>
  <c r="AW88" i="3"/>
  <c r="T10" i="70" s="1"/>
  <c r="AW89" i="3"/>
  <c r="T11" i="70" s="1"/>
  <c r="AW90" i="3"/>
  <c r="AW91" i="3"/>
  <c r="AW92" i="3"/>
  <c r="AW93" i="3"/>
  <c r="AW94" i="3"/>
  <c r="T12" i="70" s="1"/>
  <c r="AW95" i="3"/>
  <c r="AW96" i="3"/>
  <c r="T13" i="70" s="1"/>
  <c r="AW99" i="3"/>
  <c r="AW100" i="3"/>
  <c r="AW98" i="3"/>
  <c r="AW101" i="3"/>
  <c r="T14" i="70" s="1"/>
  <c r="AW102" i="3"/>
  <c r="T15" i="70" s="1"/>
  <c r="AW103" i="3"/>
  <c r="T16" i="70" s="1"/>
  <c r="AW104" i="3"/>
  <c r="T17" i="70" s="1"/>
  <c r="AW97" i="3"/>
  <c r="T18" i="70" s="1"/>
  <c r="AW105" i="3"/>
  <c r="AW106" i="3"/>
  <c r="AW107" i="3"/>
  <c r="T19" i="70" s="1"/>
  <c r="AW108" i="3"/>
  <c r="T20" i="70" s="1"/>
  <c r="AW109" i="3"/>
  <c r="AW110" i="3"/>
  <c r="AW111" i="3"/>
  <c r="AW112" i="3"/>
  <c r="T21" i="70" s="1"/>
  <c r="AW113" i="3"/>
  <c r="AW114" i="3"/>
  <c r="AW213" i="3"/>
  <c r="T22" i="70" s="1"/>
  <c r="AW115" i="3"/>
  <c r="T23" i="70" s="1"/>
  <c r="AW116" i="3"/>
  <c r="T24" i="70" s="1"/>
  <c r="AW117" i="3"/>
  <c r="AW118" i="3"/>
  <c r="AW119" i="3"/>
  <c r="T25" i="70" s="1"/>
  <c r="AW120" i="3"/>
  <c r="AW121" i="3"/>
  <c r="T26" i="70" s="1"/>
  <c r="AW122" i="3"/>
  <c r="T27" i="70" s="1"/>
  <c r="AW123" i="3"/>
  <c r="AW124" i="3"/>
  <c r="AW125" i="3"/>
  <c r="AW126" i="3"/>
  <c r="T28" i="70" s="1"/>
  <c r="AW128" i="3"/>
  <c r="AW129" i="3"/>
  <c r="AW130" i="3"/>
  <c r="AW131" i="3"/>
  <c r="AW132" i="3"/>
  <c r="T30" i="70" s="1"/>
  <c r="AW133" i="3"/>
  <c r="T31" i="70" s="1"/>
  <c r="AW134" i="3"/>
  <c r="T32" i="70" s="1"/>
  <c r="AW135" i="3"/>
  <c r="T33" i="70" s="1"/>
  <c r="AW136" i="3"/>
  <c r="T34" i="70" s="1"/>
  <c r="AW137" i="3"/>
  <c r="T35" i="70" s="1"/>
  <c r="AW138" i="3"/>
  <c r="T36" i="70" s="1"/>
  <c r="AW139" i="3"/>
  <c r="T37" i="70" s="1"/>
  <c r="AW140" i="3"/>
  <c r="T38" i="70" s="1"/>
  <c r="AW141" i="3"/>
  <c r="T39" i="70" s="1"/>
  <c r="AW142" i="3"/>
  <c r="T40" i="70" s="1"/>
  <c r="AW143" i="3"/>
  <c r="AW144" i="3"/>
  <c r="AW145" i="3"/>
  <c r="AW146" i="3"/>
  <c r="T41" i="70" s="1"/>
  <c r="AW147" i="3"/>
  <c r="AW148" i="3"/>
  <c r="AW149" i="3"/>
  <c r="AW150" i="3"/>
  <c r="AW151" i="3"/>
  <c r="AW152" i="3"/>
  <c r="T42" i="70" s="1"/>
  <c r="AW154" i="3"/>
  <c r="AW155" i="3"/>
  <c r="AW156" i="3"/>
  <c r="T44" i="70" s="1"/>
  <c r="AW157" i="3"/>
  <c r="AW158" i="3"/>
  <c r="T45" i="70" s="1"/>
  <c r="AW159" i="3"/>
  <c r="AW160" i="3"/>
  <c r="AW161" i="3"/>
  <c r="AW162" i="3"/>
  <c r="T46" i="70" s="1"/>
  <c r="AW163" i="3"/>
  <c r="AW164" i="3"/>
  <c r="T47" i="70" s="1"/>
  <c r="AW165" i="3"/>
  <c r="AW166" i="3"/>
  <c r="AW167" i="3"/>
  <c r="AW168" i="3"/>
  <c r="AW169" i="3"/>
  <c r="AW170" i="3"/>
  <c r="AW171" i="3"/>
  <c r="T48" i="70" s="1"/>
  <c r="AW172" i="3"/>
  <c r="T49" i="70" s="1"/>
  <c r="AW173" i="3"/>
  <c r="AW174" i="3"/>
  <c r="AW175" i="3"/>
  <c r="AW176" i="3"/>
  <c r="T50" i="70" s="1"/>
  <c r="AW177" i="3"/>
  <c r="T51" i="70" s="1"/>
  <c r="AW178" i="3"/>
  <c r="T52" i="70" s="1"/>
  <c r="AW179" i="3"/>
  <c r="T53" i="70" s="1"/>
  <c r="AW180" i="3"/>
  <c r="T54" i="70" s="1"/>
  <c r="AW181" i="3"/>
  <c r="T55" i="70" s="1"/>
  <c r="AW182" i="3"/>
  <c r="T56" i="70" s="1"/>
  <c r="AW183" i="3"/>
  <c r="T57" i="70" s="1"/>
  <c r="AW184" i="3"/>
  <c r="T58" i="70" s="1"/>
  <c r="AW185" i="3"/>
  <c r="AW186" i="3"/>
  <c r="AW187" i="3"/>
  <c r="AW188" i="3"/>
  <c r="AW189" i="3"/>
  <c r="AW190" i="3"/>
  <c r="AW191" i="3"/>
  <c r="T59" i="70" s="1"/>
  <c r="AW192" i="3"/>
  <c r="T60" i="70" s="1"/>
  <c r="AW193" i="3"/>
  <c r="AW194" i="3"/>
  <c r="AW195" i="3"/>
  <c r="AW196" i="3"/>
  <c r="AW198" i="3"/>
  <c r="AW199" i="3"/>
  <c r="AW200" i="3"/>
  <c r="AW201" i="3"/>
  <c r="AW202" i="3"/>
  <c r="AW203" i="3"/>
  <c r="AW204" i="3"/>
  <c r="AW205" i="3"/>
  <c r="AW206" i="3"/>
  <c r="AW208" i="3"/>
  <c r="AW209" i="3"/>
  <c r="AW210" i="3"/>
  <c r="AW211" i="3"/>
  <c r="AW212" i="3"/>
  <c r="AW214" i="3"/>
  <c r="AW215" i="3"/>
  <c r="AW216" i="3"/>
  <c r="T63" i="70" s="1"/>
  <c r="AW217" i="3"/>
  <c r="T64" i="70" s="1"/>
  <c r="AW218" i="3"/>
  <c r="T65" i="70" s="1"/>
  <c r="AW219" i="3"/>
  <c r="T66" i="70" s="1"/>
  <c r="AW220" i="3"/>
  <c r="T67" i="70" s="1"/>
  <c r="AW221" i="3"/>
  <c r="T68" i="70" s="1"/>
  <c r="AW222" i="3"/>
  <c r="T69" i="70" s="1"/>
  <c r="AW223" i="3"/>
  <c r="T70" i="70" s="1"/>
  <c r="AW224" i="3"/>
  <c r="T71" i="70" s="1"/>
  <c r="AW225" i="3"/>
  <c r="T72" i="70" s="1"/>
  <c r="AW226" i="3"/>
  <c r="T73" i="70" s="1"/>
  <c r="AW228" i="3"/>
  <c r="AW229" i="3"/>
  <c r="AW230" i="3"/>
  <c r="T75" i="70" s="1"/>
  <c r="AW231" i="3"/>
  <c r="AW232" i="3"/>
  <c r="AW233" i="3"/>
  <c r="AW234" i="3"/>
  <c r="AW235" i="3"/>
  <c r="T76" i="70" s="1"/>
  <c r="AW236" i="3"/>
  <c r="T77" i="70" s="1"/>
  <c r="AW237" i="3"/>
  <c r="T78" i="70" s="1"/>
  <c r="AW238" i="3"/>
  <c r="T79" i="70" s="1"/>
  <c r="AW239" i="3"/>
  <c r="T80" i="70" s="1"/>
  <c r="AW240" i="3"/>
  <c r="AW241" i="3"/>
  <c r="AW242" i="3"/>
  <c r="AW243" i="3"/>
  <c r="AW244" i="3"/>
  <c r="T81" i="70" s="1"/>
  <c r="AW245" i="3"/>
  <c r="AW246" i="3"/>
  <c r="AW248" i="3"/>
  <c r="AW249" i="3"/>
  <c r="AW250" i="3"/>
  <c r="AW251" i="3"/>
  <c r="AW252" i="3"/>
  <c r="AW253" i="3"/>
  <c r="AW254" i="3"/>
  <c r="AW255" i="3"/>
  <c r="AW256" i="3"/>
  <c r="AW257" i="3"/>
  <c r="T82" i="70" s="1"/>
  <c r="AW258" i="3"/>
  <c r="AW259" i="3"/>
  <c r="T83" i="70" s="1"/>
  <c r="AW260" i="3"/>
  <c r="T84" i="70" s="1"/>
  <c r="AW261" i="3"/>
  <c r="AW262" i="3"/>
  <c r="AW263" i="3"/>
  <c r="AW264" i="3"/>
  <c r="AW265" i="3"/>
  <c r="AW266" i="3"/>
  <c r="AW267" i="3"/>
  <c r="AW268" i="3"/>
  <c r="AW269" i="3"/>
  <c r="AW270" i="3"/>
  <c r="T85" i="70" s="1"/>
  <c r="AW271" i="3"/>
  <c r="T86" i="70" s="1"/>
  <c r="AW272" i="3"/>
  <c r="AW273" i="3"/>
  <c r="AW274" i="3"/>
  <c r="T87" i="70" s="1"/>
  <c r="AW275" i="3"/>
  <c r="T88" i="70" s="1"/>
  <c r="AW276" i="3"/>
  <c r="T89" i="70" s="1"/>
  <c r="AW277" i="3"/>
  <c r="AW278" i="3"/>
  <c r="AW279" i="3"/>
  <c r="T90" i="70" s="1"/>
  <c r="AW281" i="3"/>
  <c r="AW282" i="3"/>
  <c r="AW283" i="3"/>
  <c r="AW284" i="3"/>
  <c r="AW285" i="3"/>
  <c r="AW286" i="3"/>
  <c r="AW287" i="3"/>
  <c r="AW288" i="3"/>
  <c r="AW289" i="3"/>
  <c r="AW290" i="3"/>
  <c r="AW291" i="3"/>
  <c r="AW292" i="3"/>
  <c r="AW293" i="3"/>
  <c r="AW294" i="3"/>
  <c r="T92" i="70" s="1"/>
  <c r="AW295" i="3"/>
  <c r="AW296" i="3"/>
  <c r="AW297" i="3"/>
  <c r="T93" i="70" s="1"/>
  <c r="AW298" i="3"/>
  <c r="AW299" i="3"/>
  <c r="AW300" i="3"/>
  <c r="T94" i="70" s="1"/>
  <c r="AW302" i="3"/>
  <c r="T95" i="70" s="1"/>
  <c r="AW303" i="3"/>
  <c r="AW304" i="3"/>
  <c r="AW305" i="3"/>
  <c r="T96" i="70" s="1"/>
  <c r="AW306" i="3"/>
  <c r="T97" i="70" s="1"/>
  <c r="AW307" i="3"/>
  <c r="T98" i="70" s="1"/>
  <c r="AW308" i="3"/>
  <c r="T99" i="70" s="1"/>
  <c r="AW309" i="3"/>
  <c r="AW310" i="3"/>
  <c r="AW311" i="3"/>
  <c r="T100" i="70" s="1"/>
  <c r="AW312" i="3"/>
  <c r="T101" i="70" s="1"/>
  <c r="AW313" i="3"/>
  <c r="T102" i="70" s="1"/>
  <c r="AW314" i="3"/>
  <c r="AW315" i="3"/>
  <c r="AW316" i="3"/>
  <c r="AW317" i="3"/>
  <c r="T103" i="70" s="1"/>
  <c r="AW318" i="3"/>
  <c r="T104" i="70" s="1"/>
  <c r="AW319" i="3"/>
  <c r="AW320" i="3"/>
  <c r="AW321" i="3"/>
  <c r="AW322" i="3"/>
  <c r="T105" i="70" s="1"/>
  <c r="AW323" i="3"/>
  <c r="AW324" i="3"/>
  <c r="AW325" i="3"/>
  <c r="T106" i="70" s="1"/>
  <c r="T107" i="70"/>
  <c r="AW328" i="3"/>
  <c r="T108" i="70" s="1"/>
  <c r="AW329" i="3"/>
  <c r="T109" i="70" s="1"/>
  <c r="AW330" i="3"/>
  <c r="AW331" i="3"/>
  <c r="AW332" i="3"/>
  <c r="AW333" i="3"/>
  <c r="T110" i="70" s="1"/>
  <c r="AW334" i="3"/>
  <c r="T111" i="70"/>
  <c r="AW335" i="3"/>
  <c r="AW336" i="3"/>
  <c r="AW337" i="3"/>
  <c r="T112" i="70"/>
  <c r="AW338" i="3"/>
  <c r="T113" i="70" s="1"/>
  <c r="AW339" i="3"/>
  <c r="AW340" i="3"/>
  <c r="AW341" i="3"/>
  <c r="AW342" i="3"/>
  <c r="AW343" i="3"/>
  <c r="AW344" i="3"/>
  <c r="AW345" i="3"/>
  <c r="AW346" i="3"/>
  <c r="AW347" i="3"/>
  <c r="AW348" i="3"/>
  <c r="AW349" i="3"/>
  <c r="AW350" i="3"/>
  <c r="AW351" i="3"/>
  <c r="AW352" i="3"/>
  <c r="AW353" i="3"/>
  <c r="AW354" i="3"/>
  <c r="AW355" i="3"/>
  <c r="AW356" i="3"/>
  <c r="AW357" i="3"/>
  <c r="AW358" i="3"/>
  <c r="AW359" i="3"/>
  <c r="AW360" i="3"/>
  <c r="AW361" i="3"/>
  <c r="AW362" i="3"/>
  <c r="AW363" i="3"/>
  <c r="AW364" i="3"/>
  <c r="AW365" i="3"/>
  <c r="AW366" i="3"/>
  <c r="AW367" i="3"/>
  <c r="AW368" i="3"/>
  <c r="AW369" i="3"/>
  <c r="AW370" i="3"/>
  <c r="AW371" i="3"/>
  <c r="AW372" i="3"/>
  <c r="AW373" i="3"/>
  <c r="AW12" i="3"/>
  <c r="T114" i="70" s="1"/>
  <c r="AU73" i="3"/>
  <c r="AU74" i="3"/>
  <c r="AU76" i="3"/>
  <c r="AT13" i="3"/>
  <c r="Q115" i="70" s="1"/>
  <c r="AT14" i="3"/>
  <c r="Q116" i="70" s="1"/>
  <c r="AT15" i="3"/>
  <c r="Q117" i="70" s="1"/>
  <c r="AT16" i="3"/>
  <c r="Q118" i="70" s="1"/>
  <c r="AT17" i="3"/>
  <c r="Q119" i="70" s="1"/>
  <c r="AT18" i="3"/>
  <c r="Q120" i="70" s="1"/>
  <c r="AT19" i="3"/>
  <c r="Q121" i="70" s="1"/>
  <c r="AT20" i="3"/>
  <c r="Q122" i="70" s="1"/>
  <c r="AT21" i="3"/>
  <c r="Q123" i="70" s="1"/>
  <c r="AT22" i="3"/>
  <c r="Q124" i="70" s="1"/>
  <c r="AT23" i="3"/>
  <c r="Q125" i="70" s="1"/>
  <c r="Q126" i="70"/>
  <c r="AT25" i="3"/>
  <c r="Q127" i="70" s="1"/>
  <c r="AT26" i="3"/>
  <c r="Q128" i="70" s="1"/>
  <c r="AT27" i="3"/>
  <c r="Q129" i="70" s="1"/>
  <c r="AT28" i="3"/>
  <c r="Q130" i="70" s="1"/>
  <c r="AT29" i="3"/>
  <c r="Q131" i="70" s="1"/>
  <c r="AT30" i="3"/>
  <c r="Q132" i="70"/>
  <c r="AT31" i="3"/>
  <c r="Q133" i="70" s="1"/>
  <c r="AT32" i="3"/>
  <c r="Q134" i="70" s="1"/>
  <c r="AT33" i="3"/>
  <c r="Q135" i="70" s="1"/>
  <c r="AT34" i="3"/>
  <c r="Q136" i="70" s="1"/>
  <c r="AT35" i="3"/>
  <c r="Q137" i="70" s="1"/>
  <c r="AT36" i="3"/>
  <c r="Q138" i="70" s="1"/>
  <c r="AT37" i="3"/>
  <c r="Q139" i="70" s="1"/>
  <c r="AT38" i="3"/>
  <c r="Q140" i="70" s="1"/>
  <c r="AT39" i="3"/>
  <c r="Q141" i="70" s="1"/>
  <c r="AT40" i="3"/>
  <c r="Q142" i="70" s="1"/>
  <c r="AT41" i="3"/>
  <c r="Q143" i="70" s="1"/>
  <c r="AT42" i="3"/>
  <c r="Q144" i="70" s="1"/>
  <c r="AT43" i="3"/>
  <c r="Q145" i="70" s="1"/>
  <c r="AT44" i="3"/>
  <c r="Q146" i="70" s="1"/>
  <c r="AT45" i="3"/>
  <c r="Q147" i="70" s="1"/>
  <c r="AT46" i="3"/>
  <c r="Q148" i="70" s="1"/>
  <c r="AT47" i="3"/>
  <c r="Q149" i="70" s="1"/>
  <c r="AT48" i="3"/>
  <c r="AT49" i="3"/>
  <c r="AT50" i="3"/>
  <c r="Q150" i="70" s="1"/>
  <c r="AT51" i="3"/>
  <c r="Q151" i="70" s="1"/>
  <c r="AT52" i="3"/>
  <c r="AT53" i="3"/>
  <c r="Q153" i="70" s="1"/>
  <c r="AT54" i="3"/>
  <c r="AT55" i="3"/>
  <c r="AT56" i="3"/>
  <c r="AT58" i="3"/>
  <c r="AT59" i="3"/>
  <c r="AT78" i="3"/>
  <c r="AT79" i="3"/>
  <c r="Q5" i="70" s="1"/>
  <c r="AT80" i="3"/>
  <c r="Q6" i="70" s="1"/>
  <c r="AT81" i="3"/>
  <c r="Q7" i="70" s="1"/>
  <c r="AT82" i="3"/>
  <c r="Q8" i="70" s="1"/>
  <c r="AT84" i="3"/>
  <c r="AT247" i="3"/>
  <c r="AT85" i="3"/>
  <c r="AT87" i="3"/>
  <c r="AT88" i="3"/>
  <c r="AT89" i="3"/>
  <c r="Q11" i="70" s="1"/>
  <c r="AT90" i="3"/>
  <c r="AT91" i="3"/>
  <c r="AT92" i="3"/>
  <c r="AT93" i="3"/>
  <c r="AT94" i="3"/>
  <c r="Q12" i="70" s="1"/>
  <c r="AT95" i="3"/>
  <c r="AT96" i="3"/>
  <c r="AT99" i="3"/>
  <c r="AT100" i="3"/>
  <c r="AT98" i="3"/>
  <c r="AT101" i="3"/>
  <c r="AT102" i="3"/>
  <c r="AT103" i="3"/>
  <c r="Q16" i="70" s="1"/>
  <c r="AT104" i="3"/>
  <c r="Q17" i="70" s="1"/>
  <c r="AT97" i="3"/>
  <c r="Q18" i="70" s="1"/>
  <c r="AT105" i="3"/>
  <c r="AT106" i="3"/>
  <c r="AT107" i="3"/>
  <c r="Q19" i="70" s="1"/>
  <c r="AT108" i="3"/>
  <c r="Q20" i="70" s="1"/>
  <c r="AT109" i="3"/>
  <c r="AT110" i="3"/>
  <c r="AT111" i="3"/>
  <c r="AT112" i="3"/>
  <c r="AT113" i="3"/>
  <c r="AT114" i="3"/>
  <c r="AT213" i="3"/>
  <c r="Q22" i="70" s="1"/>
  <c r="AT115" i="3"/>
  <c r="AT116" i="3"/>
  <c r="AT117" i="3"/>
  <c r="AT118" i="3"/>
  <c r="AT119" i="3"/>
  <c r="AT120" i="3"/>
  <c r="AT121" i="3"/>
  <c r="Q26" i="70" s="1"/>
  <c r="AT122" i="3"/>
  <c r="Q27" i="70" s="1"/>
  <c r="AT123" i="3"/>
  <c r="AT124" i="3"/>
  <c r="AT125" i="3"/>
  <c r="AT126" i="3"/>
  <c r="AT128" i="3"/>
  <c r="AT129" i="3"/>
  <c r="AT130" i="3"/>
  <c r="AT131" i="3"/>
  <c r="AT132" i="3"/>
  <c r="AT133" i="3"/>
  <c r="Q31" i="70" s="1"/>
  <c r="AT134" i="3"/>
  <c r="Q32" i="70" s="1"/>
  <c r="AT135" i="3"/>
  <c r="Q33" i="70" s="1"/>
  <c r="AT136" i="3"/>
  <c r="Q34" i="70" s="1"/>
  <c r="AT137" i="3"/>
  <c r="Q35" i="70" s="1"/>
  <c r="AT138" i="3"/>
  <c r="Q36" i="70" s="1"/>
  <c r="AT139" i="3"/>
  <c r="Q37" i="70" s="1"/>
  <c r="AT140" i="3"/>
  <c r="AT141" i="3"/>
  <c r="Q39" i="70" s="1"/>
  <c r="AT142" i="3"/>
  <c r="Q40" i="70" s="1"/>
  <c r="AT143" i="3"/>
  <c r="AT144" i="3"/>
  <c r="AT145" i="3"/>
  <c r="AT146" i="3"/>
  <c r="Q41" i="70" s="1"/>
  <c r="AT147" i="3"/>
  <c r="AT148" i="3"/>
  <c r="AT149" i="3"/>
  <c r="AT150" i="3"/>
  <c r="AT151" i="3"/>
  <c r="AT152" i="3"/>
  <c r="AT154" i="3"/>
  <c r="AT155" i="3"/>
  <c r="AT156" i="3"/>
  <c r="Q44" i="70" s="1"/>
  <c r="AT157" i="3"/>
  <c r="AT158" i="3"/>
  <c r="Q45" i="70" s="1"/>
  <c r="AT159" i="3"/>
  <c r="AT160" i="3"/>
  <c r="AT161" i="3"/>
  <c r="AT162" i="3"/>
  <c r="Q46" i="70" s="1"/>
  <c r="AT163" i="3"/>
  <c r="AT164" i="3"/>
  <c r="Q47" i="70" s="1"/>
  <c r="AT165" i="3"/>
  <c r="AT166" i="3"/>
  <c r="AT167" i="3"/>
  <c r="AT168" i="3"/>
  <c r="AT169" i="3"/>
  <c r="AT170" i="3"/>
  <c r="AT171" i="3"/>
  <c r="Q48" i="70" s="1"/>
  <c r="AT172" i="3"/>
  <c r="Q49" i="70" s="1"/>
  <c r="AT173" i="3"/>
  <c r="AT174" i="3"/>
  <c r="AT175" i="3"/>
  <c r="AT176" i="3"/>
  <c r="Q50" i="70" s="1"/>
  <c r="AT177" i="3"/>
  <c r="Q51" i="70" s="1"/>
  <c r="AT178" i="3"/>
  <c r="Q52" i="70" s="1"/>
  <c r="AT179" i="3"/>
  <c r="Q53" i="70" s="1"/>
  <c r="AT180" i="3"/>
  <c r="Q54" i="70" s="1"/>
  <c r="AT181" i="3"/>
  <c r="AT182" i="3"/>
  <c r="AT183" i="3"/>
  <c r="Q57" i="70" s="1"/>
  <c r="AT184" i="3"/>
  <c r="Q58" i="70" s="1"/>
  <c r="AT185" i="3"/>
  <c r="AT186" i="3"/>
  <c r="AT187" i="3"/>
  <c r="AT188" i="3"/>
  <c r="AT189" i="3"/>
  <c r="AT190" i="3"/>
  <c r="AT191" i="3"/>
  <c r="Q59" i="70" s="1"/>
  <c r="AT192" i="3"/>
  <c r="Q60" i="70" s="1"/>
  <c r="AT193" i="3"/>
  <c r="AT194" i="3"/>
  <c r="AT195" i="3"/>
  <c r="AT196" i="3"/>
  <c r="AT198" i="3"/>
  <c r="AT199" i="3"/>
  <c r="AT200" i="3"/>
  <c r="AT201" i="3"/>
  <c r="AT202" i="3"/>
  <c r="AT203" i="3"/>
  <c r="AT204" i="3"/>
  <c r="AT205" i="3"/>
  <c r="AT206" i="3"/>
  <c r="AT208" i="3"/>
  <c r="AT209" i="3"/>
  <c r="AT210" i="3"/>
  <c r="AT211" i="3"/>
  <c r="AT212" i="3"/>
  <c r="AT214" i="3"/>
  <c r="AT215" i="3"/>
  <c r="AT216" i="3"/>
  <c r="Q63" i="70" s="1"/>
  <c r="AT217" i="3"/>
  <c r="AT218" i="3"/>
  <c r="Q65" i="70" s="1"/>
  <c r="AT219" i="3"/>
  <c r="Q66" i="70" s="1"/>
  <c r="AT220" i="3"/>
  <c r="AT221" i="3"/>
  <c r="Q68" i="70" s="1"/>
  <c r="AT222" i="3"/>
  <c r="Q69" i="70" s="1"/>
  <c r="AT223" i="3"/>
  <c r="Q70" i="70" s="1"/>
  <c r="AT224" i="3"/>
  <c r="AT225" i="3"/>
  <c r="Q72" i="70" s="1"/>
  <c r="AT226" i="3"/>
  <c r="Q73" i="70" s="1"/>
  <c r="AT228" i="3"/>
  <c r="AT229" i="3"/>
  <c r="AT230" i="3"/>
  <c r="AT231" i="3"/>
  <c r="AT232" i="3"/>
  <c r="AT233" i="3"/>
  <c r="AT234" i="3"/>
  <c r="AT235" i="3"/>
  <c r="Q76" i="70" s="1"/>
  <c r="AT236" i="3"/>
  <c r="Q77" i="70" s="1"/>
  <c r="AT237" i="3"/>
  <c r="AT238" i="3"/>
  <c r="AT239" i="3"/>
  <c r="Q80" i="70" s="1"/>
  <c r="AT240" i="3"/>
  <c r="AT241" i="3"/>
  <c r="AT242" i="3"/>
  <c r="AT243" i="3"/>
  <c r="AT244" i="3"/>
  <c r="Q81" i="70" s="1"/>
  <c r="AT245" i="3"/>
  <c r="AT246" i="3"/>
  <c r="AT248" i="3"/>
  <c r="AT249" i="3"/>
  <c r="AT250" i="3"/>
  <c r="AT251" i="3"/>
  <c r="AT252" i="3"/>
  <c r="AT253" i="3"/>
  <c r="AT254" i="3"/>
  <c r="AT12" i="3"/>
  <c r="Q114" i="70" s="1"/>
  <c r="M151" i="70"/>
  <c r="M152" i="70"/>
  <c r="M153" i="70"/>
  <c r="M154" i="70"/>
  <c r="M155" i="70"/>
  <c r="M5" i="70"/>
  <c r="Z5" i="70" s="1"/>
  <c r="M7" i="70"/>
  <c r="M8" i="70"/>
  <c r="M11" i="70"/>
  <c r="M14" i="70"/>
  <c r="M15" i="70"/>
  <c r="M18" i="70"/>
  <c r="M21" i="70"/>
  <c r="M24" i="70"/>
  <c r="M30" i="70"/>
  <c r="M34" i="70"/>
  <c r="M36" i="70"/>
  <c r="Z36" i="70" s="1"/>
  <c r="M37" i="70"/>
  <c r="M38" i="70"/>
  <c r="M41" i="70"/>
  <c r="M42" i="70"/>
  <c r="M44" i="70"/>
  <c r="M46" i="70"/>
  <c r="M47" i="70"/>
  <c r="M49" i="70"/>
  <c r="M50" i="70"/>
  <c r="M51" i="70"/>
  <c r="M54" i="70"/>
  <c r="M55" i="70"/>
  <c r="M58" i="70"/>
  <c r="M59" i="70"/>
  <c r="M60" i="70"/>
  <c r="M64" i="70"/>
  <c r="M67" i="70"/>
  <c r="M68" i="70"/>
  <c r="M70" i="70"/>
  <c r="M72" i="70"/>
  <c r="M78" i="70"/>
  <c r="M82" i="70"/>
  <c r="M84" i="70"/>
  <c r="M87" i="70"/>
  <c r="M88" i="70"/>
  <c r="M89" i="70"/>
  <c r="M90" i="70"/>
  <c r="M94" i="70"/>
  <c r="M103" i="70"/>
  <c r="M106" i="70"/>
  <c r="M109" i="70"/>
  <c r="M110" i="70"/>
  <c r="M111" i="70"/>
  <c r="M112" i="70"/>
  <c r="M113" i="70"/>
  <c r="AO61" i="3"/>
  <c r="L156" i="70" s="1"/>
  <c r="AO62" i="3"/>
  <c r="L157" i="70" s="1"/>
  <c r="AO63" i="3"/>
  <c r="L158" i="70" s="1"/>
  <c r="AO64" i="3"/>
  <c r="L159" i="70" s="1"/>
  <c r="AO65" i="3"/>
  <c r="L160" i="70" s="1"/>
  <c r="AO66" i="3"/>
  <c r="L161" i="70" s="1"/>
  <c r="AO67" i="3"/>
  <c r="L162" i="70" s="1"/>
  <c r="AO68" i="3"/>
  <c r="L163" i="70" s="1"/>
  <c r="AO69" i="3"/>
  <c r="L164" i="70" s="1"/>
  <c r="AO70" i="3"/>
  <c r="L165" i="70" s="1"/>
  <c r="AO71" i="3"/>
  <c r="L166" i="70" s="1"/>
  <c r="AO72" i="3"/>
  <c r="L167" i="70" s="1"/>
  <c r="AO75" i="3"/>
  <c r="L168" i="70" s="1"/>
  <c r="AO60" i="3"/>
  <c r="L155" i="70" s="1"/>
  <c r="AO49" i="3"/>
  <c r="AO54" i="3"/>
  <c r="AO55" i="3"/>
  <c r="AO58" i="3"/>
  <c r="AO59" i="3"/>
  <c r="AO78" i="3"/>
  <c r="AO125" i="3"/>
  <c r="AO131" i="3"/>
  <c r="AO195" i="3"/>
  <c r="AO205" i="3"/>
  <c r="AO253" i="3"/>
  <c r="AO255" i="3"/>
  <c r="AO256" i="3"/>
  <c r="AO269" i="3"/>
  <c r="AO272" i="3"/>
  <c r="AO273" i="3"/>
  <c r="AO277" i="3"/>
  <c r="AO278" i="3"/>
  <c r="AO292" i="3"/>
  <c r="AO293" i="3"/>
  <c r="AO303" i="3"/>
  <c r="AO304" i="3"/>
  <c r="AO308" i="3"/>
  <c r="L99" i="70" s="1"/>
  <c r="AO312" i="3"/>
  <c r="L101" i="70" s="1"/>
  <c r="AO314" i="3"/>
  <c r="AO316" i="3"/>
  <c r="AO319" i="3"/>
  <c r="AO320" i="3"/>
  <c r="AO321" i="3"/>
  <c r="AO332" i="3"/>
  <c r="AO335" i="3"/>
  <c r="AO336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I227" i="3"/>
  <c r="I127" i="3"/>
  <c r="I153" i="3"/>
  <c r="T165" i="70"/>
  <c r="I61" i="70"/>
  <c r="Q75" i="70"/>
  <c r="Q79" i="70"/>
  <c r="Q56" i="70"/>
  <c r="Q24" i="70"/>
  <c r="Q23" i="70"/>
  <c r="Q15" i="70"/>
  <c r="Q28" i="70"/>
  <c r="Q64" i="70"/>
  <c r="Q25" i="70"/>
  <c r="Q21" i="70"/>
  <c r="Q13" i="70"/>
  <c r="Q154" i="70"/>
  <c r="Q152" i="70"/>
  <c r="Q71" i="70"/>
  <c r="Q67" i="70"/>
  <c r="Q38" i="70"/>
  <c r="Q10" i="70"/>
  <c r="Q78" i="70"/>
  <c r="Q55" i="70"/>
  <c r="Q42" i="70"/>
  <c r="Q30" i="70"/>
  <c r="Q14" i="70"/>
  <c r="AM13" i="3"/>
  <c r="J115" i="70" s="1"/>
  <c r="AM14" i="3"/>
  <c r="J116" i="70" s="1"/>
  <c r="AM15" i="3"/>
  <c r="J117" i="70" s="1"/>
  <c r="AM16" i="3"/>
  <c r="J118" i="70" s="1"/>
  <c r="AM17" i="3"/>
  <c r="J119" i="70" s="1"/>
  <c r="AM18" i="3"/>
  <c r="J120" i="70" s="1"/>
  <c r="AM19" i="3"/>
  <c r="J121" i="70" s="1"/>
  <c r="AM20" i="3"/>
  <c r="J122" i="70" s="1"/>
  <c r="AM21" i="3"/>
  <c r="J123" i="70" s="1"/>
  <c r="AM22" i="3"/>
  <c r="J124" i="70" s="1"/>
  <c r="AM23" i="3"/>
  <c r="J125" i="70" s="1"/>
  <c r="J126" i="70"/>
  <c r="AM25" i="3"/>
  <c r="J127" i="70" s="1"/>
  <c r="AM26" i="3"/>
  <c r="J128" i="70" s="1"/>
  <c r="AM27" i="3"/>
  <c r="J129" i="70" s="1"/>
  <c r="AM28" i="3"/>
  <c r="J130" i="70"/>
  <c r="AM29" i="3"/>
  <c r="J131" i="70" s="1"/>
  <c r="AM30" i="3"/>
  <c r="J132" i="70" s="1"/>
  <c r="AM31" i="3"/>
  <c r="J133" i="70" s="1"/>
  <c r="AM32" i="3"/>
  <c r="J134" i="70" s="1"/>
  <c r="AM33" i="3"/>
  <c r="J135" i="70" s="1"/>
  <c r="AM34" i="3"/>
  <c r="J136" i="70" s="1"/>
  <c r="AM35" i="3"/>
  <c r="J137" i="70" s="1"/>
  <c r="AM36" i="3"/>
  <c r="J138" i="70" s="1"/>
  <c r="AM37" i="3"/>
  <c r="J139" i="70" s="1"/>
  <c r="AM38" i="3"/>
  <c r="J140" i="70" s="1"/>
  <c r="AM39" i="3"/>
  <c r="J141" i="70" s="1"/>
  <c r="AM40" i="3"/>
  <c r="J142" i="70" s="1"/>
  <c r="AM41" i="3"/>
  <c r="J143" i="70" s="1"/>
  <c r="AM42" i="3"/>
  <c r="J144" i="70" s="1"/>
  <c r="AM43" i="3"/>
  <c r="J145" i="70" s="1"/>
  <c r="AM44" i="3"/>
  <c r="J146" i="70" s="1"/>
  <c r="AM45" i="3"/>
  <c r="J147" i="70" s="1"/>
  <c r="AM46" i="3"/>
  <c r="J148" i="70" s="1"/>
  <c r="AM47" i="3"/>
  <c r="J149" i="70" s="1"/>
  <c r="AM48" i="3"/>
  <c r="AM49" i="3"/>
  <c r="AM50" i="3"/>
  <c r="J150" i="70" s="1"/>
  <c r="AM51" i="3"/>
  <c r="AM52" i="3"/>
  <c r="J152" i="70" s="1"/>
  <c r="AM53" i="3"/>
  <c r="J153" i="70" s="1"/>
  <c r="AM54" i="3"/>
  <c r="AM55" i="3"/>
  <c r="AM56" i="3"/>
  <c r="J154" i="70" s="1"/>
  <c r="AM58" i="3"/>
  <c r="AM59" i="3"/>
  <c r="AM78" i="3"/>
  <c r="AM79" i="3"/>
  <c r="AM80" i="3"/>
  <c r="J6" i="70" s="1"/>
  <c r="AM81" i="3"/>
  <c r="J7" i="70" s="1"/>
  <c r="AM82" i="3"/>
  <c r="J8" i="70" s="1"/>
  <c r="AM84" i="3"/>
  <c r="AM247" i="3"/>
  <c r="AM85" i="3"/>
  <c r="AM87" i="3"/>
  <c r="AM88" i="3"/>
  <c r="AM89" i="3"/>
  <c r="J11" i="70" s="1"/>
  <c r="AM90" i="3"/>
  <c r="AM91" i="3"/>
  <c r="AM92" i="3"/>
  <c r="AM93" i="3"/>
  <c r="AM94" i="3"/>
  <c r="AM95" i="3"/>
  <c r="AM96" i="3"/>
  <c r="J13" i="70" s="1"/>
  <c r="AM99" i="3"/>
  <c r="AM100" i="3"/>
  <c r="AM98" i="3"/>
  <c r="AM101" i="3"/>
  <c r="J14" i="70" s="1"/>
  <c r="AM102" i="3"/>
  <c r="J15" i="70" s="1"/>
  <c r="AM103" i="3"/>
  <c r="J16" i="70" s="1"/>
  <c r="AM104" i="3"/>
  <c r="J17" i="70" s="1"/>
  <c r="AM97" i="3"/>
  <c r="J18" i="70" s="1"/>
  <c r="AM105" i="3"/>
  <c r="AM106" i="3"/>
  <c r="AM107" i="3"/>
  <c r="J19" i="70" s="1"/>
  <c r="AM108" i="3"/>
  <c r="AM109" i="3"/>
  <c r="AM110" i="3"/>
  <c r="AM111" i="3"/>
  <c r="AM112" i="3"/>
  <c r="AM113" i="3"/>
  <c r="AM114" i="3"/>
  <c r="AM213" i="3"/>
  <c r="J22" i="70" s="1"/>
  <c r="AM115" i="3"/>
  <c r="J23" i="70" s="1"/>
  <c r="AM116" i="3"/>
  <c r="J24" i="70" s="1"/>
  <c r="AM117" i="3"/>
  <c r="AM118" i="3"/>
  <c r="AM119" i="3"/>
  <c r="J25" i="70" s="1"/>
  <c r="AM120" i="3"/>
  <c r="AM121" i="3"/>
  <c r="J26" i="70" s="1"/>
  <c r="AM122" i="3"/>
  <c r="J27" i="70" s="1"/>
  <c r="AM123" i="3"/>
  <c r="AM124" i="3"/>
  <c r="AM125" i="3"/>
  <c r="AM126" i="3"/>
  <c r="J28" i="70" s="1"/>
  <c r="AM128" i="3"/>
  <c r="AM129" i="3"/>
  <c r="AM130" i="3"/>
  <c r="AM131" i="3"/>
  <c r="AM132" i="3"/>
  <c r="J30" i="70" s="1"/>
  <c r="AM133" i="3"/>
  <c r="J31" i="70" s="1"/>
  <c r="AM134" i="3"/>
  <c r="J32" i="70" s="1"/>
  <c r="AM135" i="3"/>
  <c r="J33" i="70" s="1"/>
  <c r="AM136" i="3"/>
  <c r="AM137" i="3"/>
  <c r="J35" i="70" s="1"/>
  <c r="AM138" i="3"/>
  <c r="J36" i="70" s="1"/>
  <c r="AM139" i="3"/>
  <c r="J37" i="70" s="1"/>
  <c r="AM140" i="3"/>
  <c r="J38" i="70" s="1"/>
  <c r="AM141" i="3"/>
  <c r="J39" i="70" s="1"/>
  <c r="AM142" i="3"/>
  <c r="AM143" i="3"/>
  <c r="AM144" i="3"/>
  <c r="AM145" i="3"/>
  <c r="AM146" i="3"/>
  <c r="J41" i="70" s="1"/>
  <c r="AM147" i="3"/>
  <c r="AM148" i="3"/>
  <c r="AM149" i="3"/>
  <c r="AM150" i="3"/>
  <c r="AM151" i="3"/>
  <c r="AM152" i="3"/>
  <c r="AM154" i="3"/>
  <c r="AM155" i="3"/>
  <c r="AM156" i="3"/>
  <c r="J44" i="70" s="1"/>
  <c r="AM157" i="3"/>
  <c r="AM158" i="3"/>
  <c r="J45" i="70" s="1"/>
  <c r="AM159" i="3"/>
  <c r="AM160" i="3"/>
  <c r="AM161" i="3"/>
  <c r="AM162" i="3"/>
  <c r="J46" i="70" s="1"/>
  <c r="AM163" i="3"/>
  <c r="AM164" i="3"/>
  <c r="J47" i="70" s="1"/>
  <c r="AM165" i="3"/>
  <c r="AM166" i="3"/>
  <c r="AM167" i="3"/>
  <c r="AM168" i="3"/>
  <c r="AM169" i="3"/>
  <c r="AM170" i="3"/>
  <c r="AM171" i="3"/>
  <c r="J48" i="70" s="1"/>
  <c r="AM172" i="3"/>
  <c r="AM173" i="3"/>
  <c r="AM174" i="3"/>
  <c r="AM175" i="3"/>
  <c r="AM176" i="3"/>
  <c r="J50" i="70" s="1"/>
  <c r="AM177" i="3"/>
  <c r="J51" i="70" s="1"/>
  <c r="AM178" i="3"/>
  <c r="J52" i="70" s="1"/>
  <c r="AM179" i="3"/>
  <c r="AM180" i="3"/>
  <c r="J54" i="70" s="1"/>
  <c r="AM181" i="3"/>
  <c r="J55" i="70" s="1"/>
  <c r="AM182" i="3"/>
  <c r="J56" i="70" s="1"/>
  <c r="AM183" i="3"/>
  <c r="J57" i="70" s="1"/>
  <c r="AM184" i="3"/>
  <c r="J58" i="70" s="1"/>
  <c r="AM185" i="3"/>
  <c r="AM186" i="3"/>
  <c r="AM187" i="3"/>
  <c r="AM188" i="3"/>
  <c r="AM189" i="3"/>
  <c r="AM190" i="3"/>
  <c r="AM191" i="3"/>
  <c r="J59" i="70" s="1"/>
  <c r="AM192" i="3"/>
  <c r="AM193" i="3"/>
  <c r="AM194" i="3"/>
  <c r="AM195" i="3"/>
  <c r="AM196" i="3"/>
  <c r="AM198" i="3"/>
  <c r="AM199" i="3"/>
  <c r="AM200" i="3"/>
  <c r="AM201" i="3"/>
  <c r="AM202" i="3"/>
  <c r="AM203" i="3"/>
  <c r="AM204" i="3"/>
  <c r="AM205" i="3"/>
  <c r="AM206" i="3"/>
  <c r="AM208" i="3"/>
  <c r="AM209" i="3"/>
  <c r="AM210" i="3"/>
  <c r="AM211" i="3"/>
  <c r="AM212" i="3"/>
  <c r="AM214" i="3"/>
  <c r="AM215" i="3"/>
  <c r="AM216" i="3"/>
  <c r="J63" i="70" s="1"/>
  <c r="AM217" i="3"/>
  <c r="J64" i="70" s="1"/>
  <c r="AM218" i="3"/>
  <c r="AM219" i="3"/>
  <c r="AM220" i="3"/>
  <c r="AM221" i="3"/>
  <c r="J68" i="70" s="1"/>
  <c r="AM222" i="3"/>
  <c r="J69" i="70" s="1"/>
  <c r="AM223" i="3"/>
  <c r="J70" i="70" s="1"/>
  <c r="AM224" i="3"/>
  <c r="J71" i="70" s="1"/>
  <c r="AM225" i="3"/>
  <c r="J72" i="70" s="1"/>
  <c r="AM226" i="3"/>
  <c r="J73" i="70" s="1"/>
  <c r="AM228" i="3"/>
  <c r="AM229" i="3"/>
  <c r="AM230" i="3"/>
  <c r="J75" i="70" s="1"/>
  <c r="AM231" i="3"/>
  <c r="AM232" i="3"/>
  <c r="AM233" i="3"/>
  <c r="AM234" i="3"/>
  <c r="AM235" i="3"/>
  <c r="AM236" i="3"/>
  <c r="AM237" i="3"/>
  <c r="AM238" i="3"/>
  <c r="J79" i="70" s="1"/>
  <c r="AM239" i="3"/>
  <c r="J80" i="70" s="1"/>
  <c r="AM240" i="3"/>
  <c r="AM241" i="3"/>
  <c r="AM242" i="3"/>
  <c r="AM243" i="3"/>
  <c r="AM244" i="3"/>
  <c r="J81" i="70" s="1"/>
  <c r="AM245" i="3"/>
  <c r="AM246" i="3"/>
  <c r="AM248" i="3"/>
  <c r="AM249" i="3"/>
  <c r="AM250" i="3"/>
  <c r="AM251" i="3"/>
  <c r="AM252" i="3"/>
  <c r="AM253" i="3"/>
  <c r="AM254" i="3"/>
  <c r="AM255" i="3"/>
  <c r="AM256" i="3"/>
  <c r="AM257" i="3"/>
  <c r="J82" i="70" s="1"/>
  <c r="AM258" i="3"/>
  <c r="AM259" i="3"/>
  <c r="J83" i="70" s="1"/>
  <c r="AM260" i="3"/>
  <c r="J84" i="70" s="1"/>
  <c r="AM261" i="3"/>
  <c r="AM262" i="3"/>
  <c r="AM263" i="3"/>
  <c r="AM264" i="3"/>
  <c r="AM265" i="3"/>
  <c r="AM266" i="3"/>
  <c r="AM267" i="3"/>
  <c r="AM268" i="3"/>
  <c r="AM269" i="3"/>
  <c r="AM270" i="3"/>
  <c r="J85" i="70" s="1"/>
  <c r="AM271" i="3"/>
  <c r="J86" i="70" s="1"/>
  <c r="AM272" i="3"/>
  <c r="AM273" i="3"/>
  <c r="AM274" i="3"/>
  <c r="J87" i="70" s="1"/>
  <c r="AM275" i="3"/>
  <c r="J88" i="70" s="1"/>
  <c r="AM276" i="3"/>
  <c r="J89" i="70" s="1"/>
  <c r="AM277" i="3"/>
  <c r="AM278" i="3"/>
  <c r="AM279" i="3"/>
  <c r="J90" i="70" s="1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J92" i="70" s="1"/>
  <c r="AM295" i="3"/>
  <c r="AM296" i="3"/>
  <c r="AM297" i="3"/>
  <c r="J93" i="70" s="1"/>
  <c r="AM298" i="3"/>
  <c r="AM299" i="3"/>
  <c r="AM300" i="3"/>
  <c r="J94" i="70" s="1"/>
  <c r="AM302" i="3"/>
  <c r="J95" i="70" s="1"/>
  <c r="AM303" i="3"/>
  <c r="AM304" i="3"/>
  <c r="AM305" i="3"/>
  <c r="J96" i="70" s="1"/>
  <c r="AM306" i="3"/>
  <c r="AM307" i="3"/>
  <c r="J98" i="70" s="1"/>
  <c r="AM308" i="3"/>
  <c r="J99" i="70" s="1"/>
  <c r="AM309" i="3"/>
  <c r="AM310" i="3"/>
  <c r="AM311" i="3"/>
  <c r="AM312" i="3"/>
  <c r="J101" i="70" s="1"/>
  <c r="AM313" i="3"/>
  <c r="J102" i="70" s="1"/>
  <c r="AM314" i="3"/>
  <c r="AM315" i="3"/>
  <c r="AM316" i="3"/>
  <c r="AM317" i="3"/>
  <c r="J103" i="70" s="1"/>
  <c r="AM318" i="3"/>
  <c r="J104" i="70" s="1"/>
  <c r="AM319" i="3"/>
  <c r="AM320" i="3"/>
  <c r="AM321" i="3"/>
  <c r="AM322" i="3"/>
  <c r="J105" i="70" s="1"/>
  <c r="AM323" i="3"/>
  <c r="AM324" i="3"/>
  <c r="AM325" i="3"/>
  <c r="J106" i="70" s="1"/>
  <c r="J107" i="70"/>
  <c r="AM328" i="3"/>
  <c r="AM329" i="3"/>
  <c r="J109" i="70" s="1"/>
  <c r="AM330" i="3"/>
  <c r="AM331" i="3"/>
  <c r="AM332" i="3"/>
  <c r="AM333" i="3"/>
  <c r="J110" i="70" s="1"/>
  <c r="AM334" i="3"/>
  <c r="J111" i="70" s="1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12" i="3"/>
  <c r="J114" i="70" s="1"/>
  <c r="AL13" i="3"/>
  <c r="AU13" i="3" s="1"/>
  <c r="R115" i="70" s="1"/>
  <c r="AL14" i="3"/>
  <c r="I116" i="70" s="1"/>
  <c r="AL15" i="3"/>
  <c r="I117" i="70" s="1"/>
  <c r="AL16" i="3"/>
  <c r="I118" i="70" s="1"/>
  <c r="AL17" i="3"/>
  <c r="I119" i="70" s="1"/>
  <c r="AL18" i="3"/>
  <c r="AU18" i="3" s="1"/>
  <c r="R120" i="70" s="1"/>
  <c r="AL19" i="3"/>
  <c r="I121" i="70" s="1"/>
  <c r="AL20" i="3"/>
  <c r="I122" i="70" s="1"/>
  <c r="AL21" i="3"/>
  <c r="I123" i="70" s="1"/>
  <c r="AL22" i="3"/>
  <c r="I124" i="70" s="1"/>
  <c r="AL23" i="3"/>
  <c r="AU23" i="3" s="1"/>
  <c r="R125" i="70" s="1"/>
  <c r="I126" i="70"/>
  <c r="AL25" i="3"/>
  <c r="AU25" i="3" s="1"/>
  <c r="R127" i="70" s="1"/>
  <c r="AL26" i="3"/>
  <c r="I128" i="70" s="1"/>
  <c r="AL27" i="3"/>
  <c r="I129" i="70" s="1"/>
  <c r="AL28" i="3"/>
  <c r="AL29" i="3"/>
  <c r="AU29" i="3" s="1"/>
  <c r="R131" i="70" s="1"/>
  <c r="AL30" i="3"/>
  <c r="I132" i="70" s="1"/>
  <c r="AL31" i="3"/>
  <c r="AU31" i="3" s="1"/>
  <c r="R133" i="70" s="1"/>
  <c r="AL32" i="3"/>
  <c r="AU32" i="3" s="1"/>
  <c r="R134" i="70" s="1"/>
  <c r="AL33" i="3"/>
  <c r="I135" i="70" s="1"/>
  <c r="AL34" i="3"/>
  <c r="I136" i="70" s="1"/>
  <c r="AL35" i="3"/>
  <c r="I137" i="70" s="1"/>
  <c r="AL36" i="3"/>
  <c r="AL37" i="3"/>
  <c r="AL38" i="3"/>
  <c r="I140" i="70" s="1"/>
  <c r="AL39" i="3"/>
  <c r="I141" i="70" s="1"/>
  <c r="AL40" i="3"/>
  <c r="I142" i="70" s="1"/>
  <c r="AL41" i="3"/>
  <c r="AU41" i="3" s="1"/>
  <c r="R143" i="70" s="1"/>
  <c r="AL42" i="3"/>
  <c r="I144" i="70" s="1"/>
  <c r="AL43" i="3"/>
  <c r="I145" i="70" s="1"/>
  <c r="AL44" i="3"/>
  <c r="AU44" i="3" s="1"/>
  <c r="R146" i="70" s="1"/>
  <c r="AL45" i="3"/>
  <c r="AU45" i="3" s="1"/>
  <c r="R147" i="70" s="1"/>
  <c r="AL46" i="3"/>
  <c r="AU46" i="3" s="1"/>
  <c r="R148" i="70" s="1"/>
  <c r="AL47" i="3"/>
  <c r="AU47" i="3" s="1"/>
  <c r="R149" i="70" s="1"/>
  <c r="AL48" i="3"/>
  <c r="AU48" i="3" s="1"/>
  <c r="AL49" i="3"/>
  <c r="AU49" i="3" s="1"/>
  <c r="AL50" i="3"/>
  <c r="AU50" i="3" s="1"/>
  <c r="R150" i="70" s="1"/>
  <c r="AL51" i="3"/>
  <c r="AL52" i="3"/>
  <c r="AL53" i="3"/>
  <c r="I153" i="70" s="1"/>
  <c r="AL54" i="3"/>
  <c r="AU54" i="3" s="1"/>
  <c r="AL55" i="3"/>
  <c r="AU55" i="3" s="1"/>
  <c r="AL56" i="3"/>
  <c r="AU56" i="3" s="1"/>
  <c r="R154" i="70" s="1"/>
  <c r="AL58" i="3"/>
  <c r="AU58" i="3" s="1"/>
  <c r="AL59" i="3"/>
  <c r="AU59" i="3"/>
  <c r="AL60" i="3"/>
  <c r="AU60" i="3" s="1"/>
  <c r="R155" i="70" s="1"/>
  <c r="AL61" i="3"/>
  <c r="AU61" i="3" s="1"/>
  <c r="R156" i="70" s="1"/>
  <c r="AL62" i="3"/>
  <c r="AU62" i="3" s="1"/>
  <c r="R157" i="70" s="1"/>
  <c r="AL63" i="3"/>
  <c r="AU63" i="3" s="1"/>
  <c r="R158" i="70" s="1"/>
  <c r="AL64" i="3"/>
  <c r="AU64" i="3" s="1"/>
  <c r="R159" i="70" s="1"/>
  <c r="AL65" i="3"/>
  <c r="AU65" i="3" s="1"/>
  <c r="R160" i="70" s="1"/>
  <c r="AL66" i="3"/>
  <c r="I161" i="70" s="1"/>
  <c r="AL67" i="3"/>
  <c r="I162" i="70" s="1"/>
  <c r="AL68" i="3"/>
  <c r="I163" i="70" s="1"/>
  <c r="AL69" i="3"/>
  <c r="I164" i="70" s="1"/>
  <c r="AL70" i="3"/>
  <c r="I165" i="70" s="1"/>
  <c r="AL71" i="3"/>
  <c r="I166" i="70" s="1"/>
  <c r="AL72" i="3"/>
  <c r="I167" i="70" s="1"/>
  <c r="AL75" i="3"/>
  <c r="AU75" i="3" s="1"/>
  <c r="R168" i="70" s="1"/>
  <c r="AL78" i="3"/>
  <c r="AU78" i="3" s="1"/>
  <c r="AL79" i="3"/>
  <c r="AU79" i="3" s="1"/>
  <c r="R5" i="70" s="1"/>
  <c r="AL80" i="3"/>
  <c r="AU80" i="3" s="1"/>
  <c r="R6" i="70" s="1"/>
  <c r="AL81" i="3"/>
  <c r="AL82" i="3"/>
  <c r="I8" i="70" s="1"/>
  <c r="AL84" i="3"/>
  <c r="AU84" i="3" s="1"/>
  <c r="AL247" i="3"/>
  <c r="AU247" i="3" s="1"/>
  <c r="AL85" i="3"/>
  <c r="AU85" i="3" s="1"/>
  <c r="AL87" i="3"/>
  <c r="AU87" i="3" s="1"/>
  <c r="AL88" i="3"/>
  <c r="AU88" i="3" s="1"/>
  <c r="R10" i="70" s="1"/>
  <c r="AL89" i="3"/>
  <c r="I11" i="70" s="1"/>
  <c r="AL90" i="3"/>
  <c r="AU90" i="3" s="1"/>
  <c r="AL91" i="3"/>
  <c r="AU91" i="3" s="1"/>
  <c r="AL92" i="3"/>
  <c r="AU92" i="3" s="1"/>
  <c r="AL93" i="3"/>
  <c r="AU93" i="3" s="1"/>
  <c r="AL94" i="3"/>
  <c r="I12" i="70" s="1"/>
  <c r="AL95" i="3"/>
  <c r="AU95" i="3" s="1"/>
  <c r="AL96" i="3"/>
  <c r="I13" i="70" s="1"/>
  <c r="AL99" i="3"/>
  <c r="AU99" i="3" s="1"/>
  <c r="AL100" i="3"/>
  <c r="AU100" i="3" s="1"/>
  <c r="AL98" i="3"/>
  <c r="AU98" i="3" s="1"/>
  <c r="AL101" i="3"/>
  <c r="AU101" i="3" s="1"/>
  <c r="R14" i="70" s="1"/>
  <c r="AL102" i="3"/>
  <c r="AL103" i="3"/>
  <c r="AL104" i="3"/>
  <c r="AU104" i="3" s="1"/>
  <c r="R17" i="70" s="1"/>
  <c r="AL97" i="3"/>
  <c r="AU97" i="3" s="1"/>
  <c r="R18" i="70" s="1"/>
  <c r="AL105" i="3"/>
  <c r="AU105" i="3" s="1"/>
  <c r="AL106" i="3"/>
  <c r="AU106" i="3" s="1"/>
  <c r="AL107" i="3"/>
  <c r="I19" i="70" s="1"/>
  <c r="AL108" i="3"/>
  <c r="AU108" i="3" s="1"/>
  <c r="R20" i="70" s="1"/>
  <c r="AL109" i="3"/>
  <c r="AU109" i="3" s="1"/>
  <c r="AL110" i="3"/>
  <c r="AU110" i="3" s="1"/>
  <c r="AL111" i="3"/>
  <c r="AU111" i="3" s="1"/>
  <c r="AL112" i="3"/>
  <c r="AL113" i="3"/>
  <c r="AU113" i="3" s="1"/>
  <c r="AL114" i="3"/>
  <c r="AU114" i="3" s="1"/>
  <c r="AL213" i="3"/>
  <c r="AL115" i="3"/>
  <c r="AU115" i="3" s="1"/>
  <c r="R23" i="70" s="1"/>
  <c r="AL116" i="3"/>
  <c r="AU116" i="3" s="1"/>
  <c r="R24" i="70" s="1"/>
  <c r="AL117" i="3"/>
  <c r="AU117" i="3" s="1"/>
  <c r="AL118" i="3"/>
  <c r="AU118" i="3" s="1"/>
  <c r="AL119" i="3"/>
  <c r="AU119" i="3" s="1"/>
  <c r="R25" i="70" s="1"/>
  <c r="AL120" i="3"/>
  <c r="AU120" i="3" s="1"/>
  <c r="AL121" i="3"/>
  <c r="I26" i="70" s="1"/>
  <c r="AL122" i="3"/>
  <c r="I27" i="70" s="1"/>
  <c r="AL123" i="3"/>
  <c r="AU123" i="3" s="1"/>
  <c r="AL124" i="3"/>
  <c r="AU124" i="3" s="1"/>
  <c r="AL125" i="3"/>
  <c r="AU125" i="3" s="1"/>
  <c r="AL126" i="3"/>
  <c r="AL128" i="3"/>
  <c r="AU128" i="3" s="1"/>
  <c r="AL129" i="3"/>
  <c r="AU129" i="3" s="1"/>
  <c r="AL130" i="3"/>
  <c r="AU130" i="3" s="1"/>
  <c r="AL131" i="3"/>
  <c r="AU131" i="3" s="1"/>
  <c r="AL132" i="3"/>
  <c r="AU132" i="3" s="1"/>
  <c r="R30" i="70" s="1"/>
  <c r="AL133" i="3"/>
  <c r="I31" i="70" s="1"/>
  <c r="AL134" i="3"/>
  <c r="AL135" i="3"/>
  <c r="I33" i="70" s="1"/>
  <c r="AL136" i="3"/>
  <c r="AU136" i="3" s="1"/>
  <c r="R34" i="70" s="1"/>
  <c r="AL137" i="3"/>
  <c r="AU137" i="3" s="1"/>
  <c r="R35" i="70" s="1"/>
  <c r="AL138" i="3"/>
  <c r="I36" i="70" s="1"/>
  <c r="AL139" i="3"/>
  <c r="AL140" i="3"/>
  <c r="AU140" i="3" s="1"/>
  <c r="R38" i="70" s="1"/>
  <c r="AL141" i="3"/>
  <c r="I39" i="70" s="1"/>
  <c r="AL142" i="3"/>
  <c r="AL143" i="3"/>
  <c r="AU143" i="3" s="1"/>
  <c r="AL144" i="3"/>
  <c r="AU144" i="3" s="1"/>
  <c r="AL145" i="3"/>
  <c r="AU145" i="3" s="1"/>
  <c r="AL146" i="3"/>
  <c r="AL147" i="3"/>
  <c r="AU147" i="3" s="1"/>
  <c r="AL148" i="3"/>
  <c r="AU148" i="3" s="1"/>
  <c r="AL149" i="3"/>
  <c r="AU149" i="3" s="1"/>
  <c r="AL150" i="3"/>
  <c r="AU150" i="3" s="1"/>
  <c r="AL151" i="3"/>
  <c r="AU151" i="3" s="1"/>
  <c r="AL152" i="3"/>
  <c r="AL154" i="3"/>
  <c r="AU154" i="3" s="1"/>
  <c r="AL155" i="3"/>
  <c r="AU155" i="3" s="1"/>
  <c r="AL156" i="3"/>
  <c r="I44" i="70" s="1"/>
  <c r="AL157" i="3"/>
  <c r="AU157" i="3" s="1"/>
  <c r="AL158" i="3"/>
  <c r="AL159" i="3"/>
  <c r="AU159" i="3" s="1"/>
  <c r="AL160" i="3"/>
  <c r="AU160" i="3" s="1"/>
  <c r="AL161" i="3"/>
  <c r="AU161" i="3" s="1"/>
  <c r="AL162" i="3"/>
  <c r="AU162" i="3" s="1"/>
  <c r="AL163" i="3"/>
  <c r="AU163" i="3" s="1"/>
  <c r="AL164" i="3"/>
  <c r="AL165" i="3"/>
  <c r="AU165" i="3" s="1"/>
  <c r="AL166" i="3"/>
  <c r="AU166" i="3" s="1"/>
  <c r="AL167" i="3"/>
  <c r="AU167" i="3" s="1"/>
  <c r="AL168" i="3"/>
  <c r="AU168" i="3" s="1"/>
  <c r="AL169" i="3"/>
  <c r="AU169" i="3" s="1"/>
  <c r="AL170" i="3"/>
  <c r="AU170" i="3" s="1"/>
  <c r="AL171" i="3"/>
  <c r="AL172" i="3"/>
  <c r="AL173" i="3"/>
  <c r="AU173" i="3" s="1"/>
  <c r="AL174" i="3"/>
  <c r="AU174" i="3" s="1"/>
  <c r="AL175" i="3"/>
  <c r="AU175" i="3" s="1"/>
  <c r="AL176" i="3"/>
  <c r="AL177" i="3"/>
  <c r="AL178" i="3"/>
  <c r="AL179" i="3"/>
  <c r="AU179" i="3" s="1"/>
  <c r="R53" i="70" s="1"/>
  <c r="AL180" i="3"/>
  <c r="I54" i="70" s="1"/>
  <c r="AL181" i="3"/>
  <c r="AL182" i="3"/>
  <c r="AL183" i="3"/>
  <c r="AL184" i="3"/>
  <c r="AL185" i="3"/>
  <c r="AU185" i="3" s="1"/>
  <c r="AL186" i="3"/>
  <c r="AU186" i="3" s="1"/>
  <c r="AL187" i="3"/>
  <c r="AU187" i="3" s="1"/>
  <c r="AL188" i="3"/>
  <c r="AU188" i="3" s="1"/>
  <c r="AL189" i="3"/>
  <c r="AU189" i="3" s="1"/>
  <c r="AL190" i="3"/>
  <c r="AU190" i="3" s="1"/>
  <c r="AL191" i="3"/>
  <c r="AU191" i="3" s="1"/>
  <c r="R59" i="70" s="1"/>
  <c r="AL192" i="3"/>
  <c r="AU192" i="3" s="1"/>
  <c r="R60" i="70" s="1"/>
  <c r="AL193" i="3"/>
  <c r="AU193" i="3" s="1"/>
  <c r="AL194" i="3"/>
  <c r="AU194" i="3" s="1"/>
  <c r="AL195" i="3"/>
  <c r="AU195" i="3" s="1"/>
  <c r="AL196" i="3"/>
  <c r="AU196" i="3" s="1"/>
  <c r="AL198" i="3"/>
  <c r="AL199" i="3"/>
  <c r="AU199" i="3" s="1"/>
  <c r="AL200" i="3"/>
  <c r="AU200" i="3" s="1"/>
  <c r="AL201" i="3"/>
  <c r="AU201" i="3" s="1"/>
  <c r="AL202" i="3"/>
  <c r="AU202" i="3" s="1"/>
  <c r="AL203" i="3"/>
  <c r="AU203" i="3" s="1"/>
  <c r="AL204" i="3"/>
  <c r="AU204" i="3" s="1"/>
  <c r="AL205" i="3"/>
  <c r="AU205" i="3" s="1"/>
  <c r="AL206" i="3"/>
  <c r="AU206" i="3" s="1"/>
  <c r="AL208" i="3"/>
  <c r="AU208" i="3" s="1"/>
  <c r="AL209" i="3"/>
  <c r="AU209" i="3" s="1"/>
  <c r="AL210" i="3"/>
  <c r="AU210" i="3" s="1"/>
  <c r="AL211" i="3"/>
  <c r="AU211" i="3" s="1"/>
  <c r="AL212" i="3"/>
  <c r="AU212" i="3" s="1"/>
  <c r="AL214" i="3"/>
  <c r="AU214" i="3" s="1"/>
  <c r="AL215" i="3"/>
  <c r="AU215" i="3" s="1"/>
  <c r="AL216" i="3"/>
  <c r="AL217" i="3"/>
  <c r="AL218" i="3"/>
  <c r="AU218" i="3" s="1"/>
  <c r="R65" i="70" s="1"/>
  <c r="AL219" i="3"/>
  <c r="AU219" i="3" s="1"/>
  <c r="R66" i="70" s="1"/>
  <c r="AL220" i="3"/>
  <c r="I67" i="70" s="1"/>
  <c r="AL221" i="3"/>
  <c r="AL222" i="3"/>
  <c r="I69" i="70" s="1"/>
  <c r="AL223" i="3"/>
  <c r="AL224" i="3"/>
  <c r="AU224" i="3" s="1"/>
  <c r="R71" i="70" s="1"/>
  <c r="AL225" i="3"/>
  <c r="AL226" i="3"/>
  <c r="AU226" i="3" s="1"/>
  <c r="R73" i="70" s="1"/>
  <c r="AL228" i="3"/>
  <c r="AU228" i="3" s="1"/>
  <c r="AL229" i="3"/>
  <c r="AU229" i="3" s="1"/>
  <c r="AL230" i="3"/>
  <c r="AL231" i="3"/>
  <c r="AU231" i="3" s="1"/>
  <c r="AL232" i="3"/>
  <c r="AU232" i="3" s="1"/>
  <c r="AL233" i="3"/>
  <c r="AU233" i="3" s="1"/>
  <c r="AL234" i="3"/>
  <c r="AU234" i="3" s="1"/>
  <c r="AL235" i="3"/>
  <c r="AL236" i="3"/>
  <c r="AL237" i="3"/>
  <c r="I78" i="70" s="1"/>
  <c r="AL238" i="3"/>
  <c r="AL239" i="3"/>
  <c r="I80" i="70" s="1"/>
  <c r="AL240" i="3"/>
  <c r="AU240" i="3" s="1"/>
  <c r="AL241" i="3"/>
  <c r="AU241" i="3" s="1"/>
  <c r="AL242" i="3"/>
  <c r="AU242" i="3" s="1"/>
  <c r="AL243" i="3"/>
  <c r="AU243" i="3" s="1"/>
  <c r="AL244" i="3"/>
  <c r="AL245" i="3"/>
  <c r="AU245" i="3" s="1"/>
  <c r="AL246" i="3"/>
  <c r="AU246" i="3" s="1"/>
  <c r="AL248" i="3"/>
  <c r="AU248" i="3" s="1"/>
  <c r="AL249" i="3"/>
  <c r="AU249" i="3" s="1"/>
  <c r="AL250" i="3"/>
  <c r="AU250" i="3" s="1"/>
  <c r="AL251" i="3"/>
  <c r="AU251" i="3" s="1"/>
  <c r="AL252" i="3"/>
  <c r="AU252" i="3" s="1"/>
  <c r="AL253" i="3"/>
  <c r="AU253" i="3" s="1"/>
  <c r="AL254" i="3"/>
  <c r="AU254" i="3" s="1"/>
  <c r="AL255" i="3"/>
  <c r="AU255" i="3" s="1"/>
  <c r="AL256" i="3"/>
  <c r="AU256" i="3" s="1"/>
  <c r="AL257" i="3"/>
  <c r="AL258" i="3"/>
  <c r="AU258" i="3" s="1"/>
  <c r="AL259" i="3"/>
  <c r="I83" i="70" s="1"/>
  <c r="AL260" i="3"/>
  <c r="I84" i="70" s="1"/>
  <c r="AL261" i="3"/>
  <c r="AU261" i="3" s="1"/>
  <c r="AL262" i="3"/>
  <c r="AU262" i="3" s="1"/>
  <c r="AL263" i="3"/>
  <c r="AU263" i="3" s="1"/>
  <c r="AL264" i="3"/>
  <c r="AU264" i="3" s="1"/>
  <c r="AL265" i="3"/>
  <c r="AU265" i="3" s="1"/>
  <c r="AL266" i="3"/>
  <c r="AU266" i="3" s="1"/>
  <c r="AL267" i="3"/>
  <c r="AU267" i="3" s="1"/>
  <c r="AL268" i="3"/>
  <c r="AU268" i="3" s="1"/>
  <c r="AL269" i="3"/>
  <c r="AU269" i="3" s="1"/>
  <c r="AL270" i="3"/>
  <c r="AU270" i="3" s="1"/>
  <c r="R85" i="70" s="1"/>
  <c r="AL271" i="3"/>
  <c r="AU271" i="3" s="1"/>
  <c r="R86" i="70" s="1"/>
  <c r="AL272" i="3"/>
  <c r="AU272" i="3" s="1"/>
  <c r="AL273" i="3"/>
  <c r="AU273" i="3" s="1"/>
  <c r="AL274" i="3"/>
  <c r="AU274" i="3" s="1"/>
  <c r="R87" i="70" s="1"/>
  <c r="AL275" i="3"/>
  <c r="AL276" i="3"/>
  <c r="AU276" i="3" s="1"/>
  <c r="R89" i="70" s="1"/>
  <c r="AL277" i="3"/>
  <c r="AU277" i="3"/>
  <c r="AL278" i="3"/>
  <c r="AU278" i="3" s="1"/>
  <c r="AL279" i="3"/>
  <c r="I90" i="70" s="1"/>
  <c r="AL281" i="3"/>
  <c r="AU281" i="3"/>
  <c r="AL282" i="3"/>
  <c r="AU282" i="3" s="1"/>
  <c r="AL283" i="3"/>
  <c r="AU283" i="3" s="1"/>
  <c r="AL284" i="3"/>
  <c r="AU284" i="3" s="1"/>
  <c r="AL285" i="3"/>
  <c r="AU285" i="3" s="1"/>
  <c r="AL286" i="3"/>
  <c r="AU286" i="3" s="1"/>
  <c r="AL287" i="3"/>
  <c r="AU287" i="3" s="1"/>
  <c r="AL288" i="3"/>
  <c r="AU288" i="3" s="1"/>
  <c r="AL289" i="3"/>
  <c r="AU289" i="3" s="1"/>
  <c r="AL290" i="3"/>
  <c r="AU290" i="3" s="1"/>
  <c r="AL291" i="3"/>
  <c r="AU291" i="3" s="1"/>
  <c r="AL292" i="3"/>
  <c r="AU292" i="3" s="1"/>
  <c r="AL293" i="3"/>
  <c r="AU293" i="3" s="1"/>
  <c r="AL294" i="3"/>
  <c r="AU294" i="3" s="1"/>
  <c r="R92" i="70" s="1"/>
  <c r="AL295" i="3"/>
  <c r="AU295" i="3" s="1"/>
  <c r="AL296" i="3"/>
  <c r="AU296" i="3" s="1"/>
  <c r="AL297" i="3"/>
  <c r="AU297" i="3" s="1"/>
  <c r="R93" i="70" s="1"/>
  <c r="AL298" i="3"/>
  <c r="AU298" i="3" s="1"/>
  <c r="AL299" i="3"/>
  <c r="AU299" i="3" s="1"/>
  <c r="AL300" i="3"/>
  <c r="AU300" i="3" s="1"/>
  <c r="R94" i="70" s="1"/>
  <c r="AL302" i="3"/>
  <c r="AU302" i="3" s="1"/>
  <c r="R95" i="70" s="1"/>
  <c r="AL303" i="3"/>
  <c r="AU303" i="3" s="1"/>
  <c r="AL304" i="3"/>
  <c r="AU304" i="3" s="1"/>
  <c r="AL305" i="3"/>
  <c r="AU305" i="3" s="1"/>
  <c r="R96" i="70" s="1"/>
  <c r="AL306" i="3"/>
  <c r="AL307" i="3"/>
  <c r="AU307" i="3" s="1"/>
  <c r="R98" i="70" s="1"/>
  <c r="AL308" i="3"/>
  <c r="I99" i="70" s="1"/>
  <c r="AL309" i="3"/>
  <c r="AU309" i="3" s="1"/>
  <c r="AL310" i="3"/>
  <c r="AU310" i="3" s="1"/>
  <c r="AL311" i="3"/>
  <c r="I100" i="70" s="1"/>
  <c r="AL312" i="3"/>
  <c r="AU312" i="3" s="1"/>
  <c r="R101" i="70" s="1"/>
  <c r="AL313" i="3"/>
  <c r="AU313" i="3" s="1"/>
  <c r="R102" i="70" s="1"/>
  <c r="AL314" i="3"/>
  <c r="AU314" i="3" s="1"/>
  <c r="AL315" i="3"/>
  <c r="AU315" i="3" s="1"/>
  <c r="AL316" i="3"/>
  <c r="AU316" i="3" s="1"/>
  <c r="AL317" i="3"/>
  <c r="AL318" i="3"/>
  <c r="AL319" i="3"/>
  <c r="AU319" i="3" s="1"/>
  <c r="AL320" i="3"/>
  <c r="AU320" i="3" s="1"/>
  <c r="AL321" i="3"/>
  <c r="AU321" i="3" s="1"/>
  <c r="AL322" i="3"/>
  <c r="AL323" i="3"/>
  <c r="AU323" i="3" s="1"/>
  <c r="AL324" i="3"/>
  <c r="AU324" i="3" s="1"/>
  <c r="AL325" i="3"/>
  <c r="I106" i="70" s="1"/>
  <c r="I107" i="70"/>
  <c r="AL328" i="3"/>
  <c r="AL329" i="3"/>
  <c r="I109" i="70" s="1"/>
  <c r="AL330" i="3"/>
  <c r="AU330" i="3" s="1"/>
  <c r="AL331" i="3"/>
  <c r="AU331" i="3" s="1"/>
  <c r="AL332" i="3"/>
  <c r="AU332" i="3" s="1"/>
  <c r="AL333" i="3"/>
  <c r="AL334" i="3"/>
  <c r="I111" i="70" s="1"/>
  <c r="AL335" i="3"/>
  <c r="AU335" i="3" s="1"/>
  <c r="AL336" i="3"/>
  <c r="AU336" i="3" s="1"/>
  <c r="AL337" i="3"/>
  <c r="AL338" i="3"/>
  <c r="AL339" i="3"/>
  <c r="AU339" i="3" s="1"/>
  <c r="AL340" i="3"/>
  <c r="AU340" i="3" s="1"/>
  <c r="AL341" i="3"/>
  <c r="AU341" i="3" s="1"/>
  <c r="AL342" i="3"/>
  <c r="AU342" i="3" s="1"/>
  <c r="AL343" i="3"/>
  <c r="AU343" i="3" s="1"/>
  <c r="AL344" i="3"/>
  <c r="AU344" i="3" s="1"/>
  <c r="AL345" i="3"/>
  <c r="AU345" i="3" s="1"/>
  <c r="AL346" i="3"/>
  <c r="AU346" i="3" s="1"/>
  <c r="AL347" i="3"/>
  <c r="AU347" i="3" s="1"/>
  <c r="AL348" i="3"/>
  <c r="AU348" i="3" s="1"/>
  <c r="AL349" i="3"/>
  <c r="AU349" i="3" s="1"/>
  <c r="AL350" i="3"/>
  <c r="AU350" i="3" s="1"/>
  <c r="AL351" i="3"/>
  <c r="AU351" i="3" s="1"/>
  <c r="AL352" i="3"/>
  <c r="AU352" i="3"/>
  <c r="AL353" i="3"/>
  <c r="AU353" i="3" s="1"/>
  <c r="AL354" i="3"/>
  <c r="AU354" i="3" s="1"/>
  <c r="AL355" i="3"/>
  <c r="AU355" i="3" s="1"/>
  <c r="AL356" i="3"/>
  <c r="AU356" i="3" s="1"/>
  <c r="AL357" i="3"/>
  <c r="AU357" i="3" s="1"/>
  <c r="AL358" i="3"/>
  <c r="AU358" i="3" s="1"/>
  <c r="AL359" i="3"/>
  <c r="AU359" i="3" s="1"/>
  <c r="AL360" i="3"/>
  <c r="AU360" i="3" s="1"/>
  <c r="AL361" i="3"/>
  <c r="AU361" i="3" s="1"/>
  <c r="AL362" i="3"/>
  <c r="AU362" i="3" s="1"/>
  <c r="AL363" i="3"/>
  <c r="AU363" i="3" s="1"/>
  <c r="AL364" i="3"/>
  <c r="AU364" i="3" s="1"/>
  <c r="AL365" i="3"/>
  <c r="AU365" i="3" s="1"/>
  <c r="AL366" i="3"/>
  <c r="AU366" i="3" s="1"/>
  <c r="AL367" i="3"/>
  <c r="AU367" i="3" s="1"/>
  <c r="AL12" i="3"/>
  <c r="I114" i="70" s="1"/>
  <c r="AU311" i="3"/>
  <c r="R100" i="70" s="1"/>
  <c r="I92" i="70"/>
  <c r="AU338" i="3"/>
  <c r="R113" i="70" s="1"/>
  <c r="I113" i="70"/>
  <c r="AU334" i="3"/>
  <c r="R111" i="70" s="1"/>
  <c r="AU317" i="3"/>
  <c r="R103" i="70" s="1"/>
  <c r="I103" i="70"/>
  <c r="AU337" i="3"/>
  <c r="R112" i="70" s="1"/>
  <c r="I112" i="70"/>
  <c r="I98" i="70"/>
  <c r="R107" i="70"/>
  <c r="AU318" i="3"/>
  <c r="R104" i="70" s="1"/>
  <c r="I104" i="70"/>
  <c r="I93" i="70"/>
  <c r="I89" i="70"/>
  <c r="AU216" i="3"/>
  <c r="R63" i="70" s="1"/>
  <c r="I63" i="70"/>
  <c r="I73" i="70"/>
  <c r="AU237" i="3"/>
  <c r="R78" i="70" s="1"/>
  <c r="I71" i="70"/>
  <c r="AU259" i="3"/>
  <c r="R83" i="70" s="1"/>
  <c r="AU122" i="3"/>
  <c r="R27" i="70" s="1"/>
  <c r="J76" i="70"/>
  <c r="J65" i="70"/>
  <c r="J60" i="70"/>
  <c r="J49" i="70"/>
  <c r="J151" i="70"/>
  <c r="I59" i="70"/>
  <c r="AU138" i="3"/>
  <c r="R36" i="70" s="1"/>
  <c r="AU121" i="3"/>
  <c r="R26" i="70" s="1"/>
  <c r="AU94" i="3"/>
  <c r="R12" i="70" s="1"/>
  <c r="AU52" i="3"/>
  <c r="R152" i="70" s="1"/>
  <c r="I152" i="70"/>
  <c r="R126" i="70"/>
  <c r="J113" i="70"/>
  <c r="J53" i="70"/>
  <c r="J40" i="70"/>
  <c r="J12" i="70"/>
  <c r="I46" i="70"/>
  <c r="AU141" i="3"/>
  <c r="R39" i="70" s="1"/>
  <c r="I24" i="70"/>
  <c r="AU89" i="3"/>
  <c r="R11" i="70" s="1"/>
  <c r="I159" i="70"/>
  <c r="J112" i="70"/>
  <c r="J78" i="70"/>
  <c r="J67" i="70"/>
  <c r="AU82" i="3"/>
  <c r="R8" i="70" s="1"/>
  <c r="J97" i="70"/>
  <c r="AU181" i="3"/>
  <c r="R55" i="70" s="1"/>
  <c r="I55" i="70"/>
  <c r="AU177" i="3"/>
  <c r="R51" i="70" s="1"/>
  <c r="I51" i="70"/>
  <c r="I38" i="70"/>
  <c r="I14" i="70"/>
  <c r="J108" i="70"/>
  <c r="J100" i="70"/>
  <c r="J77" i="70"/>
  <c r="J66" i="70"/>
  <c r="J42" i="70"/>
  <c r="J34" i="70"/>
  <c r="J21" i="70"/>
  <c r="J20" i="70"/>
  <c r="J10" i="70"/>
  <c r="J5" i="70"/>
  <c r="I60" i="70"/>
  <c r="I17" i="70"/>
  <c r="AU53" i="3"/>
  <c r="R153" i="70" s="1"/>
  <c r="AU198" i="3"/>
  <c r="R46" i="70"/>
  <c r="N15" i="68"/>
  <c r="N33" i="68"/>
  <c r="N43" i="68"/>
  <c r="N46" i="68"/>
  <c r="B133" i="68"/>
  <c r="C133" i="68"/>
  <c r="D133" i="68"/>
  <c r="E133" i="68"/>
  <c r="G133" i="68"/>
  <c r="L133" i="68"/>
  <c r="N133" i="68" s="1"/>
  <c r="B134" i="68"/>
  <c r="C134" i="68"/>
  <c r="D134" i="68"/>
  <c r="E134" i="68"/>
  <c r="G134" i="68"/>
  <c r="L134" i="68"/>
  <c r="N134" i="68" s="1"/>
  <c r="B135" i="68"/>
  <c r="C135" i="68"/>
  <c r="D135" i="68"/>
  <c r="E135" i="68"/>
  <c r="G135" i="68"/>
  <c r="L135" i="68"/>
  <c r="N135" i="68" s="1"/>
  <c r="B136" i="68"/>
  <c r="C136" i="68"/>
  <c r="D136" i="68"/>
  <c r="E136" i="68"/>
  <c r="L136" i="68"/>
  <c r="N136" i="68" s="1"/>
  <c r="B137" i="68"/>
  <c r="C137" i="68"/>
  <c r="D137" i="68"/>
  <c r="E137" i="68"/>
  <c r="G137" i="68"/>
  <c r="L137" i="68"/>
  <c r="N137" i="68" s="1"/>
  <c r="B138" i="68"/>
  <c r="C138" i="68"/>
  <c r="D138" i="68"/>
  <c r="E138" i="68"/>
  <c r="G138" i="68"/>
  <c r="L138" i="68"/>
  <c r="N138" i="68" s="1"/>
  <c r="B139" i="68"/>
  <c r="C139" i="68"/>
  <c r="D139" i="68"/>
  <c r="B140" i="68"/>
  <c r="C140" i="68"/>
  <c r="D140" i="68"/>
  <c r="E140" i="68"/>
  <c r="G140" i="68"/>
  <c r="L140" i="68"/>
  <c r="N140" i="68" s="1"/>
  <c r="B141" i="68"/>
  <c r="C141" i="68"/>
  <c r="D141" i="68"/>
  <c r="E141" i="68"/>
  <c r="G141" i="68"/>
  <c r="L141" i="68"/>
  <c r="N141" i="68" s="1"/>
  <c r="B142" i="68"/>
  <c r="C142" i="68"/>
  <c r="D142" i="68"/>
  <c r="E142" i="68"/>
  <c r="G142" i="68"/>
  <c r="L142" i="68"/>
  <c r="N142" i="68" s="1"/>
  <c r="B143" i="68"/>
  <c r="C143" i="68"/>
  <c r="D143" i="68"/>
  <c r="B144" i="68"/>
  <c r="C144" i="68"/>
  <c r="D144" i="68"/>
  <c r="E144" i="68"/>
  <c r="G144" i="68"/>
  <c r="L144" i="68"/>
  <c r="N144" i="68" s="1"/>
  <c r="B145" i="68"/>
  <c r="C145" i="68"/>
  <c r="D145" i="68"/>
  <c r="E145" i="68"/>
  <c r="G145" i="68"/>
  <c r="L145" i="68"/>
  <c r="N145" i="68" s="1"/>
  <c r="B8" i="68"/>
  <c r="C8" i="68"/>
  <c r="D8" i="68"/>
  <c r="E8" i="68"/>
  <c r="G8" i="68"/>
  <c r="L8" i="68"/>
  <c r="N8" i="68" s="1"/>
  <c r="B9" i="68"/>
  <c r="C9" i="68"/>
  <c r="D9" i="68"/>
  <c r="E9" i="68"/>
  <c r="L9" i="68"/>
  <c r="N9" i="68" s="1"/>
  <c r="B10" i="68"/>
  <c r="C10" i="68"/>
  <c r="D10" i="68"/>
  <c r="E10" i="68"/>
  <c r="L10" i="68"/>
  <c r="N10" i="68" s="1"/>
  <c r="B11" i="68"/>
  <c r="C11" i="68"/>
  <c r="D11" i="68"/>
  <c r="E11" i="68"/>
  <c r="G11" i="68"/>
  <c r="L11" i="68"/>
  <c r="N11" i="68" s="1"/>
  <c r="B12" i="68"/>
  <c r="C12" i="68"/>
  <c r="D12" i="68"/>
  <c r="E12" i="68"/>
  <c r="L12" i="68"/>
  <c r="N12" i="68" s="1"/>
  <c r="B13" i="68"/>
  <c r="C13" i="68"/>
  <c r="D13" i="68"/>
  <c r="E13" i="68"/>
  <c r="G13" i="68"/>
  <c r="L13" i="68"/>
  <c r="N13" i="68" s="1"/>
  <c r="B15" i="68"/>
  <c r="B16" i="68"/>
  <c r="C16" i="68"/>
  <c r="D16" i="68"/>
  <c r="E16" i="68"/>
  <c r="L16" i="68"/>
  <c r="N16" i="68" s="1"/>
  <c r="B17" i="68"/>
  <c r="C17" i="68"/>
  <c r="D17" i="68"/>
  <c r="E17" i="68"/>
  <c r="L17" i="68"/>
  <c r="N17" i="68" s="1"/>
  <c r="B18" i="68"/>
  <c r="C18" i="68"/>
  <c r="D18" i="68"/>
  <c r="E18" i="68"/>
  <c r="G18" i="68"/>
  <c r="L18" i="68"/>
  <c r="N18" i="68" s="1"/>
  <c r="B19" i="68"/>
  <c r="C19" i="68"/>
  <c r="D19" i="68"/>
  <c r="B20" i="68"/>
  <c r="C20" i="68"/>
  <c r="D20" i="68"/>
  <c r="E20" i="68"/>
  <c r="L20" i="68"/>
  <c r="N20" i="68" s="1"/>
  <c r="B21" i="68"/>
  <c r="C21" i="68"/>
  <c r="D21" i="68"/>
  <c r="E21" i="68"/>
  <c r="G21" i="68"/>
  <c r="L21" i="68"/>
  <c r="N21" i="68" s="1"/>
  <c r="B22" i="68"/>
  <c r="C22" i="68"/>
  <c r="D22" i="68"/>
  <c r="E22" i="68"/>
  <c r="G22" i="68"/>
  <c r="L22" i="68"/>
  <c r="N22" i="68" s="1"/>
  <c r="B23" i="68"/>
  <c r="C23" i="68"/>
  <c r="D23" i="68"/>
  <c r="E23" i="68"/>
  <c r="G23" i="68"/>
  <c r="L23" i="68"/>
  <c r="N23" i="68" s="1"/>
  <c r="B24" i="68"/>
  <c r="C24" i="68"/>
  <c r="D24" i="68"/>
  <c r="E24" i="68"/>
  <c r="G24" i="68"/>
  <c r="L24" i="68"/>
  <c r="N24" i="68" s="1"/>
  <c r="B25" i="68"/>
  <c r="C25" i="68"/>
  <c r="D25" i="68"/>
  <c r="E25" i="68"/>
  <c r="G25" i="68"/>
  <c r="L25" i="68"/>
  <c r="N25" i="68" s="1"/>
  <c r="B26" i="68"/>
  <c r="C26" i="68"/>
  <c r="D26" i="68"/>
  <c r="E26" i="68"/>
  <c r="G26" i="68"/>
  <c r="L26" i="68"/>
  <c r="N26" i="68" s="1"/>
  <c r="B27" i="68"/>
  <c r="C27" i="68"/>
  <c r="D27" i="68"/>
  <c r="E27" i="68"/>
  <c r="G27" i="68"/>
  <c r="L27" i="68"/>
  <c r="N27" i="68" s="1"/>
  <c r="B28" i="68"/>
  <c r="C28" i="68"/>
  <c r="D28" i="68"/>
  <c r="E28" i="68"/>
  <c r="G28" i="68"/>
  <c r="L28" i="68"/>
  <c r="N28" i="68" s="1"/>
  <c r="B29" i="68"/>
  <c r="C29" i="68"/>
  <c r="D29" i="68"/>
  <c r="E29" i="68"/>
  <c r="G29" i="68"/>
  <c r="L29" i="68"/>
  <c r="N29" i="68" s="1"/>
  <c r="B30" i="68"/>
  <c r="C30" i="68"/>
  <c r="D30" i="68"/>
  <c r="E30" i="68"/>
  <c r="L30" i="68"/>
  <c r="N30" i="68" s="1"/>
  <c r="B31" i="68"/>
  <c r="C31" i="68"/>
  <c r="D31" i="68"/>
  <c r="E31" i="68"/>
  <c r="G31" i="68"/>
  <c r="L31" i="68"/>
  <c r="N31" i="68" s="1"/>
  <c r="B32" i="68"/>
  <c r="C32" i="68"/>
  <c r="D32" i="68"/>
  <c r="E32" i="68"/>
  <c r="G32" i="68"/>
  <c r="L32" i="68"/>
  <c r="N32" i="68" s="1"/>
  <c r="B33" i="68"/>
  <c r="B34" i="68"/>
  <c r="C34" i="68"/>
  <c r="D34" i="68"/>
  <c r="E34" i="68"/>
  <c r="G34" i="68"/>
  <c r="L34" i="68"/>
  <c r="N34" i="68" s="1"/>
  <c r="B35" i="68"/>
  <c r="C35" i="68"/>
  <c r="D35" i="68"/>
  <c r="E35" i="68"/>
  <c r="G35" i="68"/>
  <c r="I35" i="68"/>
  <c r="L35" i="68"/>
  <c r="N35" i="68" s="1"/>
  <c r="B36" i="68"/>
  <c r="C36" i="68"/>
  <c r="D36" i="68"/>
  <c r="E36" i="68"/>
  <c r="G36" i="68"/>
  <c r="L36" i="68"/>
  <c r="N36" i="68" s="1"/>
  <c r="B37" i="68"/>
  <c r="C37" i="68"/>
  <c r="D37" i="68"/>
  <c r="E37" i="68"/>
  <c r="G37" i="68"/>
  <c r="L37" i="68"/>
  <c r="N37" i="68" s="1"/>
  <c r="B38" i="68"/>
  <c r="C38" i="68"/>
  <c r="D38" i="68"/>
  <c r="E38" i="68"/>
  <c r="G38" i="68"/>
  <c r="L38" i="68"/>
  <c r="N38" i="68" s="1"/>
  <c r="B39" i="68"/>
  <c r="C39" i="68"/>
  <c r="D39" i="68"/>
  <c r="E39" i="68"/>
  <c r="G39" i="68"/>
  <c r="L39" i="68"/>
  <c r="N39" i="68" s="1"/>
  <c r="B40" i="68"/>
  <c r="C40" i="68"/>
  <c r="D40" i="68"/>
  <c r="E40" i="68"/>
  <c r="G40" i="68"/>
  <c r="L40" i="68"/>
  <c r="N40" i="68" s="1"/>
  <c r="B41" i="68"/>
  <c r="C41" i="68"/>
  <c r="D41" i="68"/>
  <c r="E41" i="68"/>
  <c r="G41" i="68"/>
  <c r="L41" i="68"/>
  <c r="N41" i="68" s="1"/>
  <c r="B42" i="68"/>
  <c r="C42" i="68"/>
  <c r="D42" i="68"/>
  <c r="E42" i="68"/>
  <c r="G42" i="68"/>
  <c r="L42" i="68"/>
  <c r="N42" i="68" s="1"/>
  <c r="B43" i="68"/>
  <c r="C43" i="68"/>
  <c r="D43" i="68"/>
  <c r="B44" i="68"/>
  <c r="C44" i="68"/>
  <c r="D44" i="68"/>
  <c r="E44" i="68"/>
  <c r="G44" i="68"/>
  <c r="L44" i="68"/>
  <c r="N44" i="68" s="1"/>
  <c r="B45" i="68"/>
  <c r="C45" i="68"/>
  <c r="D45" i="68"/>
  <c r="E45" i="68"/>
  <c r="G45" i="68"/>
  <c r="L45" i="68"/>
  <c r="N45" i="68" s="1"/>
  <c r="B46" i="68"/>
  <c r="C46" i="68"/>
  <c r="D46" i="68"/>
  <c r="B47" i="68"/>
  <c r="C47" i="68"/>
  <c r="D47" i="68"/>
  <c r="E47" i="68"/>
  <c r="G47" i="68"/>
  <c r="B49" i="68"/>
  <c r="C49" i="68"/>
  <c r="D49" i="68"/>
  <c r="E49" i="68"/>
  <c r="G49" i="68"/>
  <c r="L49" i="68"/>
  <c r="N49" i="68" s="1"/>
  <c r="B50" i="68"/>
  <c r="B51" i="68"/>
  <c r="C51" i="68"/>
  <c r="D51" i="68"/>
  <c r="E51" i="68"/>
  <c r="G51" i="68"/>
  <c r="L51" i="68"/>
  <c r="N51" i="68" s="1"/>
  <c r="B52" i="68"/>
  <c r="C52" i="68"/>
  <c r="D52" i="68"/>
  <c r="E52" i="68"/>
  <c r="G52" i="68"/>
  <c r="L52" i="68"/>
  <c r="N52" i="68" s="1"/>
  <c r="B53" i="68"/>
  <c r="C53" i="68"/>
  <c r="D53" i="68"/>
  <c r="E53" i="68"/>
  <c r="G53" i="68"/>
  <c r="L53" i="68"/>
  <c r="N53" i="68" s="1"/>
  <c r="B54" i="68"/>
  <c r="C54" i="68"/>
  <c r="D54" i="68"/>
  <c r="E54" i="68"/>
  <c r="G54" i="68"/>
  <c r="L54" i="68"/>
  <c r="N54" i="68" s="1"/>
  <c r="B55" i="68"/>
  <c r="C55" i="68"/>
  <c r="D55" i="68"/>
  <c r="E55" i="68"/>
  <c r="G55" i="68"/>
  <c r="L55" i="68"/>
  <c r="N55" i="68" s="1"/>
  <c r="B56" i="68"/>
  <c r="C56" i="68"/>
  <c r="D56" i="68"/>
  <c r="E56" i="68"/>
  <c r="G56" i="68"/>
  <c r="L56" i="68"/>
  <c r="N56" i="68" s="1"/>
  <c r="B57" i="68"/>
  <c r="C57" i="68"/>
  <c r="D57" i="68"/>
  <c r="E57" i="68"/>
  <c r="G57" i="68"/>
  <c r="L57" i="68"/>
  <c r="N57" i="68" s="1"/>
  <c r="B58" i="68"/>
  <c r="C58" i="68"/>
  <c r="D58" i="68"/>
  <c r="E58" i="68"/>
  <c r="G58" i="68"/>
  <c r="L58" i="68"/>
  <c r="N58" i="68" s="1"/>
  <c r="B59" i="68"/>
  <c r="C59" i="68"/>
  <c r="D59" i="68"/>
  <c r="E59" i="68"/>
  <c r="G59" i="68"/>
  <c r="L59" i="68"/>
  <c r="N59" i="68" s="1"/>
  <c r="B60" i="68"/>
  <c r="C60" i="68"/>
  <c r="D60" i="68"/>
  <c r="E60" i="68"/>
  <c r="G60" i="68"/>
  <c r="L60" i="68"/>
  <c r="N60" i="68" s="1"/>
  <c r="B61" i="68"/>
  <c r="C61" i="68"/>
  <c r="D61" i="68"/>
  <c r="E61" i="68"/>
  <c r="G61" i="68"/>
  <c r="L61" i="68"/>
  <c r="N61" i="68" s="1"/>
  <c r="B62" i="68"/>
  <c r="B63" i="68"/>
  <c r="C63" i="68"/>
  <c r="D63" i="68"/>
  <c r="E63" i="68"/>
  <c r="G63" i="68"/>
  <c r="L63" i="68"/>
  <c r="N63" i="68" s="1"/>
  <c r="B64" i="68"/>
  <c r="C64" i="68"/>
  <c r="D64" i="68"/>
  <c r="E64" i="68"/>
  <c r="G64" i="68"/>
  <c r="I64" i="68"/>
  <c r="L64" i="68"/>
  <c r="N64" i="68" s="1"/>
  <c r="B65" i="68"/>
  <c r="C65" i="68"/>
  <c r="D65" i="68"/>
  <c r="E65" i="68"/>
  <c r="G65" i="68"/>
  <c r="I65" i="68"/>
  <c r="L65" i="68"/>
  <c r="N65" i="68" s="1"/>
  <c r="B66" i="68"/>
  <c r="C66" i="68"/>
  <c r="D66" i="68"/>
  <c r="E66" i="68"/>
  <c r="G66" i="68"/>
  <c r="I66" i="68"/>
  <c r="L66" i="68"/>
  <c r="N66" i="68" s="1"/>
  <c r="B67" i="68"/>
  <c r="C67" i="68"/>
  <c r="D67" i="68"/>
  <c r="E67" i="68"/>
  <c r="G67" i="68"/>
  <c r="L67" i="68"/>
  <c r="N67" i="68" s="1"/>
  <c r="B68" i="68"/>
  <c r="C68" i="68"/>
  <c r="D68" i="68"/>
  <c r="E68" i="68"/>
  <c r="G68" i="68"/>
  <c r="L68" i="68"/>
  <c r="N68" i="68" s="1"/>
  <c r="B69" i="68"/>
  <c r="C69" i="68"/>
  <c r="D69" i="68"/>
  <c r="E69" i="68"/>
  <c r="G69" i="68"/>
  <c r="B71" i="68"/>
  <c r="C71" i="68"/>
  <c r="D71" i="68"/>
  <c r="E71" i="68"/>
  <c r="G71" i="68"/>
  <c r="L71" i="68"/>
  <c r="N71" i="68" s="1"/>
  <c r="B72" i="68"/>
  <c r="C72" i="68"/>
  <c r="D72" i="68"/>
  <c r="B73" i="68"/>
  <c r="C73" i="68"/>
  <c r="D73" i="68"/>
  <c r="E73" i="68"/>
  <c r="G73" i="68"/>
  <c r="L73" i="68"/>
  <c r="N73" i="68" s="1"/>
  <c r="B74" i="68"/>
  <c r="C74" i="68"/>
  <c r="D74" i="68"/>
  <c r="E74" i="68"/>
  <c r="G74" i="68"/>
  <c r="I74" i="68"/>
  <c r="L74" i="68"/>
  <c r="N74" i="68" s="1"/>
  <c r="B75" i="68"/>
  <c r="C75" i="68"/>
  <c r="D75" i="68"/>
  <c r="E75" i="68"/>
  <c r="G75" i="68"/>
  <c r="L75" i="68"/>
  <c r="N75" i="68" s="1"/>
  <c r="B76" i="68"/>
  <c r="C76" i="68"/>
  <c r="D76" i="68"/>
  <c r="E76" i="68"/>
  <c r="G76" i="68"/>
  <c r="I76" i="68"/>
  <c r="L76" i="68"/>
  <c r="N76" i="68" s="1"/>
  <c r="B77" i="68"/>
  <c r="C77" i="68"/>
  <c r="D77" i="68"/>
  <c r="E77" i="68"/>
  <c r="G77" i="68"/>
  <c r="I77" i="68"/>
  <c r="L77" i="68"/>
  <c r="N77" i="68" s="1"/>
  <c r="B78" i="68"/>
  <c r="C78" i="68"/>
  <c r="D78" i="68"/>
  <c r="E78" i="68"/>
  <c r="G78" i="68"/>
  <c r="I78" i="68"/>
  <c r="L78" i="68"/>
  <c r="N78" i="68" s="1"/>
  <c r="B79" i="68"/>
  <c r="C79" i="68"/>
  <c r="D79" i="68"/>
  <c r="E79" i="68"/>
  <c r="G79" i="68"/>
  <c r="L79" i="68"/>
  <c r="N79" i="68" s="1"/>
  <c r="B80" i="68"/>
  <c r="C80" i="68"/>
  <c r="D80" i="68"/>
  <c r="B81" i="68"/>
  <c r="C81" i="68"/>
  <c r="D81" i="68"/>
  <c r="E81" i="68"/>
  <c r="L81" i="68"/>
  <c r="N81" i="68" s="1"/>
  <c r="B82" i="68"/>
  <c r="C82" i="68"/>
  <c r="D82" i="68"/>
  <c r="E82" i="68"/>
  <c r="G82" i="68"/>
  <c r="L82" i="68"/>
  <c r="N82" i="68" s="1"/>
  <c r="B83" i="68"/>
  <c r="C83" i="68"/>
  <c r="D83" i="68"/>
  <c r="E83" i="68"/>
  <c r="G83" i="68"/>
  <c r="L83" i="68"/>
  <c r="N83" i="68" s="1"/>
  <c r="B84" i="68"/>
  <c r="C84" i="68"/>
  <c r="D84" i="68"/>
  <c r="E84" i="68"/>
  <c r="G84" i="68"/>
  <c r="L84" i="68"/>
  <c r="N84" i="68" s="1"/>
  <c r="B85" i="68"/>
  <c r="C85" i="68"/>
  <c r="B86" i="68"/>
  <c r="C86" i="68"/>
  <c r="D86" i="68"/>
  <c r="E86" i="68"/>
  <c r="G86" i="68"/>
  <c r="L86" i="68"/>
  <c r="N86" i="68" s="1"/>
  <c r="B87" i="68"/>
  <c r="C87" i="68"/>
  <c r="D87" i="68"/>
  <c r="E87" i="68"/>
  <c r="G87" i="68"/>
  <c r="L87" i="68"/>
  <c r="N87" i="68" s="1"/>
  <c r="B88" i="68"/>
  <c r="C88" i="68"/>
  <c r="D88" i="68"/>
  <c r="B89" i="68"/>
  <c r="C89" i="68"/>
  <c r="D89" i="68"/>
  <c r="E89" i="68"/>
  <c r="L89" i="68"/>
  <c r="N89" i="68" s="1"/>
  <c r="B90" i="68"/>
  <c r="C90" i="68"/>
  <c r="D90" i="68"/>
  <c r="E90" i="68"/>
  <c r="G90" i="68"/>
  <c r="L90" i="68"/>
  <c r="N90" i="68" s="1"/>
  <c r="B91" i="68"/>
  <c r="C91" i="68"/>
  <c r="D91" i="68"/>
  <c r="E91" i="68"/>
  <c r="G91" i="68"/>
  <c r="L91" i="68"/>
  <c r="N91" i="68" s="1"/>
  <c r="B92" i="68"/>
  <c r="C92" i="68"/>
  <c r="D92" i="68"/>
  <c r="E92" i="68"/>
  <c r="L92" i="68"/>
  <c r="N92" i="68" s="1"/>
  <c r="B93" i="68"/>
  <c r="C93" i="68"/>
  <c r="D93" i="68"/>
  <c r="E93" i="68"/>
  <c r="G93" i="68"/>
  <c r="L93" i="68"/>
  <c r="N93" i="68" s="1"/>
  <c r="B94" i="68"/>
  <c r="C94" i="68"/>
  <c r="D94" i="68"/>
  <c r="E94" i="68"/>
  <c r="G94" i="68"/>
  <c r="L94" i="68"/>
  <c r="N94" i="68" s="1"/>
  <c r="B95" i="68"/>
  <c r="C95" i="68"/>
  <c r="D95" i="68"/>
  <c r="E95" i="68"/>
  <c r="G95" i="68"/>
  <c r="L95" i="68"/>
  <c r="N95" i="68" s="1"/>
  <c r="B96" i="68"/>
  <c r="C96" i="68"/>
  <c r="D96" i="68"/>
  <c r="E96" i="68"/>
  <c r="G96" i="68"/>
  <c r="L96" i="68"/>
  <c r="N96" i="68" s="1"/>
  <c r="B97" i="68"/>
  <c r="C97" i="68"/>
  <c r="D97" i="68"/>
  <c r="E97" i="68"/>
  <c r="G97" i="68"/>
  <c r="L97" i="68"/>
  <c r="N97" i="68" s="1"/>
  <c r="B98" i="68"/>
  <c r="C98" i="68"/>
  <c r="D98" i="68"/>
  <c r="E98" i="68"/>
  <c r="G98" i="68"/>
  <c r="L98" i="68"/>
  <c r="N98" i="68" s="1"/>
  <c r="B99" i="68"/>
  <c r="C99" i="68"/>
  <c r="D99" i="68"/>
  <c r="B100" i="68"/>
  <c r="C100" i="68"/>
  <c r="D100" i="68"/>
  <c r="E100" i="68"/>
  <c r="G100" i="68"/>
  <c r="B101" i="68"/>
  <c r="C101" i="68"/>
  <c r="D101" i="68"/>
  <c r="E101" i="68"/>
  <c r="G101" i="68"/>
  <c r="L101" i="68"/>
  <c r="N101" i="68" s="1"/>
  <c r="B102" i="68"/>
  <c r="C102" i="68"/>
  <c r="D102" i="68"/>
  <c r="B103" i="68"/>
  <c r="C103" i="68"/>
  <c r="D103" i="68"/>
  <c r="E103" i="68"/>
  <c r="G103" i="68"/>
  <c r="L103" i="68"/>
  <c r="N103" i="68" s="1"/>
  <c r="B104" i="68"/>
  <c r="C104" i="68"/>
  <c r="D104" i="68"/>
  <c r="E104" i="68"/>
  <c r="G104" i="68"/>
  <c r="L104" i="68"/>
  <c r="N104" i="68" s="1"/>
  <c r="B105" i="68"/>
  <c r="C105" i="68"/>
  <c r="D105" i="68"/>
  <c r="E105" i="68"/>
  <c r="G105" i="68"/>
  <c r="B106" i="68"/>
  <c r="C106" i="68"/>
  <c r="D106" i="68"/>
  <c r="E106" i="68"/>
  <c r="G106" i="68"/>
  <c r="L106" i="68"/>
  <c r="N106" i="68" s="1"/>
  <c r="B107" i="68"/>
  <c r="C107" i="68"/>
  <c r="D107" i="68"/>
  <c r="E107" i="68"/>
  <c r="G107" i="68"/>
  <c r="L107" i="68"/>
  <c r="N107" i="68" s="1"/>
  <c r="B108" i="68"/>
  <c r="C108" i="68"/>
  <c r="D108" i="68"/>
  <c r="B109" i="68"/>
  <c r="C109" i="68"/>
  <c r="D109" i="68"/>
  <c r="E109" i="68"/>
  <c r="G109" i="68"/>
  <c r="L109" i="68"/>
  <c r="N109" i="68" s="1"/>
  <c r="B110" i="68"/>
  <c r="C110" i="68"/>
  <c r="D110" i="68"/>
  <c r="E110" i="68"/>
  <c r="G110" i="68"/>
  <c r="L110" i="68"/>
  <c r="N110" i="68" s="1"/>
  <c r="B111" i="68"/>
  <c r="C111" i="68"/>
  <c r="D111" i="68"/>
  <c r="E111" i="68"/>
  <c r="G111" i="68"/>
  <c r="L111" i="68"/>
  <c r="N111" i="68" s="1"/>
  <c r="B112" i="68"/>
  <c r="C112" i="68"/>
  <c r="D112" i="68"/>
  <c r="E112" i="68"/>
  <c r="G112" i="68"/>
  <c r="L112" i="68"/>
  <c r="N112" i="68" s="1"/>
  <c r="B113" i="68"/>
  <c r="C113" i="68"/>
  <c r="D113" i="68"/>
  <c r="B114" i="68"/>
  <c r="C114" i="68"/>
  <c r="D114" i="68"/>
  <c r="E114" i="68"/>
  <c r="G114" i="68"/>
  <c r="L114" i="68"/>
  <c r="N114" i="68" s="1"/>
  <c r="B115" i="68"/>
  <c r="C115" i="68"/>
  <c r="D115" i="68"/>
  <c r="E115" i="68"/>
  <c r="G115" i="68"/>
  <c r="L115" i="68"/>
  <c r="N115" i="68" s="1"/>
  <c r="B116" i="68"/>
  <c r="C116" i="68"/>
  <c r="D116" i="68"/>
  <c r="E116" i="68"/>
  <c r="G116" i="68"/>
  <c r="L116" i="68"/>
  <c r="N116" i="68" s="1"/>
  <c r="B117" i="68"/>
  <c r="C117" i="68"/>
  <c r="D117" i="68"/>
  <c r="E117" i="68"/>
  <c r="G117" i="68"/>
  <c r="L117" i="68"/>
  <c r="N117" i="68" s="1"/>
  <c r="B118" i="68"/>
  <c r="C118" i="68"/>
  <c r="D118" i="68"/>
  <c r="E118" i="68"/>
  <c r="G118" i="68"/>
  <c r="L118" i="68"/>
  <c r="N118" i="68" s="1"/>
  <c r="B119" i="68"/>
  <c r="C119" i="68"/>
  <c r="D119" i="68"/>
  <c r="E119" i="68"/>
  <c r="G119" i="68"/>
  <c r="L119" i="68"/>
  <c r="N119" i="68" s="1"/>
  <c r="B120" i="68"/>
  <c r="C120" i="68"/>
  <c r="D120" i="68"/>
  <c r="E120" i="68"/>
  <c r="G120" i="68"/>
  <c r="L120" i="68"/>
  <c r="N120" i="68" s="1"/>
  <c r="B121" i="68"/>
  <c r="C121" i="68"/>
  <c r="D121" i="68"/>
  <c r="E121" i="68"/>
  <c r="G121" i="68"/>
  <c r="L121" i="68"/>
  <c r="N121" i="68" s="1"/>
  <c r="B122" i="68"/>
  <c r="C122" i="68"/>
  <c r="D122" i="68"/>
  <c r="E122" i="68"/>
  <c r="G122" i="68"/>
  <c r="L122" i="68"/>
  <c r="N122" i="68" s="1"/>
  <c r="B123" i="68"/>
  <c r="C123" i="68"/>
  <c r="D123" i="68"/>
  <c r="E123" i="68"/>
  <c r="G123" i="68"/>
  <c r="L123" i="68"/>
  <c r="N123" i="68" s="1"/>
  <c r="B124" i="68"/>
  <c r="C124" i="68"/>
  <c r="D124" i="68"/>
  <c r="E124" i="68"/>
  <c r="G124" i="68"/>
  <c r="L124" i="68"/>
  <c r="N124" i="68" s="1"/>
  <c r="B125" i="68"/>
  <c r="C125" i="68"/>
  <c r="D125" i="68"/>
  <c r="E125" i="68"/>
  <c r="G125" i="68"/>
  <c r="L125" i="68"/>
  <c r="N125" i="68" s="1"/>
  <c r="B126" i="68"/>
  <c r="C126" i="68"/>
  <c r="D126" i="68"/>
  <c r="E126" i="68"/>
  <c r="G126" i="68"/>
  <c r="L126" i="68"/>
  <c r="N126" i="68" s="1"/>
  <c r="B128" i="68"/>
  <c r="C128" i="68"/>
  <c r="D128" i="68"/>
  <c r="E128" i="68"/>
  <c r="G128" i="68"/>
  <c r="L128" i="68"/>
  <c r="N128" i="68" s="1"/>
  <c r="B129" i="68"/>
  <c r="C129" i="68"/>
  <c r="D129" i="68"/>
  <c r="E129" i="68"/>
  <c r="G129" i="68"/>
  <c r="L129" i="68"/>
  <c r="N129" i="68" s="1"/>
  <c r="B130" i="68"/>
  <c r="C130" i="68"/>
  <c r="D130" i="68"/>
  <c r="E130" i="68"/>
  <c r="G130" i="68"/>
  <c r="L130" i="68"/>
  <c r="N130" i="68" s="1"/>
  <c r="B131" i="68"/>
  <c r="C131" i="68"/>
  <c r="D131" i="68"/>
  <c r="E131" i="68"/>
  <c r="G131" i="68"/>
  <c r="L131" i="68"/>
  <c r="N131" i="68" s="1"/>
  <c r="B132" i="68"/>
  <c r="C132" i="68"/>
  <c r="D132" i="68"/>
  <c r="E132" i="68"/>
  <c r="G132" i="68"/>
  <c r="L132" i="68"/>
  <c r="N132" i="68" s="1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C23" i="4"/>
  <c r="CX23" i="4"/>
  <c r="CW23" i="4"/>
  <c r="CV23" i="4"/>
  <c r="G136" i="68"/>
  <c r="DB23" i="4"/>
  <c r="DA23" i="4"/>
  <c r="K34" i="29"/>
  <c r="O35" i="29"/>
  <c r="Q35" i="29"/>
  <c r="U35" i="29"/>
  <c r="M36" i="29"/>
  <c r="O36" i="29"/>
  <c r="Q36" i="29"/>
  <c r="S36" i="29"/>
  <c r="U36" i="29"/>
  <c r="M37" i="29"/>
  <c r="S37" i="29"/>
  <c r="U37" i="29"/>
  <c r="U34" i="29"/>
  <c r="S34" i="29"/>
  <c r="Q34" i="29"/>
  <c r="O34" i="29"/>
  <c r="U30" i="29"/>
  <c r="Q23" i="29"/>
  <c r="O27" i="29"/>
  <c r="O28" i="29"/>
  <c r="O29" i="29"/>
  <c r="M27" i="29"/>
  <c r="M28" i="29"/>
  <c r="M29" i="29"/>
  <c r="M30" i="29"/>
  <c r="N44" i="30"/>
  <c r="O44" i="30"/>
  <c r="P44" i="30"/>
  <c r="H44" i="30" s="1"/>
  <c r="Q44" i="30"/>
  <c r="R44" i="30"/>
  <c r="S44" i="30"/>
  <c r="W44" i="30"/>
  <c r="X44" i="30"/>
  <c r="Y44" i="30"/>
  <c r="I44" i="30" s="1"/>
  <c r="Z44" i="30"/>
  <c r="AA44" i="30"/>
  <c r="K44" i="30" s="1"/>
  <c r="AE44" i="30"/>
  <c r="AF44" i="30"/>
  <c r="AG44" i="30"/>
  <c r="AH44" i="30"/>
  <c r="AI44" i="30"/>
  <c r="F44" i="30"/>
  <c r="AZ35" i="30"/>
  <c r="S35" i="30" s="1"/>
  <c r="K35" i="30" s="1"/>
  <c r="AY35" i="30"/>
  <c r="R35" i="30" s="1"/>
  <c r="J35" i="30" s="1"/>
  <c r="AX35" i="30"/>
  <c r="Q35" i="30" s="1"/>
  <c r="I35" i="30" s="1"/>
  <c r="V13" i="3"/>
  <c r="V14" i="3"/>
  <c r="V15" i="3"/>
  <c r="V16" i="3"/>
  <c r="V17" i="3"/>
  <c r="V18" i="3"/>
  <c r="V19" i="3"/>
  <c r="V20" i="3"/>
  <c r="V21" i="3"/>
  <c r="V22" i="3"/>
  <c r="V23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8" i="3"/>
  <c r="V79" i="3"/>
  <c r="V80" i="3"/>
  <c r="V81" i="3"/>
  <c r="V82" i="3"/>
  <c r="AD82" i="3" s="1"/>
  <c r="V84" i="3"/>
  <c r="V247" i="3"/>
  <c r="V85" i="3"/>
  <c r="V87" i="3"/>
  <c r="V88" i="3"/>
  <c r="V89" i="3"/>
  <c r="V90" i="3"/>
  <c r="X90" i="3" s="1"/>
  <c r="I18" i="68" s="1"/>
  <c r="V91" i="3"/>
  <c r="X91" i="3" s="1"/>
  <c r="V92" i="3"/>
  <c r="V93" i="3"/>
  <c r="V94" i="3"/>
  <c r="V95" i="3"/>
  <c r="AD95" i="3" s="1"/>
  <c r="V96" i="3"/>
  <c r="V99" i="3"/>
  <c r="V100" i="3"/>
  <c r="V98" i="3"/>
  <c r="AD98" i="3" s="1"/>
  <c r="V101" i="3"/>
  <c r="V102" i="3"/>
  <c r="V103" i="3"/>
  <c r="V104" i="3"/>
  <c r="V97" i="3"/>
  <c r="V105" i="3"/>
  <c r="V106" i="3"/>
  <c r="V107" i="3"/>
  <c r="AF107" i="3" s="1"/>
  <c r="V108" i="3"/>
  <c r="V109" i="3"/>
  <c r="V110" i="3"/>
  <c r="V111" i="3"/>
  <c r="V112" i="3"/>
  <c r="V113" i="3"/>
  <c r="V114" i="3"/>
  <c r="X114" i="3" s="1"/>
  <c r="I36" i="68" s="1"/>
  <c r="V213" i="3"/>
  <c r="X213" i="3" s="1"/>
  <c r="V115" i="3"/>
  <c r="V116" i="3"/>
  <c r="V117" i="3"/>
  <c r="X117" i="3" s="1"/>
  <c r="I40" i="68" s="1"/>
  <c r="V118" i="3"/>
  <c r="X118" i="3" s="1"/>
  <c r="I41" i="68" s="1"/>
  <c r="V119" i="3"/>
  <c r="V120" i="3"/>
  <c r="V121" i="3"/>
  <c r="V122" i="3"/>
  <c r="AF122" i="3" s="1"/>
  <c r="V123" i="3"/>
  <c r="V124" i="3"/>
  <c r="V125" i="3"/>
  <c r="V126" i="3"/>
  <c r="V128" i="3"/>
  <c r="V129" i="3"/>
  <c r="V130" i="3"/>
  <c r="V131" i="3"/>
  <c r="V132" i="3"/>
  <c r="V133" i="3"/>
  <c r="V134" i="3"/>
  <c r="X134" i="3" s="1"/>
  <c r="V135" i="3"/>
  <c r="X135" i="3" s="1"/>
  <c r="V136" i="3"/>
  <c r="V137" i="3"/>
  <c r="V138" i="3"/>
  <c r="V139" i="3"/>
  <c r="V140" i="3"/>
  <c r="V141" i="3"/>
  <c r="V142" i="3"/>
  <c r="X142" i="3" s="1"/>
  <c r="V143" i="3"/>
  <c r="V144" i="3"/>
  <c r="V145" i="3"/>
  <c r="V146" i="3"/>
  <c r="V147" i="3"/>
  <c r="V148" i="3"/>
  <c r="V149" i="3"/>
  <c r="V150" i="3"/>
  <c r="X150" i="3" s="1"/>
  <c r="V151" i="3"/>
  <c r="X151" i="3" s="1"/>
  <c r="I68" i="68" s="1"/>
  <c r="V152" i="3"/>
  <c r="V154" i="3"/>
  <c r="X154" i="3" s="1"/>
  <c r="V155" i="3"/>
  <c r="V156" i="3"/>
  <c r="V157" i="3"/>
  <c r="V158" i="3"/>
  <c r="V159" i="3"/>
  <c r="V160" i="3"/>
  <c r="V161" i="3"/>
  <c r="V162" i="3"/>
  <c r="V163" i="3"/>
  <c r="V164" i="3"/>
  <c r="X164" i="3" s="1"/>
  <c r="V165" i="3"/>
  <c r="V166" i="3"/>
  <c r="V167" i="3"/>
  <c r="X167" i="3" s="1"/>
  <c r="V168" i="3"/>
  <c r="V169" i="3"/>
  <c r="V170" i="3"/>
  <c r="V171" i="3"/>
  <c r="AD171" i="3" s="1"/>
  <c r="V172" i="3"/>
  <c r="X172" i="3" s="1"/>
  <c r="V173" i="3"/>
  <c r="V174" i="3"/>
  <c r="V175" i="3"/>
  <c r="V176" i="3"/>
  <c r="AF176" i="3" s="1"/>
  <c r="V177" i="3"/>
  <c r="V178" i="3"/>
  <c r="V179" i="3"/>
  <c r="V180" i="3"/>
  <c r="AF180" i="3" s="1"/>
  <c r="V181" i="3"/>
  <c r="V182" i="3"/>
  <c r="V183" i="3"/>
  <c r="V184" i="3"/>
  <c r="AD184" i="3" s="1"/>
  <c r="V185" i="3"/>
  <c r="V186" i="3"/>
  <c r="V187" i="3"/>
  <c r="X187" i="3" s="1"/>
  <c r="V188" i="3"/>
  <c r="V189" i="3"/>
  <c r="V190" i="3"/>
  <c r="V191" i="3"/>
  <c r="V192" i="3"/>
  <c r="X192" i="3" s="1"/>
  <c r="V193" i="3"/>
  <c r="V194" i="3"/>
  <c r="V195" i="3"/>
  <c r="V196" i="3"/>
  <c r="X196" i="3" s="1"/>
  <c r="V198" i="3"/>
  <c r="V199" i="3"/>
  <c r="X199" i="3" s="1"/>
  <c r="V200" i="3"/>
  <c r="V201" i="3"/>
  <c r="V202" i="3"/>
  <c r="V203" i="3"/>
  <c r="V204" i="3"/>
  <c r="V205" i="3"/>
  <c r="V206" i="3"/>
  <c r="V208" i="3"/>
  <c r="X208" i="3" s="1"/>
  <c r="I111" i="68" s="1"/>
  <c r="V209" i="3"/>
  <c r="X209" i="3" s="1"/>
  <c r="V210" i="3"/>
  <c r="V211" i="3"/>
  <c r="V212" i="3"/>
  <c r="V214" i="3"/>
  <c r="X214" i="3" s="1"/>
  <c r="I114" i="68" s="1"/>
  <c r="V215" i="3"/>
  <c r="X215" i="3" s="1"/>
  <c r="I115" i="68" s="1"/>
  <c r="V216" i="3"/>
  <c r="V217" i="3"/>
  <c r="V218" i="3"/>
  <c r="V219" i="3"/>
  <c r="AF219" i="3" s="1"/>
  <c r="V220" i="3"/>
  <c r="V221" i="3"/>
  <c r="V222" i="3"/>
  <c r="X222" i="3" s="1"/>
  <c r="I122" i="68" s="1"/>
  <c r="V223" i="3"/>
  <c r="V224" i="3"/>
  <c r="V225" i="3"/>
  <c r="V226" i="3"/>
  <c r="V228" i="3"/>
  <c r="X228" i="3" s="1"/>
  <c r="V229" i="3"/>
  <c r="V230" i="3"/>
  <c r="V231" i="3"/>
  <c r="X231" i="3" s="1"/>
  <c r="I131" i="68" s="1"/>
  <c r="V232" i="3"/>
  <c r="X232" i="3" s="1"/>
  <c r="I132" i="68" s="1"/>
  <c r="V233" i="3"/>
  <c r="V234" i="3"/>
  <c r="V235" i="3"/>
  <c r="V236" i="3"/>
  <c r="V237" i="3"/>
  <c r="V238" i="3"/>
  <c r="V239" i="3"/>
  <c r="V240" i="3"/>
  <c r="X240" i="3" s="1"/>
  <c r="V241" i="3"/>
  <c r="V242" i="3"/>
  <c r="V243" i="3"/>
  <c r="V244" i="3"/>
  <c r="AG244" i="3" s="1"/>
  <c r="V245" i="3"/>
  <c r="V246" i="3"/>
  <c r="X246" i="3" s="1"/>
  <c r="V248" i="3"/>
  <c r="V249" i="3"/>
  <c r="V250" i="3"/>
  <c r="V251" i="3"/>
  <c r="X251" i="3" s="1"/>
  <c r="V252" i="3"/>
  <c r="X252" i="3" s="1"/>
  <c r="I145" i="68" s="1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X276" i="3" s="1"/>
  <c r="V277" i="3"/>
  <c r="V278" i="3"/>
  <c r="V279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2" i="3"/>
  <c r="V303" i="3"/>
  <c r="V304" i="3"/>
  <c r="V306" i="3"/>
  <c r="V307" i="3"/>
  <c r="V308" i="3"/>
  <c r="V309" i="3"/>
  <c r="V310" i="3"/>
  <c r="V311" i="3"/>
  <c r="V312" i="3"/>
  <c r="V313" i="3"/>
  <c r="V314" i="3"/>
  <c r="V316" i="3"/>
  <c r="V317" i="3"/>
  <c r="X317" i="3" s="1"/>
  <c r="V318" i="3"/>
  <c r="V319" i="3"/>
  <c r="V320" i="3"/>
  <c r="V321" i="3"/>
  <c r="V322" i="3"/>
  <c r="V323" i="3"/>
  <c r="V324" i="3"/>
  <c r="V325" i="3"/>
  <c r="V328" i="3"/>
  <c r="V329" i="3"/>
  <c r="V330" i="3"/>
  <c r="V331" i="3"/>
  <c r="V332" i="3"/>
  <c r="V333" i="3"/>
  <c r="AD333" i="3" s="1"/>
  <c r="V334" i="3"/>
  <c r="AD334" i="3" s="1"/>
  <c r="V335" i="3"/>
  <c r="V336" i="3"/>
  <c r="V337" i="3"/>
  <c r="AG337" i="3" s="1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12" i="3"/>
  <c r="A150" i="70"/>
  <c r="A151" i="70"/>
  <c r="A152" i="70"/>
  <c r="A153" i="70"/>
  <c r="A154" i="70"/>
  <c r="A155" i="70"/>
  <c r="A156" i="70"/>
  <c r="A158" i="70"/>
  <c r="A159" i="70"/>
  <c r="A160" i="70"/>
  <c r="A167" i="70"/>
  <c r="A168" i="70"/>
  <c r="A114" i="70"/>
  <c r="A5" i="70"/>
  <c r="AQ39" i="30"/>
  <c r="AP39" i="30"/>
  <c r="AO39" i="30"/>
  <c r="AZ28" i="30"/>
  <c r="AY28" i="30"/>
  <c r="AX28" i="30"/>
  <c r="AZ40" i="30"/>
  <c r="AY40" i="30"/>
  <c r="AX40" i="30"/>
  <c r="AQ40" i="30"/>
  <c r="AP40" i="30"/>
  <c r="AO40" i="30"/>
  <c r="N41" i="30"/>
  <c r="O41" i="30"/>
  <c r="N42" i="30"/>
  <c r="F42" i="30" s="1"/>
  <c r="O42" i="30"/>
  <c r="N43" i="30"/>
  <c r="F43" i="30"/>
  <c r="O43" i="30"/>
  <c r="BG38" i="30"/>
  <c r="BF38" i="30"/>
  <c r="BH38" i="30"/>
  <c r="BI38" i="30"/>
  <c r="BE38" i="30"/>
  <c r="BE45" i="30" s="1"/>
  <c r="BE50" i="30" s="1"/>
  <c r="BE57" i="30" s="1"/>
  <c r="BE67" i="30" s="1"/>
  <c r="Z338" i="3"/>
  <c r="Z337" i="3"/>
  <c r="AG76" i="3"/>
  <c r="AG112" i="3" s="1"/>
  <c r="Z80" i="3"/>
  <c r="Z81" i="3"/>
  <c r="Z82" i="3"/>
  <c r="Z84" i="3"/>
  <c r="Z247" i="3"/>
  <c r="Z85" i="3"/>
  <c r="Z87" i="3"/>
  <c r="AA87" i="3" s="1"/>
  <c r="G87" i="3" s="1"/>
  <c r="AO87" i="3" s="1"/>
  <c r="Z88" i="3"/>
  <c r="Z89" i="3"/>
  <c r="Z90" i="3"/>
  <c r="Z91" i="3"/>
  <c r="Z92" i="3"/>
  <c r="Z93" i="3"/>
  <c r="AA93" i="3" s="1"/>
  <c r="G93" i="3" s="1"/>
  <c r="AO93" i="3" s="1"/>
  <c r="Z94" i="3"/>
  <c r="Z95" i="3"/>
  <c r="Z96" i="3"/>
  <c r="Z99" i="3"/>
  <c r="Z100" i="3"/>
  <c r="Z98" i="3"/>
  <c r="Z101" i="3"/>
  <c r="Z102" i="3"/>
  <c r="Z103" i="3"/>
  <c r="Z104" i="3"/>
  <c r="Z97" i="3"/>
  <c r="Z105" i="3"/>
  <c r="Z106" i="3"/>
  <c r="AA106" i="3" s="1"/>
  <c r="G106" i="3" s="1"/>
  <c r="AO106" i="3" s="1"/>
  <c r="Z107" i="3"/>
  <c r="Z108" i="3"/>
  <c r="Z109" i="3"/>
  <c r="AA109" i="3" s="1"/>
  <c r="G109" i="3" s="1"/>
  <c r="AO109" i="3" s="1"/>
  <c r="Z110" i="3"/>
  <c r="Z111" i="3"/>
  <c r="Z112" i="3"/>
  <c r="Z113" i="3"/>
  <c r="AA113" i="3" s="1"/>
  <c r="G113" i="3" s="1"/>
  <c r="AO113" i="3" s="1"/>
  <c r="Z114" i="3"/>
  <c r="Z213" i="3"/>
  <c r="Z115" i="3"/>
  <c r="Z116" i="3"/>
  <c r="Z117" i="3"/>
  <c r="Z118" i="3"/>
  <c r="Z119" i="3"/>
  <c r="Z120" i="3"/>
  <c r="Z121" i="3"/>
  <c r="Z122" i="3"/>
  <c r="Z123" i="3"/>
  <c r="Z124" i="3"/>
  <c r="Z125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AA147" i="3" s="1"/>
  <c r="G147" i="3" s="1"/>
  <c r="AO147" i="3" s="1"/>
  <c r="Z148" i="3"/>
  <c r="AA148" i="3" s="1"/>
  <c r="G148" i="3" s="1"/>
  <c r="AO148" i="3" s="1"/>
  <c r="Z149" i="3"/>
  <c r="AA149" i="3" s="1"/>
  <c r="G149" i="3" s="1"/>
  <c r="AO149" i="3" s="1"/>
  <c r="Z150" i="3"/>
  <c r="Z151" i="3"/>
  <c r="Z154" i="3"/>
  <c r="Z155" i="3"/>
  <c r="Z156" i="3"/>
  <c r="Z157" i="3"/>
  <c r="AA157" i="3" s="1"/>
  <c r="G157" i="3" s="1"/>
  <c r="AO157" i="3" s="1"/>
  <c r="Z158" i="3"/>
  <c r="Z159" i="3"/>
  <c r="Z160" i="3"/>
  <c r="AA160" i="3" s="1"/>
  <c r="G160" i="3" s="1"/>
  <c r="AO160" i="3" s="1"/>
  <c r="Z161" i="3"/>
  <c r="AA161" i="3" s="1"/>
  <c r="G161" i="3" s="1"/>
  <c r="AO161" i="3" s="1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2" i="3"/>
  <c r="Z193" i="3"/>
  <c r="Z194" i="3"/>
  <c r="Z195" i="3"/>
  <c r="Z196" i="3"/>
  <c r="Z200" i="3"/>
  <c r="AA200" i="3" s="1"/>
  <c r="G200" i="3" s="1"/>
  <c r="AO200" i="3" s="1"/>
  <c r="Z201" i="3"/>
  <c r="AA201" i="3" s="1"/>
  <c r="G201" i="3" s="1"/>
  <c r="AO201" i="3" s="1"/>
  <c r="Z202" i="3"/>
  <c r="Z203" i="3"/>
  <c r="Z204" i="3"/>
  <c r="AA204" i="3" s="1"/>
  <c r="G204" i="3" s="1"/>
  <c r="AO204" i="3" s="1"/>
  <c r="Z205" i="3"/>
  <c r="Z206" i="3"/>
  <c r="Z208" i="3"/>
  <c r="AA208" i="3" s="1"/>
  <c r="G208" i="3" s="1"/>
  <c r="AO208" i="3" s="1"/>
  <c r="Z209" i="3"/>
  <c r="Z210" i="3"/>
  <c r="Z211" i="3"/>
  <c r="AA211" i="3" s="1"/>
  <c r="G211" i="3" s="1"/>
  <c r="AO211" i="3" s="1"/>
  <c r="Z212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8" i="3"/>
  <c r="AA248" i="3" s="1"/>
  <c r="G248" i="3" s="1"/>
  <c r="AO248" i="3" s="1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2" i="3"/>
  <c r="Z303" i="3"/>
  <c r="Z304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8" i="3"/>
  <c r="Z329" i="3"/>
  <c r="Z330" i="3"/>
  <c r="Z331" i="3"/>
  <c r="Z332" i="3"/>
  <c r="Z333" i="3"/>
  <c r="Z334" i="3"/>
  <c r="Z79" i="3"/>
  <c r="I399" i="3"/>
  <c r="J399" i="3"/>
  <c r="K399" i="3"/>
  <c r="L399" i="3"/>
  <c r="M399" i="3"/>
  <c r="H399" i="3"/>
  <c r="I398" i="3"/>
  <c r="J398" i="3"/>
  <c r="K398" i="3"/>
  <c r="L398" i="3"/>
  <c r="M398" i="3"/>
  <c r="H398" i="3"/>
  <c r="I397" i="3"/>
  <c r="J397" i="3"/>
  <c r="K397" i="3"/>
  <c r="L397" i="3"/>
  <c r="M397" i="3"/>
  <c r="H397" i="3"/>
  <c r="I393" i="3"/>
  <c r="J393" i="3"/>
  <c r="K393" i="3"/>
  <c r="L393" i="3"/>
  <c r="M393" i="3"/>
  <c r="I278" i="3"/>
  <c r="I292" i="3" s="1"/>
  <c r="I391" i="3"/>
  <c r="J278" i="3"/>
  <c r="J292" i="3" s="1"/>
  <c r="J391" i="3" s="1"/>
  <c r="K278" i="3"/>
  <c r="K292" i="3" s="1"/>
  <c r="K391" i="3" s="1"/>
  <c r="L278" i="3"/>
  <c r="L292" i="3" s="1"/>
  <c r="L391" i="3" s="1"/>
  <c r="M278" i="3"/>
  <c r="M292" i="3" s="1"/>
  <c r="M391" i="3" s="1"/>
  <c r="I390" i="3"/>
  <c r="J390" i="3"/>
  <c r="K390" i="3"/>
  <c r="L390" i="3"/>
  <c r="M390" i="3"/>
  <c r="P318" i="3"/>
  <c r="P317" i="3"/>
  <c r="P315" i="3"/>
  <c r="P281" i="3"/>
  <c r="P282" i="3"/>
  <c r="P283" i="3"/>
  <c r="P284" i="3"/>
  <c r="P285" i="3"/>
  <c r="P286" i="3"/>
  <c r="P287" i="3"/>
  <c r="P288" i="3"/>
  <c r="P289" i="3"/>
  <c r="P290" i="3"/>
  <c r="P291" i="3"/>
  <c r="P279" i="3"/>
  <c r="P275" i="3"/>
  <c r="P276" i="3"/>
  <c r="P274" i="3"/>
  <c r="P254" i="3"/>
  <c r="P252" i="3"/>
  <c r="P251" i="3"/>
  <c r="P246" i="3"/>
  <c r="P245" i="3"/>
  <c r="AG108" i="3"/>
  <c r="AY38" i="30"/>
  <c r="AX38" i="30"/>
  <c r="AW38" i="30"/>
  <c r="AZ38" i="30"/>
  <c r="AV38" i="30"/>
  <c r="P154" i="3"/>
  <c r="AF102" i="3"/>
  <c r="CQ23" i="4"/>
  <c r="CP22" i="4"/>
  <c r="CP27" i="4" s="1"/>
  <c r="CP23" i="4"/>
  <c r="CO23" i="4"/>
  <c r="CN23" i="4"/>
  <c r="CM23" i="4"/>
  <c r="CL23" i="4"/>
  <c r="CK23" i="4"/>
  <c r="CJ23" i="4"/>
  <c r="CI23" i="4"/>
  <c r="CH23" i="4"/>
  <c r="CG23" i="4"/>
  <c r="CF23" i="4"/>
  <c r="CE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Y23" i="4"/>
  <c r="X23" i="4"/>
  <c r="W23" i="4"/>
  <c r="V23" i="4"/>
  <c r="U23" i="4"/>
  <c r="T23" i="4"/>
  <c r="Z23" i="4"/>
  <c r="S23" i="4"/>
  <c r="Q23" i="4"/>
  <c r="X128" i="3"/>
  <c r="Z128" i="3"/>
  <c r="X318" i="3"/>
  <c r="AA318" i="3" s="1"/>
  <c r="G318" i="3" s="1"/>
  <c r="AO318" i="3" s="1"/>
  <c r="L104" i="70" s="1"/>
  <c r="X338" i="3"/>
  <c r="AA338" i="3"/>
  <c r="G338" i="3" s="1"/>
  <c r="AO338" i="3" s="1"/>
  <c r="L113" i="70" s="1"/>
  <c r="AF337" i="3"/>
  <c r="AD337" i="3"/>
  <c r="X337" i="3"/>
  <c r="Z199" i="3"/>
  <c r="X229" i="3"/>
  <c r="G330" i="3"/>
  <c r="AO330" i="3" s="1"/>
  <c r="W334" i="3"/>
  <c r="X334" i="3" s="1"/>
  <c r="X329" i="3"/>
  <c r="AB329" i="3" s="1"/>
  <c r="X328" i="3"/>
  <c r="G328" i="3" s="1"/>
  <c r="AG322" i="3"/>
  <c r="AF322" i="3"/>
  <c r="AD322" i="3"/>
  <c r="X322" i="3"/>
  <c r="H308" i="3"/>
  <c r="H312" i="3"/>
  <c r="H304" i="3"/>
  <c r="G310" i="3"/>
  <c r="X315" i="3"/>
  <c r="G295" i="3"/>
  <c r="H295" i="3" s="1"/>
  <c r="I295" i="3"/>
  <c r="J295" i="3"/>
  <c r="K295" i="3"/>
  <c r="L295" i="3"/>
  <c r="M295" i="3"/>
  <c r="K296" i="3"/>
  <c r="L296" i="3"/>
  <c r="M296" i="3"/>
  <c r="G297" i="3"/>
  <c r="I297" i="3"/>
  <c r="J297" i="3"/>
  <c r="K297" i="3"/>
  <c r="L297" i="3"/>
  <c r="M297" i="3"/>
  <c r="G298" i="3"/>
  <c r="I298" i="3"/>
  <c r="J298" i="3"/>
  <c r="K298" i="3"/>
  <c r="L298" i="3"/>
  <c r="M298" i="3"/>
  <c r="G299" i="3"/>
  <c r="I299" i="3"/>
  <c r="J299" i="3"/>
  <c r="K299" i="3"/>
  <c r="L299" i="3"/>
  <c r="M299" i="3"/>
  <c r="K300" i="3"/>
  <c r="L300" i="3"/>
  <c r="M300" i="3"/>
  <c r="K302" i="3"/>
  <c r="L302" i="3"/>
  <c r="M302" i="3"/>
  <c r="M294" i="3"/>
  <c r="L294" i="3"/>
  <c r="K294" i="3"/>
  <c r="I294" i="3"/>
  <c r="H281" i="3"/>
  <c r="H282" i="3"/>
  <c r="H283" i="3"/>
  <c r="H284" i="3"/>
  <c r="H285" i="3"/>
  <c r="H286" i="3"/>
  <c r="H287" i="3"/>
  <c r="H288" i="3"/>
  <c r="H289" i="3"/>
  <c r="H290" i="3"/>
  <c r="H291" i="3"/>
  <c r="X281" i="3"/>
  <c r="X282" i="3"/>
  <c r="AA282" i="3" s="1"/>
  <c r="G282" i="3" s="1"/>
  <c r="AO282" i="3" s="1"/>
  <c r="X283" i="3"/>
  <c r="X284" i="3"/>
  <c r="X285" i="3"/>
  <c r="X286" i="3"/>
  <c r="AA286" i="3" s="1"/>
  <c r="G286" i="3" s="1"/>
  <c r="AO286" i="3" s="1"/>
  <c r="X287" i="3"/>
  <c r="X288" i="3"/>
  <c r="X289" i="3"/>
  <c r="X290" i="3"/>
  <c r="AA290" i="3" s="1"/>
  <c r="G290" i="3" s="1"/>
  <c r="AO290" i="3" s="1"/>
  <c r="X291" i="3"/>
  <c r="X279" i="3"/>
  <c r="E243" i="3"/>
  <c r="X275" i="3"/>
  <c r="AB275" i="3" s="1"/>
  <c r="X274" i="3"/>
  <c r="AG274" i="3"/>
  <c r="K271" i="3"/>
  <c r="L271" i="3"/>
  <c r="M271" i="3"/>
  <c r="M270" i="3"/>
  <c r="L270" i="3"/>
  <c r="K270" i="3"/>
  <c r="K260" i="3"/>
  <c r="G258" i="3"/>
  <c r="H258" i="3" s="1"/>
  <c r="G259" i="3"/>
  <c r="G261" i="3"/>
  <c r="H261" i="3" s="1"/>
  <c r="G262" i="3"/>
  <c r="H262" i="3" s="1"/>
  <c r="G263" i="3"/>
  <c r="H263" i="3" s="1"/>
  <c r="G264" i="3"/>
  <c r="G265" i="3"/>
  <c r="H265" i="3" s="1"/>
  <c r="G266" i="3"/>
  <c r="AO266" i="3" s="1"/>
  <c r="G267" i="3"/>
  <c r="AO267" i="3" s="1"/>
  <c r="G268" i="3"/>
  <c r="AO268" i="3" s="1"/>
  <c r="I258" i="3"/>
  <c r="J258" i="3"/>
  <c r="K258" i="3"/>
  <c r="L258" i="3"/>
  <c r="M258" i="3"/>
  <c r="I259" i="3"/>
  <c r="J259" i="3"/>
  <c r="K259" i="3"/>
  <c r="L259" i="3"/>
  <c r="M259" i="3"/>
  <c r="I261" i="3"/>
  <c r="J261" i="3"/>
  <c r="K261" i="3"/>
  <c r="L261" i="3"/>
  <c r="M261" i="3"/>
  <c r="I262" i="3"/>
  <c r="J262" i="3"/>
  <c r="K262" i="3"/>
  <c r="L262" i="3"/>
  <c r="M262" i="3"/>
  <c r="I263" i="3"/>
  <c r="J263" i="3"/>
  <c r="K263" i="3"/>
  <c r="L263" i="3"/>
  <c r="M263" i="3"/>
  <c r="I264" i="3"/>
  <c r="J264" i="3"/>
  <c r="K264" i="3"/>
  <c r="L264" i="3"/>
  <c r="M264" i="3"/>
  <c r="I265" i="3"/>
  <c r="J265" i="3"/>
  <c r="K265" i="3"/>
  <c r="L265" i="3"/>
  <c r="M265" i="3"/>
  <c r="I266" i="3"/>
  <c r="J266" i="3"/>
  <c r="K266" i="3"/>
  <c r="L266" i="3"/>
  <c r="M266" i="3"/>
  <c r="I267" i="3"/>
  <c r="J267" i="3"/>
  <c r="K267" i="3"/>
  <c r="L267" i="3"/>
  <c r="M267" i="3"/>
  <c r="I268" i="3"/>
  <c r="J268" i="3"/>
  <c r="K268" i="3"/>
  <c r="L268" i="3"/>
  <c r="M268" i="3"/>
  <c r="G257" i="3"/>
  <c r="H257" i="3" s="1"/>
  <c r="X254" i="3"/>
  <c r="E241" i="3"/>
  <c r="X238" i="3"/>
  <c r="AG237" i="3"/>
  <c r="AF237" i="3"/>
  <c r="AD237" i="3"/>
  <c r="X237" i="3"/>
  <c r="I135" i="68" s="1"/>
  <c r="E145" i="3"/>
  <c r="AD235" i="3"/>
  <c r="AD226" i="3"/>
  <c r="AG224" i="3"/>
  <c r="AF224" i="3"/>
  <c r="AD224" i="3"/>
  <c r="X224" i="3"/>
  <c r="I124" i="68" s="1"/>
  <c r="AG220" i="3"/>
  <c r="AF220" i="3"/>
  <c r="AD220" i="3"/>
  <c r="X220" i="3"/>
  <c r="X217" i="3"/>
  <c r="I117" i="68" s="1"/>
  <c r="AG216" i="3"/>
  <c r="AF216" i="3"/>
  <c r="AD216" i="3"/>
  <c r="X216" i="3"/>
  <c r="X206" i="3"/>
  <c r="I109" i="68" s="1"/>
  <c r="X202" i="3"/>
  <c r="I107" i="68" s="1"/>
  <c r="E200" i="3"/>
  <c r="E170" i="3"/>
  <c r="E173" i="3" s="1"/>
  <c r="E155" i="3"/>
  <c r="AD158" i="3"/>
  <c r="G92" i="3"/>
  <c r="AO92" i="3" s="1"/>
  <c r="G110" i="3"/>
  <c r="AO110" i="3" s="1"/>
  <c r="G111" i="3"/>
  <c r="AO111" i="3" s="1"/>
  <c r="G120" i="3"/>
  <c r="AO120" i="3" s="1"/>
  <c r="G123" i="3"/>
  <c r="AO123" i="3" s="1"/>
  <c r="G124" i="3"/>
  <c r="AO124" i="3" s="1"/>
  <c r="G129" i="3"/>
  <c r="AO129" i="3" s="1"/>
  <c r="G130" i="3"/>
  <c r="AO130" i="3" s="1"/>
  <c r="G143" i="3"/>
  <c r="AO143" i="3" s="1"/>
  <c r="G144" i="3"/>
  <c r="AO144" i="3" s="1"/>
  <c r="G145" i="3"/>
  <c r="AO145" i="3" s="1"/>
  <c r="G155" i="3"/>
  <c r="AO155" i="3" s="1"/>
  <c r="AA159" i="3"/>
  <c r="G159" i="3" s="1"/>
  <c r="AO159" i="3" s="1"/>
  <c r="G163" i="3"/>
  <c r="AO163" i="3" s="1"/>
  <c r="G168" i="3"/>
  <c r="AO168" i="3" s="1"/>
  <c r="G169" i="3"/>
  <c r="AO169" i="3" s="1"/>
  <c r="G170" i="3"/>
  <c r="AO170" i="3" s="1"/>
  <c r="G173" i="3"/>
  <c r="AO173" i="3" s="1"/>
  <c r="G174" i="3"/>
  <c r="AO174" i="3" s="1"/>
  <c r="G175" i="3"/>
  <c r="AO175" i="3" s="1"/>
  <c r="G186" i="3"/>
  <c r="AO186" i="3" s="1"/>
  <c r="G188" i="3"/>
  <c r="AO188" i="3" s="1"/>
  <c r="G189" i="3"/>
  <c r="AO189" i="3" s="1"/>
  <c r="G190" i="3"/>
  <c r="AO190" i="3" s="1"/>
  <c r="G193" i="3"/>
  <c r="AO193" i="3" s="1"/>
  <c r="G194" i="3"/>
  <c r="AO194" i="3" s="1"/>
  <c r="AA203" i="3"/>
  <c r="G203" i="3" s="1"/>
  <c r="AO203" i="3" s="1"/>
  <c r="AA210" i="3"/>
  <c r="G210" i="3" s="1"/>
  <c r="AO210" i="3" s="1"/>
  <c r="G212" i="3"/>
  <c r="AO212" i="3" s="1"/>
  <c r="G233" i="3"/>
  <c r="AO233" i="3" s="1"/>
  <c r="G234" i="3"/>
  <c r="AO234" i="3" s="1"/>
  <c r="G241" i="3"/>
  <c r="AO241" i="3" s="1"/>
  <c r="G242" i="3"/>
  <c r="AO242" i="3" s="1"/>
  <c r="G243" i="3"/>
  <c r="AO243" i="3" s="1"/>
  <c r="AA249" i="3"/>
  <c r="G249" i="3" s="1"/>
  <c r="AO249" i="3" s="1"/>
  <c r="G250" i="3"/>
  <c r="AO250" i="3" s="1"/>
  <c r="H147" i="3"/>
  <c r="K64" i="68" s="1"/>
  <c r="H148" i="3"/>
  <c r="K65" i="68" s="1"/>
  <c r="H149" i="3"/>
  <c r="K66" i="68" s="1"/>
  <c r="H157" i="3"/>
  <c r="H159" i="3"/>
  <c r="K76" i="68" s="1"/>
  <c r="H160" i="3"/>
  <c r="K77" i="68" s="1"/>
  <c r="H161" i="3"/>
  <c r="K78" i="68" s="1"/>
  <c r="X136" i="3"/>
  <c r="I55" i="68" s="1"/>
  <c r="X133" i="3"/>
  <c r="AD136" i="3"/>
  <c r="AF136" i="3"/>
  <c r="AG136" i="3"/>
  <c r="X140" i="3"/>
  <c r="I59" i="68" s="1"/>
  <c r="AF141" i="3"/>
  <c r="J312" i="3"/>
  <c r="I312" i="3"/>
  <c r="H302" i="3"/>
  <c r="AO302" i="3"/>
  <c r="L95" i="70" s="1"/>
  <c r="H309" i="3"/>
  <c r="AO309" i="3"/>
  <c r="H306" i="3"/>
  <c r="AO306" i="3"/>
  <c r="L97" i="70" s="1"/>
  <c r="H310" i="3"/>
  <c r="AO310" i="3"/>
  <c r="H266" i="3"/>
  <c r="H300" i="3"/>
  <c r="AO300" i="3"/>
  <c r="L94" i="70" s="1"/>
  <c r="H298" i="3"/>
  <c r="AO298" i="3"/>
  <c r="H296" i="3"/>
  <c r="AO296" i="3"/>
  <c r="H311" i="3"/>
  <c r="AO311" i="3"/>
  <c r="L100" i="70" s="1"/>
  <c r="H270" i="3"/>
  <c r="AO270" i="3"/>
  <c r="L85" i="70" s="1"/>
  <c r="H307" i="3"/>
  <c r="AO307" i="3"/>
  <c r="L98" i="70" s="1"/>
  <c r="M157" i="3"/>
  <c r="K74" i="68"/>
  <c r="K161" i="3"/>
  <c r="K160" i="3"/>
  <c r="I148" i="3"/>
  <c r="I159" i="3"/>
  <c r="I147" i="3"/>
  <c r="M149" i="3"/>
  <c r="AB337" i="3"/>
  <c r="H337" i="3" s="1"/>
  <c r="J337" i="3"/>
  <c r="I269" i="3"/>
  <c r="M269" i="3"/>
  <c r="M322" i="3"/>
  <c r="AA284" i="3"/>
  <c r="G284" i="3" s="1"/>
  <c r="AO284" i="3" s="1"/>
  <c r="M337" i="3"/>
  <c r="K337" i="3"/>
  <c r="AA337" i="3"/>
  <c r="G337" i="3" s="1"/>
  <c r="AO337" i="3" s="1"/>
  <c r="L112" i="70" s="1"/>
  <c r="AB279" i="3"/>
  <c r="H279" i="3" s="1"/>
  <c r="L337" i="3"/>
  <c r="AA322" i="3"/>
  <c r="M260" i="3"/>
  <c r="L260" i="3"/>
  <c r="AA279" i="3"/>
  <c r="G279" i="3" s="1"/>
  <c r="AO279" i="3" s="1"/>
  <c r="L90" i="70" s="1"/>
  <c r="L147" i="3"/>
  <c r="M160" i="3"/>
  <c r="J160" i="3"/>
  <c r="K147" i="3"/>
  <c r="K149" i="3"/>
  <c r="I149" i="3"/>
  <c r="J149" i="3"/>
  <c r="I160" i="3"/>
  <c r="I157" i="3"/>
  <c r="M161" i="3"/>
  <c r="J161" i="3"/>
  <c r="L159" i="3"/>
  <c r="K157" i="3"/>
  <c r="K159" i="3"/>
  <c r="J157" i="3"/>
  <c r="L148" i="3"/>
  <c r="L160" i="3"/>
  <c r="L149" i="3"/>
  <c r="J147" i="3"/>
  <c r="M147" i="3"/>
  <c r="I161" i="3"/>
  <c r="K148" i="3"/>
  <c r="L161" i="3"/>
  <c r="J159" i="3"/>
  <c r="L157" i="3"/>
  <c r="J148" i="3"/>
  <c r="M159" i="3"/>
  <c r="M148" i="3"/>
  <c r="I337" i="3"/>
  <c r="AD274" i="3"/>
  <c r="AF274" i="3"/>
  <c r="K226" i="3"/>
  <c r="M162" i="3"/>
  <c r="K225" i="3"/>
  <c r="M219" i="3"/>
  <c r="M217" i="3"/>
  <c r="J218" i="3"/>
  <c r="J222" i="3"/>
  <c r="K221" i="3"/>
  <c r="M224" i="3"/>
  <c r="M216" i="3"/>
  <c r="J235" i="3"/>
  <c r="M220" i="3"/>
  <c r="AH240" i="3"/>
  <c r="AI240" i="3" s="1"/>
  <c r="H254" i="3"/>
  <c r="CQ22" i="4" s="1"/>
  <c r="J254" i="3"/>
  <c r="AH254" i="3"/>
  <c r="AI254" i="3" s="1"/>
  <c r="H206" i="3"/>
  <c r="K109" i="68" s="1"/>
  <c r="I206" i="3"/>
  <c r="H154" i="3"/>
  <c r="AH154" i="3"/>
  <c r="AI154" i="3" s="1"/>
  <c r="AH228" i="3"/>
  <c r="AI228" i="3" s="1"/>
  <c r="AH232" i="3"/>
  <c r="AI232" i="3" s="1"/>
  <c r="H208" i="3"/>
  <c r="K111" i="68" s="1"/>
  <c r="I208" i="3"/>
  <c r="AH208" i="3"/>
  <c r="AI208" i="3" s="1"/>
  <c r="H251" i="3"/>
  <c r="I251" i="3"/>
  <c r="AH251" i="3"/>
  <c r="AI251" i="3" s="1"/>
  <c r="AH231" i="3"/>
  <c r="AI231" i="3" s="1"/>
  <c r="H199" i="3"/>
  <c r="J199" i="3"/>
  <c r="H196" i="3"/>
  <c r="K103" i="68" s="1"/>
  <c r="J196" i="3"/>
  <c r="AH196" i="3"/>
  <c r="AI196" i="3" s="1"/>
  <c r="AH202" i="3"/>
  <c r="AI202" i="3" s="1"/>
  <c r="H252" i="3"/>
  <c r="K145" i="68" s="1"/>
  <c r="I252" i="3"/>
  <c r="AH229" i="3"/>
  <c r="AI229" i="3" s="1"/>
  <c r="L322" i="3"/>
  <c r="J328" i="3"/>
  <c r="M196" i="3"/>
  <c r="L235" i="3"/>
  <c r="H317" i="3"/>
  <c r="I216" i="3"/>
  <c r="AH315" i="3"/>
  <c r="I322" i="3"/>
  <c r="J322" i="3"/>
  <c r="K322" i="3"/>
  <c r="AH317" i="3"/>
  <c r="AI317" i="3" s="1"/>
  <c r="K334" i="3"/>
  <c r="M235" i="3"/>
  <c r="I235" i="3"/>
  <c r="H228" i="3"/>
  <c r="K128" i="68" s="1"/>
  <c r="K235" i="3"/>
  <c r="L196" i="3"/>
  <c r="AH318" i="3"/>
  <c r="AI318" i="3" s="1"/>
  <c r="H318" i="3"/>
  <c r="L199" i="3"/>
  <c r="M199" i="3"/>
  <c r="H231" i="3"/>
  <c r="K131" i="68" s="1"/>
  <c r="H229" i="3"/>
  <c r="K129" i="68" s="1"/>
  <c r="H232" i="3"/>
  <c r="J334" i="3"/>
  <c r="I334" i="3"/>
  <c r="L334" i="3"/>
  <c r="M334" i="3"/>
  <c r="K329" i="3"/>
  <c r="J329" i="3"/>
  <c r="L329" i="3"/>
  <c r="M329" i="3"/>
  <c r="I329" i="3"/>
  <c r="AH284" i="3"/>
  <c r="AI284" i="3" s="1"/>
  <c r="AH279" i="3"/>
  <c r="AH288" i="3"/>
  <c r="AI288" i="3" s="1"/>
  <c r="AH287" i="3"/>
  <c r="AI287" i="3" s="1"/>
  <c r="AH282" i="3"/>
  <c r="AI282" i="3" s="1"/>
  <c r="AH286" i="3"/>
  <c r="AI286" i="3" s="1"/>
  <c r="AH283" i="3"/>
  <c r="AI283" i="3" s="1"/>
  <c r="AH291" i="3"/>
  <c r="AI291" i="3" s="1"/>
  <c r="L254" i="3"/>
  <c r="M254" i="3"/>
  <c r="K254" i="3"/>
  <c r="K252" i="3"/>
  <c r="M252" i="3"/>
  <c r="L252" i="3"/>
  <c r="M251" i="3"/>
  <c r="K251" i="3"/>
  <c r="J216" i="3"/>
  <c r="K216" i="3"/>
  <c r="L216" i="3"/>
  <c r="I218" i="3"/>
  <c r="K219" i="3"/>
  <c r="K224" i="3"/>
  <c r="H246" i="3"/>
  <c r="K142" i="68" s="1"/>
  <c r="H240" i="3"/>
  <c r="CN22" i="4" s="1"/>
  <c r="CN27" i="4" s="1"/>
  <c r="CL22" i="46"/>
  <c r="I237" i="3"/>
  <c r="M237" i="3"/>
  <c r="J237" i="3"/>
  <c r="K237" i="3"/>
  <c r="L237" i="3"/>
  <c r="K236" i="3"/>
  <c r="L236" i="3"/>
  <c r="M236" i="3"/>
  <c r="I236" i="3"/>
  <c r="J236" i="3"/>
  <c r="M225" i="3"/>
  <c r="I222" i="3"/>
  <c r="J225" i="3"/>
  <c r="I220" i="3"/>
  <c r="J220" i="3"/>
  <c r="M226" i="3"/>
  <c r="I226" i="3"/>
  <c r="L226" i="3"/>
  <c r="J226" i="3"/>
  <c r="L225" i="3"/>
  <c r="I225" i="3"/>
  <c r="I224" i="3"/>
  <c r="J224" i="3"/>
  <c r="L224" i="3"/>
  <c r="K223" i="3"/>
  <c r="M223" i="3"/>
  <c r="J223" i="3"/>
  <c r="L223" i="3"/>
  <c r="I223" i="3"/>
  <c r="M222" i="3"/>
  <c r="M221" i="3"/>
  <c r="M218" i="3"/>
  <c r="K222" i="3"/>
  <c r="L222" i="3"/>
  <c r="I217" i="3"/>
  <c r="J217" i="3"/>
  <c r="L217" i="3"/>
  <c r="K217" i="3"/>
  <c r="I219" i="3"/>
  <c r="L219" i="3"/>
  <c r="J219" i="3"/>
  <c r="K218" i="3"/>
  <c r="L218" i="3"/>
  <c r="I221" i="3"/>
  <c r="J221" i="3"/>
  <c r="L221" i="3"/>
  <c r="K220" i="3"/>
  <c r="L220" i="3"/>
  <c r="L208" i="3"/>
  <c r="K208" i="3"/>
  <c r="H209" i="3"/>
  <c r="K112" i="68" s="1"/>
  <c r="M206" i="3"/>
  <c r="K206" i="3"/>
  <c r="H202" i="3"/>
  <c r="CD22" i="46" s="1"/>
  <c r="L156" i="3"/>
  <c r="F156" i="3"/>
  <c r="J156" i="3"/>
  <c r="L154" i="3"/>
  <c r="K154" i="3"/>
  <c r="M154" i="3"/>
  <c r="J158" i="3"/>
  <c r="K171" i="3"/>
  <c r="F171" i="3"/>
  <c r="L171" i="3"/>
  <c r="M171" i="3"/>
  <c r="I171" i="3"/>
  <c r="J171" i="3"/>
  <c r="L162" i="3"/>
  <c r="J162" i="3"/>
  <c r="K162" i="3"/>
  <c r="I162" i="3"/>
  <c r="M156" i="3"/>
  <c r="I156" i="3"/>
  <c r="K156" i="3"/>
  <c r="J251" i="3"/>
  <c r="J154" i="3"/>
  <c r="I199" i="3"/>
  <c r="I254" i="3"/>
  <c r="J208" i="3"/>
  <c r="J206" i="3"/>
  <c r="I196" i="3"/>
  <c r="G99" i="65" s="1"/>
  <c r="I154" i="3"/>
  <c r="J317" i="3"/>
  <c r="H316" i="3"/>
  <c r="H319" i="3" s="1"/>
  <c r="H394" i="3" s="1"/>
  <c r="AU39" i="30" s="1"/>
  <c r="CO22" i="46"/>
  <c r="K196" i="3"/>
  <c r="L231" i="3"/>
  <c r="L206" i="3"/>
  <c r="L251" i="3"/>
  <c r="K144" i="68"/>
  <c r="K232" i="3"/>
  <c r="K132" i="68"/>
  <c r="J252" i="3"/>
  <c r="K199" i="3"/>
  <c r="K106" i="68"/>
  <c r="I229" i="3"/>
  <c r="K228" i="3"/>
  <c r="M208" i="3"/>
  <c r="K230" i="3"/>
  <c r="AH199" i="3"/>
  <c r="AI199" i="3" s="1"/>
  <c r="AH246" i="3"/>
  <c r="AI246" i="3" s="1"/>
  <c r="AH128" i="3"/>
  <c r="AI128" i="3" s="1"/>
  <c r="H128" i="3" s="1"/>
  <c r="K49" i="68" s="1"/>
  <c r="AH206" i="3"/>
  <c r="AI206" i="3" s="1"/>
  <c r="AH209" i="3"/>
  <c r="AI209" i="3" s="1"/>
  <c r="AH252" i="3"/>
  <c r="AI252" i="3" s="1"/>
  <c r="L328" i="3"/>
  <c r="M317" i="3"/>
  <c r="I228" i="3"/>
  <c r="I317" i="3"/>
  <c r="I328" i="3"/>
  <c r="K328" i="3"/>
  <c r="M328" i="3"/>
  <c r="L317" i="3"/>
  <c r="K317" i="3"/>
  <c r="I231" i="3"/>
  <c r="L202" i="3"/>
  <c r="L203" i="3" s="1"/>
  <c r="CF22" i="4"/>
  <c r="CF27" i="4" s="1"/>
  <c r="K238" i="3"/>
  <c r="M230" i="3"/>
  <c r="J228" i="3"/>
  <c r="K229" i="3"/>
  <c r="L228" i="3"/>
  <c r="L338" i="3"/>
  <c r="L336" i="3" s="1"/>
  <c r="L339" i="3" s="1"/>
  <c r="L396" i="3" s="1"/>
  <c r="I338" i="3"/>
  <c r="M338" i="3"/>
  <c r="M336" i="3" s="1"/>
  <c r="M339" i="3" s="1"/>
  <c r="M396" i="3" s="1"/>
  <c r="J338" i="3"/>
  <c r="J336" i="3" s="1"/>
  <c r="J339" i="3" s="1"/>
  <c r="J396" i="3" s="1"/>
  <c r="K338" i="3"/>
  <c r="J230" i="3"/>
  <c r="I230" i="3"/>
  <c r="J229" i="3"/>
  <c r="M228" i="3"/>
  <c r="K318" i="3"/>
  <c r="I318" i="3"/>
  <c r="L318" i="3"/>
  <c r="M318" i="3"/>
  <c r="J318" i="3"/>
  <c r="L230" i="3"/>
  <c r="M229" i="3"/>
  <c r="L229" i="3"/>
  <c r="M231" i="3"/>
  <c r="J231" i="3"/>
  <c r="K231" i="3"/>
  <c r="J232" i="3"/>
  <c r="I232" i="3"/>
  <c r="M232" i="3"/>
  <c r="L232" i="3"/>
  <c r="AH281" i="3"/>
  <c r="AI281" i="3" s="1"/>
  <c r="AH289" i="3"/>
  <c r="AI289" i="3"/>
  <c r="AH290" i="3"/>
  <c r="AI290" i="3" s="1"/>
  <c r="AH285" i="3"/>
  <c r="AI285" i="3" s="1"/>
  <c r="AH275" i="3"/>
  <c r="J238" i="3"/>
  <c r="M202" i="3"/>
  <c r="M203" i="3" s="1"/>
  <c r="J246" i="3"/>
  <c r="I246" i="3"/>
  <c r="M246" i="3"/>
  <c r="L246" i="3"/>
  <c r="K246" i="3"/>
  <c r="M238" i="3"/>
  <c r="L238" i="3"/>
  <c r="I238" i="3"/>
  <c r="G86" i="65" s="1"/>
  <c r="K240" i="3"/>
  <c r="L240" i="3"/>
  <c r="M240" i="3"/>
  <c r="I240" i="3"/>
  <c r="J240" i="3"/>
  <c r="K209" i="3"/>
  <c r="L209" i="3"/>
  <c r="I209" i="3"/>
  <c r="M209" i="3"/>
  <c r="J209" i="3"/>
  <c r="K207" i="3"/>
  <c r="L207" i="3"/>
  <c r="I207" i="3"/>
  <c r="M207" i="3"/>
  <c r="J207" i="3"/>
  <c r="I202" i="3"/>
  <c r="I203" i="3" s="1"/>
  <c r="J202" i="3"/>
  <c r="J203" i="3" s="1"/>
  <c r="K202" i="3"/>
  <c r="K203" i="3" s="1"/>
  <c r="K104" i="3"/>
  <c r="L104" i="3"/>
  <c r="I104" i="3"/>
  <c r="M104" i="3"/>
  <c r="J104" i="3"/>
  <c r="K158" i="3"/>
  <c r="I158" i="3"/>
  <c r="L158" i="3"/>
  <c r="M158" i="3"/>
  <c r="AW39" i="30"/>
  <c r="AV39" i="30"/>
  <c r="AZ39" i="30"/>
  <c r="AX39" i="30"/>
  <c r="AY39" i="30"/>
  <c r="K133" i="3"/>
  <c r="J134" i="3"/>
  <c r="K135" i="3"/>
  <c r="J136" i="3"/>
  <c r="K137" i="3"/>
  <c r="J138" i="3"/>
  <c r="K139" i="3"/>
  <c r="J140" i="3"/>
  <c r="K141" i="3"/>
  <c r="J142" i="3"/>
  <c r="Y126" i="3"/>
  <c r="K128" i="3"/>
  <c r="M128" i="3"/>
  <c r="J128" i="3"/>
  <c r="I128" i="3"/>
  <c r="L128" i="3"/>
  <c r="I135" i="3"/>
  <c r="I133" i="3"/>
  <c r="I141" i="3"/>
  <c r="M141" i="3"/>
  <c r="M139" i="3"/>
  <c r="M133" i="3"/>
  <c r="M137" i="3"/>
  <c r="I137" i="3"/>
  <c r="M135" i="3"/>
  <c r="L133" i="3"/>
  <c r="J133" i="3"/>
  <c r="L135" i="3"/>
  <c r="L140" i="3"/>
  <c r="L138" i="3"/>
  <c r="J135" i="3"/>
  <c r="J137" i="3"/>
  <c r="L137" i="3"/>
  <c r="L136" i="3"/>
  <c r="L134" i="3"/>
  <c r="L139" i="3"/>
  <c r="L141" i="3"/>
  <c r="J139" i="3"/>
  <c r="L142" i="3"/>
  <c r="J141" i="3"/>
  <c r="I139" i="3"/>
  <c r="K142" i="3"/>
  <c r="K140" i="3"/>
  <c r="K138" i="3"/>
  <c r="K136" i="3"/>
  <c r="K134" i="3"/>
  <c r="M142" i="3"/>
  <c r="I142" i="3"/>
  <c r="M140" i="3"/>
  <c r="I140" i="3"/>
  <c r="M138" i="3"/>
  <c r="I138" i="3"/>
  <c r="M136" i="3"/>
  <c r="I136" i="3"/>
  <c r="M134" i="3"/>
  <c r="I134" i="3"/>
  <c r="AG116" i="3"/>
  <c r="AF116" i="3"/>
  <c r="AD116" i="3"/>
  <c r="X116" i="3"/>
  <c r="I39" i="68" s="1"/>
  <c r="AF115" i="3"/>
  <c r="AD115" i="3"/>
  <c r="X115" i="3"/>
  <c r="M116" i="3"/>
  <c r="K116" i="3"/>
  <c r="I116" i="3"/>
  <c r="J116" i="3"/>
  <c r="L116" i="3"/>
  <c r="G30" i="68"/>
  <c r="X97" i="3"/>
  <c r="AG97" i="3"/>
  <c r="AF97" i="3"/>
  <c r="AD97" i="3"/>
  <c r="F102" i="3"/>
  <c r="I102" i="3"/>
  <c r="J102" i="3"/>
  <c r="K102" i="3"/>
  <c r="L102" i="3"/>
  <c r="M102" i="3"/>
  <c r="X103" i="3"/>
  <c r="AG101" i="3"/>
  <c r="AF101" i="3"/>
  <c r="AD101" i="3"/>
  <c r="X101" i="3"/>
  <c r="I26" i="68" s="1"/>
  <c r="I97" i="3"/>
  <c r="G36" i="65" s="1"/>
  <c r="K97" i="3"/>
  <c r="J97" i="3"/>
  <c r="L97" i="3"/>
  <c r="M97" i="3"/>
  <c r="F98" i="3"/>
  <c r="M98" i="3"/>
  <c r="L98" i="3"/>
  <c r="J98" i="3"/>
  <c r="K98" i="3"/>
  <c r="I98" i="3"/>
  <c r="I103" i="3"/>
  <c r="M103" i="3"/>
  <c r="J103" i="3"/>
  <c r="K103" i="3"/>
  <c r="L103" i="3"/>
  <c r="G56" i="3"/>
  <c r="AO56" i="3" s="1"/>
  <c r="L154" i="70" s="1"/>
  <c r="E56" i="3"/>
  <c r="G60" i="58"/>
  <c r="I60" i="58" s="1"/>
  <c r="L60" i="58" s="1"/>
  <c r="H53" i="3"/>
  <c r="AZ22" i="46" s="1"/>
  <c r="AZ156" i="46" s="1"/>
  <c r="AO53" i="3"/>
  <c r="L153" i="70" s="1"/>
  <c r="J71" i="3"/>
  <c r="J63" i="3"/>
  <c r="I66" i="3"/>
  <c r="I69" i="3"/>
  <c r="I65" i="3"/>
  <c r="I61" i="3"/>
  <c r="I67" i="3"/>
  <c r="I70" i="3"/>
  <c r="G60" i="3"/>
  <c r="H60" i="3" s="1"/>
  <c r="AM60" i="3"/>
  <c r="J155" i="70" s="1"/>
  <c r="J68" i="3"/>
  <c r="J64" i="3"/>
  <c r="I72" i="3"/>
  <c r="K70" i="3"/>
  <c r="K63" i="3"/>
  <c r="L71" i="3"/>
  <c r="L64" i="3"/>
  <c r="K72" i="3"/>
  <c r="K67" i="3"/>
  <c r="L69" i="3"/>
  <c r="K65" i="3"/>
  <c r="M65" i="3"/>
  <c r="K61" i="3"/>
  <c r="M61" i="3"/>
  <c r="M70" i="3"/>
  <c r="L62" i="3"/>
  <c r="L72" i="3"/>
  <c r="M71" i="3"/>
  <c r="K69" i="3"/>
  <c r="L67" i="3"/>
  <c r="M66" i="3"/>
  <c r="K64" i="3"/>
  <c r="L63" i="3"/>
  <c r="M62" i="3"/>
  <c r="K71" i="3"/>
  <c r="L70" i="3"/>
  <c r="M69" i="3"/>
  <c r="K66" i="3"/>
  <c r="L65" i="3"/>
  <c r="M64" i="3"/>
  <c r="K62" i="3"/>
  <c r="L61" i="3"/>
  <c r="L66" i="3"/>
  <c r="M72" i="3"/>
  <c r="M67" i="3"/>
  <c r="M63" i="3"/>
  <c r="M68" i="3"/>
  <c r="L68" i="3"/>
  <c r="K68" i="3"/>
  <c r="I64" i="3"/>
  <c r="J70" i="3"/>
  <c r="J61" i="3"/>
  <c r="I68" i="3"/>
  <c r="I62" i="3"/>
  <c r="J65" i="3"/>
  <c r="J69" i="3"/>
  <c r="I63" i="3"/>
  <c r="J67" i="3"/>
  <c r="J72" i="3"/>
  <c r="I71" i="3"/>
  <c r="J62" i="3"/>
  <c r="J66" i="3"/>
  <c r="N22" i="46"/>
  <c r="O22" i="46"/>
  <c r="P22" i="46"/>
  <c r="Q22" i="46"/>
  <c r="R22" i="46"/>
  <c r="S22" i="46"/>
  <c r="T22" i="46"/>
  <c r="U22" i="46"/>
  <c r="V22" i="46"/>
  <c r="W22" i="46"/>
  <c r="X22" i="46"/>
  <c r="Z22" i="46"/>
  <c r="AA22" i="46"/>
  <c r="AB22" i="46"/>
  <c r="AB156" i="46" s="1"/>
  <c r="AC22" i="46"/>
  <c r="AD22" i="46"/>
  <c r="AE22" i="46"/>
  <c r="AF22" i="46"/>
  <c r="AG22" i="46"/>
  <c r="AH22" i="46"/>
  <c r="AI22" i="46"/>
  <c r="AJ22" i="46"/>
  <c r="AK22" i="46"/>
  <c r="AL22" i="46"/>
  <c r="AL156" i="46" s="1"/>
  <c r="AM22" i="46"/>
  <c r="AN22" i="46"/>
  <c r="AO22" i="46"/>
  <c r="AP22" i="46"/>
  <c r="AQ22" i="46"/>
  <c r="AR22" i="46"/>
  <c r="AS22" i="46"/>
  <c r="AT22" i="46"/>
  <c r="AU22" i="46"/>
  <c r="AV22" i="46"/>
  <c r="M22" i="46"/>
  <c r="AO13" i="3"/>
  <c r="L115" i="70" s="1"/>
  <c r="AO14" i="3"/>
  <c r="L116" i="70" s="1"/>
  <c r="AO15" i="3"/>
  <c r="L117" i="70" s="1"/>
  <c r="AO16" i="3"/>
  <c r="L118" i="70" s="1"/>
  <c r="AO17" i="3"/>
  <c r="L119" i="70" s="1"/>
  <c r="AO18" i="3"/>
  <c r="L120" i="70" s="1"/>
  <c r="AO19" i="3"/>
  <c r="L121" i="70" s="1"/>
  <c r="AO20" i="3"/>
  <c r="L122" i="70" s="1"/>
  <c r="AO21" i="3"/>
  <c r="L123" i="70" s="1"/>
  <c r="AO22" i="3"/>
  <c r="L124" i="70" s="1"/>
  <c r="AO23" i="3"/>
  <c r="L125" i="70" s="1"/>
  <c r="L126" i="70"/>
  <c r="AO25" i="3"/>
  <c r="L127" i="70" s="1"/>
  <c r="AO26" i="3"/>
  <c r="L128" i="70" s="1"/>
  <c r="AO27" i="3"/>
  <c r="L129" i="70" s="1"/>
  <c r="AO28" i="3"/>
  <c r="L130" i="70" s="1"/>
  <c r="AO29" i="3"/>
  <c r="L131" i="70" s="1"/>
  <c r="AO30" i="3"/>
  <c r="L132" i="70" s="1"/>
  <c r="AO31" i="3"/>
  <c r="L133" i="70" s="1"/>
  <c r="AO32" i="3"/>
  <c r="L134" i="70" s="1"/>
  <c r="AO33" i="3"/>
  <c r="L135" i="70" s="1"/>
  <c r="AO34" i="3"/>
  <c r="L136" i="70" s="1"/>
  <c r="AO35" i="3"/>
  <c r="L137" i="70" s="1"/>
  <c r="AO36" i="3"/>
  <c r="L138" i="70" s="1"/>
  <c r="AO37" i="3"/>
  <c r="L139" i="70" s="1"/>
  <c r="AO38" i="3"/>
  <c r="L140" i="70" s="1"/>
  <c r="AO39" i="3"/>
  <c r="L141" i="70" s="1"/>
  <c r="AO40" i="3"/>
  <c r="L142" i="70" s="1"/>
  <c r="AO41" i="3"/>
  <c r="L143" i="70" s="1"/>
  <c r="AO42" i="3"/>
  <c r="L144" i="70" s="1"/>
  <c r="AO43" i="3"/>
  <c r="L145" i="70" s="1"/>
  <c r="AO44" i="3"/>
  <c r="L146" i="70" s="1"/>
  <c r="AO45" i="3"/>
  <c r="L147" i="70" s="1"/>
  <c r="AO12" i="3"/>
  <c r="L114" i="70" s="1"/>
  <c r="N6" i="23"/>
  <c r="N7" i="23"/>
  <c r="N8" i="23"/>
  <c r="N5" i="23"/>
  <c r="F39" i="3" s="1"/>
  <c r="Y22" i="46"/>
  <c r="Y156" i="46" s="1"/>
  <c r="I40" i="3"/>
  <c r="I32" i="3"/>
  <c r="I28" i="3"/>
  <c r="J43" i="3"/>
  <c r="J35" i="3"/>
  <c r="J27" i="3"/>
  <c r="K46" i="3"/>
  <c r="K42" i="3"/>
  <c r="K38" i="3"/>
  <c r="K34" i="3"/>
  <c r="K30" i="3"/>
  <c r="K26" i="3"/>
  <c r="I44" i="3"/>
  <c r="I36" i="3"/>
  <c r="J47" i="3"/>
  <c r="J39" i="3"/>
  <c r="J31" i="3"/>
  <c r="J23" i="3"/>
  <c r="Z22" i="4"/>
  <c r="Z156" i="4" s="1"/>
  <c r="L45" i="3"/>
  <c r="L41" i="3"/>
  <c r="L37" i="3"/>
  <c r="L33" i="3"/>
  <c r="L29" i="3"/>
  <c r="L25" i="3"/>
  <c r="I42" i="3"/>
  <c r="I26" i="3"/>
  <c r="J25" i="3"/>
  <c r="I46" i="3"/>
  <c r="I38" i="3"/>
  <c r="I30" i="3"/>
  <c r="I34" i="3"/>
  <c r="J41" i="3"/>
  <c r="J33" i="3"/>
  <c r="J45" i="3"/>
  <c r="J37" i="3"/>
  <c r="J29" i="3"/>
  <c r="M46" i="3"/>
  <c r="M42" i="3"/>
  <c r="M38" i="3"/>
  <c r="M34" i="3"/>
  <c r="M30" i="3"/>
  <c r="M26" i="3"/>
  <c r="K44" i="3"/>
  <c r="K40" i="3"/>
  <c r="K36" i="3"/>
  <c r="K32" i="3"/>
  <c r="K28" i="3"/>
  <c r="L47" i="3"/>
  <c r="L43" i="3"/>
  <c r="L35" i="3"/>
  <c r="M47" i="3"/>
  <c r="I47" i="3"/>
  <c r="J46" i="3"/>
  <c r="K45" i="3"/>
  <c r="L44" i="3"/>
  <c r="M43" i="3"/>
  <c r="I43" i="3"/>
  <c r="J42" i="3"/>
  <c r="K41" i="3"/>
  <c r="L40" i="3"/>
  <c r="M39" i="3"/>
  <c r="I39" i="3"/>
  <c r="J38" i="3"/>
  <c r="K37" i="3"/>
  <c r="L36" i="3"/>
  <c r="M35" i="3"/>
  <c r="I35" i="3"/>
  <c r="J34" i="3"/>
  <c r="K33" i="3"/>
  <c r="L32" i="3"/>
  <c r="M31" i="3"/>
  <c r="I31" i="3"/>
  <c r="J30" i="3"/>
  <c r="K29" i="3"/>
  <c r="L28" i="3"/>
  <c r="M27" i="3"/>
  <c r="I27" i="3"/>
  <c r="J26" i="3"/>
  <c r="K25" i="3"/>
  <c r="M23" i="3"/>
  <c r="I23" i="3"/>
  <c r="L31" i="3"/>
  <c r="K47" i="3"/>
  <c r="L46" i="3"/>
  <c r="M45" i="3"/>
  <c r="I45" i="3"/>
  <c r="J44" i="3"/>
  <c r="K43" i="3"/>
  <c r="L42" i="3"/>
  <c r="M41" i="3"/>
  <c r="I41" i="3"/>
  <c r="J40" i="3"/>
  <c r="K39" i="3"/>
  <c r="L38" i="3"/>
  <c r="M37" i="3"/>
  <c r="I37" i="3"/>
  <c r="J36" i="3"/>
  <c r="K35" i="3"/>
  <c r="L34" i="3"/>
  <c r="M33" i="3"/>
  <c r="I33" i="3"/>
  <c r="J32" i="3"/>
  <c r="K31" i="3"/>
  <c r="L30" i="3"/>
  <c r="M29" i="3"/>
  <c r="I29" i="3"/>
  <c r="J28" i="3"/>
  <c r="K27" i="3"/>
  <c r="L26" i="3"/>
  <c r="M25" i="3"/>
  <c r="I25" i="3"/>
  <c r="K23" i="3"/>
  <c r="L39" i="3"/>
  <c r="L27" i="3"/>
  <c r="L23" i="3"/>
  <c r="M44" i="3"/>
  <c r="M40" i="3"/>
  <c r="M36" i="3"/>
  <c r="M32" i="3"/>
  <c r="M28" i="3"/>
  <c r="AP27" i="30"/>
  <c r="R27" i="30" s="1"/>
  <c r="AQ27" i="30"/>
  <c r="S27" i="30" s="1"/>
  <c r="AN27" i="30"/>
  <c r="P27" i="30" s="1"/>
  <c r="AO27" i="30"/>
  <c r="Q27" i="30" s="1"/>
  <c r="AM27" i="30"/>
  <c r="O27" i="30" s="1"/>
  <c r="K126" i="3"/>
  <c r="I126" i="3"/>
  <c r="M126" i="3"/>
  <c r="J126" i="3"/>
  <c r="L126" i="3"/>
  <c r="AN34" i="30"/>
  <c r="P34" i="30" s="1"/>
  <c r="H34" i="30" s="1"/>
  <c r="AM34" i="30"/>
  <c r="O34" i="30" s="1"/>
  <c r="G34" i="30" s="1"/>
  <c r="AQ34" i="30"/>
  <c r="S34" i="30" s="1"/>
  <c r="K34" i="30" s="1"/>
  <c r="AP34" i="30"/>
  <c r="R34" i="30" s="1"/>
  <c r="J34" i="30" s="1"/>
  <c r="AO34" i="30"/>
  <c r="Q34" i="30" s="1"/>
  <c r="I34" i="30" s="1"/>
  <c r="DQ27" i="46"/>
  <c r="DP38" i="46"/>
  <c r="BY11" i="46"/>
  <c r="CH11" i="46"/>
  <c r="CI11" i="46"/>
  <c r="BX11" i="46"/>
  <c r="Y191" i="3"/>
  <c r="L100" i="68" s="1"/>
  <c r="N100" i="68" s="1"/>
  <c r="Y152" i="3"/>
  <c r="L69" i="68" s="1"/>
  <c r="N69" i="68" s="1"/>
  <c r="Z198" i="3"/>
  <c r="L105" i="68"/>
  <c r="N105" i="68" s="1"/>
  <c r="Z191" i="3"/>
  <c r="W80" i="3"/>
  <c r="X80" i="3" s="1"/>
  <c r="O247" i="70"/>
  <c r="AH276" i="3"/>
  <c r="I172" i="3"/>
  <c r="I170" i="3" s="1"/>
  <c r="I173" i="3" s="1"/>
  <c r="J172" i="3"/>
  <c r="K172" i="3"/>
  <c r="L172" i="3"/>
  <c r="M172" i="3"/>
  <c r="G89" i="68"/>
  <c r="G92" i="68"/>
  <c r="G20" i="68"/>
  <c r="E163" i="3"/>
  <c r="G81" i="68"/>
  <c r="E175" i="3"/>
  <c r="E185" i="3" s="1"/>
  <c r="C28" i="4"/>
  <c r="DQ26" i="46"/>
  <c r="DQ25" i="46"/>
  <c r="DQ24" i="46"/>
  <c r="W88" i="3"/>
  <c r="X88" i="3" s="1"/>
  <c r="G16" i="68"/>
  <c r="W89" i="3"/>
  <c r="G17" i="68"/>
  <c r="DP5" i="4"/>
  <c r="DS3" i="4"/>
  <c r="DR5" i="4"/>
  <c r="DR24" i="4" s="1"/>
  <c r="DP24" i="46" s="1"/>
  <c r="DQ5" i="4"/>
  <c r="G10" i="68"/>
  <c r="W79" i="3"/>
  <c r="DR25" i="4"/>
  <c r="DP25" i="46" s="1"/>
  <c r="W81" i="3"/>
  <c r="G9" i="68"/>
  <c r="W82" i="3"/>
  <c r="L31" i="53"/>
  <c r="I82" i="3"/>
  <c r="K82" i="3"/>
  <c r="J82" i="3"/>
  <c r="L82" i="3"/>
  <c r="M82" i="3"/>
  <c r="F82" i="3"/>
  <c r="F53" i="3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AG81" i="3"/>
  <c r="K81" i="3"/>
  <c r="I81" i="3"/>
  <c r="M81" i="3"/>
  <c r="J81" i="3"/>
  <c r="L81" i="3"/>
  <c r="F81" i="3"/>
  <c r="DB18" i="4"/>
  <c r="Z47" i="70"/>
  <c r="L7" i="68"/>
  <c r="N7" i="68" s="1"/>
  <c r="E7" i="68"/>
  <c r="D7" i="68"/>
  <c r="C7" i="68"/>
  <c r="B7" i="68"/>
  <c r="B6" i="68"/>
  <c r="M73" i="15"/>
  <c r="G73" i="15"/>
  <c r="K73" i="15"/>
  <c r="M72" i="15"/>
  <c r="G72" i="15"/>
  <c r="K72" i="15"/>
  <c r="M71" i="15"/>
  <c r="I72" i="15"/>
  <c r="J72" i="15"/>
  <c r="I73" i="15"/>
  <c r="L72" i="15"/>
  <c r="H72" i="15"/>
  <c r="H73" i="15"/>
  <c r="L73" i="15"/>
  <c r="J73" i="15"/>
  <c r="G7" i="68"/>
  <c r="D5" i="69"/>
  <c r="E5" i="69" s="1"/>
  <c r="F5" i="69" s="1"/>
  <c r="L125" i="15"/>
  <c r="O244" i="70"/>
  <c r="O245" i="70"/>
  <c r="O243" i="70"/>
  <c r="Z31" i="70"/>
  <c r="Z46" i="70"/>
  <c r="AA252" i="70"/>
  <c r="B29" i="4"/>
  <c r="B30" i="4" s="1"/>
  <c r="B31" i="4" s="1"/>
  <c r="B32" i="4" s="1"/>
  <c r="B33" i="4" s="1"/>
  <c r="B34" i="4" s="1"/>
  <c r="Z48" i="70"/>
  <c r="F102" i="41"/>
  <c r="F103" i="41"/>
  <c r="F104" i="41"/>
  <c r="F105" i="41"/>
  <c r="I192" i="3"/>
  <c r="L192" i="3"/>
  <c r="J192" i="3"/>
  <c r="M192" i="3"/>
  <c r="K192" i="3"/>
  <c r="F365" i="3"/>
  <c r="F364" i="3"/>
  <c r="F351" i="3"/>
  <c r="I348" i="3"/>
  <c r="H348" i="3"/>
  <c r="E342" i="3"/>
  <c r="H342" i="3" s="1"/>
  <c r="AD41" i="30" s="1"/>
  <c r="E341" i="3"/>
  <c r="I342" i="3"/>
  <c r="I341" i="3"/>
  <c r="I345" i="3"/>
  <c r="H341" i="3"/>
  <c r="H345" i="3" s="1"/>
  <c r="BL45" i="30"/>
  <c r="BL50" i="30" s="1"/>
  <c r="BL57" i="30" s="1"/>
  <c r="CE11" i="46"/>
  <c r="CF11" i="46"/>
  <c r="CG11" i="46"/>
  <c r="CJ11" i="46"/>
  <c r="CK11" i="46"/>
  <c r="BQ11" i="46"/>
  <c r="BP11" i="46"/>
  <c r="BN11" i="46"/>
  <c r="B24" i="46"/>
  <c r="F13" i="29"/>
  <c r="E13" i="29"/>
  <c r="B122" i="15"/>
  <c r="M67" i="15"/>
  <c r="M66" i="15"/>
  <c r="G66" i="15"/>
  <c r="H66" i="15"/>
  <c r="M65" i="15"/>
  <c r="G63" i="15"/>
  <c r="H63" i="15"/>
  <c r="M64" i="15"/>
  <c r="M63" i="15"/>
  <c r="M62" i="15"/>
  <c r="J66" i="15"/>
  <c r="J63" i="15"/>
  <c r="I66" i="15"/>
  <c r="K63" i="15"/>
  <c r="L63" i="15"/>
  <c r="K66" i="15"/>
  <c r="I63" i="15"/>
  <c r="L66" i="15"/>
  <c r="R7" i="3"/>
  <c r="AJ26" i="31" s="1"/>
  <c r="H214" i="3"/>
  <c r="K114" i="68" s="1"/>
  <c r="AI214" i="3"/>
  <c r="H215" i="3"/>
  <c r="K115" i="68" s="1"/>
  <c r="AI215" i="3"/>
  <c r="M214" i="3"/>
  <c r="K214" i="3"/>
  <c r="I214" i="3"/>
  <c r="J214" i="3"/>
  <c r="L214" i="3"/>
  <c r="I215" i="3"/>
  <c r="J215" i="3"/>
  <c r="L215" i="3"/>
  <c r="M215" i="3"/>
  <c r="K215" i="3"/>
  <c r="E100" i="65"/>
  <c r="D100" i="65"/>
  <c r="E99" i="65"/>
  <c r="D99" i="65"/>
  <c r="E85" i="65"/>
  <c r="E86" i="65"/>
  <c r="C55" i="65"/>
  <c r="C54" i="65"/>
  <c r="D55" i="65"/>
  <c r="E55" i="65"/>
  <c r="E54" i="65"/>
  <c r="D54" i="65"/>
  <c r="D56" i="65" s="1"/>
  <c r="C46" i="65"/>
  <c r="C45" i="65"/>
  <c r="C41" i="65"/>
  <c r="C40" i="65"/>
  <c r="E37" i="65"/>
  <c r="C33" i="65"/>
  <c r="D33" i="65"/>
  <c r="C34" i="65"/>
  <c r="C35" i="65"/>
  <c r="D35" i="65"/>
  <c r="C36" i="65"/>
  <c r="D36" i="65"/>
  <c r="C32" i="65"/>
  <c r="E29" i="65"/>
  <c r="E28" i="65"/>
  <c r="D28" i="65"/>
  <c r="C28" i="65"/>
  <c r="C27" i="65"/>
  <c r="C26" i="65"/>
  <c r="C25" i="65"/>
  <c r="C11" i="65"/>
  <c r="K89" i="65"/>
  <c r="K88" i="65"/>
  <c r="K87" i="65"/>
  <c r="K86" i="65"/>
  <c r="K85" i="65"/>
  <c r="K84" i="65"/>
  <c r="K83" i="65"/>
  <c r="K82" i="65"/>
  <c r="K78" i="65"/>
  <c r="K79" i="65" s="1"/>
  <c r="K74" i="65"/>
  <c r="K73" i="65"/>
  <c r="K72" i="65"/>
  <c r="K71" i="65"/>
  <c r="K67" i="65"/>
  <c r="K63" i="65"/>
  <c r="K64" i="65" s="1"/>
  <c r="G64" i="65"/>
  <c r="F64" i="65"/>
  <c r="D64" i="65"/>
  <c r="G60" i="65"/>
  <c r="F60" i="65"/>
  <c r="D60" i="65"/>
  <c r="K55" i="65"/>
  <c r="K54" i="65"/>
  <c r="K56" i="65" s="1"/>
  <c r="G51" i="65"/>
  <c r="K40" i="65"/>
  <c r="K36" i="65"/>
  <c r="K35" i="65"/>
  <c r="K34" i="65"/>
  <c r="K33" i="65"/>
  <c r="K28" i="65"/>
  <c r="K27" i="65"/>
  <c r="K26" i="65"/>
  <c r="K25" i="65"/>
  <c r="K70" i="65"/>
  <c r="K69" i="65"/>
  <c r="K50" i="65"/>
  <c r="K59" i="65"/>
  <c r="K60" i="65" s="1"/>
  <c r="AG132" i="3"/>
  <c r="AF132" i="3"/>
  <c r="AD132" i="3"/>
  <c r="X132" i="3"/>
  <c r="X198" i="3"/>
  <c r="I105" i="68" s="1"/>
  <c r="D32" i="65"/>
  <c r="H198" i="3"/>
  <c r="K105" i="68" s="1"/>
  <c r="AH198" i="3"/>
  <c r="AI198" i="3" s="1"/>
  <c r="I197" i="3"/>
  <c r="L197" i="3"/>
  <c r="M197" i="3"/>
  <c r="K197" i="3"/>
  <c r="J197" i="3"/>
  <c r="L198" i="3"/>
  <c r="K198" i="3"/>
  <c r="M198" i="3"/>
  <c r="DQ18" i="46"/>
  <c r="I198" i="3"/>
  <c r="J198" i="3"/>
  <c r="M132" i="3"/>
  <c r="K132" i="3"/>
  <c r="J132" i="3"/>
  <c r="L132" i="3"/>
  <c r="I132" i="3"/>
  <c r="G67" i="15"/>
  <c r="G64" i="15"/>
  <c r="L47" i="58"/>
  <c r="F47" i="58"/>
  <c r="B47" i="58"/>
  <c r="L64" i="15"/>
  <c r="J64" i="15"/>
  <c r="K64" i="15"/>
  <c r="I64" i="15"/>
  <c r="H65" i="15"/>
  <c r="J65" i="15"/>
  <c r="L65" i="15"/>
  <c r="I65" i="15"/>
  <c r="K65" i="15"/>
  <c r="K67" i="15"/>
  <c r="J67" i="15"/>
  <c r="L67" i="15"/>
  <c r="I67" i="15"/>
  <c r="J62" i="15"/>
  <c r="L62" i="15"/>
  <c r="I62" i="15"/>
  <c r="K62" i="15"/>
  <c r="H67" i="15"/>
  <c r="H64" i="15"/>
  <c r="H62" i="15"/>
  <c r="F99" i="65"/>
  <c r="AW35" i="30"/>
  <c r="P35" i="30" s="1"/>
  <c r="H35" i="30" s="1"/>
  <c r="AW28" i="30"/>
  <c r="AV35" i="30"/>
  <c r="O35" i="30" s="1"/>
  <c r="G35" i="30" s="1"/>
  <c r="AV28" i="30"/>
  <c r="BH7" i="31"/>
  <c r="BG7" i="31"/>
  <c r="BH6" i="31"/>
  <c r="BG6" i="31"/>
  <c r="BH5" i="31"/>
  <c r="BG5" i="31"/>
  <c r="F8" i="40"/>
  <c r="DQ23" i="46"/>
  <c r="CL11" i="46"/>
  <c r="AV11" i="46"/>
  <c r="AM11" i="46"/>
  <c r="AN11" i="46"/>
  <c r="AO11" i="46"/>
  <c r="AP11" i="46"/>
  <c r="AG11" i="46"/>
  <c r="AH11" i="46"/>
  <c r="AF11" i="46"/>
  <c r="M15" i="46"/>
  <c r="M14" i="46"/>
  <c r="M13" i="46"/>
  <c r="C14" i="65"/>
  <c r="C15" i="65"/>
  <c r="C10" i="65"/>
  <c r="C7" i="65"/>
  <c r="C9" i="65"/>
  <c r="C8" i="65"/>
  <c r="C6" i="65"/>
  <c r="C12" i="65"/>
  <c r="F63" i="23"/>
  <c r="H63" i="23" s="1"/>
  <c r="D47" i="58"/>
  <c r="O47" i="58" s="1"/>
  <c r="F43" i="58"/>
  <c r="L43" i="58"/>
  <c r="C122" i="15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4" i="53"/>
  <c r="Z38" i="70"/>
  <c r="X330" i="3"/>
  <c r="X152" i="3"/>
  <c r="X180" i="3"/>
  <c r="AA180" i="3" s="1"/>
  <c r="G180" i="3" s="1"/>
  <c r="AO180" i="3" s="1"/>
  <c r="L54" i="70" s="1"/>
  <c r="X181" i="3"/>
  <c r="I94" i="68" s="1"/>
  <c r="X185" i="3"/>
  <c r="G185" i="3"/>
  <c r="AO185" i="3" s="1"/>
  <c r="X177" i="3"/>
  <c r="X178" i="3"/>
  <c r="I91" i="68" s="1"/>
  <c r="X182" i="3"/>
  <c r="I95" i="68" s="1"/>
  <c r="X183" i="3"/>
  <c r="I96" i="68" s="1"/>
  <c r="X184" i="3"/>
  <c r="X99" i="3"/>
  <c r="I23" i="68" s="1"/>
  <c r="X105" i="3"/>
  <c r="X96" i="3"/>
  <c r="X95" i="3"/>
  <c r="G91" i="3"/>
  <c r="AO91" i="3" s="1"/>
  <c r="X84" i="3"/>
  <c r="I11" i="68" s="1"/>
  <c r="X247" i="3"/>
  <c r="I12" i="68" s="1"/>
  <c r="X85" i="3"/>
  <c r="I13" i="68" s="1"/>
  <c r="AL26" i="31"/>
  <c r="AD176" i="3"/>
  <c r="J176" i="3"/>
  <c r="L176" i="3"/>
  <c r="K176" i="3"/>
  <c r="M176" i="3"/>
  <c r="I176" i="3"/>
  <c r="F176" i="3"/>
  <c r="X89" i="3"/>
  <c r="U31" i="31"/>
  <c r="X31" i="31"/>
  <c r="D34" i="65"/>
  <c r="AI66" i="30"/>
  <c r="AH66" i="30"/>
  <c r="AG66" i="30"/>
  <c r="AF66" i="30"/>
  <c r="AE66" i="30"/>
  <c r="AI59" i="30"/>
  <c r="AH59" i="30"/>
  <c r="AG59" i="30"/>
  <c r="AF59" i="30"/>
  <c r="AE59" i="30"/>
  <c r="AI43" i="30"/>
  <c r="AH43" i="30"/>
  <c r="AG43" i="30"/>
  <c r="AF43" i="30"/>
  <c r="AE43" i="30"/>
  <c r="AI42" i="30"/>
  <c r="AH42" i="30"/>
  <c r="AG42" i="30"/>
  <c r="AF42" i="30"/>
  <c r="AE42" i="30"/>
  <c r="AI39" i="30"/>
  <c r="AH39" i="30"/>
  <c r="AG39" i="30"/>
  <c r="AF39" i="30"/>
  <c r="AE39" i="30"/>
  <c r="AI38" i="30"/>
  <c r="AH38" i="30"/>
  <c r="AG38" i="30"/>
  <c r="AF38" i="30"/>
  <c r="AE38" i="30"/>
  <c r="AI37" i="30"/>
  <c r="AH37" i="30"/>
  <c r="AG37" i="30"/>
  <c r="AF37" i="30"/>
  <c r="AE37" i="30"/>
  <c r="AI40" i="30"/>
  <c r="AH40" i="30"/>
  <c r="AG40" i="30"/>
  <c r="AF40" i="30"/>
  <c r="AE40" i="30"/>
  <c r="AI28" i="30"/>
  <c r="AH28" i="30"/>
  <c r="AG28" i="30"/>
  <c r="AF28" i="30"/>
  <c r="AE28" i="30"/>
  <c r="AI27" i="30"/>
  <c r="AH27" i="30"/>
  <c r="AG27" i="30"/>
  <c r="AF27" i="30"/>
  <c r="AE27" i="30"/>
  <c r="AI26" i="30"/>
  <c r="AH26" i="30"/>
  <c r="AG26" i="30"/>
  <c r="AF26" i="30"/>
  <c r="AE26" i="30"/>
  <c r="BQ66" i="30"/>
  <c r="BP66" i="30"/>
  <c r="BO66" i="30"/>
  <c r="BN66" i="30"/>
  <c r="BQ59" i="30"/>
  <c r="BP59" i="30"/>
  <c r="BO59" i="30"/>
  <c r="BN59" i="30"/>
  <c r="BQ54" i="30"/>
  <c r="BP54" i="30"/>
  <c r="BO54" i="30"/>
  <c r="BN54" i="30"/>
  <c r="BQ53" i="30"/>
  <c r="BP53" i="30"/>
  <c r="BO53" i="30"/>
  <c r="BN53" i="30"/>
  <c r="BQ52" i="30"/>
  <c r="BP52" i="30"/>
  <c r="BO52" i="30"/>
  <c r="BN52" i="30"/>
  <c r="BQ43" i="30"/>
  <c r="BP43" i="30"/>
  <c r="BO43" i="30"/>
  <c r="BN43" i="30"/>
  <c r="BQ42" i="30"/>
  <c r="BP42" i="30"/>
  <c r="BO42" i="30"/>
  <c r="BN42" i="30"/>
  <c r="BQ41" i="30"/>
  <c r="BP41" i="30"/>
  <c r="BO41" i="30"/>
  <c r="BN41" i="30"/>
  <c r="BQ39" i="30"/>
  <c r="BP39" i="30"/>
  <c r="BO39" i="30"/>
  <c r="BN39" i="30"/>
  <c r="BQ40" i="30"/>
  <c r="BP40" i="30"/>
  <c r="BO40" i="30"/>
  <c r="BN40" i="30"/>
  <c r="BQ28" i="30"/>
  <c r="BQ45" i="30" s="1"/>
  <c r="BQ50" i="30" s="1"/>
  <c r="BP28" i="30"/>
  <c r="BP45" i="30" s="1"/>
  <c r="BP50" i="30" s="1"/>
  <c r="BO28" i="30"/>
  <c r="BN28" i="30"/>
  <c r="U23" i="29"/>
  <c r="U24" i="29"/>
  <c r="C1" i="7"/>
  <c r="J342" i="3"/>
  <c r="K342" i="3"/>
  <c r="L342" i="3"/>
  <c r="M342" i="3"/>
  <c r="H353" i="3"/>
  <c r="E247" i="3"/>
  <c r="G12" i="68" s="1"/>
  <c r="H90" i="3"/>
  <c r="BF22" i="4" s="1"/>
  <c r="BF27" i="4" s="1"/>
  <c r="E120" i="3"/>
  <c r="D74" i="65" s="1"/>
  <c r="D75" i="65" s="1"/>
  <c r="F33" i="29"/>
  <c r="C4" i="15"/>
  <c r="X38" i="30"/>
  <c r="Y38" i="30"/>
  <c r="Z38" i="30"/>
  <c r="AA38" i="30"/>
  <c r="X39" i="30"/>
  <c r="Y39" i="30"/>
  <c r="Z39" i="30"/>
  <c r="AA39" i="30"/>
  <c r="X42" i="30"/>
  <c r="Y42" i="30"/>
  <c r="Z42" i="30"/>
  <c r="AA42" i="30"/>
  <c r="X43" i="30"/>
  <c r="Y43" i="30"/>
  <c r="Z43" i="30"/>
  <c r="AA43" i="30"/>
  <c r="AA37" i="30"/>
  <c r="Z37" i="30"/>
  <c r="Y37" i="30"/>
  <c r="X37" i="30"/>
  <c r="X40" i="30"/>
  <c r="Y40" i="30"/>
  <c r="Z40" i="30"/>
  <c r="AA40" i="30"/>
  <c r="W26" i="30"/>
  <c r="X26" i="30"/>
  <c r="Y26" i="30"/>
  <c r="Z26" i="30"/>
  <c r="AA26" i="30"/>
  <c r="W27" i="30"/>
  <c r="X27" i="30"/>
  <c r="Y27" i="30"/>
  <c r="Z27" i="30"/>
  <c r="AA27" i="30"/>
  <c r="AA28" i="30"/>
  <c r="Z28" i="30"/>
  <c r="Y28" i="30"/>
  <c r="X28" i="30"/>
  <c r="W28" i="30"/>
  <c r="J353" i="3"/>
  <c r="K353" i="3"/>
  <c r="L353" i="3"/>
  <c r="M353" i="3"/>
  <c r="J352" i="3"/>
  <c r="K352" i="3"/>
  <c r="L352" i="3"/>
  <c r="M352" i="3"/>
  <c r="J345" i="3"/>
  <c r="K345" i="3"/>
  <c r="L345" i="3"/>
  <c r="M345" i="3"/>
  <c r="I352" i="3"/>
  <c r="I353" i="3"/>
  <c r="X325" i="3"/>
  <c r="AO325" i="3" s="1"/>
  <c r="L106" i="70" s="1"/>
  <c r="X324" i="3"/>
  <c r="G324" i="3" s="1"/>
  <c r="P117" i="3"/>
  <c r="H150" i="3"/>
  <c r="K67" i="68" s="1"/>
  <c r="AH150" i="3"/>
  <c r="AI150" i="3" s="1"/>
  <c r="H167" i="3"/>
  <c r="K84" i="68" s="1"/>
  <c r="K325" i="3"/>
  <c r="L325" i="3"/>
  <c r="M325" i="3"/>
  <c r="J325" i="3"/>
  <c r="I325" i="3"/>
  <c r="L150" i="3"/>
  <c r="K150" i="3"/>
  <c r="M150" i="3"/>
  <c r="L167" i="3"/>
  <c r="K167" i="3"/>
  <c r="J167" i="3"/>
  <c r="M167" i="3"/>
  <c r="J150" i="3"/>
  <c r="I167" i="3"/>
  <c r="I150" i="3"/>
  <c r="AH167" i="3"/>
  <c r="AI167" i="3" s="1"/>
  <c r="X323" i="3"/>
  <c r="G323" i="3" s="1"/>
  <c r="F15" i="41"/>
  <c r="E122" i="15"/>
  <c r="AI114" i="3"/>
  <c r="H114" i="3"/>
  <c r="K36" i="68" s="1"/>
  <c r="M114" i="3"/>
  <c r="J114" i="3"/>
  <c r="K114" i="3"/>
  <c r="L114" i="3"/>
  <c r="J115" i="3"/>
  <c r="K115" i="3"/>
  <c r="L115" i="3"/>
  <c r="M115" i="3"/>
  <c r="I115" i="3"/>
  <c r="AG247" i="3"/>
  <c r="AG85" i="3"/>
  <c r="I257" i="3"/>
  <c r="AM38" i="30"/>
  <c r="O38" i="30" s="1"/>
  <c r="J85" i="3"/>
  <c r="I247" i="3"/>
  <c r="L85" i="3"/>
  <c r="I85" i="3"/>
  <c r="K247" i="3"/>
  <c r="M247" i="3"/>
  <c r="L247" i="3"/>
  <c r="M85" i="3"/>
  <c r="J247" i="3"/>
  <c r="K85" i="3"/>
  <c r="F37" i="41"/>
  <c r="F38" i="41"/>
  <c r="F34" i="41"/>
  <c r="F35" i="41"/>
  <c r="F36" i="41"/>
  <c r="AL20" i="31"/>
  <c r="G69" i="15"/>
  <c r="G70" i="15"/>
  <c r="G54" i="15"/>
  <c r="G55" i="15"/>
  <c r="H330" i="3"/>
  <c r="X146" i="3"/>
  <c r="I63" i="68" s="1"/>
  <c r="H63" i="68" s="1"/>
  <c r="X165" i="3"/>
  <c r="I82" i="68" s="1"/>
  <c r="X166" i="3"/>
  <c r="I83" i="68" s="1"/>
  <c r="X107" i="3"/>
  <c r="X108" i="3"/>
  <c r="AA108" i="3" s="1"/>
  <c r="G108" i="3" s="1"/>
  <c r="AO108" i="3" s="1"/>
  <c r="L20" i="70" s="1"/>
  <c r="X112" i="3"/>
  <c r="AA112" i="3" s="1"/>
  <c r="G112" i="3" s="1"/>
  <c r="AO112" i="3" s="1"/>
  <c r="L21" i="70" s="1"/>
  <c r="X119" i="3"/>
  <c r="X121" i="3"/>
  <c r="X245" i="3"/>
  <c r="X79" i="3"/>
  <c r="I7" i="68" s="1"/>
  <c r="H7" i="68" s="1"/>
  <c r="AD80" i="3"/>
  <c r="AF80" i="3"/>
  <c r="AG80" i="3"/>
  <c r="AD84" i="3"/>
  <c r="AF84" i="3"/>
  <c r="AG84" i="3"/>
  <c r="AD88" i="3"/>
  <c r="AF88" i="3"/>
  <c r="AG88" i="3"/>
  <c r="AD89" i="3"/>
  <c r="AF89" i="3"/>
  <c r="AG89" i="3"/>
  <c r="AD94" i="3"/>
  <c r="AG95" i="3"/>
  <c r="AD96" i="3"/>
  <c r="AF96" i="3"/>
  <c r="AG96" i="3"/>
  <c r="AD99" i="3"/>
  <c r="AF99" i="3"/>
  <c r="AG99" i="3"/>
  <c r="AD100" i="3"/>
  <c r="AD177" i="3"/>
  <c r="AF177" i="3"/>
  <c r="AG177" i="3"/>
  <c r="AD178" i="3"/>
  <c r="AF178" i="3"/>
  <c r="AG178" i="3"/>
  <c r="AD182" i="3"/>
  <c r="AF182" i="3"/>
  <c r="AG182" i="3"/>
  <c r="AD183" i="3"/>
  <c r="AD179" i="3"/>
  <c r="AD180" i="3"/>
  <c r="AD181" i="3"/>
  <c r="AF181" i="3"/>
  <c r="AG181" i="3"/>
  <c r="AD152" i="3"/>
  <c r="AF152" i="3"/>
  <c r="AG152" i="3"/>
  <c r="AD107" i="3"/>
  <c r="AD119" i="3"/>
  <c r="AF119" i="3"/>
  <c r="AG119" i="3"/>
  <c r="AF121" i="3"/>
  <c r="AF244" i="3"/>
  <c r="AG79" i="3"/>
  <c r="AF79" i="3"/>
  <c r="AD79" i="3"/>
  <c r="AA323" i="3"/>
  <c r="AO323" i="3" s="1"/>
  <c r="K324" i="3"/>
  <c r="L330" i="3"/>
  <c r="I330" i="3"/>
  <c r="M330" i="3"/>
  <c r="J330" i="3"/>
  <c r="K330" i="3"/>
  <c r="AB84" i="3"/>
  <c r="H84" i="3" s="1"/>
  <c r="K11" i="68" s="1"/>
  <c r="AA84" i="3"/>
  <c r="G84" i="3" s="1"/>
  <c r="AO84" i="3" s="1"/>
  <c r="AB99" i="3"/>
  <c r="H99" i="3" s="1"/>
  <c r="H113" i="3"/>
  <c r="K35" i="68" s="1"/>
  <c r="AB112" i="3"/>
  <c r="H118" i="3"/>
  <c r="K41" i="68" s="1"/>
  <c r="H117" i="3"/>
  <c r="K40" i="68" s="1"/>
  <c r="AF184" i="3"/>
  <c r="Z26" i="70"/>
  <c r="F184" i="3"/>
  <c r="M80" i="3"/>
  <c r="L152" i="3"/>
  <c r="J84" i="3"/>
  <c r="H165" i="3"/>
  <c r="K82" i="68" s="1"/>
  <c r="AH165" i="3"/>
  <c r="AI165" i="3" s="1"/>
  <c r="H166" i="3"/>
  <c r="K83" i="68" s="1"/>
  <c r="AH166" i="3"/>
  <c r="AI166" i="3" s="1"/>
  <c r="H323" i="3"/>
  <c r="J323" i="3"/>
  <c r="AH323" i="3"/>
  <c r="AI323" i="3"/>
  <c r="F121" i="3"/>
  <c r="H187" i="3"/>
  <c r="K98" i="68" s="1"/>
  <c r="I187" i="3"/>
  <c r="AH187" i="3"/>
  <c r="AI187" i="3" s="1"/>
  <c r="H151" i="3"/>
  <c r="K68" i="68" s="1"/>
  <c r="H324" i="3"/>
  <c r="I324" i="3"/>
  <c r="L324" i="3"/>
  <c r="M324" i="3"/>
  <c r="K323" i="3"/>
  <c r="M323" i="3"/>
  <c r="M100" i="3"/>
  <c r="L323" i="3"/>
  <c r="L99" i="3"/>
  <c r="M99" i="3"/>
  <c r="I80" i="3"/>
  <c r="I99" i="3"/>
  <c r="G33" i="65" s="1"/>
  <c r="K99" i="3"/>
  <c r="J99" i="3"/>
  <c r="K100" i="3"/>
  <c r="I84" i="3"/>
  <c r="L191" i="3"/>
  <c r="L190" i="3" s="1"/>
  <c r="L193" i="3" s="1"/>
  <c r="L383" i="3" s="1"/>
  <c r="K191" i="3"/>
  <c r="J191" i="3"/>
  <c r="I191" i="3"/>
  <c r="M191" i="3"/>
  <c r="L100" i="3"/>
  <c r="M84" i="3"/>
  <c r="M187" i="3"/>
  <c r="L187" i="3"/>
  <c r="L188" i="3" s="1"/>
  <c r="L382" i="3" s="1"/>
  <c r="K187" i="3"/>
  <c r="I100" i="3"/>
  <c r="G34" i="65" s="1"/>
  <c r="L84" i="3"/>
  <c r="J100" i="3"/>
  <c r="K84" i="3"/>
  <c r="M151" i="3"/>
  <c r="M152" i="3"/>
  <c r="L151" i="3"/>
  <c r="J152" i="3"/>
  <c r="L80" i="3"/>
  <c r="K151" i="3"/>
  <c r="K152" i="3"/>
  <c r="I152" i="3"/>
  <c r="J80" i="3"/>
  <c r="K80" i="3"/>
  <c r="K165" i="3"/>
  <c r="M165" i="3"/>
  <c r="J165" i="3"/>
  <c r="L165" i="3"/>
  <c r="L166" i="3"/>
  <c r="K166" i="3"/>
  <c r="M166" i="3"/>
  <c r="L164" i="3"/>
  <c r="I164" i="3"/>
  <c r="K164" i="3"/>
  <c r="M164" i="3"/>
  <c r="J164" i="3"/>
  <c r="J118" i="3"/>
  <c r="L118" i="3"/>
  <c r="I118" i="3"/>
  <c r="M118" i="3"/>
  <c r="K118" i="3"/>
  <c r="J117" i="3"/>
  <c r="K117" i="3"/>
  <c r="L117" i="3"/>
  <c r="I117" i="3"/>
  <c r="M117" i="3"/>
  <c r="F323" i="3"/>
  <c r="Z28" i="70"/>
  <c r="J324" i="3"/>
  <c r="J166" i="3"/>
  <c r="J151" i="3"/>
  <c r="I151" i="3"/>
  <c r="I165" i="3"/>
  <c r="J187" i="3"/>
  <c r="I166" i="3"/>
  <c r="AH324" i="3"/>
  <c r="AI324" i="3" s="1"/>
  <c r="AH151" i="3"/>
  <c r="AI151" i="3" s="1"/>
  <c r="I323" i="3"/>
  <c r="J239" i="3"/>
  <c r="L239" i="3"/>
  <c r="I239" i="3"/>
  <c r="K239" i="3"/>
  <c r="M239" i="3"/>
  <c r="CP156" i="4"/>
  <c r="Z7" i="70"/>
  <c r="Z34" i="70"/>
  <c r="Z39" i="70"/>
  <c r="Z35" i="70"/>
  <c r="Z8" i="70"/>
  <c r="Z24" i="70"/>
  <c r="Z37" i="70"/>
  <c r="G60" i="15"/>
  <c r="G61" i="15"/>
  <c r="CN156" i="4"/>
  <c r="F244" i="3"/>
  <c r="G79" i="15"/>
  <c r="F80" i="3"/>
  <c r="G68" i="15"/>
  <c r="B124" i="15"/>
  <c r="B125" i="15"/>
  <c r="B126" i="15"/>
  <c r="B127" i="15"/>
  <c r="B123" i="15"/>
  <c r="H245" i="3"/>
  <c r="K245" i="3"/>
  <c r="L245" i="3"/>
  <c r="M245" i="3"/>
  <c r="G117" i="15"/>
  <c r="AH245" i="3"/>
  <c r="AI245" i="3" s="1"/>
  <c r="J245" i="3"/>
  <c r="I245" i="3"/>
  <c r="F247" i="3"/>
  <c r="G77" i="15"/>
  <c r="G53" i="15"/>
  <c r="F79" i="3"/>
  <c r="H59" i="15"/>
  <c r="M61" i="15"/>
  <c r="L61" i="15"/>
  <c r="K61" i="15"/>
  <c r="I61" i="15"/>
  <c r="M60" i="15"/>
  <c r="L60" i="15"/>
  <c r="K60" i="15"/>
  <c r="I60" i="15"/>
  <c r="M59" i="15"/>
  <c r="L59" i="15"/>
  <c r="K59" i="15"/>
  <c r="I59" i="15"/>
  <c r="J59" i="15"/>
  <c r="J60" i="15"/>
  <c r="J61" i="15"/>
  <c r="H60" i="15"/>
  <c r="H61" i="15"/>
  <c r="L51" i="3"/>
  <c r="M51" i="3"/>
  <c r="L53" i="3"/>
  <c r="M53" i="3"/>
  <c r="L56" i="3"/>
  <c r="L58" i="3" s="1"/>
  <c r="M56" i="3"/>
  <c r="M58" i="3" s="1"/>
  <c r="L244" i="3"/>
  <c r="M244" i="3"/>
  <c r="L113" i="3"/>
  <c r="M113" i="3"/>
  <c r="BC23" i="4"/>
  <c r="AA23" i="4"/>
  <c r="K56" i="3"/>
  <c r="K58" i="3" s="1"/>
  <c r="AA22" i="4"/>
  <c r="AA27" i="4" s="1"/>
  <c r="I53" i="3"/>
  <c r="BF156" i="4"/>
  <c r="J56" i="3"/>
  <c r="J58" i="3" s="1"/>
  <c r="K53" i="3"/>
  <c r="I56" i="3"/>
  <c r="I58" i="3" s="1"/>
  <c r="J53" i="3"/>
  <c r="K51" i="3"/>
  <c r="F75" i="41"/>
  <c r="F7" i="41"/>
  <c r="F83" i="41"/>
  <c r="F84" i="41"/>
  <c r="F85" i="41"/>
  <c r="F86" i="41"/>
  <c r="F74" i="41"/>
  <c r="F82" i="41"/>
  <c r="H51" i="3"/>
  <c r="AX22" i="46" s="1"/>
  <c r="AO51" i="3"/>
  <c r="L151" i="70" s="1"/>
  <c r="F70" i="41"/>
  <c r="F71" i="41"/>
  <c r="F76" i="41"/>
  <c r="I51" i="3"/>
  <c r="J51" i="3"/>
  <c r="F50" i="41"/>
  <c r="F49" i="41"/>
  <c r="E127" i="15"/>
  <c r="C127" i="15"/>
  <c r="D79" i="65"/>
  <c r="D40" i="65"/>
  <c r="I244" i="3"/>
  <c r="J244" i="3"/>
  <c r="K244" i="3"/>
  <c r="BA31" i="31"/>
  <c r="L101" i="3"/>
  <c r="I101" i="3"/>
  <c r="M101" i="3"/>
  <c r="J101" i="3"/>
  <c r="K101" i="3"/>
  <c r="D9" i="29"/>
  <c r="M82" i="15"/>
  <c r="M81" i="15"/>
  <c r="M80" i="15"/>
  <c r="M79" i="15"/>
  <c r="L79" i="15"/>
  <c r="K79" i="15"/>
  <c r="M78" i="15"/>
  <c r="L78" i="15"/>
  <c r="K78" i="15"/>
  <c r="M77" i="15"/>
  <c r="L77" i="15"/>
  <c r="K77" i="15"/>
  <c r="J77" i="15"/>
  <c r="I77" i="15"/>
  <c r="M76" i="15"/>
  <c r="M75" i="15"/>
  <c r="M74" i="15"/>
  <c r="M70" i="15"/>
  <c r="L70" i="15"/>
  <c r="K70" i="15"/>
  <c r="M69" i="15"/>
  <c r="L69" i="15"/>
  <c r="K69" i="15"/>
  <c r="M68" i="15"/>
  <c r="L68" i="15"/>
  <c r="K68" i="15"/>
  <c r="M58" i="15"/>
  <c r="L58" i="15"/>
  <c r="K58" i="15"/>
  <c r="M57" i="15"/>
  <c r="M56" i="15"/>
  <c r="M55" i="15"/>
  <c r="L55" i="15"/>
  <c r="K55" i="15"/>
  <c r="M54" i="15"/>
  <c r="L54" i="15"/>
  <c r="K54" i="15"/>
  <c r="M53" i="15"/>
  <c r="L53" i="15"/>
  <c r="K53" i="15"/>
  <c r="M52" i="15"/>
  <c r="L52" i="15"/>
  <c r="K52" i="15"/>
  <c r="M51" i="15"/>
  <c r="M50" i="15"/>
  <c r="M49" i="15"/>
  <c r="L49" i="15"/>
  <c r="K49" i="15"/>
  <c r="M48" i="15"/>
  <c r="L48" i="15"/>
  <c r="K48" i="15"/>
  <c r="M47" i="15"/>
  <c r="M46" i="15"/>
  <c r="M45" i="15"/>
  <c r="L45" i="15"/>
  <c r="K45" i="15"/>
  <c r="M44" i="15"/>
  <c r="M43" i="15"/>
  <c r="M42" i="15"/>
  <c r="M41" i="15"/>
  <c r="M40" i="15"/>
  <c r="L40" i="15"/>
  <c r="K40" i="15"/>
  <c r="J40" i="15"/>
  <c r="I40" i="15"/>
  <c r="H40" i="15"/>
  <c r="M39" i="15"/>
  <c r="M38" i="15"/>
  <c r="M37" i="15"/>
  <c r="H25" i="15"/>
  <c r="I25" i="15"/>
  <c r="J25" i="15"/>
  <c r="K25" i="15"/>
  <c r="L25" i="15"/>
  <c r="M25" i="15"/>
  <c r="H26" i="15"/>
  <c r="I26" i="15"/>
  <c r="J26" i="15"/>
  <c r="K26" i="15"/>
  <c r="L26" i="15"/>
  <c r="M26" i="15"/>
  <c r="H27" i="15"/>
  <c r="I27" i="15"/>
  <c r="J27" i="15"/>
  <c r="F27" i="15" s="1"/>
  <c r="K27" i="15"/>
  <c r="L27" i="15"/>
  <c r="M27" i="15"/>
  <c r="H28" i="15"/>
  <c r="I28" i="15"/>
  <c r="J28" i="15"/>
  <c r="K28" i="15"/>
  <c r="L28" i="15"/>
  <c r="M28" i="15"/>
  <c r="H29" i="15"/>
  <c r="I29" i="15"/>
  <c r="J29" i="15"/>
  <c r="K29" i="15"/>
  <c r="L29" i="15"/>
  <c r="M29" i="15"/>
  <c r="H30" i="15"/>
  <c r="I30" i="15"/>
  <c r="J30" i="15"/>
  <c r="K30" i="15"/>
  <c r="L30" i="15"/>
  <c r="M30" i="15"/>
  <c r="H31" i="15"/>
  <c r="I31" i="15"/>
  <c r="J31" i="15"/>
  <c r="K31" i="15"/>
  <c r="L31" i="15"/>
  <c r="M31" i="15"/>
  <c r="H32" i="15"/>
  <c r="I32" i="15"/>
  <c r="J32" i="15"/>
  <c r="K32" i="15"/>
  <c r="L32" i="15"/>
  <c r="M32" i="15"/>
  <c r="H33" i="15"/>
  <c r="I33" i="15"/>
  <c r="J33" i="15"/>
  <c r="F33" i="15" s="1"/>
  <c r="K33" i="15"/>
  <c r="L33" i="15"/>
  <c r="M33" i="15"/>
  <c r="M23" i="15"/>
  <c r="M24" i="15"/>
  <c r="M22" i="15"/>
  <c r="A13" i="47"/>
  <c r="D4" i="47"/>
  <c r="D3" i="47"/>
  <c r="D2" i="47"/>
  <c r="D1" i="47"/>
  <c r="DX23" i="46"/>
  <c r="DW23" i="46"/>
  <c r="DV23" i="46"/>
  <c r="DU23" i="46"/>
  <c r="DT23" i="46"/>
  <c r="DS23" i="46"/>
  <c r="DR23" i="46"/>
  <c r="DP23" i="46"/>
  <c r="DB23" i="46"/>
  <c r="CP23" i="46"/>
  <c r="N23" i="46"/>
  <c r="DY22" i="46"/>
  <c r="DX22" i="46"/>
  <c r="DW22" i="46"/>
  <c r="EH20" i="46"/>
  <c r="EG20" i="46"/>
  <c r="EF20" i="46"/>
  <c r="EE20" i="46"/>
  <c r="ED20" i="46"/>
  <c r="DB15" i="46"/>
  <c r="D6" i="46"/>
  <c r="D5" i="46"/>
  <c r="D4" i="46"/>
  <c r="D3" i="46"/>
  <c r="N142" i="47"/>
  <c r="L142" i="47"/>
  <c r="J142" i="47"/>
  <c r="H142" i="47"/>
  <c r="N141" i="47"/>
  <c r="L141" i="47"/>
  <c r="J141" i="47"/>
  <c r="H141" i="47"/>
  <c r="N140" i="47"/>
  <c r="L140" i="47"/>
  <c r="J140" i="47"/>
  <c r="H140" i="47"/>
  <c r="N139" i="47"/>
  <c r="L139" i="47"/>
  <c r="J139" i="47"/>
  <c r="H139" i="47"/>
  <c r="N138" i="47"/>
  <c r="L138" i="47"/>
  <c r="J138" i="47"/>
  <c r="H138" i="47"/>
  <c r="N137" i="47"/>
  <c r="L137" i="47"/>
  <c r="J137" i="47"/>
  <c r="H137" i="47"/>
  <c r="N136" i="47"/>
  <c r="L136" i="47"/>
  <c r="J136" i="47"/>
  <c r="H136" i="47"/>
  <c r="N135" i="47"/>
  <c r="L135" i="47"/>
  <c r="J135" i="47"/>
  <c r="H135" i="47"/>
  <c r="N134" i="47"/>
  <c r="L134" i="47"/>
  <c r="J134" i="47"/>
  <c r="H134" i="47"/>
  <c r="N133" i="47"/>
  <c r="L133" i="47"/>
  <c r="J133" i="47"/>
  <c r="H133" i="47"/>
  <c r="N132" i="47"/>
  <c r="L132" i="47"/>
  <c r="J132" i="47"/>
  <c r="H132" i="47"/>
  <c r="N131" i="47"/>
  <c r="L131" i="47"/>
  <c r="J131" i="47"/>
  <c r="H131" i="47"/>
  <c r="N130" i="47"/>
  <c r="L130" i="47"/>
  <c r="J130" i="47"/>
  <c r="H130" i="47"/>
  <c r="N129" i="47"/>
  <c r="L129" i="47"/>
  <c r="J129" i="47"/>
  <c r="H129" i="47"/>
  <c r="N128" i="47"/>
  <c r="L128" i="47"/>
  <c r="J128" i="47"/>
  <c r="H128" i="47"/>
  <c r="N127" i="47"/>
  <c r="L127" i="47"/>
  <c r="J127" i="47"/>
  <c r="H127" i="47"/>
  <c r="N126" i="47"/>
  <c r="L126" i="47"/>
  <c r="J126" i="47"/>
  <c r="H126" i="47"/>
  <c r="N125" i="47"/>
  <c r="L125" i="47"/>
  <c r="J125" i="47"/>
  <c r="H125" i="47"/>
  <c r="N124" i="47"/>
  <c r="L124" i="47"/>
  <c r="J124" i="47"/>
  <c r="H124" i="47"/>
  <c r="N123" i="47"/>
  <c r="L123" i="47"/>
  <c r="J123" i="47"/>
  <c r="H123" i="47"/>
  <c r="N122" i="47"/>
  <c r="L122" i="47"/>
  <c r="J122" i="47"/>
  <c r="H122" i="47"/>
  <c r="N121" i="47"/>
  <c r="L121" i="47"/>
  <c r="J121" i="47"/>
  <c r="H121" i="47"/>
  <c r="N120" i="47"/>
  <c r="L120" i="47"/>
  <c r="J120" i="47"/>
  <c r="H120" i="47"/>
  <c r="N119" i="47"/>
  <c r="L119" i="47"/>
  <c r="J119" i="47"/>
  <c r="H119" i="47"/>
  <c r="N118" i="47"/>
  <c r="L118" i="47"/>
  <c r="J118" i="47"/>
  <c r="H118" i="47"/>
  <c r="N117" i="47"/>
  <c r="L117" i="47"/>
  <c r="J117" i="47"/>
  <c r="H117" i="47"/>
  <c r="N116" i="47"/>
  <c r="L116" i="47"/>
  <c r="J116" i="47"/>
  <c r="H116" i="47"/>
  <c r="N115" i="47"/>
  <c r="L115" i="47"/>
  <c r="J115" i="47"/>
  <c r="H115" i="47"/>
  <c r="N114" i="47"/>
  <c r="L114" i="47"/>
  <c r="J114" i="47"/>
  <c r="H114" i="47"/>
  <c r="N113" i="47"/>
  <c r="L113" i="47"/>
  <c r="J113" i="47"/>
  <c r="H113" i="47"/>
  <c r="N112" i="47"/>
  <c r="L112" i="47"/>
  <c r="J112" i="47"/>
  <c r="H112" i="47"/>
  <c r="N111" i="47"/>
  <c r="L111" i="47"/>
  <c r="J111" i="47"/>
  <c r="H111" i="47"/>
  <c r="N110" i="47"/>
  <c r="L110" i="47"/>
  <c r="J110" i="47"/>
  <c r="H110" i="47"/>
  <c r="N109" i="47"/>
  <c r="L109" i="47"/>
  <c r="J109" i="47"/>
  <c r="H109" i="47"/>
  <c r="N108" i="47"/>
  <c r="L108" i="47"/>
  <c r="J108" i="47"/>
  <c r="H108" i="47"/>
  <c r="N107" i="47"/>
  <c r="L107" i="47"/>
  <c r="J107" i="47"/>
  <c r="H107" i="47"/>
  <c r="N106" i="47"/>
  <c r="L106" i="47"/>
  <c r="J106" i="47"/>
  <c r="H106" i="47"/>
  <c r="N105" i="47"/>
  <c r="L105" i="47"/>
  <c r="J105" i="47"/>
  <c r="H105" i="47"/>
  <c r="N104" i="47"/>
  <c r="L104" i="47"/>
  <c r="J104" i="47"/>
  <c r="H104" i="47"/>
  <c r="N103" i="47"/>
  <c r="L103" i="47"/>
  <c r="J103" i="47"/>
  <c r="H103" i="47"/>
  <c r="N102" i="47"/>
  <c r="L102" i="47"/>
  <c r="J102" i="47"/>
  <c r="H102" i="47"/>
  <c r="N101" i="47"/>
  <c r="L101" i="47"/>
  <c r="J101" i="47"/>
  <c r="H101" i="47"/>
  <c r="N100" i="47"/>
  <c r="L100" i="47"/>
  <c r="J100" i="47"/>
  <c r="H100" i="47"/>
  <c r="N99" i="47"/>
  <c r="L99" i="47"/>
  <c r="J99" i="47"/>
  <c r="H99" i="47"/>
  <c r="N98" i="47"/>
  <c r="L98" i="47"/>
  <c r="J98" i="47"/>
  <c r="H98" i="47"/>
  <c r="N97" i="47"/>
  <c r="L97" i="47"/>
  <c r="J97" i="47"/>
  <c r="H97" i="47"/>
  <c r="N96" i="47"/>
  <c r="L96" i="47"/>
  <c r="J96" i="47"/>
  <c r="H96" i="47"/>
  <c r="N95" i="47"/>
  <c r="L95" i="47"/>
  <c r="J95" i="47"/>
  <c r="H95" i="47"/>
  <c r="N94" i="47"/>
  <c r="L94" i="47"/>
  <c r="J94" i="47"/>
  <c r="H94" i="47"/>
  <c r="N93" i="47"/>
  <c r="L93" i="47"/>
  <c r="J93" i="47"/>
  <c r="H93" i="47"/>
  <c r="N92" i="47"/>
  <c r="L92" i="47"/>
  <c r="J92" i="47"/>
  <c r="H92" i="47"/>
  <c r="N91" i="47"/>
  <c r="L91" i="47"/>
  <c r="J91" i="47"/>
  <c r="H91" i="47"/>
  <c r="N90" i="47"/>
  <c r="L90" i="47"/>
  <c r="J90" i="47"/>
  <c r="H90" i="47"/>
  <c r="N89" i="47"/>
  <c r="L89" i="47"/>
  <c r="J89" i="47"/>
  <c r="H89" i="47"/>
  <c r="N88" i="47"/>
  <c r="L88" i="47"/>
  <c r="J88" i="47"/>
  <c r="H88" i="47"/>
  <c r="N87" i="47"/>
  <c r="L87" i="47"/>
  <c r="J87" i="47"/>
  <c r="H87" i="47"/>
  <c r="N86" i="47"/>
  <c r="L86" i="47"/>
  <c r="J86" i="47"/>
  <c r="H86" i="47"/>
  <c r="N85" i="47"/>
  <c r="L85" i="47"/>
  <c r="J85" i="47"/>
  <c r="H85" i="47"/>
  <c r="N84" i="47"/>
  <c r="L84" i="47"/>
  <c r="J84" i="47"/>
  <c r="H84" i="47"/>
  <c r="N83" i="47"/>
  <c r="L83" i="47"/>
  <c r="J83" i="47"/>
  <c r="H83" i="47"/>
  <c r="N82" i="47"/>
  <c r="L82" i="47"/>
  <c r="J82" i="47"/>
  <c r="H82" i="47"/>
  <c r="N81" i="47"/>
  <c r="L81" i="47"/>
  <c r="J81" i="47"/>
  <c r="H81" i="47"/>
  <c r="N80" i="47"/>
  <c r="L80" i="47"/>
  <c r="J80" i="47"/>
  <c r="H80" i="47"/>
  <c r="N79" i="47"/>
  <c r="L79" i="47"/>
  <c r="J79" i="47"/>
  <c r="H79" i="47"/>
  <c r="N78" i="47"/>
  <c r="L78" i="47"/>
  <c r="J78" i="47"/>
  <c r="H78" i="47"/>
  <c r="N77" i="47"/>
  <c r="L77" i="47"/>
  <c r="J77" i="47"/>
  <c r="H77" i="47"/>
  <c r="N76" i="47"/>
  <c r="L76" i="47"/>
  <c r="J76" i="47"/>
  <c r="H76" i="47"/>
  <c r="N75" i="47"/>
  <c r="L75" i="47"/>
  <c r="J75" i="47"/>
  <c r="H75" i="47"/>
  <c r="N74" i="47"/>
  <c r="L74" i="47"/>
  <c r="J74" i="47"/>
  <c r="H74" i="47"/>
  <c r="N73" i="47"/>
  <c r="L73" i="47"/>
  <c r="J73" i="47"/>
  <c r="H73" i="47"/>
  <c r="N72" i="47"/>
  <c r="L72" i="47"/>
  <c r="J72" i="47"/>
  <c r="H72" i="47"/>
  <c r="N71" i="47"/>
  <c r="L71" i="47"/>
  <c r="J71" i="47"/>
  <c r="H71" i="47"/>
  <c r="N70" i="47"/>
  <c r="L70" i="47"/>
  <c r="J70" i="47"/>
  <c r="H70" i="47"/>
  <c r="N69" i="47"/>
  <c r="L69" i="47"/>
  <c r="J69" i="47"/>
  <c r="H69" i="47"/>
  <c r="N68" i="47"/>
  <c r="L68" i="47"/>
  <c r="J68" i="47"/>
  <c r="H68" i="47"/>
  <c r="N67" i="47"/>
  <c r="L67" i="47"/>
  <c r="J67" i="47"/>
  <c r="H67" i="47"/>
  <c r="N66" i="47"/>
  <c r="L66" i="47"/>
  <c r="J66" i="47"/>
  <c r="H66" i="47"/>
  <c r="N65" i="47"/>
  <c r="L65" i="47"/>
  <c r="J65" i="47"/>
  <c r="H65" i="47"/>
  <c r="N64" i="47"/>
  <c r="L64" i="47"/>
  <c r="J64" i="47"/>
  <c r="H64" i="47"/>
  <c r="N63" i="47"/>
  <c r="L63" i="47"/>
  <c r="J63" i="47"/>
  <c r="H63" i="47"/>
  <c r="N62" i="47"/>
  <c r="L62" i="47"/>
  <c r="J62" i="47"/>
  <c r="H62" i="47"/>
  <c r="N61" i="47"/>
  <c r="L61" i="47"/>
  <c r="J61" i="47"/>
  <c r="H61" i="47"/>
  <c r="N60" i="47"/>
  <c r="L60" i="47"/>
  <c r="J60" i="47"/>
  <c r="H60" i="47"/>
  <c r="N59" i="47"/>
  <c r="L59" i="47"/>
  <c r="J59" i="47"/>
  <c r="H59" i="47"/>
  <c r="N58" i="47"/>
  <c r="L58" i="47"/>
  <c r="J58" i="47"/>
  <c r="H58" i="47"/>
  <c r="N57" i="47"/>
  <c r="L57" i="47"/>
  <c r="J57" i="47"/>
  <c r="H57" i="47"/>
  <c r="N56" i="47"/>
  <c r="L56" i="47"/>
  <c r="J56" i="47"/>
  <c r="H56" i="47"/>
  <c r="N55" i="47"/>
  <c r="L55" i="47"/>
  <c r="J55" i="47"/>
  <c r="H55" i="47"/>
  <c r="N54" i="47"/>
  <c r="L54" i="47"/>
  <c r="J54" i="47"/>
  <c r="H54" i="47"/>
  <c r="N53" i="47"/>
  <c r="L53" i="47"/>
  <c r="J53" i="47"/>
  <c r="H53" i="47"/>
  <c r="N52" i="47"/>
  <c r="L52" i="47"/>
  <c r="J52" i="47"/>
  <c r="H52" i="47"/>
  <c r="N51" i="47"/>
  <c r="L51" i="47"/>
  <c r="J51" i="47"/>
  <c r="H51" i="47"/>
  <c r="N50" i="47"/>
  <c r="L50" i="47"/>
  <c r="J50" i="47"/>
  <c r="H50" i="47"/>
  <c r="N49" i="47"/>
  <c r="L49" i="47"/>
  <c r="J49" i="47"/>
  <c r="H49" i="47"/>
  <c r="N48" i="47"/>
  <c r="L48" i="47"/>
  <c r="J48" i="47"/>
  <c r="H48" i="47"/>
  <c r="N47" i="47"/>
  <c r="L47" i="47"/>
  <c r="J47" i="47"/>
  <c r="H47" i="47"/>
  <c r="N46" i="47"/>
  <c r="L46" i="47"/>
  <c r="J46" i="47"/>
  <c r="H46" i="47"/>
  <c r="N45" i="47"/>
  <c r="L45" i="47"/>
  <c r="J45" i="47"/>
  <c r="H45" i="47"/>
  <c r="N44" i="47"/>
  <c r="L44" i="47"/>
  <c r="J44" i="47"/>
  <c r="H44" i="47"/>
  <c r="N43" i="47"/>
  <c r="L43" i="47"/>
  <c r="J43" i="47"/>
  <c r="H43" i="47"/>
  <c r="N42" i="47"/>
  <c r="L42" i="47"/>
  <c r="J42" i="47"/>
  <c r="H42" i="47"/>
  <c r="N41" i="47"/>
  <c r="L41" i="47"/>
  <c r="J41" i="47"/>
  <c r="H41" i="47"/>
  <c r="N40" i="47"/>
  <c r="L40" i="47"/>
  <c r="J40" i="47"/>
  <c r="H40" i="47"/>
  <c r="N39" i="47"/>
  <c r="L39" i="47"/>
  <c r="J39" i="47"/>
  <c r="H39" i="47"/>
  <c r="N38" i="47"/>
  <c r="L38" i="47"/>
  <c r="J38" i="47"/>
  <c r="H38" i="47"/>
  <c r="N37" i="47"/>
  <c r="L37" i="47"/>
  <c r="J37" i="47"/>
  <c r="H37" i="47"/>
  <c r="N36" i="47"/>
  <c r="L36" i="47"/>
  <c r="J36" i="47"/>
  <c r="H36" i="47"/>
  <c r="N35" i="47"/>
  <c r="L35" i="47"/>
  <c r="J35" i="47"/>
  <c r="H35" i="47"/>
  <c r="N34" i="47"/>
  <c r="L34" i="47"/>
  <c r="J34" i="47"/>
  <c r="H34" i="47"/>
  <c r="N33" i="47"/>
  <c r="L33" i="47"/>
  <c r="J33" i="47"/>
  <c r="H33" i="47"/>
  <c r="N32" i="47"/>
  <c r="L32" i="47"/>
  <c r="J32" i="47"/>
  <c r="H32" i="47"/>
  <c r="N31" i="47"/>
  <c r="L31" i="47"/>
  <c r="J31" i="47"/>
  <c r="H31" i="47"/>
  <c r="N30" i="47"/>
  <c r="L30" i="47"/>
  <c r="J30" i="47"/>
  <c r="H30" i="47"/>
  <c r="N29" i="47"/>
  <c r="L29" i="47"/>
  <c r="J29" i="47"/>
  <c r="H29" i="47"/>
  <c r="N28" i="47"/>
  <c r="L28" i="47"/>
  <c r="J28" i="47"/>
  <c r="H28" i="47"/>
  <c r="N27" i="47"/>
  <c r="L27" i="47"/>
  <c r="J27" i="47"/>
  <c r="H27" i="47"/>
  <c r="N26" i="47"/>
  <c r="L26" i="47"/>
  <c r="J26" i="47"/>
  <c r="H26" i="47"/>
  <c r="N25" i="47"/>
  <c r="L25" i="47"/>
  <c r="J25" i="47"/>
  <c r="H25" i="47"/>
  <c r="N24" i="47"/>
  <c r="L24" i="47"/>
  <c r="J24" i="47"/>
  <c r="H24" i="47"/>
  <c r="N23" i="47"/>
  <c r="L23" i="47"/>
  <c r="J23" i="47"/>
  <c r="H23" i="47"/>
  <c r="N22" i="47"/>
  <c r="L22" i="47"/>
  <c r="J22" i="47"/>
  <c r="H22" i="47"/>
  <c r="N21" i="47"/>
  <c r="L21" i="47"/>
  <c r="J21" i="47"/>
  <c r="H21" i="47"/>
  <c r="N20" i="47"/>
  <c r="L20" i="47"/>
  <c r="J20" i="47"/>
  <c r="H20" i="47"/>
  <c r="N19" i="47"/>
  <c r="L19" i="47"/>
  <c r="J19" i="47"/>
  <c r="H19" i="47"/>
  <c r="N18" i="47"/>
  <c r="L18" i="47"/>
  <c r="J18" i="47"/>
  <c r="H18" i="47"/>
  <c r="N17" i="47"/>
  <c r="L17" i="47"/>
  <c r="J17" i="47"/>
  <c r="H17" i="47"/>
  <c r="N16" i="47"/>
  <c r="L16" i="47"/>
  <c r="J16" i="47"/>
  <c r="H16" i="47"/>
  <c r="N15" i="47"/>
  <c r="L15" i="47"/>
  <c r="J15" i="47"/>
  <c r="H15" i="47"/>
  <c r="N14" i="47"/>
  <c r="L14" i="47"/>
  <c r="J14" i="47"/>
  <c r="H14" i="47"/>
  <c r="N13" i="47"/>
  <c r="L13" i="47"/>
  <c r="J13" i="47"/>
  <c r="H13" i="47"/>
  <c r="CR156" i="46"/>
  <c r="CQ156" i="46"/>
  <c r="EH155" i="46"/>
  <c r="EG155" i="46"/>
  <c r="EF155" i="46"/>
  <c r="EE155" i="46"/>
  <c r="J72" i="46"/>
  <c r="J60" i="46"/>
  <c r="J48" i="46"/>
  <c r="J36" i="46"/>
  <c r="B25" i="46"/>
  <c r="K25" i="46" s="1"/>
  <c r="BV25" i="46" s="1"/>
  <c r="K24" i="46"/>
  <c r="BV24" i="46" s="1"/>
  <c r="CR11" i="46"/>
  <c r="CQ11" i="46"/>
  <c r="CP11" i="46"/>
  <c r="CO11" i="46"/>
  <c r="CN11" i="46"/>
  <c r="CM11" i="46"/>
  <c r="CD11" i="46"/>
  <c r="CB11" i="46"/>
  <c r="CA11" i="46"/>
  <c r="BZ11" i="46"/>
  <c r="BW11" i="46"/>
  <c r="BV11" i="46"/>
  <c r="BU11" i="46"/>
  <c r="BT11" i="46"/>
  <c r="BS11" i="46"/>
  <c r="BR11" i="46"/>
  <c r="BO11" i="46"/>
  <c r="BM11" i="46"/>
  <c r="BL11" i="46"/>
  <c r="BK11" i="46"/>
  <c r="BJ11" i="46"/>
  <c r="BI11" i="46"/>
  <c r="BH11" i="46"/>
  <c r="BG11" i="46"/>
  <c r="BF11" i="46"/>
  <c r="BE11" i="46"/>
  <c r="BD11" i="46"/>
  <c r="BC11" i="46"/>
  <c r="BB11" i="46"/>
  <c r="BA11" i="46"/>
  <c r="AZ11" i="46"/>
  <c r="AY11" i="46"/>
  <c r="AX11" i="46"/>
  <c r="AW11" i="46"/>
  <c r="AU11" i="46"/>
  <c r="AT11" i="46"/>
  <c r="AS11" i="46"/>
  <c r="AR11" i="46"/>
  <c r="AQ11" i="46"/>
  <c r="AL11" i="46"/>
  <c r="AK11" i="46"/>
  <c r="AJ11" i="46"/>
  <c r="AI11" i="46"/>
  <c r="AE11" i="46"/>
  <c r="O11" i="46"/>
  <c r="N11" i="46"/>
  <c r="M11" i="46"/>
  <c r="CC24" i="46"/>
  <c r="T25" i="46"/>
  <c r="AD25" i="46"/>
  <c r="CE25" i="46"/>
  <c r="CO25" i="46"/>
  <c r="O25" i="46"/>
  <c r="BF25" i="46"/>
  <c r="AI25" i="46"/>
  <c r="B26" i="46"/>
  <c r="B27" i="46" s="1"/>
  <c r="B28" i="46" s="1"/>
  <c r="AU24" i="46"/>
  <c r="K312" i="3"/>
  <c r="K27" i="46"/>
  <c r="AO27" i="46"/>
  <c r="L95" i="3"/>
  <c r="M95" i="3"/>
  <c r="L94" i="3"/>
  <c r="M94" i="3"/>
  <c r="J95" i="3"/>
  <c r="K95" i="3"/>
  <c r="I95" i="3"/>
  <c r="F67" i="41"/>
  <c r="P118" i="3"/>
  <c r="F59" i="41"/>
  <c r="F66" i="41"/>
  <c r="F5" i="41"/>
  <c r="F6" i="41"/>
  <c r="F8" i="41"/>
  <c r="F9" i="41"/>
  <c r="F10" i="41"/>
  <c r="F11" i="41"/>
  <c r="F12" i="41"/>
  <c r="F13" i="41"/>
  <c r="F14" i="41"/>
  <c r="F33" i="41"/>
  <c r="F39" i="41"/>
  <c r="F40" i="41"/>
  <c r="F41" i="41"/>
  <c r="F42" i="41"/>
  <c r="F43" i="41"/>
  <c r="F44" i="41"/>
  <c r="F45" i="41"/>
  <c r="F46" i="41"/>
  <c r="F47" i="41"/>
  <c r="F48" i="41"/>
  <c r="F53" i="41"/>
  <c r="F54" i="41"/>
  <c r="F55" i="41"/>
  <c r="F56" i="41"/>
  <c r="F57" i="41"/>
  <c r="F58" i="41"/>
  <c r="F60" i="41"/>
  <c r="F61" i="41"/>
  <c r="F62" i="41"/>
  <c r="F63" i="41"/>
  <c r="F64" i="41"/>
  <c r="F65" i="41"/>
  <c r="F68" i="41"/>
  <c r="F69" i="41"/>
  <c r="F72" i="41"/>
  <c r="F73" i="41"/>
  <c r="F77" i="41"/>
  <c r="F78" i="41"/>
  <c r="F79" i="41"/>
  <c r="F80" i="41"/>
  <c r="F81" i="41"/>
  <c r="F87" i="41"/>
  <c r="F88" i="41"/>
  <c r="F89" i="41"/>
  <c r="F90" i="41"/>
  <c r="F91" i="41"/>
  <c r="F92" i="41"/>
  <c r="F93" i="41"/>
  <c r="F94" i="41"/>
  <c r="F95" i="41"/>
  <c r="F96" i="41"/>
  <c r="F97" i="41"/>
  <c r="F98" i="41"/>
  <c r="F99" i="41"/>
  <c r="F100" i="41"/>
  <c r="F101" i="41"/>
  <c r="F106" i="41"/>
  <c r="F107" i="41"/>
  <c r="F108" i="41"/>
  <c r="F109" i="41"/>
  <c r="F110" i="41"/>
  <c r="DV22" i="4"/>
  <c r="DV156" i="4" s="1"/>
  <c r="I309" i="3"/>
  <c r="DS22" i="46"/>
  <c r="DS16" i="46" s="1"/>
  <c r="L121" i="3"/>
  <c r="M121" i="3"/>
  <c r="L122" i="3"/>
  <c r="M122" i="3"/>
  <c r="BF41" i="30"/>
  <c r="BG41" i="30"/>
  <c r="Q41" i="30" s="1"/>
  <c r="BH41" i="30"/>
  <c r="R41" i="30" s="1"/>
  <c r="BI41" i="30"/>
  <c r="S41" i="30" s="1"/>
  <c r="BF42" i="30"/>
  <c r="P42" i="30" s="1"/>
  <c r="H42" i="30" s="1"/>
  <c r="BG42" i="30"/>
  <c r="Q42" i="30" s="1"/>
  <c r="I42" i="30" s="1"/>
  <c r="BH42" i="30"/>
  <c r="R42" i="30" s="1"/>
  <c r="J42" i="30" s="1"/>
  <c r="BI42" i="30"/>
  <c r="S42" i="30" s="1"/>
  <c r="K42" i="30" s="1"/>
  <c r="BF43" i="30"/>
  <c r="P43" i="30" s="1"/>
  <c r="BG43" i="30"/>
  <c r="Q43" i="30" s="1"/>
  <c r="I43" i="30" s="1"/>
  <c r="BH43" i="30"/>
  <c r="R43" i="30" s="1"/>
  <c r="J43" i="30" s="1"/>
  <c r="BI43" i="30"/>
  <c r="S43" i="30" s="1"/>
  <c r="K43" i="30" s="1"/>
  <c r="BI66" i="30"/>
  <c r="BH66" i="30"/>
  <c r="BG66" i="30"/>
  <c r="BF66" i="30"/>
  <c r="BI59" i="30"/>
  <c r="BH59" i="30"/>
  <c r="BG59" i="30"/>
  <c r="BF59" i="30"/>
  <c r="BI54" i="30"/>
  <c r="AA54" i="30" s="1"/>
  <c r="BH54" i="30"/>
  <c r="Z54" i="30" s="1"/>
  <c r="BI53" i="30"/>
  <c r="AA53" i="30" s="1"/>
  <c r="BH53" i="30"/>
  <c r="BG53" i="30"/>
  <c r="Y53" i="30" s="1"/>
  <c r="BF53" i="30"/>
  <c r="X53" i="30" s="1"/>
  <c r="BI52" i="30"/>
  <c r="AA52" i="30" s="1"/>
  <c r="BH52" i="30"/>
  <c r="Z52" i="30" s="1"/>
  <c r="BI39" i="30"/>
  <c r="BH39" i="30"/>
  <c r="BI40" i="30"/>
  <c r="BH40" i="30"/>
  <c r="BG40" i="30"/>
  <c r="BF40" i="30"/>
  <c r="BI28" i="30"/>
  <c r="BH28" i="30"/>
  <c r="BG28" i="30"/>
  <c r="BF28" i="30"/>
  <c r="M372" i="3"/>
  <c r="M373" i="3" s="1"/>
  <c r="M401" i="3" s="1"/>
  <c r="L372" i="3"/>
  <c r="L373" i="3" s="1"/>
  <c r="L401" i="3" s="1"/>
  <c r="K372" i="3"/>
  <c r="K373" i="3" s="1"/>
  <c r="K401" i="3" s="1"/>
  <c r="J372" i="3"/>
  <c r="J373" i="3" s="1"/>
  <c r="J401" i="3" s="1"/>
  <c r="I372" i="3"/>
  <c r="I373" i="3" s="1"/>
  <c r="I401" i="3" s="1"/>
  <c r="M369" i="3"/>
  <c r="M370" i="3" s="1"/>
  <c r="M400" i="3" s="1"/>
  <c r="L369" i="3"/>
  <c r="L370" i="3" s="1"/>
  <c r="L400" i="3" s="1"/>
  <c r="K369" i="3"/>
  <c r="K370" i="3" s="1"/>
  <c r="K400" i="3" s="1"/>
  <c r="J369" i="3"/>
  <c r="J370" i="3" s="1"/>
  <c r="J400" i="3" s="1"/>
  <c r="I369" i="3"/>
  <c r="L309" i="3"/>
  <c r="L310" i="3"/>
  <c r="M313" i="3"/>
  <c r="M311" i="3"/>
  <c r="L311" i="3"/>
  <c r="M310" i="3"/>
  <c r="M309" i="3"/>
  <c r="M308" i="3"/>
  <c r="L308" i="3"/>
  <c r="M307" i="3"/>
  <c r="L307" i="3"/>
  <c r="M306" i="3"/>
  <c r="L306" i="3"/>
  <c r="M305" i="3"/>
  <c r="L305" i="3"/>
  <c r="M304" i="3"/>
  <c r="L304" i="3"/>
  <c r="F14" i="29"/>
  <c r="E14" i="29"/>
  <c r="AI18" i="31"/>
  <c r="M257" i="3"/>
  <c r="R2" i="3"/>
  <c r="L312" i="3"/>
  <c r="D4" i="4"/>
  <c r="D5" i="4"/>
  <c r="D6" i="4"/>
  <c r="D3" i="4"/>
  <c r="E4" i="5"/>
  <c r="D11" i="5" s="1"/>
  <c r="E1" i="5"/>
  <c r="E2" i="5"/>
  <c r="E3" i="5"/>
  <c r="BB27" i="31"/>
  <c r="E78" i="3"/>
  <c r="R23" i="4"/>
  <c r="P23" i="4"/>
  <c r="O23" i="4"/>
  <c r="L50" i="3"/>
  <c r="J50" i="3"/>
  <c r="E93" i="3"/>
  <c r="C7" i="3"/>
  <c r="C6" i="3"/>
  <c r="C5" i="3"/>
  <c r="C4" i="3"/>
  <c r="I310" i="3"/>
  <c r="I307" i="3"/>
  <c r="I304" i="3"/>
  <c r="C2" i="15"/>
  <c r="F2" i="15"/>
  <c r="C3" i="15"/>
  <c r="F3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G23" i="15"/>
  <c r="G24" i="15"/>
  <c r="C123" i="15"/>
  <c r="E123" i="15"/>
  <c r="E124" i="15"/>
  <c r="E125" i="15"/>
  <c r="E126" i="15"/>
  <c r="F21" i="31"/>
  <c r="F27" i="31" s="1"/>
  <c r="F28" i="31"/>
  <c r="E54" i="23"/>
  <c r="B13" i="5"/>
  <c r="CS11" i="4"/>
  <c r="CT11" i="4"/>
  <c r="DY22" i="4"/>
  <c r="DY156" i="4" s="1"/>
  <c r="DZ22" i="4"/>
  <c r="DZ156" i="4" s="1"/>
  <c r="CC23" i="4"/>
  <c r="CD23" i="4"/>
  <c r="CR23" i="4"/>
  <c r="CY23" i="4"/>
  <c r="CZ23" i="4"/>
  <c r="DD23" i="4"/>
  <c r="DR23" i="4"/>
  <c r="DS23" i="4"/>
  <c r="DT23" i="4"/>
  <c r="DU23" i="4"/>
  <c r="DV23" i="4"/>
  <c r="DW23" i="4"/>
  <c r="DX23" i="4"/>
  <c r="DY23" i="4"/>
  <c r="DZ23" i="4"/>
  <c r="L36" i="4"/>
  <c r="L48" i="4"/>
  <c r="L60" i="4"/>
  <c r="L72" i="4"/>
  <c r="EI155" i="4"/>
  <c r="EJ155" i="4"/>
  <c r="CS156" i="4"/>
  <c r="CT156" i="4"/>
  <c r="S60" i="3"/>
  <c r="T60" i="3"/>
  <c r="S65" i="3"/>
  <c r="T65" i="3"/>
  <c r="S66" i="3"/>
  <c r="T66" i="3"/>
  <c r="S67" i="3"/>
  <c r="T67" i="3"/>
  <c r="S70" i="3"/>
  <c r="T70" i="3"/>
  <c r="S72" i="3"/>
  <c r="T72" i="3"/>
  <c r="J89" i="3"/>
  <c r="K184" i="3"/>
  <c r="M107" i="3"/>
  <c r="M119" i="3"/>
  <c r="K121" i="3"/>
  <c r="K257" i="3"/>
  <c r="J304" i="3"/>
  <c r="K304" i="3"/>
  <c r="I306" i="3"/>
  <c r="J306" i="3"/>
  <c r="K306" i="3"/>
  <c r="J307" i="3"/>
  <c r="K307" i="3"/>
  <c r="I308" i="3"/>
  <c r="J308" i="3"/>
  <c r="K308" i="3"/>
  <c r="J309" i="3"/>
  <c r="K309" i="3"/>
  <c r="J310" i="3"/>
  <c r="K310" i="3"/>
  <c r="I311" i="3"/>
  <c r="J311" i="3"/>
  <c r="K311" i="3"/>
  <c r="I313" i="3"/>
  <c r="J313" i="3"/>
  <c r="K313" i="3"/>
  <c r="L341" i="3"/>
  <c r="H370" i="3"/>
  <c r="H373" i="3"/>
  <c r="AS26" i="30"/>
  <c r="D4" i="29"/>
  <c r="H4" i="29"/>
  <c r="D5" i="29"/>
  <c r="D6" i="29"/>
  <c r="D7" i="29"/>
  <c r="D10" i="29"/>
  <c r="D12" i="29"/>
  <c r="L88" i="3"/>
  <c r="L79" i="3"/>
  <c r="L183" i="3"/>
  <c r="L108" i="3"/>
  <c r="D11" i="29"/>
  <c r="L178" i="3"/>
  <c r="L96" i="3"/>
  <c r="F26" i="31"/>
  <c r="M146" i="3"/>
  <c r="M181" i="3"/>
  <c r="M180" i="3"/>
  <c r="L177" i="3"/>
  <c r="M179" i="3"/>
  <c r="L184" i="3"/>
  <c r="L182" i="3"/>
  <c r="E87" i="3"/>
  <c r="L89" i="3"/>
  <c r="F36" i="15"/>
  <c r="F35" i="15"/>
  <c r="F150" i="3"/>
  <c r="I305" i="3"/>
  <c r="L403" i="3"/>
  <c r="K50" i="3"/>
  <c r="M79" i="3"/>
  <c r="M88" i="3"/>
  <c r="M89" i="3"/>
  <c r="M96" i="3"/>
  <c r="M108" i="3"/>
  <c r="M188" i="3"/>
  <c r="M382" i="3" s="1"/>
  <c r="AQ31" i="30"/>
  <c r="S31" i="30" s="1"/>
  <c r="K31" i="30" s="1"/>
  <c r="L257" i="3"/>
  <c r="AP31" i="30"/>
  <c r="R31" i="30" s="1"/>
  <c r="J31" i="30" s="1"/>
  <c r="J257" i="3"/>
  <c r="M213" i="3"/>
  <c r="L213" i="3"/>
  <c r="M184" i="3"/>
  <c r="M183" i="3"/>
  <c r="M182" i="3"/>
  <c r="M178" i="3"/>
  <c r="M177" i="3"/>
  <c r="L179" i="3"/>
  <c r="L180" i="3"/>
  <c r="L181" i="3"/>
  <c r="L146" i="3"/>
  <c r="L112" i="3"/>
  <c r="L119" i="3"/>
  <c r="M112" i="3"/>
  <c r="M403" i="3"/>
  <c r="M312" i="3"/>
  <c r="K341" i="3"/>
  <c r="M341" i="3"/>
  <c r="L313" i="3"/>
  <c r="J341" i="3"/>
  <c r="M50" i="3"/>
  <c r="K107" i="3"/>
  <c r="L107" i="3"/>
  <c r="J305" i="3"/>
  <c r="K305" i="3"/>
  <c r="K178" i="3"/>
  <c r="J178" i="3"/>
  <c r="J79" i="3"/>
  <c r="K79" i="3"/>
  <c r="K78" i="3" s="1"/>
  <c r="I25" i="65" s="1"/>
  <c r="J112" i="3"/>
  <c r="J183" i="3"/>
  <c r="K183" i="3"/>
  <c r="K88" i="3"/>
  <c r="J88" i="3"/>
  <c r="J107" i="3"/>
  <c r="K112" i="3"/>
  <c r="AY59" i="30"/>
  <c r="AZ59" i="30"/>
  <c r="E123" i="3"/>
  <c r="L60" i="3"/>
  <c r="I88" i="3"/>
  <c r="F324" i="3"/>
  <c r="J182" i="3"/>
  <c r="AC257" i="3"/>
  <c r="AC268" i="3"/>
  <c r="AC267" i="3"/>
  <c r="AC266" i="3"/>
  <c r="I107" i="3"/>
  <c r="G54" i="65" s="1"/>
  <c r="I121" i="3"/>
  <c r="I178" i="3"/>
  <c r="AO38" i="30"/>
  <c r="Q38" i="30" s="1"/>
  <c r="I38" i="30" s="1"/>
  <c r="AP38" i="30"/>
  <c r="R38" i="30" s="1"/>
  <c r="J38" i="30" s="1"/>
  <c r="AN38" i="30"/>
  <c r="P38" i="30" s="1"/>
  <c r="H38" i="30" s="1"/>
  <c r="E10" i="73" s="1"/>
  <c r="AQ38" i="30"/>
  <c r="S38" i="30" s="1"/>
  <c r="K38" i="30" s="1"/>
  <c r="R127" i="3"/>
  <c r="P127" i="3" s="1"/>
  <c r="R334" i="3"/>
  <c r="P334" i="3" s="1"/>
  <c r="R86" i="3"/>
  <c r="P86" i="3" s="1"/>
  <c r="R227" i="3"/>
  <c r="P227" i="3" s="1"/>
  <c r="R197" i="3"/>
  <c r="P197" i="3" s="1"/>
  <c r="R207" i="3"/>
  <c r="P207" i="3" s="1"/>
  <c r="R333" i="3"/>
  <c r="P333" i="3" s="1"/>
  <c r="P240" i="3"/>
  <c r="P228" i="3"/>
  <c r="R223" i="3"/>
  <c r="P223" i="3" s="1"/>
  <c r="R219" i="3"/>
  <c r="P219" i="3" s="1"/>
  <c r="P215" i="3"/>
  <c r="R156" i="3"/>
  <c r="P156" i="3" s="1"/>
  <c r="R329" i="3"/>
  <c r="P329" i="3" s="1"/>
  <c r="R235" i="3"/>
  <c r="P235" i="3" s="1"/>
  <c r="R218" i="3"/>
  <c r="P218" i="3" s="1"/>
  <c r="R182" i="3"/>
  <c r="P182" i="3" s="1"/>
  <c r="R171" i="3"/>
  <c r="P171" i="3" s="1"/>
  <c r="R328" i="3"/>
  <c r="P328" i="3" s="1"/>
  <c r="R238" i="3"/>
  <c r="P238" i="3" s="1"/>
  <c r="R230" i="3"/>
  <c r="P230" i="3" s="1"/>
  <c r="R221" i="3"/>
  <c r="P221" i="3" s="1"/>
  <c r="R217" i="3"/>
  <c r="P217" i="3" s="1"/>
  <c r="P214" i="3"/>
  <c r="R181" i="3"/>
  <c r="P181" i="3" s="1"/>
  <c r="R177" i="3"/>
  <c r="P177" i="3" s="1"/>
  <c r="P167" i="3"/>
  <c r="R179" i="3"/>
  <c r="P179" i="3" s="1"/>
  <c r="P165" i="3"/>
  <c r="P198" i="3"/>
  <c r="R337" i="3"/>
  <c r="P337" i="3" s="1"/>
  <c r="R322" i="3"/>
  <c r="P322" i="3" s="1"/>
  <c r="R244" i="3"/>
  <c r="P244" i="3" s="1"/>
  <c r="P229" i="3"/>
  <c r="R224" i="3"/>
  <c r="P224" i="3" s="1"/>
  <c r="R220" i="3"/>
  <c r="P220" i="3" s="1"/>
  <c r="R184" i="3"/>
  <c r="P184" i="3" s="1"/>
  <c r="R180" i="3"/>
  <c r="P180" i="3" s="1"/>
  <c r="R176" i="3"/>
  <c r="P176" i="3" s="1"/>
  <c r="P166" i="3"/>
  <c r="R158" i="3"/>
  <c r="P158" i="3" s="1"/>
  <c r="R183" i="3"/>
  <c r="P183" i="3" s="1"/>
  <c r="R172" i="3"/>
  <c r="P172" i="3" s="1"/>
  <c r="R222" i="3"/>
  <c r="P222" i="3" s="1"/>
  <c r="R178" i="3"/>
  <c r="P178" i="3" s="1"/>
  <c r="R139" i="3"/>
  <c r="P139" i="3" s="1"/>
  <c r="P128" i="3"/>
  <c r="R119" i="3"/>
  <c r="P119" i="3" s="1"/>
  <c r="R114" i="3"/>
  <c r="P114" i="3" s="1"/>
  <c r="R102" i="3"/>
  <c r="P102" i="3" s="1"/>
  <c r="P98" i="3"/>
  <c r="P95" i="3"/>
  <c r="R82" i="3"/>
  <c r="P82" i="3" s="1"/>
  <c r="R141" i="3"/>
  <c r="P141" i="3" s="1"/>
  <c r="R122" i="3"/>
  <c r="P122" i="3" s="1"/>
  <c r="P247" i="3"/>
  <c r="R142" i="3"/>
  <c r="P142" i="3" s="1"/>
  <c r="R138" i="3"/>
  <c r="P138" i="3" s="1"/>
  <c r="R126" i="3"/>
  <c r="P126" i="3" s="1"/>
  <c r="R116" i="3"/>
  <c r="P116" i="3" s="1"/>
  <c r="R112" i="3"/>
  <c r="P112" i="3" s="1"/>
  <c r="P100" i="3"/>
  <c r="R94" i="3"/>
  <c r="P94" i="3" s="1"/>
  <c r="R81" i="3"/>
  <c r="P81" i="3" s="1"/>
  <c r="R115" i="3"/>
  <c r="P115" i="3" s="1"/>
  <c r="R103" i="3"/>
  <c r="P103" i="3" s="1"/>
  <c r="P99" i="3"/>
  <c r="R140" i="3"/>
  <c r="P140" i="3" s="1"/>
  <c r="R136" i="3"/>
  <c r="P136" i="3" s="1"/>
  <c r="R121" i="3"/>
  <c r="P121" i="3" s="1"/>
  <c r="R213" i="3"/>
  <c r="P213" i="3" s="1"/>
  <c r="R107" i="3"/>
  <c r="P107" i="3" s="1"/>
  <c r="R96" i="3"/>
  <c r="P96" i="3" s="1"/>
  <c r="R89" i="3"/>
  <c r="P89" i="3" s="1"/>
  <c r="P84" i="3"/>
  <c r="R133" i="3"/>
  <c r="P133" i="3" s="1"/>
  <c r="P90" i="3"/>
  <c r="P85" i="3"/>
  <c r="P206" i="3"/>
  <c r="P209" i="3"/>
  <c r="P202" i="3"/>
  <c r="P208" i="3"/>
  <c r="AQ30" i="30"/>
  <c r="S30" i="30" s="1"/>
  <c r="K30" i="30" s="1"/>
  <c r="AP30" i="30"/>
  <c r="R30" i="30" s="1"/>
  <c r="J30" i="30" s="1"/>
  <c r="L23" i="15"/>
  <c r="K23" i="15"/>
  <c r="L24" i="15"/>
  <c r="K24" i="15"/>
  <c r="M60" i="3"/>
  <c r="AF192" i="3"/>
  <c r="D26" i="65"/>
  <c r="D90" i="65"/>
  <c r="BB31" i="31"/>
  <c r="H400" i="3"/>
  <c r="H401" i="3"/>
  <c r="I370" i="3"/>
  <c r="I400" i="3" s="1"/>
  <c r="P150" i="3"/>
  <c r="C126" i="15"/>
  <c r="P151" i="3"/>
  <c r="R330" i="3"/>
  <c r="P330" i="3" s="1"/>
  <c r="K89" i="3"/>
  <c r="I89" i="3"/>
  <c r="K60" i="3"/>
  <c r="I60" i="3"/>
  <c r="AQ27" i="46"/>
  <c r="J121" i="3"/>
  <c r="J60" i="3"/>
  <c r="K182" i="3"/>
  <c r="H55" i="15"/>
  <c r="J55" i="15"/>
  <c r="I55" i="15"/>
  <c r="H69" i="15"/>
  <c r="I69" i="15"/>
  <c r="J69" i="15"/>
  <c r="J184" i="3"/>
  <c r="H58" i="15"/>
  <c r="J58" i="15"/>
  <c r="I58" i="15"/>
  <c r="H24" i="15"/>
  <c r="I24" i="15"/>
  <c r="J24" i="15"/>
  <c r="H53" i="15"/>
  <c r="J53" i="15"/>
  <c r="I53" i="15"/>
  <c r="H78" i="15"/>
  <c r="I78" i="15"/>
  <c r="J78" i="15"/>
  <c r="H54" i="15"/>
  <c r="J54" i="15"/>
  <c r="I54" i="15"/>
  <c r="H23" i="15"/>
  <c r="I23" i="15"/>
  <c r="J23" i="15"/>
  <c r="H70" i="15"/>
  <c r="J70" i="15"/>
  <c r="I70" i="15"/>
  <c r="H79" i="15"/>
  <c r="I79" i="15"/>
  <c r="J79" i="15"/>
  <c r="H45" i="15"/>
  <c r="I45" i="15"/>
  <c r="J45" i="15"/>
  <c r="H49" i="15"/>
  <c r="J49" i="15"/>
  <c r="I49" i="15"/>
  <c r="H48" i="15"/>
  <c r="J48" i="15"/>
  <c r="I48" i="15"/>
  <c r="I146" i="3"/>
  <c r="I182" i="3"/>
  <c r="I181" i="3"/>
  <c r="F88" i="3"/>
  <c r="I183" i="3"/>
  <c r="F89" i="3"/>
  <c r="G118" i="15"/>
  <c r="G38" i="15" s="1"/>
  <c r="DU22" i="4"/>
  <c r="DU156" i="4" s="1"/>
  <c r="BK25" i="46"/>
  <c r="A15" i="47"/>
  <c r="F164" i="3"/>
  <c r="R323" i="3"/>
  <c r="P323" i="3" s="1"/>
  <c r="R146" i="3"/>
  <c r="P146" i="3" s="1"/>
  <c r="P187" i="3"/>
  <c r="J82" i="65"/>
  <c r="F179" i="3"/>
  <c r="I184" i="3"/>
  <c r="DT22" i="46"/>
  <c r="AP33" i="30"/>
  <c r="R33" i="30" s="1"/>
  <c r="J33" i="30" s="1"/>
  <c r="AQ33" i="30"/>
  <c r="S33" i="30" s="1"/>
  <c r="K33" i="30" s="1"/>
  <c r="F31" i="15"/>
  <c r="C125" i="15"/>
  <c r="I96" i="3"/>
  <c r="G32" i="65" s="1"/>
  <c r="I79" i="3"/>
  <c r="F99" i="3"/>
  <c r="E33" i="65" s="1"/>
  <c r="F101" i="3"/>
  <c r="E35" i="65" s="1"/>
  <c r="F146" i="3"/>
  <c r="F28" i="15"/>
  <c r="B15" i="5"/>
  <c r="A16" i="47"/>
  <c r="BJ27" i="46"/>
  <c r="AH137" i="3"/>
  <c r="AH142" i="3"/>
  <c r="AH134" i="3"/>
  <c r="AH138" i="3"/>
  <c r="AH133" i="3"/>
  <c r="AH135" i="3"/>
  <c r="AH140" i="3"/>
  <c r="K75" i="3"/>
  <c r="M75" i="3"/>
  <c r="AQ37" i="30"/>
  <c r="S37" i="30" s="1"/>
  <c r="K37" i="30" s="1"/>
  <c r="L75" i="3"/>
  <c r="AP37" i="30"/>
  <c r="R37" i="30" s="1"/>
  <c r="J37" i="30" s="1"/>
  <c r="L38" i="15"/>
  <c r="K38" i="15"/>
  <c r="AA254" i="70"/>
  <c r="CM27" i="46"/>
  <c r="BK27" i="46"/>
  <c r="BB27" i="46"/>
  <c r="BD27" i="46"/>
  <c r="CL27" i="46"/>
  <c r="AT27" i="46"/>
  <c r="D47" i="65"/>
  <c r="G35" i="65"/>
  <c r="G85" i="65"/>
  <c r="CL156" i="46"/>
  <c r="AH118" i="3"/>
  <c r="AI118" i="3" s="1"/>
  <c r="AH330" i="3"/>
  <c r="AI330" i="3" s="1"/>
  <c r="F87" i="3"/>
  <c r="E26" i="65" s="1"/>
  <c r="CD156" i="46"/>
  <c r="F54" i="15"/>
  <c r="AJ27" i="46"/>
  <c r="I82" i="65"/>
  <c r="H82" i="65"/>
  <c r="K96" i="3"/>
  <c r="J96" i="3"/>
  <c r="J122" i="3"/>
  <c r="K122" i="3"/>
  <c r="BG54" i="30"/>
  <c r="Y54" i="30" s="1"/>
  <c r="J119" i="3"/>
  <c r="K119" i="3"/>
  <c r="J177" i="3"/>
  <c r="K177" i="3"/>
  <c r="I179" i="3"/>
  <c r="J179" i="3"/>
  <c r="K179" i="3"/>
  <c r="BF39" i="30"/>
  <c r="BF45" i="30" s="1"/>
  <c r="BF50" i="30" s="1"/>
  <c r="J181" i="3"/>
  <c r="K181" i="3"/>
  <c r="I119" i="3"/>
  <c r="J180" i="3"/>
  <c r="K180" i="3"/>
  <c r="BG52" i="30"/>
  <c r="BF52" i="30"/>
  <c r="X52" i="30" s="1"/>
  <c r="K146" i="3"/>
  <c r="K145" i="3" s="1"/>
  <c r="J146" i="3"/>
  <c r="J145" i="3" s="1"/>
  <c r="H38" i="15"/>
  <c r="J38" i="15"/>
  <c r="I38" i="15"/>
  <c r="F151" i="3"/>
  <c r="I180" i="3"/>
  <c r="CF156" i="4"/>
  <c r="F96" i="3"/>
  <c r="E32" i="65" s="1"/>
  <c r="I122" i="3"/>
  <c r="H188" i="3"/>
  <c r="H382" i="3" s="1"/>
  <c r="AL31" i="30" s="1"/>
  <c r="CC22" i="4"/>
  <c r="CC27" i="4" s="1"/>
  <c r="H77" i="15"/>
  <c r="F53" i="15"/>
  <c r="F30" i="15"/>
  <c r="F25" i="15"/>
  <c r="F29" i="15"/>
  <c r="F55" i="15"/>
  <c r="F32" i="15"/>
  <c r="F26" i="15"/>
  <c r="G37" i="15"/>
  <c r="F100" i="3"/>
  <c r="E34" i="65" s="1"/>
  <c r="I177" i="3"/>
  <c r="B16" i="5"/>
  <c r="A17" i="47"/>
  <c r="J75" i="3"/>
  <c r="AN37" i="30"/>
  <c r="P37" i="30" s="1"/>
  <c r="H37" i="30" s="1"/>
  <c r="I75" i="3"/>
  <c r="AM37" i="30"/>
  <c r="O37" i="30" s="1"/>
  <c r="CB27" i="46"/>
  <c r="BG55" i="30"/>
  <c r="Y55" i="30" s="1"/>
  <c r="V55" i="30"/>
  <c r="AO37" i="30"/>
  <c r="Q37" i="30" s="1"/>
  <c r="I37" i="30" s="1"/>
  <c r="BF55" i="30"/>
  <c r="X55" i="30" s="1"/>
  <c r="AM30" i="30"/>
  <c r="O30" i="30" s="1"/>
  <c r="G30" i="30" s="1"/>
  <c r="AO30" i="30"/>
  <c r="Q30" i="30" s="1"/>
  <c r="I30" i="30" s="1"/>
  <c r="AN30" i="30"/>
  <c r="P30" i="30" s="1"/>
  <c r="H30" i="30" s="1"/>
  <c r="BQ55" i="30"/>
  <c r="BQ57" i="30" s="1"/>
  <c r="BP55" i="30"/>
  <c r="BP57" i="30" s="1"/>
  <c r="BO55" i="30"/>
  <c r="BN55" i="30"/>
  <c r="BI55" i="30"/>
  <c r="AA55" i="30" s="1"/>
  <c r="BH55" i="30"/>
  <c r="K190" i="3"/>
  <c r="K193" i="3" s="1"/>
  <c r="K383" i="3" s="1"/>
  <c r="J190" i="3"/>
  <c r="J193" i="3" s="1"/>
  <c r="J383" i="3" s="1"/>
  <c r="L37" i="15"/>
  <c r="K37" i="15"/>
  <c r="BZ27" i="46"/>
  <c r="Z44" i="70"/>
  <c r="Z45" i="70"/>
  <c r="AA249" i="70" s="1"/>
  <c r="BN27" i="46"/>
  <c r="G80" i="15"/>
  <c r="J80" i="15"/>
  <c r="CA27" i="46"/>
  <c r="BA27" i="46"/>
  <c r="BC27" i="46"/>
  <c r="DP18" i="46"/>
  <c r="BO24" i="46"/>
  <c r="AX25" i="46"/>
  <c r="AD85" i="3"/>
  <c r="AF85" i="3"/>
  <c r="AF247" i="3"/>
  <c r="AD247" i="3"/>
  <c r="BM41" i="30"/>
  <c r="AE41" i="30"/>
  <c r="DV22" i="46"/>
  <c r="AX31" i="31"/>
  <c r="K188" i="3"/>
  <c r="K382" i="3" s="1"/>
  <c r="AO31" i="30"/>
  <c r="Q31" i="30" s="1"/>
  <c r="I31" i="30" s="1"/>
  <c r="J188" i="3"/>
  <c r="J382" i="3" s="1"/>
  <c r="AN31" i="30"/>
  <c r="P31" i="30" s="1"/>
  <c r="H31" i="30" s="1"/>
  <c r="AX27" i="46"/>
  <c r="AM32" i="30"/>
  <c r="O32" i="30" s="1"/>
  <c r="G32" i="30" s="1"/>
  <c r="BM27" i="46"/>
  <c r="BO27" i="46"/>
  <c r="BG39" i="30"/>
  <c r="BB39" i="30" s="1"/>
  <c r="Q25" i="29" s="1"/>
  <c r="BF54" i="30"/>
  <c r="J108" i="3"/>
  <c r="K108" i="3"/>
  <c r="K109" i="3" s="1"/>
  <c r="K113" i="3"/>
  <c r="J113" i="3"/>
  <c r="H68" i="15"/>
  <c r="J68" i="15"/>
  <c r="I68" i="15"/>
  <c r="H37" i="15"/>
  <c r="I37" i="15"/>
  <c r="J37" i="15"/>
  <c r="H52" i="15"/>
  <c r="J52" i="15"/>
  <c r="I52" i="15"/>
  <c r="AG31" i="31"/>
  <c r="I188" i="3"/>
  <c r="I382" i="3" s="1"/>
  <c r="AM31" i="30"/>
  <c r="O31" i="30" s="1"/>
  <c r="G31" i="30" s="1"/>
  <c r="F120" i="3"/>
  <c r="E74" i="65" s="1"/>
  <c r="B17" i="5"/>
  <c r="M28" i="4"/>
  <c r="DN28" i="4" s="1"/>
  <c r="A18" i="47"/>
  <c r="AP31" i="31"/>
  <c r="AE45" i="30"/>
  <c r="AE50" i="30" s="1"/>
  <c r="AE57" i="30" s="1"/>
  <c r="AE67" i="30" s="1"/>
  <c r="AO32" i="30"/>
  <c r="Q32" i="30" s="1"/>
  <c r="I32" i="30" s="1"/>
  <c r="AN32" i="30"/>
  <c r="P32" i="30" s="1"/>
  <c r="H32" i="30" s="1"/>
  <c r="AQ32" i="30"/>
  <c r="S32" i="30" s="1"/>
  <c r="K32" i="30" s="1"/>
  <c r="AP32" i="30"/>
  <c r="R32" i="30" s="1"/>
  <c r="J32" i="30" s="1"/>
  <c r="AV28" i="4"/>
  <c r="AX28" i="4"/>
  <c r="I80" i="15"/>
  <c r="H80" i="15"/>
  <c r="L81" i="15"/>
  <c r="K81" i="15"/>
  <c r="I81" i="15"/>
  <c r="H81" i="15"/>
  <c r="J81" i="15"/>
  <c r="I71" i="15"/>
  <c r="L71" i="15"/>
  <c r="J71" i="15"/>
  <c r="H71" i="15"/>
  <c r="K71" i="15"/>
  <c r="K80" i="15"/>
  <c r="L80" i="15"/>
  <c r="K76" i="15"/>
  <c r="L76" i="15"/>
  <c r="DQ19" i="46"/>
  <c r="CO27" i="46"/>
  <c r="BS27" i="46"/>
  <c r="BU27" i="46"/>
  <c r="BI27" i="46"/>
  <c r="BG27" i="46"/>
  <c r="CN28" i="4"/>
  <c r="DL28" i="4"/>
  <c r="AH90" i="3"/>
  <c r="AI90" i="3" s="1"/>
  <c r="AH117" i="3"/>
  <c r="AI117" i="3" s="1"/>
  <c r="I113" i="3"/>
  <c r="G47" i="15"/>
  <c r="F37" i="15"/>
  <c r="CO156" i="46"/>
  <c r="K213" i="3"/>
  <c r="J213" i="3"/>
  <c r="I213" i="3"/>
  <c r="BK28" i="4"/>
  <c r="J76" i="15"/>
  <c r="I76" i="15"/>
  <c r="H76" i="15"/>
  <c r="BL25" i="46"/>
  <c r="BR25" i="46"/>
  <c r="B17" i="47"/>
  <c r="O28" i="4"/>
  <c r="X28" i="4"/>
  <c r="DH28" i="4"/>
  <c r="BW28" i="4"/>
  <c r="BS28" i="4"/>
  <c r="BQ28" i="4"/>
  <c r="P28" i="4"/>
  <c r="A19" i="47"/>
  <c r="B18" i="5"/>
  <c r="M29" i="4"/>
  <c r="DE29" i="4" s="1"/>
  <c r="G22" i="15"/>
  <c r="G34" i="15" s="1"/>
  <c r="F34" i="15" s="1"/>
  <c r="J22" i="15"/>
  <c r="AE29" i="4"/>
  <c r="H22" i="15"/>
  <c r="L22" i="15"/>
  <c r="H82" i="15"/>
  <c r="K82" i="15"/>
  <c r="L82" i="15"/>
  <c r="I82" i="15"/>
  <c r="J82" i="15"/>
  <c r="I22" i="15"/>
  <c r="H47" i="15"/>
  <c r="K47" i="15"/>
  <c r="L47" i="15"/>
  <c r="I47" i="15"/>
  <c r="J47" i="15"/>
  <c r="Z27" i="70"/>
  <c r="AH114" i="3"/>
  <c r="CN27" i="46"/>
  <c r="DP19" i="46"/>
  <c r="CN29" i="4"/>
  <c r="I114" i="3"/>
  <c r="F175" i="3"/>
  <c r="E40" i="65" s="1"/>
  <c r="AN33" i="30"/>
  <c r="P33" i="30" s="1"/>
  <c r="H33" i="30" s="1"/>
  <c r="CN156" i="46"/>
  <c r="CR29" i="4"/>
  <c r="A20" i="47"/>
  <c r="M30" i="4"/>
  <c r="DM30" i="4" s="1"/>
  <c r="B19" i="5"/>
  <c r="N28" i="4"/>
  <c r="C17" i="5"/>
  <c r="G22" i="73"/>
  <c r="K22" i="15"/>
  <c r="AO33" i="30"/>
  <c r="Q33" i="30" s="1"/>
  <c r="I33" i="30" s="1"/>
  <c r="AU30" i="4"/>
  <c r="AE30" i="4"/>
  <c r="AI30" i="4"/>
  <c r="AF30" i="4"/>
  <c r="Y30" i="4"/>
  <c r="W30" i="4"/>
  <c r="AJ30" i="4"/>
  <c r="H34" i="15"/>
  <c r="M90" i="3"/>
  <c r="L90" i="3"/>
  <c r="J28" i="65" s="1"/>
  <c r="J90" i="3"/>
  <c r="K90" i="3"/>
  <c r="I28" i="65" s="1"/>
  <c r="BF27" i="46"/>
  <c r="CQ30" i="4"/>
  <c r="G50" i="15"/>
  <c r="G41" i="15"/>
  <c r="F28" i="65"/>
  <c r="I90" i="3"/>
  <c r="G28" i="65" s="1"/>
  <c r="F78" i="3"/>
  <c r="E25" i="65" s="1"/>
  <c r="DQ30" i="4"/>
  <c r="DL30" i="4"/>
  <c r="I112" i="3"/>
  <c r="I108" i="3"/>
  <c r="I109" i="3" s="1"/>
  <c r="G56" i="15"/>
  <c r="BF30" i="4"/>
  <c r="AY30" i="4"/>
  <c r="CI30" i="4"/>
  <c r="BK30" i="4"/>
  <c r="B20" i="5"/>
  <c r="M31" i="4"/>
  <c r="DN31" i="4" s="1"/>
  <c r="A21" i="47"/>
  <c r="BJ30" i="4"/>
  <c r="BC30" i="4"/>
  <c r="BO30" i="4"/>
  <c r="CD30" i="4"/>
  <c r="BU30" i="4"/>
  <c r="EC30" i="4"/>
  <c r="O30" i="4"/>
  <c r="CT30" i="4"/>
  <c r="BM30" i="4"/>
  <c r="CB30" i="4"/>
  <c r="BZ30" i="4"/>
  <c r="CG30" i="4"/>
  <c r="CS30" i="4"/>
  <c r="BV30" i="4"/>
  <c r="BI30" i="4"/>
  <c r="BG30" i="4"/>
  <c r="BD30" i="4"/>
  <c r="BR30" i="4"/>
  <c r="CA30" i="4"/>
  <c r="CF30" i="4"/>
  <c r="BW30" i="4"/>
  <c r="X30" i="4"/>
  <c r="CR30" i="4"/>
  <c r="DJ30" i="4"/>
  <c r="P30" i="4"/>
  <c r="DH30" i="4"/>
  <c r="DI30" i="4"/>
  <c r="CC30" i="4"/>
  <c r="BX30" i="4"/>
  <c r="DM31" i="4"/>
  <c r="AP28" i="30"/>
  <c r="R28" i="30" s="1"/>
  <c r="J28" i="30" s="1"/>
  <c r="AQ28" i="30"/>
  <c r="S28" i="30" s="1"/>
  <c r="K28" i="30" s="1"/>
  <c r="AQ29" i="30"/>
  <c r="S29" i="30" s="1"/>
  <c r="K29" i="30" s="1"/>
  <c r="AP29" i="30"/>
  <c r="R29" i="30" s="1"/>
  <c r="J29" i="30" s="1"/>
  <c r="L107" i="70"/>
  <c r="CE31" i="4"/>
  <c r="AF31" i="4"/>
  <c r="AX31" i="4"/>
  <c r="H50" i="15"/>
  <c r="K50" i="15"/>
  <c r="L50" i="15"/>
  <c r="I50" i="15"/>
  <c r="J50" i="15"/>
  <c r="K51" i="15"/>
  <c r="L51" i="15"/>
  <c r="H51" i="15"/>
  <c r="I51" i="15"/>
  <c r="J51" i="15"/>
  <c r="L75" i="15"/>
  <c r="K75" i="15"/>
  <c r="H75" i="15"/>
  <c r="J75" i="15"/>
  <c r="I75" i="15"/>
  <c r="L57" i="15"/>
  <c r="K57" i="15"/>
  <c r="J57" i="15"/>
  <c r="I57" i="15"/>
  <c r="H57" i="15"/>
  <c r="L56" i="15"/>
  <c r="K56" i="15"/>
  <c r="I56" i="15"/>
  <c r="J56" i="15"/>
  <c r="L43" i="15"/>
  <c r="K43" i="15"/>
  <c r="L41" i="15"/>
  <c r="K41" i="15"/>
  <c r="K42" i="15"/>
  <c r="L42" i="15"/>
  <c r="J42" i="15"/>
  <c r="H42" i="15"/>
  <c r="I42" i="15"/>
  <c r="AW25" i="46"/>
  <c r="BL27" i="46"/>
  <c r="AZ27" i="46"/>
  <c r="AW27" i="46"/>
  <c r="AW24" i="46"/>
  <c r="G44" i="15"/>
  <c r="DO31" i="4"/>
  <c r="F97" i="3"/>
  <c r="E36" i="65" s="1"/>
  <c r="G74" i="15"/>
  <c r="H56" i="15"/>
  <c r="BA31" i="4"/>
  <c r="B21" i="5"/>
  <c r="M32" i="4"/>
  <c r="DN32" i="4" s="1"/>
  <c r="A22" i="47"/>
  <c r="BT31" i="4"/>
  <c r="BO31" i="4"/>
  <c r="BM31" i="4"/>
  <c r="AM40" i="30"/>
  <c r="AO29" i="30"/>
  <c r="Q29" i="30" s="1"/>
  <c r="I29" i="30" s="1"/>
  <c r="AN29" i="30"/>
  <c r="P29" i="30" s="1"/>
  <c r="H29" i="30" s="1"/>
  <c r="AM29" i="30"/>
  <c r="O29" i="30" s="1"/>
  <c r="G29" i="30" s="1"/>
  <c r="CE32" i="4"/>
  <c r="H74" i="15"/>
  <c r="K74" i="15"/>
  <c r="L74" i="15"/>
  <c r="J74" i="15"/>
  <c r="I74" i="15"/>
  <c r="K44" i="15"/>
  <c r="L44" i="15"/>
  <c r="J44" i="15"/>
  <c r="I44" i="15"/>
  <c r="K46" i="15"/>
  <c r="L46" i="15"/>
  <c r="I46" i="15"/>
  <c r="J46" i="15"/>
  <c r="F145" i="3"/>
  <c r="F47" i="65"/>
  <c r="Z49" i="70"/>
  <c r="AA251" i="70" s="1"/>
  <c r="AM33" i="30"/>
  <c r="O33" i="30" s="1"/>
  <c r="G33" i="30" s="1"/>
  <c r="H44" i="15"/>
  <c r="H46" i="15"/>
  <c r="B22" i="5"/>
  <c r="M33" i="4"/>
  <c r="DM33" i="4" s="1"/>
  <c r="BV32" i="4"/>
  <c r="CT32" i="4"/>
  <c r="AA32" i="4"/>
  <c r="AN40" i="30"/>
  <c r="BQ27" i="46"/>
  <c r="DN33" i="4"/>
  <c r="CE33" i="4"/>
  <c r="AV33" i="4"/>
  <c r="AW33" i="4"/>
  <c r="AX33" i="4"/>
  <c r="Q33" i="4"/>
  <c r="AS33" i="4"/>
  <c r="V33" i="4"/>
  <c r="S33" i="4"/>
  <c r="W33" i="4"/>
  <c r="T33" i="4"/>
  <c r="BH27" i="46"/>
  <c r="Z42" i="70"/>
  <c r="BW29" i="4"/>
  <c r="CO33" i="4"/>
  <c r="G47" i="65"/>
  <c r="K47" i="65"/>
  <c r="BR27" i="46"/>
  <c r="CQ33" i="4"/>
  <c r="CN33" i="4"/>
  <c r="DK33" i="4"/>
  <c r="DL33" i="4"/>
  <c r="DQ33" i="4"/>
  <c r="DO33" i="4"/>
  <c r="BF33" i="4"/>
  <c r="CI33" i="4"/>
  <c r="CK33" i="4"/>
  <c r="CT33" i="4"/>
  <c r="BG33" i="4"/>
  <c r="BV33" i="4"/>
  <c r="CB33" i="4"/>
  <c r="CS33" i="4"/>
  <c r="BY33" i="4"/>
  <c r="CD33" i="4"/>
  <c r="BS33" i="4"/>
  <c r="BZ33" i="4"/>
  <c r="O33" i="4"/>
  <c r="BR33" i="4"/>
  <c r="BP33" i="4"/>
  <c r="BX33" i="4"/>
  <c r="CF33" i="4"/>
  <c r="CA33" i="4"/>
  <c r="BJ33" i="4"/>
  <c r="BL33" i="4"/>
  <c r="BO33" i="4"/>
  <c r="CH33" i="4"/>
  <c r="CR33" i="4"/>
  <c r="BI33" i="4"/>
  <c r="X33" i="4"/>
  <c r="BW33" i="4"/>
  <c r="CC33" i="4"/>
  <c r="R33" i="4"/>
  <c r="DJ33" i="4"/>
  <c r="AA33" i="4"/>
  <c r="DI33" i="4"/>
  <c r="AH214" i="3"/>
  <c r="AH215" i="3"/>
  <c r="K333" i="3"/>
  <c r="K332" i="3" s="1"/>
  <c r="K335" i="3" s="1"/>
  <c r="K402" i="3" s="1"/>
  <c r="L333" i="3"/>
  <c r="L332" i="3" s="1"/>
  <c r="L335" i="3" s="1"/>
  <c r="L402" i="3" s="1"/>
  <c r="M333" i="3"/>
  <c r="M332" i="3" s="1"/>
  <c r="M335" i="3" s="1"/>
  <c r="M402" i="3" s="1"/>
  <c r="AW40" i="30"/>
  <c r="AW45" i="30" s="1"/>
  <c r="AW50" i="30" s="1"/>
  <c r="AW57" i="30" s="1"/>
  <c r="AP46" i="30"/>
  <c r="R46" i="30" s="1"/>
  <c r="J46" i="30" s="1"/>
  <c r="AQ46" i="30"/>
  <c r="S46" i="30" s="1"/>
  <c r="K46" i="30" s="1"/>
  <c r="AO46" i="30"/>
  <c r="Q46" i="30" s="1"/>
  <c r="I46" i="30" s="1"/>
  <c r="AV40" i="30"/>
  <c r="J333" i="3"/>
  <c r="AN46" i="30"/>
  <c r="P46" i="30" s="1"/>
  <c r="H46" i="30" s="1"/>
  <c r="I333" i="3"/>
  <c r="I332" i="3" s="1"/>
  <c r="I335" i="3" s="1"/>
  <c r="I402" i="3" s="1"/>
  <c r="AM46" i="30"/>
  <c r="O46" i="30" s="1"/>
  <c r="G46" i="30" s="1"/>
  <c r="CP27" i="46"/>
  <c r="I403" i="3"/>
  <c r="K403" i="3"/>
  <c r="J403" i="3"/>
  <c r="I94" i="3"/>
  <c r="J94" i="3"/>
  <c r="J93" i="3" s="1"/>
  <c r="K94" i="3"/>
  <c r="H41" i="15"/>
  <c r="I41" i="15"/>
  <c r="J41" i="15"/>
  <c r="F94" i="3"/>
  <c r="BE27" i="46"/>
  <c r="H43" i="15"/>
  <c r="J43" i="15"/>
  <c r="I43" i="15"/>
  <c r="F93" i="3"/>
  <c r="E27" i="65" s="1"/>
  <c r="AO28" i="30"/>
  <c r="AM28" i="30"/>
  <c r="AN28" i="30"/>
  <c r="P28" i="30" s="1"/>
  <c r="H28" i="30" s="1"/>
  <c r="BN33" i="4"/>
  <c r="AY25" i="46"/>
  <c r="BN30" i="4"/>
  <c r="AZ30" i="4"/>
  <c r="AI27" i="46"/>
  <c r="AZ29" i="4"/>
  <c r="AW59" i="30"/>
  <c r="AX59" i="30"/>
  <c r="T26" i="30"/>
  <c r="W40" i="30"/>
  <c r="W37" i="30"/>
  <c r="W38" i="30"/>
  <c r="T38" i="30" s="1"/>
  <c r="K24" i="29" s="1"/>
  <c r="W39" i="30"/>
  <c r="T39" i="30" s="1"/>
  <c r="K25" i="29" s="1"/>
  <c r="W42" i="30"/>
  <c r="T42" i="30" s="1"/>
  <c r="K28" i="29" s="1"/>
  <c r="W43" i="30"/>
  <c r="T43" i="30" s="1"/>
  <c r="K29" i="29" s="1"/>
  <c r="G42" i="30"/>
  <c r="T40" i="30"/>
  <c r="K26" i="29" s="1"/>
  <c r="T37" i="30"/>
  <c r="AF41" i="30"/>
  <c r="AF45" i="30" s="1"/>
  <c r="AF50" i="30" s="1"/>
  <c r="AF57" i="30" s="1"/>
  <c r="AF67" i="30" s="1"/>
  <c r="AH41" i="30"/>
  <c r="AH45" i="30" s="1"/>
  <c r="AH50" i="30" s="1"/>
  <c r="AH57" i="30" s="1"/>
  <c r="AH67" i="30" s="1"/>
  <c r="AH68" i="30" s="1"/>
  <c r="AG41" i="30"/>
  <c r="AG45" i="30" s="1"/>
  <c r="AG50" i="30" s="1"/>
  <c r="AG57" i="30" s="1"/>
  <c r="AG67" i="30" s="1"/>
  <c r="AG68" i="30" s="1"/>
  <c r="AI41" i="30"/>
  <c r="AI45" i="30" s="1"/>
  <c r="Z41" i="30"/>
  <c r="Z45" i="30" s="1"/>
  <c r="Z50" i="30" s="1"/>
  <c r="X41" i="30"/>
  <c r="X45" i="30" s="1"/>
  <c r="X50" i="30" s="1"/>
  <c r="AA41" i="30"/>
  <c r="AA45" i="30" s="1"/>
  <c r="AA50" i="30" s="1"/>
  <c r="AA57" i="30" s="1"/>
  <c r="AA67" i="30" s="1"/>
  <c r="AA68" i="30" s="1"/>
  <c r="Y41" i="30"/>
  <c r="Y45" i="30" s="1"/>
  <c r="Y50" i="30" s="1"/>
  <c r="K41" i="30"/>
  <c r="BH29" i="4"/>
  <c r="G28" i="4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F155" i="4"/>
  <c r="AS24" i="46"/>
  <c r="BH30" i="4"/>
  <c r="AA248" i="70"/>
  <c r="BH33" i="4"/>
  <c r="G119" i="15"/>
  <c r="G39" i="15" s="1"/>
  <c r="G120" i="15"/>
  <c r="C124" i="15"/>
  <c r="L124" i="15"/>
  <c r="AS27" i="46"/>
  <c r="J39" i="15"/>
  <c r="I39" i="15"/>
  <c r="K39" i="15"/>
  <c r="L39" i="15"/>
  <c r="H39" i="15"/>
  <c r="G86" i="15"/>
  <c r="F86" i="15"/>
  <c r="AM39" i="30"/>
  <c r="AN39" i="30"/>
  <c r="P39" i="30" s="1"/>
  <c r="H39" i="30" s="1"/>
  <c r="E11" i="73" s="1"/>
  <c r="AA250" i="70"/>
  <c r="AY27" i="46"/>
  <c r="L52" i="3"/>
  <c r="L54" i="3" s="1"/>
  <c r="AP26" i="30"/>
  <c r="K52" i="3"/>
  <c r="K54" i="3" s="1"/>
  <c r="AO26" i="30"/>
  <c r="I52" i="3"/>
  <c r="I54" i="3" s="1"/>
  <c r="M52" i="3"/>
  <c r="AQ26" i="30"/>
  <c r="J52" i="3"/>
  <c r="AN26" i="30"/>
  <c r="P26" i="30" s="1"/>
  <c r="K76" i="3"/>
  <c r="AL27" i="46"/>
  <c r="AM26" i="30"/>
  <c r="J76" i="3"/>
  <c r="L76" i="3"/>
  <c r="M76" i="3"/>
  <c r="I76" i="3"/>
  <c r="M365" i="3"/>
  <c r="M366" i="3" s="1"/>
  <c r="L365" i="3"/>
  <c r="K365" i="3"/>
  <c r="K366" i="3" s="1"/>
  <c r="BF65" i="30"/>
  <c r="BG65" i="30"/>
  <c r="BH65" i="30"/>
  <c r="BI65" i="30"/>
  <c r="BN65" i="30"/>
  <c r="BO65" i="30"/>
  <c r="BP65" i="30"/>
  <c r="BP67" i="30" s="1"/>
  <c r="BP68" i="30" s="1"/>
  <c r="BP58" i="30" s="1"/>
  <c r="BQ65" i="30"/>
  <c r="BQ67" i="30" s="1"/>
  <c r="BQ68" i="30" s="1"/>
  <c r="BQ58" i="30" s="1"/>
  <c r="AN36" i="30"/>
  <c r="P36" i="30" s="1"/>
  <c r="H36" i="30" s="1"/>
  <c r="AO36" i="30"/>
  <c r="Q36" i="30" s="1"/>
  <c r="I36" i="30" s="1"/>
  <c r="AM36" i="30"/>
  <c r="O36" i="30" s="1"/>
  <c r="G36" i="30" s="1"/>
  <c r="AP36" i="30"/>
  <c r="R36" i="30" s="1"/>
  <c r="J36" i="30" s="1"/>
  <c r="AQ36" i="30"/>
  <c r="S36" i="30" s="1"/>
  <c r="K36" i="30" s="1"/>
  <c r="AL69" i="30"/>
  <c r="N69" i="30" s="1"/>
  <c r="BL67" i="30"/>
  <c r="BL68" i="30" s="1"/>
  <c r="BL58" i="30" s="1"/>
  <c r="G49" i="30"/>
  <c r="G48" i="30"/>
  <c r="H48" i="30"/>
  <c r="H49" i="30"/>
  <c r="AE69" i="30"/>
  <c r="H52" i="30"/>
  <c r="AN52" i="30" s="1"/>
  <c r="P52" i="30" s="1"/>
  <c r="G55" i="30"/>
  <c r="AM55" i="30" s="1"/>
  <c r="O55" i="30" s="1"/>
  <c r="AV69" i="30"/>
  <c r="G61" i="30"/>
  <c r="AM61" i="30" s="1"/>
  <c r="O61" i="30" s="1"/>
  <c r="H62" i="30"/>
  <c r="AN62" i="30" s="1"/>
  <c r="P62" i="30" s="1"/>
  <c r="G62" i="30"/>
  <c r="AM62" i="30" s="1"/>
  <c r="O62" i="30" s="1"/>
  <c r="X69" i="30"/>
  <c r="J365" i="3"/>
  <c r="J366" i="3" s="1"/>
  <c r="H53" i="30"/>
  <c r="AN53" i="30" s="1"/>
  <c r="P53" i="30" s="1"/>
  <c r="H56" i="30"/>
  <c r="AN56" i="30" s="1"/>
  <c r="P56" i="30" s="1"/>
  <c r="G54" i="30"/>
  <c r="AM54" i="30" s="1"/>
  <c r="O54" i="30" s="1"/>
  <c r="G60" i="30"/>
  <c r="AM60" i="30" s="1"/>
  <c r="O60" i="30" s="1"/>
  <c r="H55" i="30"/>
  <c r="AN55" i="30" s="1"/>
  <c r="P55" i="30" s="1"/>
  <c r="AF69" i="30"/>
  <c r="BE69" i="30"/>
  <c r="BE68" i="30" s="1"/>
  <c r="G56" i="30"/>
  <c r="AM56" i="30" s="1"/>
  <c r="O56" i="30" s="1"/>
  <c r="G66" i="30"/>
  <c r="AM66" i="30" s="1"/>
  <c r="O66" i="30" s="1"/>
  <c r="G59" i="30"/>
  <c r="AM59" i="30" s="1"/>
  <c r="O59" i="30" s="1"/>
  <c r="G63" i="30"/>
  <c r="AM63" i="30" s="1"/>
  <c r="O63" i="30" s="1"/>
  <c r="G53" i="30"/>
  <c r="AM53" i="30" s="1"/>
  <c r="O53" i="30" s="1"/>
  <c r="BF69" i="30"/>
  <c r="G69" i="30"/>
  <c r="G64" i="30"/>
  <c r="AM64" i="30" s="1"/>
  <c r="O64" i="30" s="1"/>
  <c r="H64" i="30"/>
  <c r="AN64" i="30" s="1"/>
  <c r="P64" i="30" s="1"/>
  <c r="H66" i="30"/>
  <c r="AN66" i="30" s="1"/>
  <c r="P66" i="30" s="1"/>
  <c r="H60" i="30"/>
  <c r="AN60" i="30" s="1"/>
  <c r="P60" i="30" s="1"/>
  <c r="G52" i="30"/>
  <c r="AM52" i="30" s="1"/>
  <c r="O52" i="30" s="1"/>
  <c r="G65" i="30"/>
  <c r="AM65" i="30" s="1"/>
  <c r="O65" i="30" s="1"/>
  <c r="BN69" i="30"/>
  <c r="H69" i="30"/>
  <c r="H54" i="30"/>
  <c r="AN54" i="30" s="1"/>
  <c r="P54" i="30" s="1"/>
  <c r="H61" i="30"/>
  <c r="AN61" i="30" s="1"/>
  <c r="P61" i="30" s="1"/>
  <c r="H63" i="30"/>
  <c r="AN63" i="30" s="1"/>
  <c r="P63" i="30" s="1"/>
  <c r="H65" i="30"/>
  <c r="W69" i="30"/>
  <c r="AW69" i="30"/>
  <c r="BM69" i="30"/>
  <c r="BJ69" i="30" s="1"/>
  <c r="H47" i="30"/>
  <c r="AN47" i="30" s="1"/>
  <c r="G47" i="30"/>
  <c r="AM47" i="30" s="1"/>
  <c r="O17" i="74"/>
  <c r="AL47" i="30"/>
  <c r="N47" i="30" s="1"/>
  <c r="V41" i="30" l="1"/>
  <c r="V45" i="30" s="1"/>
  <c r="V50" i="30" s="1"/>
  <c r="V57" i="30" s="1"/>
  <c r="V67" i="30" s="1"/>
  <c r="AD45" i="30"/>
  <c r="AD50" i="30" s="1"/>
  <c r="AD57" i="30" s="1"/>
  <c r="AD67" i="30" s="1"/>
  <c r="AB322" i="3"/>
  <c r="AH24" i="4"/>
  <c r="G43" i="30"/>
  <c r="P33" i="4"/>
  <c r="DH33" i="4"/>
  <c r="BU33" i="4"/>
  <c r="CG33" i="4"/>
  <c r="BD33" i="4"/>
  <c r="BT33" i="4"/>
  <c r="EC33" i="4"/>
  <c r="BQ33" i="4"/>
  <c r="BM33" i="4"/>
  <c r="BK33" i="4"/>
  <c r="BE33" i="4"/>
  <c r="DP33" i="4"/>
  <c r="CL33" i="4"/>
  <c r="CP33" i="4"/>
  <c r="Y33" i="4"/>
  <c r="AC33" i="4"/>
  <c r="AU33" i="4"/>
  <c r="BR32" i="4"/>
  <c r="BF32" i="4"/>
  <c r="DJ31" i="4"/>
  <c r="BL30" i="4"/>
  <c r="R30" i="4"/>
  <c r="CH30" i="4"/>
  <c r="BY30" i="4"/>
  <c r="BQ30" i="4"/>
  <c r="BT30" i="4"/>
  <c r="BB30" i="4"/>
  <c r="BP30" i="4"/>
  <c r="BS30" i="4"/>
  <c r="CK30" i="4"/>
  <c r="BA30" i="4"/>
  <c r="BE30" i="4"/>
  <c r="DK30" i="4"/>
  <c r="CL30" i="4"/>
  <c r="CJ30" i="4"/>
  <c r="AK30" i="4"/>
  <c r="Z30" i="4"/>
  <c r="T30" i="4"/>
  <c r="AR30" i="4"/>
  <c r="AD30" i="4"/>
  <c r="AO30" i="4"/>
  <c r="AV30" i="4"/>
  <c r="CH29" i="4"/>
  <c r="AV29" i="4"/>
  <c r="BF28" i="4"/>
  <c r="AO28" i="4"/>
  <c r="AU25" i="46"/>
  <c r="BG25" i="46"/>
  <c r="CH25" i="46"/>
  <c r="AB108" i="3"/>
  <c r="H203" i="3"/>
  <c r="K107" i="68"/>
  <c r="CI24" i="4"/>
  <c r="AA24" i="4"/>
  <c r="DO30" i="4"/>
  <c r="DP30" i="4"/>
  <c r="CN30" i="4"/>
  <c r="CP30" i="4"/>
  <c r="AQ30" i="4"/>
  <c r="AX30" i="4"/>
  <c r="U30" i="4"/>
  <c r="Q30" i="4"/>
  <c r="AM30" i="4"/>
  <c r="AP30" i="4"/>
  <c r="AT30" i="4"/>
  <c r="AW30" i="4"/>
  <c r="DN30" i="4"/>
  <c r="BN29" i="4"/>
  <c r="BJ29" i="4"/>
  <c r="T29" i="4"/>
  <c r="AB116" i="3"/>
  <c r="H116" i="3" s="1"/>
  <c r="K39" i="68" s="1"/>
  <c r="AA164" i="3"/>
  <c r="G164" i="3" s="1"/>
  <c r="AO164" i="3" s="1"/>
  <c r="L47" i="70" s="1"/>
  <c r="AS59" i="30"/>
  <c r="BX32" i="4"/>
  <c r="AF32" i="4"/>
  <c r="CM30" i="4"/>
  <c r="CO30" i="4"/>
  <c r="AG30" i="4"/>
  <c r="V30" i="4"/>
  <c r="S30" i="4"/>
  <c r="AN30" i="4"/>
  <c r="AH30" i="4"/>
  <c r="AL30" i="4"/>
  <c r="AS30" i="4"/>
  <c r="CE30" i="4"/>
  <c r="CC29" i="4"/>
  <c r="BE29" i="4"/>
  <c r="AX29" i="4"/>
  <c r="Y28" i="4"/>
  <c r="BB28" i="30"/>
  <c r="Q21" i="29" s="1"/>
  <c r="K26" i="46"/>
  <c r="BW25" i="46"/>
  <c r="AP25" i="46"/>
  <c r="P25" i="46"/>
  <c r="AB338" i="3"/>
  <c r="H338" i="3" s="1"/>
  <c r="H336" i="3" s="1"/>
  <c r="H339" i="3" s="1"/>
  <c r="H396" i="3" s="1"/>
  <c r="AU40" i="30" s="1"/>
  <c r="AS40" i="30" s="1"/>
  <c r="O26" i="29" s="1"/>
  <c r="J44" i="30"/>
  <c r="P31" i="31"/>
  <c r="P33" i="31"/>
  <c r="S33" i="31" s="1"/>
  <c r="V33" i="31" s="1"/>
  <c r="AQ33" i="31" s="1"/>
  <c r="P32" i="31"/>
  <c r="AA135" i="3"/>
  <c r="G135" i="3" s="1"/>
  <c r="AO135" i="3" s="1"/>
  <c r="L33" i="70" s="1"/>
  <c r="L366" i="3"/>
  <c r="J78" i="3"/>
  <c r="H25" i="65" s="1"/>
  <c r="R153" i="3"/>
  <c r="P153" i="3" s="1"/>
  <c r="R326" i="3"/>
  <c r="P326" i="3" s="1"/>
  <c r="R327" i="3"/>
  <c r="P327" i="3" s="1"/>
  <c r="AD244" i="3"/>
  <c r="AG164" i="3"/>
  <c r="AF95" i="3"/>
  <c r="AH95" i="3" s="1"/>
  <c r="X176" i="3"/>
  <c r="AA176" i="3" s="1"/>
  <c r="G176" i="3" s="1"/>
  <c r="AO176" i="3" s="1"/>
  <c r="L50" i="70" s="1"/>
  <c r="AH224" i="3"/>
  <c r="I5" i="70"/>
  <c r="I20" i="70"/>
  <c r="I94" i="70"/>
  <c r="AU325" i="3"/>
  <c r="R106" i="70" s="1"/>
  <c r="I62" i="70"/>
  <c r="K93" i="3"/>
  <c r="K105" i="3" s="1"/>
  <c r="P40" i="30"/>
  <c r="H40" i="30" s="1"/>
  <c r="E12" i="73" s="1"/>
  <c r="AE68" i="30"/>
  <c r="I364" i="3" s="1"/>
  <c r="AG107" i="3"/>
  <c r="AF164" i="3"/>
  <c r="AH164" i="3" s="1"/>
  <c r="AG180" i="3"/>
  <c r="AG184" i="3"/>
  <c r="X244" i="3"/>
  <c r="AG176" i="3"/>
  <c r="AH176" i="3" s="1"/>
  <c r="AA105" i="3"/>
  <c r="G105" i="3" s="1"/>
  <c r="AO105" i="3" s="1"/>
  <c r="AD122" i="3"/>
  <c r="J125" i="3"/>
  <c r="J129" i="3" s="1"/>
  <c r="J385" i="3" s="1"/>
  <c r="AA288" i="3"/>
  <c r="G288" i="3" s="1"/>
  <c r="AO288" i="3" s="1"/>
  <c r="I23" i="70"/>
  <c r="AU329" i="3"/>
  <c r="R109" i="70" s="1"/>
  <c r="AG305" i="3"/>
  <c r="AA324" i="3"/>
  <c r="AO324" i="3" s="1"/>
  <c r="AD164" i="3"/>
  <c r="AU96" i="3"/>
  <c r="R13" i="70" s="1"/>
  <c r="I34" i="70"/>
  <c r="AU156" i="3"/>
  <c r="R44" i="70" s="1"/>
  <c r="AU222" i="3"/>
  <c r="R69" i="70" s="1"/>
  <c r="J331" i="3"/>
  <c r="J395" i="3" s="1"/>
  <c r="J54" i="3"/>
  <c r="BB22" i="4"/>
  <c r="BB27" i="4" s="1"/>
  <c r="CJ24" i="46"/>
  <c r="M24" i="46"/>
  <c r="BK24" i="46"/>
  <c r="BZ24" i="46"/>
  <c r="EA24" i="46"/>
  <c r="AE24" i="46"/>
  <c r="AZ24" i="46"/>
  <c r="BJ24" i="46"/>
  <c r="CA24" i="46"/>
  <c r="X24" i="46"/>
  <c r="BY24" i="46"/>
  <c r="CK24" i="46"/>
  <c r="AR24" i="46"/>
  <c r="BM24" i="46"/>
  <c r="CB24" i="46"/>
  <c r="AK24" i="46"/>
  <c r="BB24" i="46"/>
  <c r="BL24" i="46"/>
  <c r="CN24" i="46"/>
  <c r="AD24" i="46"/>
  <c r="AP24" i="46"/>
  <c r="AY24" i="46"/>
  <c r="BR24" i="46"/>
  <c r="CO24" i="46"/>
  <c r="AQ24" i="46"/>
  <c r="BD24" i="46"/>
  <c r="BU24" i="46"/>
  <c r="CP24" i="46"/>
  <c r="AZ31" i="4"/>
  <c r="BN28" i="4"/>
  <c r="BN31" i="4"/>
  <c r="CD32" i="4"/>
  <c r="CB32" i="4"/>
  <c r="EC32" i="4"/>
  <c r="CH32" i="4"/>
  <c r="BE32" i="4"/>
  <c r="CL32" i="4"/>
  <c r="BW31" i="4"/>
  <c r="U32" i="4"/>
  <c r="AH32" i="4"/>
  <c r="AA31" i="4"/>
  <c r="BL31" i="4"/>
  <c r="CH31" i="4"/>
  <c r="CC31" i="4"/>
  <c r="BF31" i="4"/>
  <c r="DL31" i="4"/>
  <c r="BL28" i="4"/>
  <c r="AB31" i="4"/>
  <c r="AH31" i="4"/>
  <c r="AO31" i="4"/>
  <c r="BJ28" i="4"/>
  <c r="BY28" i="4"/>
  <c r="BI28" i="4"/>
  <c r="BV28" i="4"/>
  <c r="BZ28" i="4"/>
  <c r="CT28" i="4"/>
  <c r="CG28" i="4"/>
  <c r="CK28" i="4"/>
  <c r="DO28" i="4"/>
  <c r="CM28" i="4"/>
  <c r="CP28" i="4"/>
  <c r="AH28" i="4"/>
  <c r="AD28" i="4"/>
  <c r="AG28" i="4"/>
  <c r="CE28" i="4"/>
  <c r="BB66" i="30"/>
  <c r="P41" i="30"/>
  <c r="H41" i="30" s="1"/>
  <c r="BB41" i="30"/>
  <c r="Q27" i="29" s="1"/>
  <c r="CR24" i="46"/>
  <c r="N24" i="46"/>
  <c r="BC24" i="46"/>
  <c r="T32" i="4"/>
  <c r="AE32" i="4"/>
  <c r="BU31" i="4"/>
  <c r="CR31" i="4"/>
  <c r="EC31" i="4"/>
  <c r="BQ31" i="4"/>
  <c r="BI31" i="4"/>
  <c r="BK31" i="4"/>
  <c r="BE31" i="4"/>
  <c r="CN31" i="4"/>
  <c r="CO31" i="4"/>
  <c r="BO28" i="4"/>
  <c r="AD31" i="4"/>
  <c r="AE31" i="4"/>
  <c r="AT31" i="4"/>
  <c r="R28" i="4"/>
  <c r="CD28" i="4"/>
  <c r="CH28" i="4"/>
  <c r="DJ28" i="4"/>
  <c r="BD28" i="4"/>
  <c r="CF28" i="4"/>
  <c r="BH28" i="4"/>
  <c r="BM28" i="4"/>
  <c r="AY28" i="4"/>
  <c r="DP28" i="4"/>
  <c r="T28" i="4"/>
  <c r="Q28" i="4"/>
  <c r="AI28" i="4"/>
  <c r="AU28" i="4"/>
  <c r="DF28" i="4"/>
  <c r="CI27" i="46"/>
  <c r="BV27" i="46"/>
  <c r="AU27" i="46"/>
  <c r="AK27" i="46"/>
  <c r="AE27" i="46"/>
  <c r="BW24" i="46"/>
  <c r="K28" i="46"/>
  <c r="Z28" i="46" s="1"/>
  <c r="B29" i="46"/>
  <c r="CL24" i="46"/>
  <c r="BH32" i="4"/>
  <c r="BH31" i="4"/>
  <c r="DJ32" i="4"/>
  <c r="R32" i="4"/>
  <c r="BQ32" i="4"/>
  <c r="BP32" i="4"/>
  <c r="BG32" i="4"/>
  <c r="DQ32" i="4"/>
  <c r="BN32" i="4"/>
  <c r="CM33" i="4"/>
  <c r="CJ33" i="4"/>
  <c r="Z33" i="4"/>
  <c r="AB33" i="4"/>
  <c r="U33" i="4"/>
  <c r="AT33" i="4"/>
  <c r="DI32" i="4"/>
  <c r="O32" i="4"/>
  <c r="BI32" i="4"/>
  <c r="CF32" i="4"/>
  <c r="CA32" i="4"/>
  <c r="CI32" i="4"/>
  <c r="CP32" i="4"/>
  <c r="AJ32" i="4"/>
  <c r="AS32" i="4"/>
  <c r="CF31" i="4"/>
  <c r="BJ31" i="4"/>
  <c r="BR31" i="4"/>
  <c r="BC31" i="4"/>
  <c r="CK31" i="4"/>
  <c r="DK31" i="4"/>
  <c r="CM31" i="4"/>
  <c r="AR31" i="4"/>
  <c r="AN31" i="4"/>
  <c r="AU31" i="4"/>
  <c r="AA28" i="4"/>
  <c r="AZ28" i="4"/>
  <c r="BP28" i="4"/>
  <c r="BU28" i="4"/>
  <c r="DI28" i="4"/>
  <c r="CC28" i="4"/>
  <c r="CR28" i="4"/>
  <c r="CS28" i="4"/>
  <c r="BA28" i="4"/>
  <c r="BE28" i="4"/>
  <c r="S28" i="4"/>
  <c r="AE28" i="4"/>
  <c r="AF28" i="4"/>
  <c r="AS28" i="4"/>
  <c r="DE28" i="4"/>
  <c r="F70" i="15"/>
  <c r="BH24" i="46"/>
  <c r="CQ24" i="46"/>
  <c r="DX16" i="46"/>
  <c r="DX156" i="46"/>
  <c r="R324" i="3"/>
  <c r="P324" i="3" s="1"/>
  <c r="R191" i="3"/>
  <c r="P191" i="3" s="1"/>
  <c r="R325" i="3"/>
  <c r="P325" i="3" s="1"/>
  <c r="R152" i="3"/>
  <c r="P152" i="3" s="1"/>
  <c r="R79" i="3"/>
  <c r="P79" i="3" s="1"/>
  <c r="R101" i="3"/>
  <c r="P101" i="3" s="1"/>
  <c r="R132" i="3"/>
  <c r="P132" i="3" s="1"/>
  <c r="R80" i="3"/>
  <c r="P80" i="3" s="1"/>
  <c r="R137" i="3"/>
  <c r="P137" i="3" s="1"/>
  <c r="R97" i="3"/>
  <c r="P97" i="3" s="1"/>
  <c r="R134" i="3"/>
  <c r="P134" i="3" s="1"/>
  <c r="R108" i="3"/>
  <c r="P108" i="3" s="1"/>
  <c r="R88" i="3"/>
  <c r="P88" i="3" s="1"/>
  <c r="R104" i="3"/>
  <c r="P104" i="3" s="1"/>
  <c r="R135" i="3"/>
  <c r="P135" i="3" s="1"/>
  <c r="R239" i="3"/>
  <c r="P239" i="3" s="1"/>
  <c r="R216" i="3"/>
  <c r="P216" i="3" s="1"/>
  <c r="R237" i="3"/>
  <c r="P237" i="3" s="1"/>
  <c r="R164" i="3"/>
  <c r="P164" i="3" s="1"/>
  <c r="R162" i="3"/>
  <c r="P162" i="3" s="1"/>
  <c r="R192" i="3"/>
  <c r="P192" i="3" s="1"/>
  <c r="R225" i="3"/>
  <c r="P225" i="3" s="1"/>
  <c r="R338" i="3"/>
  <c r="P338" i="3" s="1"/>
  <c r="R226" i="3"/>
  <c r="P226" i="3" s="1"/>
  <c r="R236" i="3"/>
  <c r="P236" i="3" s="1"/>
  <c r="M78" i="3"/>
  <c r="BL26" i="46"/>
  <c r="BX26" i="46"/>
  <c r="I190" i="3"/>
  <c r="I193" i="3" s="1"/>
  <c r="I383" i="3" s="1"/>
  <c r="AA165" i="3"/>
  <c r="G165" i="3" s="1"/>
  <c r="AO165" i="3" s="1"/>
  <c r="BJ53" i="30"/>
  <c r="BJ54" i="30"/>
  <c r="BJ59" i="30"/>
  <c r="BJ66" i="30"/>
  <c r="AA275" i="3"/>
  <c r="G275" i="3" s="1"/>
  <c r="AO275" i="3" s="1"/>
  <c r="L88" i="70" s="1"/>
  <c r="AA151" i="3"/>
  <c r="G151" i="3" s="1"/>
  <c r="AO151" i="3" s="1"/>
  <c r="AO299" i="3"/>
  <c r="H299" i="3"/>
  <c r="AA172" i="3"/>
  <c r="G172" i="3" s="1"/>
  <c r="AO172" i="3" s="1"/>
  <c r="L49" i="70" s="1"/>
  <c r="AD139" i="3"/>
  <c r="AG139" i="3"/>
  <c r="AG104" i="3"/>
  <c r="AD104" i="3"/>
  <c r="AG26" i="46"/>
  <c r="L243" i="3"/>
  <c r="L248" i="3" s="1"/>
  <c r="AA166" i="3"/>
  <c r="G166" i="3" s="1"/>
  <c r="AO166" i="3" s="1"/>
  <c r="AO265" i="3"/>
  <c r="L269" i="3"/>
  <c r="K269" i="3"/>
  <c r="M170" i="3"/>
  <c r="M173" i="3" s="1"/>
  <c r="AB97" i="3"/>
  <c r="AA115" i="3"/>
  <c r="G115" i="3" s="1"/>
  <c r="AO115" i="3" s="1"/>
  <c r="L23" i="70" s="1"/>
  <c r="AA133" i="3"/>
  <c r="G133" i="3" s="1"/>
  <c r="AO133" i="3" s="1"/>
  <c r="L31" i="70" s="1"/>
  <c r="AA291" i="3"/>
  <c r="G291" i="3" s="1"/>
  <c r="AO291" i="3" s="1"/>
  <c r="AA287" i="3"/>
  <c r="G287" i="3" s="1"/>
  <c r="AO287" i="3" s="1"/>
  <c r="AA283" i="3"/>
  <c r="G283" i="3" s="1"/>
  <c r="AO283" i="3" s="1"/>
  <c r="AB216" i="3"/>
  <c r="AA140" i="3"/>
  <c r="G140" i="3" s="1"/>
  <c r="AO140" i="3" s="1"/>
  <c r="L38" i="70" s="1"/>
  <c r="I150" i="70"/>
  <c r="I10" i="70"/>
  <c r="I18" i="70"/>
  <c r="I25" i="70"/>
  <c r="AU72" i="3"/>
  <c r="R167" i="70" s="1"/>
  <c r="AU133" i="3"/>
  <c r="R31" i="70" s="1"/>
  <c r="AU180" i="3"/>
  <c r="R54" i="70" s="1"/>
  <c r="AU239" i="3"/>
  <c r="R80" i="70" s="1"/>
  <c r="AF227" i="3"/>
  <c r="AF305" i="3"/>
  <c r="AH305" i="3" s="1"/>
  <c r="L170" i="3"/>
  <c r="L173" i="3" s="1"/>
  <c r="I6" i="70"/>
  <c r="I35" i="70"/>
  <c r="I154" i="70"/>
  <c r="I53" i="70"/>
  <c r="I65" i="70"/>
  <c r="AU308" i="3"/>
  <c r="R99" i="70" s="1"/>
  <c r="AU279" i="3"/>
  <c r="R90" i="70" s="1"/>
  <c r="I91" i="70"/>
  <c r="X305" i="3"/>
  <c r="AB305" i="3" s="1"/>
  <c r="H305" i="3" s="1"/>
  <c r="I95" i="70"/>
  <c r="I101" i="70"/>
  <c r="AB280" i="3"/>
  <c r="L48" i="30"/>
  <c r="I36" i="29" s="1"/>
  <c r="T48" i="30"/>
  <c r="K36" i="29" s="1"/>
  <c r="AL21" i="31"/>
  <c r="M190" i="3"/>
  <c r="M193" i="3" s="1"/>
  <c r="M383" i="3" s="1"/>
  <c r="M86" i="15"/>
  <c r="AI279" i="3"/>
  <c r="G55" i="65"/>
  <c r="G56" i="65" s="1"/>
  <c r="K34" i="15"/>
  <c r="J87" i="3"/>
  <c r="J91" i="3" s="1"/>
  <c r="J380" i="3" s="1"/>
  <c r="AH152" i="3"/>
  <c r="AH247" i="3"/>
  <c r="I78" i="3"/>
  <c r="F77" i="15"/>
  <c r="K120" i="3"/>
  <c r="R40" i="30"/>
  <c r="J40" i="30" s="1"/>
  <c r="O28" i="30"/>
  <c r="G28" i="30" s="1"/>
  <c r="J105" i="3"/>
  <c r="L78" i="3"/>
  <c r="J25" i="65" s="1"/>
  <c r="S40" i="30"/>
  <c r="K40" i="30" s="1"/>
  <c r="M120" i="3"/>
  <c r="M93" i="3"/>
  <c r="K170" i="3"/>
  <c r="K173" i="3" s="1"/>
  <c r="J155" i="3"/>
  <c r="G88" i="15"/>
  <c r="AV45" i="30"/>
  <c r="AV50" i="30" s="1"/>
  <c r="AV57" i="30" s="1"/>
  <c r="AV67" i="30" s="1"/>
  <c r="L86" i="15"/>
  <c r="I93" i="3"/>
  <c r="G27" i="65" s="1"/>
  <c r="J332" i="3"/>
  <c r="J335" i="3" s="1"/>
  <c r="J402" i="3" s="1"/>
  <c r="I34" i="15"/>
  <c r="L145" i="3"/>
  <c r="I241" i="3"/>
  <c r="I155" i="70"/>
  <c r="I157" i="70"/>
  <c r="BB32" i="31"/>
  <c r="BB33" i="31"/>
  <c r="AU35" i="3"/>
  <c r="R137" i="70" s="1"/>
  <c r="R22" i="4"/>
  <c r="R156" i="4" s="1"/>
  <c r="DS156" i="46"/>
  <c r="J256" i="3"/>
  <c r="J272" i="3" s="1"/>
  <c r="J389" i="3" s="1"/>
  <c r="K256" i="3"/>
  <c r="AO263" i="3"/>
  <c r="AO257" i="3"/>
  <c r="L82" i="70" s="1"/>
  <c r="AO258" i="3"/>
  <c r="AU260" i="3"/>
  <c r="R84" i="70" s="1"/>
  <c r="H267" i="3"/>
  <c r="AO262" i="3"/>
  <c r="H268" i="3"/>
  <c r="I127" i="70"/>
  <c r="O22" i="4"/>
  <c r="O156" i="4" s="1"/>
  <c r="I21" i="68"/>
  <c r="AA95" i="3"/>
  <c r="G95" i="3" s="1"/>
  <c r="AO95" i="3" s="1"/>
  <c r="AB95" i="3"/>
  <c r="H95" i="3" s="1"/>
  <c r="K21" i="68" s="1"/>
  <c r="I90" i="68"/>
  <c r="AB177" i="3"/>
  <c r="H177" i="3" s="1"/>
  <c r="K90" i="68" s="1"/>
  <c r="AA177" i="3"/>
  <c r="G177" i="3" s="1"/>
  <c r="AO177" i="3" s="1"/>
  <c r="L51" i="70" s="1"/>
  <c r="AU328" i="3"/>
  <c r="R108" i="70" s="1"/>
  <c r="I108" i="70"/>
  <c r="F39" i="15"/>
  <c r="B35" i="4"/>
  <c r="B23" i="5"/>
  <c r="M34" i="4"/>
  <c r="A23" i="47"/>
  <c r="BB65" i="30"/>
  <c r="Y52" i="30"/>
  <c r="Y57" i="30" s="1"/>
  <c r="Y67" i="30" s="1"/>
  <c r="Y68" i="30" s="1"/>
  <c r="BB52" i="30"/>
  <c r="I331" i="3"/>
  <c r="I395" i="3" s="1"/>
  <c r="I321" i="3"/>
  <c r="BL32" i="4"/>
  <c r="P32" i="4"/>
  <c r="BT32" i="4"/>
  <c r="BM32" i="4"/>
  <c r="BZ32" i="4"/>
  <c r="AZ32" i="4"/>
  <c r="BJ32" i="4"/>
  <c r="BO32" i="4"/>
  <c r="CC32" i="4"/>
  <c r="CK32" i="4"/>
  <c r="DO32" i="4"/>
  <c r="CO32" i="4"/>
  <c r="Q32" i="4"/>
  <c r="AB32" i="4"/>
  <c r="AL32" i="4"/>
  <c r="AU32" i="4"/>
  <c r="DH29" i="4"/>
  <c r="BI29" i="4"/>
  <c r="AY29" i="4"/>
  <c r="DP29" i="4"/>
  <c r="CP29" i="4"/>
  <c r="V29" i="4"/>
  <c r="AM29" i="4"/>
  <c r="DV16" i="46"/>
  <c r="DV156" i="46"/>
  <c r="Z53" i="30"/>
  <c r="T53" i="30" s="1"/>
  <c r="BB53" i="30"/>
  <c r="AT32" i="4"/>
  <c r="AN32" i="4"/>
  <c r="AP32" i="4"/>
  <c r="AX32" i="4"/>
  <c r="AO32" i="4"/>
  <c r="AC32" i="4"/>
  <c r="W32" i="4"/>
  <c r="S32" i="4"/>
  <c r="CM32" i="4"/>
  <c r="DM32" i="4"/>
  <c r="AV32" i="4"/>
  <c r="AM32" i="4"/>
  <c r="AD32" i="4"/>
  <c r="AK32" i="4"/>
  <c r="AR32" i="4"/>
  <c r="AG32" i="4"/>
  <c r="V32" i="4"/>
  <c r="Y32" i="4"/>
  <c r="CJ32" i="4"/>
  <c r="CN32" i="4"/>
  <c r="DP32" i="4"/>
  <c r="DL32" i="4"/>
  <c r="BA32" i="4"/>
  <c r="BK32" i="4"/>
  <c r="BC32" i="4"/>
  <c r="DN29" i="4"/>
  <c r="DF29" i="4"/>
  <c r="CE29" i="4"/>
  <c r="AS29" i="4"/>
  <c r="AF29" i="4"/>
  <c r="AI29" i="4"/>
  <c r="AL29" i="4"/>
  <c r="AK29" i="4"/>
  <c r="Z29" i="4"/>
  <c r="Y29" i="4"/>
  <c r="CJ29" i="4"/>
  <c r="CL29" i="4"/>
  <c r="DL29" i="4"/>
  <c r="BK29" i="4"/>
  <c r="EC29" i="4"/>
  <c r="BS29" i="4"/>
  <c r="BY29" i="4"/>
  <c r="CA29" i="4"/>
  <c r="X29" i="4"/>
  <c r="R29" i="4"/>
  <c r="BB29" i="4"/>
  <c r="DI29" i="4"/>
  <c r="P29" i="4"/>
  <c r="DG29" i="4"/>
  <c r="AU29" i="4"/>
  <c r="AO29" i="4"/>
  <c r="AJ29" i="4"/>
  <c r="AP29" i="4"/>
  <c r="AG29" i="4"/>
  <c r="AB29" i="4"/>
  <c r="W29" i="4"/>
  <c r="U29" i="4"/>
  <c r="CQ29" i="4"/>
  <c r="DQ29" i="4"/>
  <c r="BF29" i="4"/>
  <c r="CI29" i="4"/>
  <c r="CF29" i="4"/>
  <c r="BG29" i="4"/>
  <c r="CD29" i="4"/>
  <c r="CS29" i="4"/>
  <c r="BZ29" i="4"/>
  <c r="BP29" i="4"/>
  <c r="BR29" i="4"/>
  <c r="DJ29" i="4"/>
  <c r="DD29" i="4"/>
  <c r="BL29" i="4"/>
  <c r="DM29" i="4"/>
  <c r="AT29" i="4"/>
  <c r="AN29" i="4"/>
  <c r="AQ29" i="4"/>
  <c r="AW29" i="4"/>
  <c r="AR29" i="4"/>
  <c r="AC29" i="4"/>
  <c r="AH29" i="4"/>
  <c r="S29" i="4"/>
  <c r="CO29" i="4"/>
  <c r="CM29" i="4"/>
  <c r="DK29" i="4"/>
  <c r="DO29" i="4"/>
  <c r="BA29" i="4"/>
  <c r="CK29" i="4"/>
  <c r="CG29" i="4"/>
  <c r="BD29" i="4"/>
  <c r="BM29" i="4"/>
  <c r="CT29" i="4"/>
  <c r="BC29" i="4"/>
  <c r="BV29" i="4"/>
  <c r="BX29" i="4"/>
  <c r="BO29" i="4"/>
  <c r="O29" i="4"/>
  <c r="BU29" i="4"/>
  <c r="CR32" i="4"/>
  <c r="DH32" i="4"/>
  <c r="X32" i="4"/>
  <c r="BB32" i="4"/>
  <c r="BS32" i="4"/>
  <c r="CG32" i="4"/>
  <c r="BY32" i="4"/>
  <c r="BD32" i="4"/>
  <c r="BU32" i="4"/>
  <c r="CS32" i="4"/>
  <c r="BW32" i="4"/>
  <c r="AY32" i="4"/>
  <c r="DK32" i="4"/>
  <c r="CQ32" i="4"/>
  <c r="BT29" i="4"/>
  <c r="Z32" i="4"/>
  <c r="AQ32" i="4"/>
  <c r="AI32" i="4"/>
  <c r="AW32" i="4"/>
  <c r="CB29" i="4"/>
  <c r="AA29" i="4"/>
  <c r="BQ29" i="4"/>
  <c r="Q29" i="4"/>
  <c r="AD29" i="4"/>
  <c r="CG31" i="4"/>
  <c r="DI31" i="4"/>
  <c r="CA31" i="4"/>
  <c r="BB31" i="4"/>
  <c r="BY31" i="4"/>
  <c r="BP31" i="4"/>
  <c r="CB31" i="4"/>
  <c r="BZ31" i="4"/>
  <c r="CS31" i="4"/>
  <c r="CI31" i="4"/>
  <c r="DQ31" i="4"/>
  <c r="CQ31" i="4"/>
  <c r="CP31" i="4"/>
  <c r="AG31" i="4"/>
  <c r="AL31" i="4"/>
  <c r="AP31" i="4"/>
  <c r="AQ31" i="4"/>
  <c r="AV31" i="4"/>
  <c r="AW31" i="4"/>
  <c r="DK28" i="4"/>
  <c r="CQ28" i="4"/>
  <c r="CO28" i="4"/>
  <c r="W28" i="4"/>
  <c r="V28" i="4"/>
  <c r="AC28" i="4"/>
  <c r="AP28" i="4"/>
  <c r="AQ28" i="4"/>
  <c r="AR28" i="4"/>
  <c r="AM28" i="4"/>
  <c r="AT28" i="4"/>
  <c r="DM28" i="4"/>
  <c r="G90" i="65"/>
  <c r="I41" i="30"/>
  <c r="Z27" i="46"/>
  <c r="BY27" i="46"/>
  <c r="CF27" i="46"/>
  <c r="CE27" i="46"/>
  <c r="AN27" i="46"/>
  <c r="AV27" i="46"/>
  <c r="CQ27" i="46"/>
  <c r="CD27" i="46"/>
  <c r="AA27" i="46"/>
  <c r="AC27" i="46"/>
  <c r="CH27" i="46"/>
  <c r="CJ27" i="46"/>
  <c r="AF27" i="46"/>
  <c r="AG27" i="46"/>
  <c r="EA27" i="46"/>
  <c r="AD27" i="46"/>
  <c r="CG27" i="46"/>
  <c r="AP27" i="46"/>
  <c r="AR27" i="46"/>
  <c r="Y27" i="46"/>
  <c r="CK27" i="46"/>
  <c r="AM27" i="46"/>
  <c r="CR27" i="46"/>
  <c r="BT27" i="46"/>
  <c r="BW27" i="46"/>
  <c r="CC27" i="46"/>
  <c r="BX27" i="46"/>
  <c r="BP27" i="46"/>
  <c r="AH27" i="46"/>
  <c r="BV31" i="4"/>
  <c r="DH31" i="4"/>
  <c r="CT31" i="4"/>
  <c r="CD31" i="4"/>
  <c r="BG31" i="4"/>
  <c r="BX31" i="4"/>
  <c r="BS31" i="4"/>
  <c r="BD31" i="4"/>
  <c r="AY31" i="4"/>
  <c r="DP31" i="4"/>
  <c r="CL31" i="4"/>
  <c r="CJ31" i="4"/>
  <c r="AC31" i="4"/>
  <c r="AK31" i="4"/>
  <c r="AI31" i="4"/>
  <c r="AJ31" i="4"/>
  <c r="AM31" i="4"/>
  <c r="AS31" i="4"/>
  <c r="F22" i="15"/>
  <c r="F90" i="15" s="1"/>
  <c r="F93" i="15" s="1"/>
  <c r="E90" i="15" s="1"/>
  <c r="E93" i="15" s="1"/>
  <c r="CA28" i="4"/>
  <c r="BB28" i="4"/>
  <c r="BR28" i="4"/>
  <c r="BC28" i="4"/>
  <c r="BT28" i="4"/>
  <c r="DD28" i="4"/>
  <c r="BG28" i="4"/>
  <c r="BX28" i="4"/>
  <c r="EC28" i="4"/>
  <c r="CB28" i="4"/>
  <c r="CI28" i="4"/>
  <c r="DQ28" i="4"/>
  <c r="CL28" i="4"/>
  <c r="CJ28" i="4"/>
  <c r="Z28" i="4"/>
  <c r="AB28" i="4"/>
  <c r="U28" i="4"/>
  <c r="AL28" i="4"/>
  <c r="AJ28" i="4"/>
  <c r="AK28" i="4"/>
  <c r="AN28" i="4"/>
  <c r="AW28" i="4"/>
  <c r="DG28" i="4"/>
  <c r="K111" i="3"/>
  <c r="W41" i="30"/>
  <c r="D25" i="65"/>
  <c r="E91" i="3"/>
  <c r="D29" i="65" s="1"/>
  <c r="AB27" i="46"/>
  <c r="BB40" i="30"/>
  <c r="Q26" i="29" s="1"/>
  <c r="Q28" i="46"/>
  <c r="CG28" i="46"/>
  <c r="CO28" i="46"/>
  <c r="CN28" i="46"/>
  <c r="W28" i="46"/>
  <c r="CF28" i="46"/>
  <c r="EA28" i="46"/>
  <c r="CR28" i="46"/>
  <c r="BH45" i="30"/>
  <c r="BH50" i="30" s="1"/>
  <c r="BH57" i="30" s="1"/>
  <c r="BH67" i="30" s="1"/>
  <c r="BH68" i="30" s="1"/>
  <c r="BH51" i="30" s="1"/>
  <c r="BG28" i="46"/>
  <c r="Y28" i="46"/>
  <c r="J303" i="3"/>
  <c r="J314" i="3" s="1"/>
  <c r="J392" i="3" s="1"/>
  <c r="BJ26" i="46"/>
  <c r="AN26" i="46"/>
  <c r="CH26" i="46"/>
  <c r="N25" i="46"/>
  <c r="BB25" i="46"/>
  <c r="CP25" i="46"/>
  <c r="R24" i="46"/>
  <c r="W24" i="46"/>
  <c r="AB24" i="46"/>
  <c r="U24" i="46"/>
  <c r="CE24" i="46"/>
  <c r="AF24" i="46"/>
  <c r="AG24" i="46"/>
  <c r="AM24" i="46"/>
  <c r="AL24" i="46"/>
  <c r="BA24" i="46"/>
  <c r="BI24" i="46"/>
  <c r="T24" i="46"/>
  <c r="AA24" i="46"/>
  <c r="V24" i="46"/>
  <c r="Y24" i="46"/>
  <c r="BX24" i="46"/>
  <c r="CG24" i="46"/>
  <c r="AO24" i="46"/>
  <c r="AV24" i="46"/>
  <c r="S24" i="46"/>
  <c r="Q24" i="46"/>
  <c r="Z24" i="46"/>
  <c r="AC24" i="46"/>
  <c r="CH24" i="46"/>
  <c r="BQ24" i="46"/>
  <c r="CF24" i="46"/>
  <c r="BP24" i="46"/>
  <c r="AN24" i="46"/>
  <c r="AH24" i="46"/>
  <c r="O24" i="46"/>
  <c r="AT24" i="46"/>
  <c r="BE24" i="46"/>
  <c r="AB79" i="3"/>
  <c r="H79" i="3" s="1"/>
  <c r="AA79" i="3"/>
  <c r="G79" i="3" s="1"/>
  <c r="AO79" i="3" s="1"/>
  <c r="L5" i="70" s="1"/>
  <c r="I42" i="68"/>
  <c r="AA119" i="3"/>
  <c r="G119" i="3" s="1"/>
  <c r="AO119" i="3" s="1"/>
  <c r="L25" i="70" s="1"/>
  <c r="AB119" i="3"/>
  <c r="H119" i="3" s="1"/>
  <c r="DR26" i="4"/>
  <c r="DP26" i="46" s="1"/>
  <c r="DS5" i="4"/>
  <c r="I16" i="68"/>
  <c r="AB88" i="3"/>
  <c r="H88" i="3" s="1"/>
  <c r="AA88" i="3"/>
  <c r="G88" i="3" s="1"/>
  <c r="AO88" i="3" s="1"/>
  <c r="L10" i="70" s="1"/>
  <c r="C27" i="4"/>
  <c r="C29" i="4"/>
  <c r="H264" i="3"/>
  <c r="AO264" i="3"/>
  <c r="AO259" i="3"/>
  <c r="L83" i="70" s="1"/>
  <c r="H259" i="3"/>
  <c r="AB276" i="3"/>
  <c r="H276" i="3" s="1"/>
  <c r="AA276" i="3"/>
  <c r="G276" i="3" s="1"/>
  <c r="AO276" i="3" s="1"/>
  <c r="L89" i="70" s="1"/>
  <c r="CC25" i="46"/>
  <c r="W25" i="46"/>
  <c r="AB25" i="46"/>
  <c r="Y25" i="46"/>
  <c r="BY25" i="46"/>
  <c r="CI25" i="46"/>
  <c r="BQ25" i="46"/>
  <c r="CK25" i="46"/>
  <c r="BN25" i="46"/>
  <c r="AM25" i="46"/>
  <c r="AN25" i="46"/>
  <c r="CM25" i="46"/>
  <c r="BT25" i="46"/>
  <c r="BE25" i="46"/>
  <c r="AR25" i="46"/>
  <c r="M25" i="46"/>
  <c r="CN25" i="46"/>
  <c r="BU25" i="46"/>
  <c r="BH25" i="46"/>
  <c r="AZ25" i="46"/>
  <c r="AK25" i="46"/>
  <c r="S25" i="46"/>
  <c r="AA25" i="46"/>
  <c r="V25" i="46"/>
  <c r="AC25" i="46"/>
  <c r="CJ25" i="46"/>
  <c r="CF25" i="46"/>
  <c r="BP25" i="46"/>
  <c r="AF25" i="46"/>
  <c r="AG25" i="46"/>
  <c r="AH25" i="46"/>
  <c r="CB25" i="46"/>
  <c r="BM25" i="46"/>
  <c r="BC25" i="46"/>
  <c r="AL25" i="46"/>
  <c r="EA25" i="46"/>
  <c r="CD25" i="46"/>
  <c r="BS25" i="46"/>
  <c r="R25" i="46"/>
  <c r="Q25" i="46"/>
  <c r="Z25" i="46"/>
  <c r="U25" i="46"/>
  <c r="BX25" i="46"/>
  <c r="CG25" i="46"/>
  <c r="AO25" i="46"/>
  <c r="AV25" i="46"/>
  <c r="CQ25" i="46"/>
  <c r="BZ25" i="46"/>
  <c r="BI25" i="46"/>
  <c r="BA25" i="46"/>
  <c r="AJ25" i="46"/>
  <c r="CR25" i="46"/>
  <c r="CA25" i="46"/>
  <c r="BO25" i="46"/>
  <c r="BD25" i="46"/>
  <c r="AS25" i="46"/>
  <c r="AE25" i="46"/>
  <c r="DY16" i="46"/>
  <c r="DY156" i="46"/>
  <c r="AE26" i="46"/>
  <c r="AR26" i="46"/>
  <c r="BQ26" i="46"/>
  <c r="CD24" i="46"/>
  <c r="BS24" i="46"/>
  <c r="BF24" i="46"/>
  <c r="AX24" i="46"/>
  <c r="AI24" i="46"/>
  <c r="CM24" i="46"/>
  <c r="BT24" i="46"/>
  <c r="BG24" i="46"/>
  <c r="AJ24" i="46"/>
  <c r="AQ25" i="46"/>
  <c r="BJ25" i="46"/>
  <c r="AT25" i="46"/>
  <c r="CL25" i="46"/>
  <c r="BN24" i="46"/>
  <c r="CI24" i="46"/>
  <c r="X25" i="46"/>
  <c r="P24" i="46"/>
  <c r="DW16" i="46"/>
  <c r="DW156" i="46"/>
  <c r="AB80" i="3"/>
  <c r="H80" i="3" s="1"/>
  <c r="K8" i="68" s="1"/>
  <c r="J8" i="68" s="1"/>
  <c r="I8" i="68"/>
  <c r="H8" i="68" s="1"/>
  <c r="AA80" i="3"/>
  <c r="G80" i="3" s="1"/>
  <c r="AO80" i="3" s="1"/>
  <c r="L6" i="70" s="1"/>
  <c r="BB33" i="4"/>
  <c r="AA181" i="3"/>
  <c r="G181" i="3" s="1"/>
  <c r="AO181" i="3" s="1"/>
  <c r="L55" i="70" s="1"/>
  <c r="BJ39" i="30"/>
  <c r="U25" i="29" s="1"/>
  <c r="AB40" i="30"/>
  <c r="S26" i="29" s="1"/>
  <c r="AB39" i="30"/>
  <c r="S25" i="29" s="1"/>
  <c r="J143" i="3"/>
  <c r="K90" i="65"/>
  <c r="AD192" i="3"/>
  <c r="Z152" i="3"/>
  <c r="AA152" i="3" s="1"/>
  <c r="G152" i="3" s="1"/>
  <c r="AO152" i="3" s="1"/>
  <c r="L42" i="70" s="1"/>
  <c r="I27" i="30"/>
  <c r="AB325" i="3"/>
  <c r="AI325" i="3" s="1"/>
  <c r="AA206" i="3"/>
  <c r="G206" i="3" s="1"/>
  <c r="AO206" i="3" s="1"/>
  <c r="AU333" i="3"/>
  <c r="R110" i="70" s="1"/>
  <c r="I110" i="70"/>
  <c r="AB181" i="3"/>
  <c r="H181" i="3" s="1"/>
  <c r="K94" i="68" s="1"/>
  <c r="AA99" i="3"/>
  <c r="G99" i="3" s="1"/>
  <c r="AO99" i="3" s="1"/>
  <c r="I256" i="3"/>
  <c r="I272" i="3" s="1"/>
  <c r="I389" i="3" s="1"/>
  <c r="AB59" i="30"/>
  <c r="AB66" i="30"/>
  <c r="CQ27" i="4"/>
  <c r="CQ156" i="4"/>
  <c r="H328" i="3"/>
  <c r="AO328" i="3"/>
  <c r="L108" i="70" s="1"/>
  <c r="I79" i="70"/>
  <c r="AU238" i="3"/>
  <c r="R79" i="70" s="1"/>
  <c r="I75" i="70"/>
  <c r="AU230" i="3"/>
  <c r="R75" i="70" s="1"/>
  <c r="I57" i="70"/>
  <c r="AU183" i="3"/>
  <c r="R57" i="70" s="1"/>
  <c r="I48" i="70"/>
  <c r="AU171" i="3"/>
  <c r="R48" i="70" s="1"/>
  <c r="Z126" i="3"/>
  <c r="L47" i="68"/>
  <c r="N47" i="68" s="1"/>
  <c r="H275" i="3"/>
  <c r="AI275" i="3"/>
  <c r="H297" i="3"/>
  <c r="DT22" i="4" s="1"/>
  <c r="DT156" i="4" s="1"/>
  <c r="AO297" i="3"/>
  <c r="L93" i="70" s="1"/>
  <c r="AH337" i="3"/>
  <c r="AI337" i="3" s="1"/>
  <c r="AF334" i="3"/>
  <c r="AG334" i="3"/>
  <c r="AG236" i="3"/>
  <c r="AD236" i="3"/>
  <c r="I128" i="68"/>
  <c r="AA228" i="3"/>
  <c r="G228" i="3" s="1"/>
  <c r="AO228" i="3" s="1"/>
  <c r="AD223" i="3"/>
  <c r="AG223" i="3"/>
  <c r="AD219" i="3"/>
  <c r="AH219" i="3" s="1"/>
  <c r="X219" i="3"/>
  <c r="AB219" i="3" s="1"/>
  <c r="H219" i="3" s="1"/>
  <c r="K119" i="68" s="1"/>
  <c r="X156" i="3"/>
  <c r="I73" i="68" s="1"/>
  <c r="H73" i="68" s="1"/>
  <c r="AF156" i="3"/>
  <c r="AG126" i="3"/>
  <c r="X126" i="3"/>
  <c r="AB126" i="3" s="1"/>
  <c r="H126" i="3" s="1"/>
  <c r="K47" i="68" s="1"/>
  <c r="AF126" i="3"/>
  <c r="AD126" i="3"/>
  <c r="AG122" i="3"/>
  <c r="X122" i="3"/>
  <c r="AF213" i="3"/>
  <c r="AD213" i="3"/>
  <c r="X98" i="3"/>
  <c r="AG98" i="3"/>
  <c r="AF98" i="3"/>
  <c r="AF82" i="3"/>
  <c r="AG82" i="3"/>
  <c r="AU275" i="3"/>
  <c r="R88" i="70" s="1"/>
  <c r="I88" i="70"/>
  <c r="I82" i="70"/>
  <c r="AU257" i="3"/>
  <c r="R82" i="70" s="1"/>
  <c r="T152" i="70"/>
  <c r="T132" i="70"/>
  <c r="AF197" i="3"/>
  <c r="AH197" i="3" s="1"/>
  <c r="AD197" i="3"/>
  <c r="AD127" i="3"/>
  <c r="AG127" i="3"/>
  <c r="X127" i="3"/>
  <c r="I48" i="68" s="1"/>
  <c r="AF127" i="3"/>
  <c r="G44" i="30"/>
  <c r="AU306" i="3"/>
  <c r="R97" i="70" s="1"/>
  <c r="I97" i="70"/>
  <c r="AU37" i="3"/>
  <c r="R139" i="70" s="1"/>
  <c r="I139" i="70"/>
  <c r="I74" i="70"/>
  <c r="AU227" i="3"/>
  <c r="R74" i="70" s="1"/>
  <c r="AH115" i="3"/>
  <c r="AY45" i="30"/>
  <c r="AY50" i="30" s="1"/>
  <c r="AY57" i="30" s="1"/>
  <c r="AY67" i="30" s="1"/>
  <c r="AY68" i="30" s="1"/>
  <c r="AY51" i="30" s="1"/>
  <c r="L316" i="3"/>
  <c r="L319" i="3" s="1"/>
  <c r="L394" i="3" s="1"/>
  <c r="I316" i="3"/>
  <c r="I319" i="3" s="1"/>
  <c r="I394" i="3" s="1"/>
  <c r="AH237" i="3"/>
  <c r="AG333" i="3"/>
  <c r="AH333" i="3" s="1"/>
  <c r="I87" i="70"/>
  <c r="AU152" i="3"/>
  <c r="R42" i="70" s="1"/>
  <c r="I42" i="70"/>
  <c r="I41" i="70"/>
  <c r="AU146" i="3"/>
  <c r="R41" i="70" s="1"/>
  <c r="AU103" i="3"/>
  <c r="R16" i="70" s="1"/>
  <c r="I16" i="70"/>
  <c r="AU51" i="3"/>
  <c r="R151" i="70" s="1"/>
  <c r="I151" i="70"/>
  <c r="I138" i="70"/>
  <c r="AU36" i="3"/>
  <c r="R138" i="70" s="1"/>
  <c r="AU28" i="3"/>
  <c r="R130" i="70" s="1"/>
  <c r="I130" i="70"/>
  <c r="AI280" i="3"/>
  <c r="AO66" i="30"/>
  <c r="Q66" i="30" s="1"/>
  <c r="T49" i="30"/>
  <c r="K37" i="29" s="1"/>
  <c r="T56" i="30"/>
  <c r="X82" i="3"/>
  <c r="AF333" i="3"/>
  <c r="I168" i="70"/>
  <c r="I146" i="70"/>
  <c r="I102" i="70"/>
  <c r="AU322" i="3"/>
  <c r="R105" i="70" s="1"/>
  <c r="I105" i="70"/>
  <c r="I76" i="70"/>
  <c r="AU235" i="3"/>
  <c r="R76" i="70" s="1"/>
  <c r="AU172" i="3"/>
  <c r="R49" i="70" s="1"/>
  <c r="I49" i="70"/>
  <c r="M26" i="4"/>
  <c r="B25" i="4"/>
  <c r="AA280" i="3"/>
  <c r="G280" i="3" s="1"/>
  <c r="AO280" i="3" s="1"/>
  <c r="L91" i="70" s="1"/>
  <c r="AO301" i="3"/>
  <c r="H301" i="3"/>
  <c r="Q24" i="4"/>
  <c r="AS24" i="4"/>
  <c r="BY24" i="4"/>
  <c r="DG24" i="4"/>
  <c r="BR24" i="4"/>
  <c r="X24" i="4"/>
  <c r="AN24" i="4"/>
  <c r="BD24" i="4"/>
  <c r="BT24" i="4"/>
  <c r="CJ24" i="4"/>
  <c r="DI24" i="4"/>
  <c r="Y24" i="4"/>
  <c r="AT24" i="4"/>
  <c r="BO24" i="4"/>
  <c r="CK24" i="4"/>
  <c r="DO24" i="4"/>
  <c r="AE24" i="4"/>
  <c r="BA24" i="4"/>
  <c r="BV24" i="4"/>
  <c r="CQ24" i="4"/>
  <c r="CS24" i="4"/>
  <c r="BB24" i="4"/>
  <c r="DH24" i="4"/>
  <c r="BI24" i="4"/>
  <c r="R24" i="4"/>
  <c r="W24" i="4"/>
  <c r="BC24" i="4"/>
  <c r="CC24" i="4"/>
  <c r="DN24" i="4"/>
  <c r="AW24" i="4"/>
  <c r="AB24" i="4"/>
  <c r="AR24" i="4"/>
  <c r="BH24" i="4"/>
  <c r="BX24" i="4"/>
  <c r="CN24" i="4"/>
  <c r="DM24" i="4"/>
  <c r="AD24" i="4"/>
  <c r="AY24" i="4"/>
  <c r="BU24" i="4"/>
  <c r="CP24" i="4"/>
  <c r="O24" i="4"/>
  <c r="AK24" i="4"/>
  <c r="BF24" i="4"/>
  <c r="CA24" i="4"/>
  <c r="DF24" i="4"/>
  <c r="CH24" i="4"/>
  <c r="AQ24" i="4"/>
  <c r="CO24" i="4"/>
  <c r="AX24" i="4"/>
  <c r="AP55" i="30"/>
  <c r="R55" i="30" s="1"/>
  <c r="AB328" i="3"/>
  <c r="AI328" i="3" s="1"/>
  <c r="AA289" i="3"/>
  <c r="G289" i="3" s="1"/>
  <c r="AO289" i="3" s="1"/>
  <c r="AA285" i="3"/>
  <c r="G285" i="3" s="1"/>
  <c r="AO285" i="3" s="1"/>
  <c r="AA281" i="3"/>
  <c r="G281" i="3" s="1"/>
  <c r="AO281" i="3" s="1"/>
  <c r="I158" i="70"/>
  <c r="I30" i="70"/>
  <c r="AU220" i="3"/>
  <c r="R67" i="70" s="1"/>
  <c r="T47" i="30"/>
  <c r="K35" i="29" s="1"/>
  <c r="CW22" i="4"/>
  <c r="CW36" i="4" s="1"/>
  <c r="CU22" i="46"/>
  <c r="CD24" i="4"/>
  <c r="BW24" i="4"/>
  <c r="CG24" i="4"/>
  <c r="AP24" i="4"/>
  <c r="DD24" i="4"/>
  <c r="BE24" i="4"/>
  <c r="DQ24" i="4"/>
  <c r="CB24" i="4"/>
  <c r="AV24" i="4"/>
  <c r="P24" i="4"/>
  <c r="CM24" i="4"/>
  <c r="CT24" i="4"/>
  <c r="AL24" i="4"/>
  <c r="S32" i="31"/>
  <c r="V32" i="31" s="1"/>
  <c r="AQ54" i="30"/>
  <c r="S54" i="30" s="1"/>
  <c r="AP53" i="30"/>
  <c r="R53" i="30" s="1"/>
  <c r="AO52" i="30"/>
  <c r="Q52" i="30" s="1"/>
  <c r="G41" i="30"/>
  <c r="T41" i="30"/>
  <c r="K27" i="29" s="1"/>
  <c r="CT22" i="46"/>
  <c r="CV22" i="4"/>
  <c r="CV24" i="46"/>
  <c r="CV32" i="46" s="1"/>
  <c r="CV44" i="46" s="1"/>
  <c r="CV156" i="46"/>
  <c r="D42" i="30"/>
  <c r="L42" i="30"/>
  <c r="I28" i="29" s="1"/>
  <c r="F28" i="29" s="1"/>
  <c r="G28" i="29" s="1"/>
  <c r="BB42" i="30"/>
  <c r="Q28" i="29" s="1"/>
  <c r="BJ42" i="30"/>
  <c r="U28" i="29" s="1"/>
  <c r="L49" i="30"/>
  <c r="I37" i="29" s="1"/>
  <c r="CX22" i="4"/>
  <c r="Q40" i="30"/>
  <c r="I40" i="30" s="1"/>
  <c r="Q28" i="30"/>
  <c r="I28" i="30" s="1"/>
  <c r="T28" i="30"/>
  <c r="K21" i="29" s="1"/>
  <c r="BO45" i="30"/>
  <c r="BO50" i="30" s="1"/>
  <c r="BO57" i="30" s="1"/>
  <c r="BO67" i="30" s="1"/>
  <c r="BO68" i="30" s="1"/>
  <c r="BO58" i="30" s="1"/>
  <c r="AB26" i="30"/>
  <c r="AB27" i="30"/>
  <c r="S23" i="29" s="1"/>
  <c r="AB28" i="30"/>
  <c r="AB37" i="30"/>
  <c r="AB38" i="30"/>
  <c r="S24" i="29" s="1"/>
  <c r="AB42" i="30"/>
  <c r="S28" i="29" s="1"/>
  <c r="AB43" i="30"/>
  <c r="S29" i="29" s="1"/>
  <c r="H27" i="30"/>
  <c r="E9" i="73" s="1"/>
  <c r="L44" i="30"/>
  <c r="I30" i="29" s="1"/>
  <c r="K86" i="15"/>
  <c r="K88" i="15" s="1"/>
  <c r="J41" i="30"/>
  <c r="F41" i="30"/>
  <c r="BI45" i="30"/>
  <c r="BI50" i="30" s="1"/>
  <c r="BI57" i="30" s="1"/>
  <c r="BI67" i="30" s="1"/>
  <c r="BI68" i="30" s="1"/>
  <c r="AB44" i="30"/>
  <c r="S30" i="29" s="1"/>
  <c r="I147" i="70"/>
  <c r="L93" i="3"/>
  <c r="G20" i="29"/>
  <c r="G42" i="29"/>
  <c r="G46" i="29"/>
  <c r="G50" i="29"/>
  <c r="G54" i="29"/>
  <c r="G58" i="29"/>
  <c r="G22" i="29"/>
  <c r="G43" i="29"/>
  <c r="G47" i="29"/>
  <c r="G51" i="29"/>
  <c r="G55" i="29"/>
  <c r="G59" i="29"/>
  <c r="G31" i="29"/>
  <c r="G39" i="29"/>
  <c r="G44" i="29"/>
  <c r="G48" i="29"/>
  <c r="G52" i="29"/>
  <c r="G56" i="29"/>
  <c r="G60" i="29"/>
  <c r="G33" i="29"/>
  <c r="G41" i="29"/>
  <c r="G45" i="29"/>
  <c r="G49" i="29"/>
  <c r="G53" i="29"/>
  <c r="G57" i="29"/>
  <c r="G61" i="29"/>
  <c r="AH96" i="3"/>
  <c r="M143" i="3"/>
  <c r="K303" i="3"/>
  <c r="K314" i="3" s="1"/>
  <c r="K392" i="3" s="1"/>
  <c r="M303" i="3"/>
  <c r="M314" i="3" s="1"/>
  <c r="M392" i="3" s="1"/>
  <c r="L120" i="3"/>
  <c r="AH177" i="3"/>
  <c r="AH88" i="3"/>
  <c r="AI88" i="3" s="1"/>
  <c r="AU21" i="3"/>
  <c r="R123" i="70" s="1"/>
  <c r="AM69" i="3"/>
  <c r="J164" i="70" s="1"/>
  <c r="G61" i="3"/>
  <c r="H61" i="3" s="1"/>
  <c r="DC22" i="46" s="1"/>
  <c r="AM65" i="3"/>
  <c r="J160" i="70" s="1"/>
  <c r="AM61" i="3"/>
  <c r="J156" i="70" s="1"/>
  <c r="G69" i="3"/>
  <c r="H69" i="3" s="1"/>
  <c r="DK22" i="46" s="1"/>
  <c r="G65" i="3"/>
  <c r="H65" i="3" s="1"/>
  <c r="DI22" i="4" s="1"/>
  <c r="AU40" i="3"/>
  <c r="R142" i="70" s="1"/>
  <c r="I134" i="70"/>
  <c r="AU26" i="3"/>
  <c r="R128" i="70" s="1"/>
  <c r="AU22" i="3"/>
  <c r="R124" i="70" s="1"/>
  <c r="AU15" i="3"/>
  <c r="R117" i="70" s="1"/>
  <c r="AU19" i="3"/>
  <c r="R121" i="70" s="1"/>
  <c r="G72" i="3"/>
  <c r="H72" i="3" s="1"/>
  <c r="DN22" i="46" s="1"/>
  <c r="AJ156" i="46"/>
  <c r="AA156" i="4"/>
  <c r="Z31" i="4"/>
  <c r="G64" i="3"/>
  <c r="H64" i="3" s="1"/>
  <c r="DH22" i="4" s="1"/>
  <c r="AI156" i="46"/>
  <c r="AM68" i="3"/>
  <c r="J163" i="70" s="1"/>
  <c r="AM64" i="3"/>
  <c r="J159" i="70" s="1"/>
  <c r="G63" i="3"/>
  <c r="H63" i="3" s="1"/>
  <c r="DG22" i="4" s="1"/>
  <c r="DG156" i="4" s="1"/>
  <c r="AM72" i="3"/>
  <c r="J167" i="70" s="1"/>
  <c r="AU67" i="3"/>
  <c r="R162" i="70" s="1"/>
  <c r="AU71" i="3"/>
  <c r="R166" i="70" s="1"/>
  <c r="AM67" i="3"/>
  <c r="J162" i="70" s="1"/>
  <c r="AM71" i="3"/>
  <c r="J166" i="70" s="1"/>
  <c r="D12" i="69"/>
  <c r="E12" i="69" s="1"/>
  <c r="F12" i="69" s="1"/>
  <c r="E73" i="3"/>
  <c r="E75" i="3" s="1"/>
  <c r="AM63" i="3"/>
  <c r="J158" i="70" s="1"/>
  <c r="G71" i="3"/>
  <c r="H71" i="3" s="1"/>
  <c r="DO22" i="4" s="1"/>
  <c r="I156" i="70"/>
  <c r="AU33" i="3"/>
  <c r="R135" i="70" s="1"/>
  <c r="AU43" i="3"/>
  <c r="R145" i="70" s="1"/>
  <c r="T133" i="70"/>
  <c r="I131" i="70"/>
  <c r="I143" i="70"/>
  <c r="AU16" i="3"/>
  <c r="R118" i="70" s="1"/>
  <c r="AU20" i="3"/>
  <c r="R122" i="70" s="1"/>
  <c r="Y26" i="46"/>
  <c r="I303" i="3"/>
  <c r="I314" i="3" s="1"/>
  <c r="I392" i="3" s="1"/>
  <c r="L303" i="3"/>
  <c r="L314" i="3" s="1"/>
  <c r="L392" i="3" s="1"/>
  <c r="AA317" i="3"/>
  <c r="G317" i="3" s="1"/>
  <c r="AO317" i="3" s="1"/>
  <c r="L103" i="70" s="1"/>
  <c r="M316" i="3"/>
  <c r="M319" i="3" s="1"/>
  <c r="M394" i="3" s="1"/>
  <c r="O39" i="30"/>
  <c r="G39" i="30" s="1"/>
  <c r="D11" i="73" s="1"/>
  <c r="I96" i="70"/>
  <c r="DR22" i="46"/>
  <c r="AO295" i="3"/>
  <c r="I86" i="70"/>
  <c r="I85" i="70"/>
  <c r="M256" i="3"/>
  <c r="M272" i="3" s="1"/>
  <c r="M389" i="3" s="1"/>
  <c r="T157" i="70"/>
  <c r="I160" i="70"/>
  <c r="L256" i="3"/>
  <c r="AO261" i="3"/>
  <c r="M54" i="3"/>
  <c r="AU34" i="3"/>
  <c r="R136" i="70" s="1"/>
  <c r="T130" i="70"/>
  <c r="AT156" i="46"/>
  <c r="I148" i="70"/>
  <c r="T134" i="70"/>
  <c r="AU30" i="3"/>
  <c r="R132" i="70" s="1"/>
  <c r="AA30" i="4"/>
  <c r="P156" i="46"/>
  <c r="AO294" i="3"/>
  <c r="L92" i="70" s="1"/>
  <c r="H269" i="3"/>
  <c r="AO260" i="3"/>
  <c r="L84" i="70" s="1"/>
  <c r="E105" i="3"/>
  <c r="D37" i="65" s="1"/>
  <c r="D27" i="65"/>
  <c r="AA183" i="3"/>
  <c r="G183" i="3" s="1"/>
  <c r="AO183" i="3" s="1"/>
  <c r="L57" i="70" s="1"/>
  <c r="AU107" i="3"/>
  <c r="R19" i="70" s="1"/>
  <c r="I56" i="70"/>
  <c r="AU182" i="3"/>
  <c r="R56" i="70" s="1"/>
  <c r="I52" i="70"/>
  <c r="AU178" i="3"/>
  <c r="R52" i="70" s="1"/>
  <c r="AU158" i="3"/>
  <c r="R45" i="70" s="1"/>
  <c r="I45" i="70"/>
  <c r="F68" i="15"/>
  <c r="AD112" i="3"/>
  <c r="AI112" i="3"/>
  <c r="H112" i="3"/>
  <c r="K34" i="68" s="1"/>
  <c r="I34" i="68" s="1"/>
  <c r="I44" i="68"/>
  <c r="H44" i="68" s="1"/>
  <c r="AA121" i="3"/>
  <c r="G121" i="3" s="1"/>
  <c r="AO121" i="3" s="1"/>
  <c r="L26" i="70" s="1"/>
  <c r="I69" i="68"/>
  <c r="AB152" i="3"/>
  <c r="H152" i="3" s="1"/>
  <c r="K69" i="68" s="1"/>
  <c r="I28" i="68"/>
  <c r="AA103" i="3"/>
  <c r="G103" i="3" s="1"/>
  <c r="AO103" i="3" s="1"/>
  <c r="L16" i="70" s="1"/>
  <c r="AU223" i="3"/>
  <c r="R70" i="70" s="1"/>
  <c r="I70" i="70"/>
  <c r="AU139" i="3"/>
  <c r="R37" i="70" s="1"/>
  <c r="I37" i="70"/>
  <c r="AU126" i="3"/>
  <c r="R28" i="70" s="1"/>
  <c r="I28" i="70"/>
  <c r="AU213" i="3"/>
  <c r="R22" i="70" s="1"/>
  <c r="I22" i="70"/>
  <c r="I111" i="3"/>
  <c r="I384" i="3" s="1"/>
  <c r="AI152" i="3"/>
  <c r="I31" i="68"/>
  <c r="AB107" i="3"/>
  <c r="H107" i="3" s="1"/>
  <c r="AA107" i="3"/>
  <c r="G107" i="3" s="1"/>
  <c r="AO107" i="3" s="1"/>
  <c r="L19" i="70" s="1"/>
  <c r="BV22" i="46"/>
  <c r="BX22" i="4"/>
  <c r="I49" i="68"/>
  <c r="AA128" i="3"/>
  <c r="G128" i="3" s="1"/>
  <c r="AO128" i="3" s="1"/>
  <c r="AA334" i="3"/>
  <c r="G334" i="3" s="1"/>
  <c r="AO334" i="3" s="1"/>
  <c r="L111" i="70" s="1"/>
  <c r="AB334" i="3"/>
  <c r="H334" i="3" s="1"/>
  <c r="AA274" i="3"/>
  <c r="G274" i="3" s="1"/>
  <c r="AO274" i="3" s="1"/>
  <c r="L87" i="70" s="1"/>
  <c r="AB274" i="3"/>
  <c r="H274" i="3" s="1"/>
  <c r="AA224" i="3"/>
  <c r="G224" i="3" s="1"/>
  <c r="AO224" i="3" s="1"/>
  <c r="L71" i="70" s="1"/>
  <c r="AB224" i="3"/>
  <c r="AB182" i="3"/>
  <c r="H182" i="3" s="1"/>
  <c r="K95" i="68" s="1"/>
  <c r="AA182" i="3"/>
  <c r="G182" i="3" s="1"/>
  <c r="AO182" i="3" s="1"/>
  <c r="L56" i="70" s="1"/>
  <c r="AB178" i="3"/>
  <c r="H178" i="3" s="1"/>
  <c r="K91" i="68" s="1"/>
  <c r="AA178" i="3"/>
  <c r="G178" i="3" s="1"/>
  <c r="AO178" i="3" s="1"/>
  <c r="L52" i="70" s="1"/>
  <c r="AA136" i="3"/>
  <c r="G136" i="3" s="1"/>
  <c r="AO136" i="3" s="1"/>
  <c r="L34" i="70" s="1"/>
  <c r="AB136" i="3"/>
  <c r="H136" i="3" s="1"/>
  <c r="K55" i="68" s="1"/>
  <c r="X239" i="3"/>
  <c r="I137" i="68" s="1"/>
  <c r="H137" i="68" s="1"/>
  <c r="AD239" i="3"/>
  <c r="AF239" i="3"/>
  <c r="X235" i="3"/>
  <c r="AA235" i="3" s="1"/>
  <c r="G235" i="3" s="1"/>
  <c r="AO235" i="3" s="1"/>
  <c r="L76" i="70" s="1"/>
  <c r="AG235" i="3"/>
  <c r="AF235" i="3"/>
  <c r="X226" i="3"/>
  <c r="AG226" i="3"/>
  <c r="AF226" i="3"/>
  <c r="AH226" i="3" s="1"/>
  <c r="AG222" i="3"/>
  <c r="AF222" i="3"/>
  <c r="AD222" i="3"/>
  <c r="AD218" i="3"/>
  <c r="X218" i="3"/>
  <c r="I118" i="68" s="1"/>
  <c r="AG218" i="3"/>
  <c r="AD191" i="3"/>
  <c r="AF191" i="3"/>
  <c r="X191" i="3"/>
  <c r="AB191" i="3" s="1"/>
  <c r="H191" i="3" s="1"/>
  <c r="AG191" i="3"/>
  <c r="I98" i="68"/>
  <c r="AA187" i="3"/>
  <c r="G187" i="3" s="1"/>
  <c r="AO187" i="3" s="1"/>
  <c r="AF183" i="3"/>
  <c r="AG183" i="3"/>
  <c r="AB183" i="3"/>
  <c r="H183" i="3" s="1"/>
  <c r="K96" i="68" s="1"/>
  <c r="AF179" i="3"/>
  <c r="AG179" i="3"/>
  <c r="X179" i="3"/>
  <c r="AB179" i="3" s="1"/>
  <c r="X171" i="3"/>
  <c r="AB171" i="3" s="1"/>
  <c r="H171" i="3" s="1"/>
  <c r="K86" i="68" s="1"/>
  <c r="J86" i="68" s="1"/>
  <c r="AG171" i="3"/>
  <c r="AF171" i="3"/>
  <c r="AA150" i="3"/>
  <c r="G150" i="3" s="1"/>
  <c r="AO150" i="3" s="1"/>
  <c r="I67" i="68"/>
  <c r="AD146" i="3"/>
  <c r="AB146" i="3"/>
  <c r="AF146" i="3"/>
  <c r="AG146" i="3"/>
  <c r="X138" i="3"/>
  <c r="AB138" i="3" s="1"/>
  <c r="H138" i="3" s="1"/>
  <c r="K57" i="68" s="1"/>
  <c r="I57" i="68" s="1"/>
  <c r="AG121" i="3"/>
  <c r="AB121" i="3"/>
  <c r="H121" i="3" s="1"/>
  <c r="AD121" i="3"/>
  <c r="AG103" i="3"/>
  <c r="AF103" i="3"/>
  <c r="AD103" i="3"/>
  <c r="AF100" i="3"/>
  <c r="AG100" i="3"/>
  <c r="X100" i="3"/>
  <c r="AF94" i="3"/>
  <c r="X94" i="3"/>
  <c r="AB94" i="3" s="1"/>
  <c r="H94" i="3" s="1"/>
  <c r="AG94" i="3"/>
  <c r="AH94" i="3" s="1"/>
  <c r="AB85" i="3"/>
  <c r="H85" i="3" s="1"/>
  <c r="K13" i="68" s="1"/>
  <c r="AD81" i="3"/>
  <c r="AF81" i="3"/>
  <c r="AU135" i="3"/>
  <c r="R33" i="70" s="1"/>
  <c r="I66" i="70"/>
  <c r="M111" i="3"/>
  <c r="M123" i="3" s="1"/>
  <c r="L111" i="3"/>
  <c r="L384" i="3" s="1"/>
  <c r="K71" i="68"/>
  <c r="AB222" i="3"/>
  <c r="H222" i="3" s="1"/>
  <c r="K122" i="68" s="1"/>
  <c r="AF218" i="3"/>
  <c r="AG239" i="3"/>
  <c r="E248" i="3"/>
  <c r="F243" i="3"/>
  <c r="E78" i="65" s="1"/>
  <c r="M145" i="3"/>
  <c r="X81" i="3"/>
  <c r="I9" i="68" s="1"/>
  <c r="H9" i="68" s="1"/>
  <c r="I125" i="3"/>
  <c r="I129" i="3" s="1"/>
  <c r="I385" i="3" s="1"/>
  <c r="H26" i="68"/>
  <c r="X197" i="3"/>
  <c r="I104" i="68" s="1"/>
  <c r="I145" i="3"/>
  <c r="J241" i="3"/>
  <c r="H16" i="68"/>
  <c r="AB247" i="3"/>
  <c r="L125" i="3"/>
  <c r="L129" i="3" s="1"/>
  <c r="L385" i="3" s="1"/>
  <c r="K125" i="3"/>
  <c r="K129" i="3" s="1"/>
  <c r="K385" i="3" s="1"/>
  <c r="AB101" i="3"/>
  <c r="H101" i="3" s="1"/>
  <c r="AA97" i="3"/>
  <c r="G97" i="3" s="1"/>
  <c r="AO97" i="3" s="1"/>
  <c r="L18" i="70" s="1"/>
  <c r="AG197" i="3"/>
  <c r="X227" i="3"/>
  <c r="AB227" i="3" s="1"/>
  <c r="H227" i="3" s="1"/>
  <c r="K127" i="68" s="1"/>
  <c r="I29" i="70"/>
  <c r="CA22" i="46"/>
  <c r="AH99" i="3"/>
  <c r="AI99" i="3" s="1"/>
  <c r="AH89" i="3"/>
  <c r="L143" i="3"/>
  <c r="AA198" i="3"/>
  <c r="G198" i="3" s="1"/>
  <c r="AO198" i="3" s="1"/>
  <c r="AH132" i="3"/>
  <c r="H273" i="3"/>
  <c r="H277" i="3" s="1"/>
  <c r="H390" i="3" s="1"/>
  <c r="AU38" i="30" s="1"/>
  <c r="AS38" i="30" s="1"/>
  <c r="O24" i="29" s="1"/>
  <c r="AB115" i="3"/>
  <c r="H115" i="3" s="1"/>
  <c r="K38" i="68" s="1"/>
  <c r="AA254" i="3"/>
  <c r="G254" i="3" s="1"/>
  <c r="AO254" i="3" s="1"/>
  <c r="AD227" i="3"/>
  <c r="AU68" i="3"/>
  <c r="R163" i="70" s="1"/>
  <c r="P27" i="46"/>
  <c r="G68" i="3"/>
  <c r="H68" i="3" s="1"/>
  <c r="DL22" i="4" s="1"/>
  <c r="AU66" i="3"/>
  <c r="R161" i="70" s="1"/>
  <c r="AU42" i="3"/>
  <c r="R144" i="70" s="1"/>
  <c r="AU27" i="3"/>
  <c r="R129" i="70" s="1"/>
  <c r="AU38" i="3"/>
  <c r="R140" i="70" s="1"/>
  <c r="AU39" i="3"/>
  <c r="R141" i="70" s="1"/>
  <c r="I133" i="70"/>
  <c r="I149" i="70"/>
  <c r="T131" i="70"/>
  <c r="I115" i="70"/>
  <c r="C26" i="4"/>
  <c r="N26" i="4" s="1"/>
  <c r="AW22" i="4"/>
  <c r="AM70" i="3"/>
  <c r="J165" i="70" s="1"/>
  <c r="G70" i="3"/>
  <c r="H70" i="3" s="1"/>
  <c r="M87" i="3"/>
  <c r="M91" i="3" s="1"/>
  <c r="M380" i="3" s="1"/>
  <c r="K243" i="3"/>
  <c r="K248" i="3" s="1"/>
  <c r="M163" i="3"/>
  <c r="AH180" i="3"/>
  <c r="AA85" i="3"/>
  <c r="G85" i="3" s="1"/>
  <c r="AO85" i="3" s="1"/>
  <c r="AA114" i="3"/>
  <c r="G114" i="3" s="1"/>
  <c r="AO114" i="3" s="1"/>
  <c r="BD22" i="46"/>
  <c r="AB172" i="3"/>
  <c r="AI172" i="3" s="1"/>
  <c r="AB103" i="3"/>
  <c r="AA101" i="3"/>
  <c r="G101" i="3" s="1"/>
  <c r="AO101" i="3" s="1"/>
  <c r="L14" i="70" s="1"/>
  <c r="AA116" i="3"/>
  <c r="G116" i="3" s="1"/>
  <c r="AO116" i="3" s="1"/>
  <c r="L24" i="70" s="1"/>
  <c r="AA215" i="3"/>
  <c r="G215" i="3" s="1"/>
  <c r="AO215" i="3" s="1"/>
  <c r="J243" i="3"/>
  <c r="J248" i="3" s="1"/>
  <c r="AF112" i="3"/>
  <c r="AH112" i="3" s="1"/>
  <c r="AH184" i="3"/>
  <c r="AA202" i="3"/>
  <c r="G202" i="3" s="1"/>
  <c r="AO202" i="3" s="1"/>
  <c r="AB140" i="3"/>
  <c r="H140" i="3" s="1"/>
  <c r="K59" i="68" s="1"/>
  <c r="I163" i="3"/>
  <c r="AA86" i="3"/>
  <c r="G86" i="3" s="1"/>
  <c r="AO86" i="3" s="1"/>
  <c r="L9" i="70" s="1"/>
  <c r="AA252" i="3"/>
  <c r="G252" i="3" s="1"/>
  <c r="AO252" i="3" s="1"/>
  <c r="AA231" i="3"/>
  <c r="G231" i="3" s="1"/>
  <c r="AO231" i="3" s="1"/>
  <c r="AB226" i="3"/>
  <c r="H226" i="3" s="1"/>
  <c r="K126" i="68" s="1"/>
  <c r="AA222" i="3"/>
  <c r="G222" i="3" s="1"/>
  <c r="AO222" i="3" s="1"/>
  <c r="L69" i="70" s="1"/>
  <c r="AB156" i="3"/>
  <c r="H156" i="3" s="1"/>
  <c r="AB134" i="3"/>
  <c r="H134" i="3" s="1"/>
  <c r="K53" i="68" s="1"/>
  <c r="I53" i="68" s="1"/>
  <c r="AP45" i="30"/>
  <c r="AP50" i="30" s="1"/>
  <c r="T22" i="4"/>
  <c r="T31" i="4" s="1"/>
  <c r="AU17" i="3"/>
  <c r="R119" i="70" s="1"/>
  <c r="V22" i="4"/>
  <c r="V156" i="4" s="1"/>
  <c r="P22" i="4"/>
  <c r="P27" i="4" s="1"/>
  <c r="H325" i="3"/>
  <c r="AA325" i="3"/>
  <c r="J321" i="3"/>
  <c r="L321" i="3"/>
  <c r="M321" i="3"/>
  <c r="L331" i="3"/>
  <c r="L395" i="3" s="1"/>
  <c r="M331" i="3"/>
  <c r="M395" i="3" s="1"/>
  <c r="AO45" i="30"/>
  <c r="AO50" i="30" s="1"/>
  <c r="AI329" i="3"/>
  <c r="H329" i="3"/>
  <c r="AP22" i="4"/>
  <c r="AP156" i="4" s="1"/>
  <c r="AD22" i="4"/>
  <c r="AD156" i="4" s="1"/>
  <c r="AM62" i="3"/>
  <c r="J157" i="70" s="1"/>
  <c r="G66" i="3"/>
  <c r="H66" i="3" s="1"/>
  <c r="DH22" i="46" s="1"/>
  <c r="H56" i="3"/>
  <c r="AA329" i="3"/>
  <c r="G329" i="3" s="1"/>
  <c r="AO329" i="3" s="1"/>
  <c r="L109" i="70" s="1"/>
  <c r="N61" i="58"/>
  <c r="G62" i="3"/>
  <c r="H62" i="3" s="1"/>
  <c r="DD22" i="46" s="1"/>
  <c r="DD156" i="46" s="1"/>
  <c r="AL22" i="4"/>
  <c r="AL27" i="4" s="1"/>
  <c r="AX156" i="46"/>
  <c r="AZ22" i="4"/>
  <c r="AH119" i="3"/>
  <c r="AI119" i="3" s="1"/>
  <c r="F88" i="15"/>
  <c r="F98" i="15" s="1"/>
  <c r="F61" i="15"/>
  <c r="I87" i="3"/>
  <c r="G26" i="65" s="1"/>
  <c r="AH182" i="3"/>
  <c r="AH178" i="3"/>
  <c r="AI178" i="3" s="1"/>
  <c r="AH274" i="3"/>
  <c r="BI22" i="4"/>
  <c r="BI156" i="4" s="1"/>
  <c r="K23" i="68"/>
  <c r="BG22" i="46"/>
  <c r="F33" i="65"/>
  <c r="L34" i="15"/>
  <c r="M105" i="3"/>
  <c r="L87" i="3"/>
  <c r="L91" i="3" s="1"/>
  <c r="L380" i="3" s="1"/>
  <c r="AH244" i="3"/>
  <c r="AH107" i="3"/>
  <c r="AI107" i="3" s="1"/>
  <c r="AH181" i="3"/>
  <c r="AI181" i="3" s="1"/>
  <c r="M131" i="3"/>
  <c r="M387" i="3" s="1"/>
  <c r="O40" i="30"/>
  <c r="G40" i="30" s="1"/>
  <c r="D12" i="73" s="1"/>
  <c r="L131" i="3"/>
  <c r="L387" i="3" s="1"/>
  <c r="AH97" i="3"/>
  <c r="AI97" i="3" s="1"/>
  <c r="AH216" i="3"/>
  <c r="AH220" i="3"/>
  <c r="AA247" i="70"/>
  <c r="AH85" i="3"/>
  <c r="F24" i="15"/>
  <c r="K336" i="3"/>
  <c r="K339" i="3" s="1"/>
  <c r="K396" i="3" s="1"/>
  <c r="J120" i="3"/>
  <c r="L105" i="3"/>
  <c r="M109" i="3"/>
  <c r="L163" i="3"/>
  <c r="K163" i="3"/>
  <c r="AH79" i="3"/>
  <c r="AH84" i="3"/>
  <c r="AI84" i="3" s="1"/>
  <c r="AH80" i="3"/>
  <c r="AI80" i="3" s="1"/>
  <c r="AH101" i="3"/>
  <c r="AH116" i="3"/>
  <c r="M241" i="3"/>
  <c r="L205" i="3"/>
  <c r="L210" i="3" s="1"/>
  <c r="J195" i="3"/>
  <c r="J200" i="3" s="1"/>
  <c r="AH136" i="3"/>
  <c r="AH334" i="3"/>
  <c r="AH51" i="30"/>
  <c r="AH58" i="30"/>
  <c r="AI50" i="30"/>
  <c r="AB45" i="30"/>
  <c r="AF68" i="30"/>
  <c r="AA58" i="30"/>
  <c r="AA51" i="30"/>
  <c r="BE51" i="30"/>
  <c r="BE58" i="30"/>
  <c r="AG58" i="30"/>
  <c r="AG51" i="30"/>
  <c r="I365" i="3"/>
  <c r="I351" i="3"/>
  <c r="AN65" i="30"/>
  <c r="P65" i="30" s="1"/>
  <c r="AB41" i="30"/>
  <c r="S27" i="29" s="1"/>
  <c r="K321" i="3"/>
  <c r="K331" i="3"/>
  <c r="K395" i="3" s="1"/>
  <c r="AE51" i="30"/>
  <c r="BB69" i="30"/>
  <c r="AE58" i="30"/>
  <c r="G38" i="30"/>
  <c r="D10" i="73" s="1"/>
  <c r="W45" i="30"/>
  <c r="F50" i="15"/>
  <c r="AW67" i="30"/>
  <c r="AW68" i="30" s="1"/>
  <c r="F44" i="15"/>
  <c r="BJ55" i="30"/>
  <c r="BB43" i="30"/>
  <c r="Q29" i="29" s="1"/>
  <c r="K384" i="3"/>
  <c r="BB54" i="30"/>
  <c r="X54" i="30"/>
  <c r="T54" i="30" s="1"/>
  <c r="BF57" i="30"/>
  <c r="BF67" i="30" s="1"/>
  <c r="BF68" i="30" s="1"/>
  <c r="BM45" i="30"/>
  <c r="BJ41" i="30"/>
  <c r="U27" i="29" s="1"/>
  <c r="Z55" i="30"/>
  <c r="Z57" i="30" s="1"/>
  <c r="Z67" i="30" s="1"/>
  <c r="Z68" i="30" s="1"/>
  <c r="BB55" i="30"/>
  <c r="L41" i="30"/>
  <c r="I27" i="29" s="1"/>
  <c r="F56" i="15"/>
  <c r="G37" i="30"/>
  <c r="I175" i="3"/>
  <c r="G40" i="65" s="1"/>
  <c r="F23" i="15"/>
  <c r="BG45" i="30"/>
  <c r="BG50" i="30" s="1"/>
  <c r="BG57" i="30" s="1"/>
  <c r="BG67" i="30" s="1"/>
  <c r="BG68" i="30" s="1"/>
  <c r="H43" i="30"/>
  <c r="D43" i="30" s="1"/>
  <c r="L43" i="30"/>
  <c r="I29" i="29" s="1"/>
  <c r="F29" i="29" s="1"/>
  <c r="G29" i="29" s="1"/>
  <c r="F80" i="15"/>
  <c r="Q39" i="30"/>
  <c r="I39" i="30" s="1"/>
  <c r="DT16" i="46"/>
  <c r="DT156" i="46"/>
  <c r="BB59" i="30"/>
  <c r="F74" i="15"/>
  <c r="J111" i="3"/>
  <c r="J109" i="3"/>
  <c r="F38" i="15"/>
  <c r="S39" i="30"/>
  <c r="K39" i="30" s="1"/>
  <c r="AZ45" i="30"/>
  <c r="AZ50" i="30" s="1"/>
  <c r="AZ57" i="30" s="1"/>
  <c r="AZ67" i="30" s="1"/>
  <c r="AZ68" i="30" s="1"/>
  <c r="AZ51" i="30" s="1"/>
  <c r="D44" i="30"/>
  <c r="L109" i="3"/>
  <c r="L241" i="3"/>
  <c r="AS39" i="30"/>
  <c r="O25" i="29" s="1"/>
  <c r="J316" i="3"/>
  <c r="J319" i="3" s="1"/>
  <c r="J394" i="3" s="1"/>
  <c r="K212" i="3"/>
  <c r="K233" i="3" s="1"/>
  <c r="I205" i="3"/>
  <c r="I210" i="3" s="1"/>
  <c r="F79" i="15"/>
  <c r="J34" i="15"/>
  <c r="F69" i="15"/>
  <c r="L175" i="3"/>
  <c r="L185" i="3" s="1"/>
  <c r="L381" i="3" s="1"/>
  <c r="M175" i="3"/>
  <c r="M185" i="3" s="1"/>
  <c r="M381" i="3" s="1"/>
  <c r="BN45" i="30"/>
  <c r="BN50" i="30" s="1"/>
  <c r="BN57" i="30" s="1"/>
  <c r="BN67" i="30" s="1"/>
  <c r="BN68" i="30" s="1"/>
  <c r="BN58" i="30" s="1"/>
  <c r="BJ28" i="30"/>
  <c r="U21" i="29" s="1"/>
  <c r="BJ40" i="30"/>
  <c r="U26" i="29" s="1"/>
  <c r="BJ52" i="30"/>
  <c r="I143" i="3"/>
  <c r="M125" i="3"/>
  <c r="M129" i="3" s="1"/>
  <c r="M385" i="3" s="1"/>
  <c r="K316" i="3"/>
  <c r="K319" i="3" s="1"/>
  <c r="K394" i="3" s="1"/>
  <c r="I336" i="3"/>
  <c r="I339" i="3" s="1"/>
  <c r="I396" i="3" s="1"/>
  <c r="AX45" i="30"/>
  <c r="AX50" i="30" s="1"/>
  <c r="AX57" i="30" s="1"/>
  <c r="AX67" i="30" s="1"/>
  <c r="AX68" i="30" s="1"/>
  <c r="AX58" i="30" s="1"/>
  <c r="R39" i="30"/>
  <c r="J39" i="30" s="1"/>
  <c r="T44" i="30"/>
  <c r="K30" i="29" s="1"/>
  <c r="F30" i="29" s="1"/>
  <c r="G30" i="29" s="1"/>
  <c r="F47" i="15"/>
  <c r="K175" i="3"/>
  <c r="K185" i="3" s="1"/>
  <c r="K381" i="3" s="1"/>
  <c r="J175" i="3"/>
  <c r="J185" i="3" s="1"/>
  <c r="J381" i="3" s="1"/>
  <c r="I120" i="3"/>
  <c r="G74" i="65" s="1"/>
  <c r="I243" i="3"/>
  <c r="I248" i="3" s="1"/>
  <c r="T27" i="30"/>
  <c r="K23" i="29" s="1"/>
  <c r="BJ43" i="30"/>
  <c r="U29" i="29" s="1"/>
  <c r="I195" i="3"/>
  <c r="I200" i="3" s="1"/>
  <c r="J212" i="3"/>
  <c r="J233" i="3" s="1"/>
  <c r="I212" i="3"/>
  <c r="I233" i="3" s="1"/>
  <c r="M34" i="15"/>
  <c r="M88" i="15" s="1"/>
  <c r="F60" i="15"/>
  <c r="K241" i="3"/>
  <c r="K143" i="3"/>
  <c r="F63" i="15"/>
  <c r="G27" i="30"/>
  <c r="D9" i="73" s="1"/>
  <c r="J27" i="30"/>
  <c r="I155" i="3"/>
  <c r="AO59" i="30"/>
  <c r="Q59" i="30" s="1"/>
  <c r="AP66" i="30"/>
  <c r="R66" i="30" s="1"/>
  <c r="AO65" i="30"/>
  <c r="Q65" i="30" s="1"/>
  <c r="AO55" i="30"/>
  <c r="Q55" i="30" s="1"/>
  <c r="AQ53" i="30"/>
  <c r="S53" i="30" s="1"/>
  <c r="AP52" i="30"/>
  <c r="R52" i="30" s="1"/>
  <c r="M243" i="3"/>
  <c r="M248" i="3" s="1"/>
  <c r="I131" i="3"/>
  <c r="I387" i="3" s="1"/>
  <c r="M195" i="3"/>
  <c r="M200" i="3" s="1"/>
  <c r="K195" i="3"/>
  <c r="K200" i="3" s="1"/>
  <c r="L378" i="3"/>
  <c r="K155" i="3"/>
  <c r="M205" i="3"/>
  <c r="M210" i="3" s="1"/>
  <c r="J205" i="3"/>
  <c r="J210" i="3" s="1"/>
  <c r="AP59" i="30"/>
  <c r="R59" i="30" s="1"/>
  <c r="AQ59" i="30"/>
  <c r="S59" i="30" s="1"/>
  <c r="AQ65" i="30"/>
  <c r="S65" i="30" s="1"/>
  <c r="AQ55" i="30"/>
  <c r="S55" i="30" s="1"/>
  <c r="AP54" i="30"/>
  <c r="R54" i="30" s="1"/>
  <c r="AO53" i="30"/>
  <c r="Q53" i="30" s="1"/>
  <c r="J170" i="3"/>
  <c r="J173" i="3" s="1"/>
  <c r="K27" i="30"/>
  <c r="AQ66" i="30"/>
  <c r="S66" i="30" s="1"/>
  <c r="AP65" i="30"/>
  <c r="R65" i="30" s="1"/>
  <c r="AO54" i="30"/>
  <c r="Q54" i="30" s="1"/>
  <c r="AQ52" i="30"/>
  <c r="S52" i="30" s="1"/>
  <c r="AP69" i="30"/>
  <c r="R69" i="30" s="1"/>
  <c r="I185" i="3"/>
  <c r="I381" i="3" s="1"/>
  <c r="M384" i="3"/>
  <c r="G68" i="65"/>
  <c r="I105" i="3"/>
  <c r="G37" i="65" s="1"/>
  <c r="G25" i="65"/>
  <c r="H28" i="65"/>
  <c r="J163" i="3"/>
  <c r="I93" i="68"/>
  <c r="AB180" i="3"/>
  <c r="J131" i="3"/>
  <c r="J387" i="3" s="1"/>
  <c r="AA132" i="3"/>
  <c r="G132" i="3" s="1"/>
  <c r="AO132" i="3" s="1"/>
  <c r="L30" i="70" s="1"/>
  <c r="AB132" i="3"/>
  <c r="AI132" i="3" s="1"/>
  <c r="H132" i="3" s="1"/>
  <c r="I51" i="68"/>
  <c r="AA192" i="3"/>
  <c r="G192" i="3" s="1"/>
  <c r="AO192" i="3" s="1"/>
  <c r="L60" i="70" s="1"/>
  <c r="I101" i="68"/>
  <c r="AB192" i="3"/>
  <c r="I86" i="15"/>
  <c r="I88" i="15" s="1"/>
  <c r="AF108" i="3"/>
  <c r="AI108" i="3"/>
  <c r="AD108" i="3"/>
  <c r="H108" i="3"/>
  <c r="H109" i="3" s="1"/>
  <c r="I81" i="68"/>
  <c r="H81" i="68" s="1"/>
  <c r="AB164" i="3"/>
  <c r="I17" i="68"/>
  <c r="H17" i="68" s="1"/>
  <c r="AB89" i="3"/>
  <c r="I89" i="68"/>
  <c r="H89" i="68" s="1"/>
  <c r="AB176" i="3"/>
  <c r="AV68" i="30"/>
  <c r="AV51" i="30" s="1"/>
  <c r="J86" i="15"/>
  <c r="F41" i="15"/>
  <c r="K87" i="3"/>
  <c r="K91" i="3" s="1"/>
  <c r="K380" i="3" s="1"/>
  <c r="H146" i="3"/>
  <c r="AA118" i="3"/>
  <c r="G118" i="3" s="1"/>
  <c r="AO118" i="3" s="1"/>
  <c r="AA89" i="3"/>
  <c r="G89" i="3" s="1"/>
  <c r="AO89" i="3" s="1"/>
  <c r="L11" i="70" s="1"/>
  <c r="I97" i="68"/>
  <c r="H97" i="68" s="1"/>
  <c r="AB184" i="3"/>
  <c r="AA184" i="3"/>
  <c r="G184" i="3" s="1"/>
  <c r="AO184" i="3" s="1"/>
  <c r="L58" i="70" s="1"/>
  <c r="K99" i="65"/>
  <c r="CC156" i="4"/>
  <c r="I141" i="68"/>
  <c r="AA245" i="3"/>
  <c r="G245" i="3" s="1"/>
  <c r="AO245" i="3" s="1"/>
  <c r="I84" i="68"/>
  <c r="AA167" i="3"/>
  <c r="G167" i="3" s="1"/>
  <c r="AO167" i="3" s="1"/>
  <c r="I22" i="68"/>
  <c r="AB96" i="3"/>
  <c r="AA96" i="3"/>
  <c r="G96" i="3" s="1"/>
  <c r="AO96" i="3" s="1"/>
  <c r="L13" i="70" s="1"/>
  <c r="AA117" i="3"/>
  <c r="G117" i="3" s="1"/>
  <c r="AO117" i="3" s="1"/>
  <c r="AA146" i="3"/>
  <c r="G146" i="3" s="1"/>
  <c r="AO146" i="3" s="1"/>
  <c r="L41" i="70" s="1"/>
  <c r="F64" i="15"/>
  <c r="F67" i="15"/>
  <c r="L195" i="3"/>
  <c r="L200" i="3" s="1"/>
  <c r="AH122" i="3"/>
  <c r="F66" i="15"/>
  <c r="F73" i="15"/>
  <c r="AB81" i="3"/>
  <c r="H81" i="3" s="1"/>
  <c r="K9" i="68" s="1"/>
  <c r="J9" i="68" s="1"/>
  <c r="I37" i="68"/>
  <c r="AA213" i="3"/>
  <c r="G213" i="3" s="1"/>
  <c r="AO213" i="3" s="1"/>
  <c r="L22" i="70" s="1"/>
  <c r="AB213" i="3"/>
  <c r="M155" i="3"/>
  <c r="M168" i="3" s="1"/>
  <c r="K18" i="68"/>
  <c r="AA90" i="3"/>
  <c r="G90" i="3" s="1"/>
  <c r="AO90" i="3" s="1"/>
  <c r="K29" i="65"/>
  <c r="L212" i="3"/>
  <c r="L233" i="3" s="1"/>
  <c r="M212" i="3"/>
  <c r="M233" i="3" s="1"/>
  <c r="F72" i="15"/>
  <c r="AA81" i="3"/>
  <c r="G81" i="3" s="1"/>
  <c r="AO81" i="3" s="1"/>
  <c r="L7" i="70" s="1"/>
  <c r="K205" i="3"/>
  <c r="K210" i="3" s="1"/>
  <c r="I144" i="68"/>
  <c r="AA251" i="3"/>
  <c r="G251" i="3" s="1"/>
  <c r="AO251" i="3" s="1"/>
  <c r="I142" i="68"/>
  <c r="AA246" i="3"/>
  <c r="G246" i="3" s="1"/>
  <c r="AO246" i="3" s="1"/>
  <c r="AA199" i="3"/>
  <c r="G199" i="3" s="1"/>
  <c r="AO199" i="3" s="1"/>
  <c r="I106" i="68"/>
  <c r="I71" i="68"/>
  <c r="AA154" i="3"/>
  <c r="G154" i="3" s="1"/>
  <c r="AO154" i="3" s="1"/>
  <c r="H103" i="3"/>
  <c r="K28" i="68" s="1"/>
  <c r="H216" i="3"/>
  <c r="K116" i="68" s="1"/>
  <c r="AI216" i="3"/>
  <c r="AA209" i="3"/>
  <c r="G209" i="3" s="1"/>
  <c r="AO209" i="3" s="1"/>
  <c r="I112" i="68"/>
  <c r="I116" i="68"/>
  <c r="AA216" i="3"/>
  <c r="G216" i="3" s="1"/>
  <c r="AO216" i="3" s="1"/>
  <c r="L63" i="70" s="1"/>
  <c r="I133" i="68"/>
  <c r="AA238" i="3"/>
  <c r="G238" i="3" s="1"/>
  <c r="AO238" i="3" s="1"/>
  <c r="L79" i="70" s="1"/>
  <c r="I136" i="68"/>
  <c r="H136" i="68" s="1"/>
  <c r="I129" i="68"/>
  <c r="AA229" i="3"/>
  <c r="G229" i="3" s="1"/>
  <c r="AO229" i="3" s="1"/>
  <c r="AA315" i="3"/>
  <c r="G315" i="3" s="1"/>
  <c r="AO315" i="3" s="1"/>
  <c r="AB315" i="3"/>
  <c r="AD238" i="3"/>
  <c r="AG238" i="3"/>
  <c r="X230" i="3"/>
  <c r="AB230" i="3" s="1"/>
  <c r="AG230" i="3"/>
  <c r="AD230" i="3"/>
  <c r="X225" i="3"/>
  <c r="AB225" i="3" s="1"/>
  <c r="AF225" i="3"/>
  <c r="AD221" i="3"/>
  <c r="AG221" i="3"/>
  <c r="AG217" i="3"/>
  <c r="AD217" i="3"/>
  <c r="AD162" i="3"/>
  <c r="AG162" i="3"/>
  <c r="AF158" i="3"/>
  <c r="X158" i="3"/>
  <c r="AB158" i="3" s="1"/>
  <c r="AG141" i="3"/>
  <c r="AD141" i="3"/>
  <c r="AB133" i="3"/>
  <c r="AG102" i="3"/>
  <c r="AD102" i="3"/>
  <c r="AD207" i="3"/>
  <c r="X207" i="3"/>
  <c r="AF207" i="3"/>
  <c r="AA127" i="3"/>
  <c r="G127" i="3" s="1"/>
  <c r="AO127" i="3" s="1"/>
  <c r="L29" i="70" s="1"/>
  <c r="AB127" i="3"/>
  <c r="H127" i="3" s="1"/>
  <c r="K48" i="68" s="1"/>
  <c r="L155" i="3"/>
  <c r="AB238" i="3"/>
  <c r="AB217" i="3"/>
  <c r="AG158" i="3"/>
  <c r="AF217" i="3"/>
  <c r="AA220" i="3"/>
  <c r="G220" i="3" s="1"/>
  <c r="AO220" i="3" s="1"/>
  <c r="L67" i="70" s="1"/>
  <c r="I120" i="68"/>
  <c r="AB220" i="3"/>
  <c r="X221" i="3"/>
  <c r="AB221" i="3" s="1"/>
  <c r="I138" i="68"/>
  <c r="AA240" i="3"/>
  <c r="G240" i="3" s="1"/>
  <c r="AO240" i="3" s="1"/>
  <c r="AA328" i="3"/>
  <c r="AU225" i="3"/>
  <c r="R72" i="70" s="1"/>
  <c r="I72" i="70"/>
  <c r="I68" i="70"/>
  <c r="AU221" i="3"/>
  <c r="R68" i="70" s="1"/>
  <c r="AU217" i="3"/>
  <c r="R64" i="70" s="1"/>
  <c r="I64" i="70"/>
  <c r="AU184" i="3"/>
  <c r="R58" i="70" s="1"/>
  <c r="I58" i="70"/>
  <c r="AU176" i="3"/>
  <c r="R50" i="70" s="1"/>
  <c r="I50" i="70"/>
  <c r="AU164" i="3"/>
  <c r="R47" i="70" s="1"/>
  <c r="I47" i="70"/>
  <c r="AU102" i="3"/>
  <c r="R15" i="70" s="1"/>
  <c r="I15" i="70"/>
  <c r="AU81" i="3"/>
  <c r="R7" i="70" s="1"/>
  <c r="I7" i="70"/>
  <c r="AH82" i="3"/>
  <c r="K138" i="68"/>
  <c r="AA217" i="3"/>
  <c r="G217" i="3" s="1"/>
  <c r="AO217" i="3" s="1"/>
  <c r="L64" i="70" s="1"/>
  <c r="X137" i="3"/>
  <c r="AA137" i="3" s="1"/>
  <c r="G137" i="3" s="1"/>
  <c r="AO137" i="3" s="1"/>
  <c r="L35" i="70" s="1"/>
  <c r="X162" i="3"/>
  <c r="AF221" i="3"/>
  <c r="AD225" i="3"/>
  <c r="AF238" i="3"/>
  <c r="AF230" i="3"/>
  <c r="X102" i="3"/>
  <c r="AB102" i="3" s="1"/>
  <c r="AA237" i="3"/>
  <c r="G237" i="3" s="1"/>
  <c r="AO237" i="3" s="1"/>
  <c r="L78" i="70" s="1"/>
  <c r="AB237" i="3"/>
  <c r="AF236" i="3"/>
  <c r="X236" i="3"/>
  <c r="AF223" i="3"/>
  <c r="X223" i="3"/>
  <c r="I103" i="68"/>
  <c r="AA196" i="3"/>
  <c r="G196" i="3" s="1"/>
  <c r="AO196" i="3" s="1"/>
  <c r="AG156" i="3"/>
  <c r="AD156" i="3"/>
  <c r="X139" i="3"/>
  <c r="AF139" i="3"/>
  <c r="AH139" i="3" s="1"/>
  <c r="AB135" i="3"/>
  <c r="AF104" i="3"/>
  <c r="AH104" i="3" s="1"/>
  <c r="X104" i="3"/>
  <c r="AG207" i="3"/>
  <c r="E168" i="3"/>
  <c r="AA218" i="3"/>
  <c r="G218" i="3" s="1"/>
  <c r="AO218" i="3" s="1"/>
  <c r="L65" i="70" s="1"/>
  <c r="AA232" i="3"/>
  <c r="G232" i="3" s="1"/>
  <c r="AO232" i="3" s="1"/>
  <c r="AA142" i="3"/>
  <c r="G142" i="3" s="1"/>
  <c r="AO142" i="3" s="1"/>
  <c r="L40" i="70" s="1"/>
  <c r="AB142" i="3"/>
  <c r="AA134" i="3"/>
  <c r="G134" i="3" s="1"/>
  <c r="AO134" i="3" s="1"/>
  <c r="L32" i="70" s="1"/>
  <c r="X141" i="3"/>
  <c r="AF162" i="3"/>
  <c r="AG225" i="3"/>
  <c r="AH322" i="3"/>
  <c r="AI322" i="3" s="1"/>
  <c r="AU244" i="3"/>
  <c r="R81" i="70" s="1"/>
  <c r="I81" i="70"/>
  <c r="AU236" i="3"/>
  <c r="R77" i="70" s="1"/>
  <c r="I77" i="70"/>
  <c r="AU112" i="3"/>
  <c r="R21" i="70" s="1"/>
  <c r="I21" i="70"/>
  <c r="AF153" i="3"/>
  <c r="X153" i="3"/>
  <c r="AB153" i="3" s="1"/>
  <c r="AG153" i="3"/>
  <c r="AD153" i="3"/>
  <c r="AA214" i="3"/>
  <c r="G214" i="3" s="1"/>
  <c r="AO214" i="3" s="1"/>
  <c r="AU142" i="3"/>
  <c r="R40" i="70" s="1"/>
  <c r="I40" i="70"/>
  <c r="AU134" i="3"/>
  <c r="R32" i="70" s="1"/>
  <c r="I32" i="70"/>
  <c r="H280" i="3"/>
  <c r="H278" i="3" s="1"/>
  <c r="H292" i="3" s="1"/>
  <c r="H391" i="3" s="1"/>
  <c r="BD38" i="30" s="1"/>
  <c r="AB86" i="3"/>
  <c r="AH227" i="3"/>
  <c r="AH86" i="3"/>
  <c r="AS69" i="30"/>
  <c r="AX51" i="30"/>
  <c r="AJ31" i="30"/>
  <c r="N31" i="30"/>
  <c r="K16" i="68"/>
  <c r="J16" i="68" s="1"/>
  <c r="K7" i="68"/>
  <c r="H86" i="15"/>
  <c r="H88" i="15" s="1"/>
  <c r="AY58" i="30"/>
  <c r="H111" i="3"/>
  <c r="K42" i="68"/>
  <c r="AM69" i="30"/>
  <c r="O69" i="30" s="1"/>
  <c r="BO22" i="46"/>
  <c r="BQ22" i="4"/>
  <c r="G58" i="15"/>
  <c r="F58" i="15" s="1"/>
  <c r="K31" i="68"/>
  <c r="F54" i="65"/>
  <c r="H97" i="3"/>
  <c r="K141" i="68"/>
  <c r="AB82" i="3"/>
  <c r="I10" i="68"/>
  <c r="AA82" i="3"/>
  <c r="G82" i="3" s="1"/>
  <c r="AO82" i="3" s="1"/>
  <c r="L8" i="70" s="1"/>
  <c r="AI276" i="3"/>
  <c r="I30" i="68"/>
  <c r="H30" i="68" s="1"/>
  <c r="I38" i="68"/>
  <c r="AA247" i="3"/>
  <c r="G247" i="3" s="1"/>
  <c r="AO247" i="3" s="1"/>
  <c r="G100" i="65"/>
  <c r="K131" i="3"/>
  <c r="K387" i="3" s="1"/>
  <c r="AB98" i="3"/>
  <c r="AO69" i="30"/>
  <c r="Q69" i="30" s="1"/>
  <c r="AQ69" i="30"/>
  <c r="S69" i="30" s="1"/>
  <c r="AB207" i="3"/>
  <c r="AM45" i="30"/>
  <c r="AM50" i="30" s="1"/>
  <c r="AM57" i="30" s="1"/>
  <c r="AM67" i="30" s="1"/>
  <c r="L73" i="3"/>
  <c r="L388" i="3" s="1"/>
  <c r="T166" i="70"/>
  <c r="J73" i="3"/>
  <c r="J388" i="3" s="1"/>
  <c r="M73" i="3"/>
  <c r="M388" i="3" s="1"/>
  <c r="AM66" i="3"/>
  <c r="J161" i="70" s="1"/>
  <c r="AU69" i="3"/>
  <c r="R164" i="70" s="1"/>
  <c r="D15" i="69"/>
  <c r="E15" i="69" s="1"/>
  <c r="F15" i="69" s="1"/>
  <c r="AU70" i="3"/>
  <c r="R165" i="70" s="1"/>
  <c r="K73" i="3"/>
  <c r="K388" i="3" s="1"/>
  <c r="DD22" i="4"/>
  <c r="DD156" i="4" s="1"/>
  <c r="DB22" i="46"/>
  <c r="DB16" i="46" s="1"/>
  <c r="DB28" i="46" s="1"/>
  <c r="T73" i="3"/>
  <c r="I73" i="3"/>
  <c r="I388" i="3" s="1"/>
  <c r="N27" i="46"/>
  <c r="N156" i="46"/>
  <c r="I125" i="70"/>
  <c r="I48" i="3"/>
  <c r="I377" i="3" s="1"/>
  <c r="M48" i="3"/>
  <c r="K48" i="3"/>
  <c r="K377" i="3" s="1"/>
  <c r="AM22" i="4"/>
  <c r="AI22" i="4"/>
  <c r="AU22" i="4"/>
  <c r="AU156" i="4" s="1"/>
  <c r="AQ22" i="4"/>
  <c r="U156" i="46"/>
  <c r="U27" i="46"/>
  <c r="I120" i="70"/>
  <c r="AU14" i="3"/>
  <c r="R116" i="70" s="1"/>
  <c r="AU12" i="3"/>
  <c r="R114" i="70" s="1"/>
  <c r="AI156" i="4"/>
  <c r="J48" i="3"/>
  <c r="J377" i="3" s="1"/>
  <c r="AT22" i="4"/>
  <c r="AT27" i="4" s="1"/>
  <c r="H48" i="3"/>
  <c r="L48" i="3"/>
  <c r="L377" i="3" s="1"/>
  <c r="M252" i="70"/>
  <c r="J252" i="70" s="1"/>
  <c r="M250" i="70"/>
  <c r="J250" i="70" s="1"/>
  <c r="AS156" i="46"/>
  <c r="AO22" i="4"/>
  <c r="J378" i="3"/>
  <c r="AG22" i="4"/>
  <c r="AG156" i="4" s="1"/>
  <c r="AV22" i="4"/>
  <c r="AV156" i="4" s="1"/>
  <c r="Y22" i="4"/>
  <c r="Y156" i="4" s="1"/>
  <c r="S156" i="46"/>
  <c r="S27" i="46"/>
  <c r="AR22" i="4"/>
  <c r="AR156" i="4" s="1"/>
  <c r="AJ22" i="4"/>
  <c r="U22" i="4"/>
  <c r="U27" i="4" s="1"/>
  <c r="AF22" i="4"/>
  <c r="AK156" i="46"/>
  <c r="Q156" i="46"/>
  <c r="Q27" i="46"/>
  <c r="AN22" i="4"/>
  <c r="AN27" i="4" s="1"/>
  <c r="AC22" i="4"/>
  <c r="AC27" i="4" s="1"/>
  <c r="M47" i="58"/>
  <c r="S22" i="4"/>
  <c r="S27" i="4" s="1"/>
  <c r="E48" i="3"/>
  <c r="J47" i="58"/>
  <c r="K378" i="3"/>
  <c r="D69" i="30"/>
  <c r="O26" i="30"/>
  <c r="AN45" i="30"/>
  <c r="AN50" i="30" s="1"/>
  <c r="AN57" i="30" s="1"/>
  <c r="AN69" i="30"/>
  <c r="P69" i="30" s="1"/>
  <c r="AO271" i="3"/>
  <c r="L86" i="70" s="1"/>
  <c r="D48" i="30"/>
  <c r="O47" i="30"/>
  <c r="D47" i="30"/>
  <c r="AQ45" i="30"/>
  <c r="AQ50" i="30" s="1"/>
  <c r="S26" i="30"/>
  <c r="D49" i="30"/>
  <c r="Q26" i="30"/>
  <c r="R26" i="30"/>
  <c r="AO156" i="46"/>
  <c r="AU156" i="46"/>
  <c r="AG156" i="46"/>
  <c r="R156" i="46"/>
  <c r="R27" i="46"/>
  <c r="DK22" i="4"/>
  <c r="DI22" i="46"/>
  <c r="AQ156" i="46"/>
  <c r="AM156" i="46"/>
  <c r="M27" i="46"/>
  <c r="M156" i="46"/>
  <c r="AE156" i="46"/>
  <c r="AA156" i="46"/>
  <c r="H47" i="58"/>
  <c r="M378" i="3"/>
  <c r="AK22" i="4"/>
  <c r="AS22" i="4"/>
  <c r="AS27" i="4" s="1"/>
  <c r="AE22" i="4"/>
  <c r="H378" i="3"/>
  <c r="AL27" i="30" s="1"/>
  <c r="N27" i="30" s="1"/>
  <c r="F27" i="30" s="1"/>
  <c r="I378" i="3"/>
  <c r="X22" i="4"/>
  <c r="AH22" i="4"/>
  <c r="AX22" i="4"/>
  <c r="P47" i="30"/>
  <c r="AJ47" i="30"/>
  <c r="M35" i="29" s="1"/>
  <c r="H26" i="30"/>
  <c r="P45" i="30"/>
  <c r="M251" i="70"/>
  <c r="J251" i="70" s="1"/>
  <c r="AV156" i="46"/>
  <c r="AN156" i="46"/>
  <c r="AF156" i="46"/>
  <c r="AC156" i="46"/>
  <c r="Z156" i="46"/>
  <c r="V156" i="46"/>
  <c r="V27" i="46"/>
  <c r="O156" i="46"/>
  <c r="O27" i="46"/>
  <c r="AP156" i="46"/>
  <c r="AH156" i="46"/>
  <c r="AR156" i="46"/>
  <c r="X156" i="46"/>
  <c r="X27" i="46"/>
  <c r="T27" i="46"/>
  <c r="T156" i="46"/>
  <c r="AD156" i="46"/>
  <c r="W156" i="46"/>
  <c r="W27" i="46"/>
  <c r="Z27" i="4"/>
  <c r="AB22" i="4"/>
  <c r="W22" i="4"/>
  <c r="Q22" i="4"/>
  <c r="AR31" i="31"/>
  <c r="Q31" i="31"/>
  <c r="BN31" i="31"/>
  <c r="AF31" i="31"/>
  <c r="AT31" i="31"/>
  <c r="T26" i="46" l="1"/>
  <c r="U26" i="46"/>
  <c r="AM26" i="46"/>
  <c r="CN26" i="46"/>
  <c r="BW26" i="46"/>
  <c r="BV26" i="46"/>
  <c r="BA26" i="46"/>
  <c r="BC26" i="46"/>
  <c r="BI26" i="46"/>
  <c r="AW26" i="46"/>
  <c r="BR26" i="46"/>
  <c r="AS26" i="46"/>
  <c r="CC26" i="46"/>
  <c r="CI26" i="46"/>
  <c r="BD26" i="46"/>
  <c r="N26" i="46"/>
  <c r="BK26" i="46"/>
  <c r="BB26" i="46"/>
  <c r="BG26" i="46"/>
  <c r="CP26" i="46"/>
  <c r="P26" i="46"/>
  <c r="CG26" i="46"/>
  <c r="AT26" i="46"/>
  <c r="AI26" i="46"/>
  <c r="BO26" i="46"/>
  <c r="CA26" i="46"/>
  <c r="BZ26" i="46"/>
  <c r="BU26" i="46"/>
  <c r="BE26" i="46"/>
  <c r="AY26" i="46"/>
  <c r="AB26" i="46"/>
  <c r="AF26" i="46"/>
  <c r="O26" i="46"/>
  <c r="BT26" i="46"/>
  <c r="CB26" i="46"/>
  <c r="CM26" i="46"/>
  <c r="BM26" i="46"/>
  <c r="BN26" i="46"/>
  <c r="AX26" i="46"/>
  <c r="BS26" i="46"/>
  <c r="BF26" i="46"/>
  <c r="AZ26" i="46"/>
  <c r="BH26" i="46"/>
  <c r="AI334" i="3"/>
  <c r="AI177" i="3"/>
  <c r="W26" i="46"/>
  <c r="CK26" i="46"/>
  <c r="M26" i="46"/>
  <c r="S26" i="46"/>
  <c r="CE26" i="46"/>
  <c r="CO26" i="46"/>
  <c r="AK26" i="46"/>
  <c r="CK28" i="46"/>
  <c r="CP28" i="46"/>
  <c r="AS28" i="46"/>
  <c r="BA28" i="46"/>
  <c r="AP28" i="46"/>
  <c r="BX28" i="46"/>
  <c r="S28" i="46"/>
  <c r="AR28" i="46"/>
  <c r="CL28" i="46"/>
  <c r="CI28" i="46"/>
  <c r="R28" i="46"/>
  <c r="R26" i="46"/>
  <c r="CQ26" i="46"/>
  <c r="CF26" i="46"/>
  <c r="G76" i="15"/>
  <c r="F76" i="15" s="1"/>
  <c r="BR22" i="4"/>
  <c r="AA156" i="3"/>
  <c r="G156" i="3" s="1"/>
  <c r="AO156" i="3" s="1"/>
  <c r="L44" i="70" s="1"/>
  <c r="AB218" i="3"/>
  <c r="H218" i="3" s="1"/>
  <c r="K118" i="68" s="1"/>
  <c r="AH98" i="3"/>
  <c r="AI338" i="3"/>
  <c r="Z26" i="46"/>
  <c r="AA26" i="46"/>
  <c r="I47" i="68"/>
  <c r="AA239" i="3"/>
  <c r="G239" i="3" s="1"/>
  <c r="AO239" i="3" s="1"/>
  <c r="L80" i="70" s="1"/>
  <c r="AA126" i="3"/>
  <c r="G126" i="3" s="1"/>
  <c r="AO126" i="3" s="1"/>
  <c r="L28" i="70" s="1"/>
  <c r="AB235" i="3"/>
  <c r="C25" i="4"/>
  <c r="BH58" i="30"/>
  <c r="AI116" i="3"/>
  <c r="AI79" i="3"/>
  <c r="AI115" i="3"/>
  <c r="BB156" i="4"/>
  <c r="CW28" i="4"/>
  <c r="V26" i="46"/>
  <c r="AP26" i="46"/>
  <c r="CD26" i="46"/>
  <c r="X26" i="46"/>
  <c r="BP26" i="46"/>
  <c r="AJ26" i="46"/>
  <c r="AN28" i="46"/>
  <c r="BD28" i="46"/>
  <c r="BF28" i="46"/>
  <c r="BI28" i="46"/>
  <c r="AO28" i="46"/>
  <c r="U28" i="46"/>
  <c r="BB28" i="46"/>
  <c r="BE28" i="46"/>
  <c r="AG28" i="46"/>
  <c r="AC28" i="46"/>
  <c r="K272" i="3"/>
  <c r="K389" i="3" s="1"/>
  <c r="AD26" i="46"/>
  <c r="EA26" i="46"/>
  <c r="AH26" i="46"/>
  <c r="AH236" i="3"/>
  <c r="F27" i="29"/>
  <c r="G27" i="29" s="1"/>
  <c r="AA138" i="3"/>
  <c r="G138" i="3" s="1"/>
  <c r="AO138" i="3" s="1"/>
  <c r="L36" i="70" s="1"/>
  <c r="F37" i="29"/>
  <c r="G37" i="29" s="1"/>
  <c r="BY26" i="46"/>
  <c r="AV26" i="46"/>
  <c r="AU26" i="46"/>
  <c r="AC26" i="46"/>
  <c r="AO26" i="46"/>
  <c r="CR26" i="46"/>
  <c r="AA28" i="46"/>
  <c r="CQ28" i="46"/>
  <c r="CA28" i="46"/>
  <c r="CB28" i="46"/>
  <c r="CE28" i="46"/>
  <c r="AB28" i="46"/>
  <c r="BU28" i="46"/>
  <c r="BV28" i="46"/>
  <c r="BN28" i="46"/>
  <c r="K123" i="3"/>
  <c r="CJ26" i="46"/>
  <c r="AQ26" i="46"/>
  <c r="Q26" i="46"/>
  <c r="AL26" i="46"/>
  <c r="CL26" i="46"/>
  <c r="AI305" i="3"/>
  <c r="AA305" i="3"/>
  <c r="G305" i="3" s="1"/>
  <c r="AO305" i="3" s="1"/>
  <c r="L96" i="70" s="1"/>
  <c r="AH191" i="3"/>
  <c r="AH218" i="3"/>
  <c r="I140" i="68"/>
  <c r="H140" i="68" s="1"/>
  <c r="AA244" i="3"/>
  <c r="G244" i="3" s="1"/>
  <c r="AO244" i="3" s="1"/>
  <c r="L81" i="70" s="1"/>
  <c r="AB244" i="3"/>
  <c r="H244" i="3" s="1"/>
  <c r="E52" i="3"/>
  <c r="G52" i="3" s="1"/>
  <c r="R31" i="4"/>
  <c r="R27" i="4"/>
  <c r="O31" i="4"/>
  <c r="O27" i="4"/>
  <c r="DJ22" i="46"/>
  <c r="DJ16" i="46" s="1"/>
  <c r="DD16" i="46"/>
  <c r="L272" i="3"/>
  <c r="L389" i="3" s="1"/>
  <c r="DM22" i="4"/>
  <c r="DM156" i="4" s="1"/>
  <c r="DP22" i="4"/>
  <c r="DP156" i="4" s="1"/>
  <c r="X28" i="46"/>
  <c r="CH28" i="46"/>
  <c r="AF28" i="46"/>
  <c r="CM28" i="46"/>
  <c r="AT28" i="46"/>
  <c r="BH28" i="46"/>
  <c r="CC28" i="46"/>
  <c r="V28" i="46"/>
  <c r="BQ28" i="46"/>
  <c r="AV28" i="46"/>
  <c r="BZ28" i="46"/>
  <c r="AL28" i="46"/>
  <c r="AU28" i="46"/>
  <c r="T28" i="46"/>
  <c r="AD28" i="46"/>
  <c r="CJ28" i="46"/>
  <c r="AM28" i="46"/>
  <c r="BT28" i="46"/>
  <c r="CD28" i="46"/>
  <c r="AQ28" i="46"/>
  <c r="BJ28" i="46"/>
  <c r="P28" i="46"/>
  <c r="BC28" i="46"/>
  <c r="O28" i="46"/>
  <c r="BO28" i="46"/>
  <c r="BS28" i="46"/>
  <c r="BL28" i="46"/>
  <c r="AY28" i="46"/>
  <c r="AI28" i="46"/>
  <c r="BY28" i="46"/>
  <c r="BW28" i="46"/>
  <c r="N28" i="46"/>
  <c r="BK28" i="46"/>
  <c r="AK28" i="46"/>
  <c r="BM28" i="46"/>
  <c r="BP28" i="46"/>
  <c r="M28" i="46"/>
  <c r="AE28" i="46"/>
  <c r="AZ28" i="46"/>
  <c r="BR28" i="46"/>
  <c r="AH28" i="46"/>
  <c r="AJ28" i="46"/>
  <c r="AX28" i="46"/>
  <c r="AW28" i="46"/>
  <c r="AA197" i="3"/>
  <c r="G197" i="3" s="1"/>
  <c r="AO197" i="3" s="1"/>
  <c r="L61" i="70" s="1"/>
  <c r="AB239" i="3"/>
  <c r="AB197" i="3"/>
  <c r="H197" i="3" s="1"/>
  <c r="F36" i="29"/>
  <c r="G36" i="29" s="1"/>
  <c r="AI227" i="3"/>
  <c r="G78" i="65"/>
  <c r="G79" i="65" s="1"/>
  <c r="AI94" i="3"/>
  <c r="AH235" i="3"/>
  <c r="AH239" i="3"/>
  <c r="AE33" i="31"/>
  <c r="BJ33" i="31" s="1"/>
  <c r="K29" i="46"/>
  <c r="B30" i="46"/>
  <c r="BN22" i="4"/>
  <c r="BI27" i="4"/>
  <c r="AI182" i="3"/>
  <c r="AH103" i="3"/>
  <c r="L168" i="3"/>
  <c r="I168" i="3"/>
  <c r="AI226" i="3"/>
  <c r="J168" i="3"/>
  <c r="L123" i="3"/>
  <c r="L88" i="15"/>
  <c r="AI219" i="3"/>
  <c r="AH223" i="3"/>
  <c r="AH127" i="3"/>
  <c r="AH213" i="3"/>
  <c r="AH126" i="3"/>
  <c r="M377" i="3"/>
  <c r="DF22" i="46"/>
  <c r="DF156" i="46" s="1"/>
  <c r="H256" i="3"/>
  <c r="H272" i="3" s="1"/>
  <c r="DR22" i="4" s="1"/>
  <c r="DR34" i="4" s="1"/>
  <c r="DP34" i="46" s="1"/>
  <c r="S31" i="31"/>
  <c r="V31" i="31" s="1"/>
  <c r="AE31" i="31" s="1"/>
  <c r="DM22" i="46"/>
  <c r="DM156" i="46" s="1"/>
  <c r="Y58" i="30"/>
  <c r="Y51" i="30"/>
  <c r="AI126" i="3"/>
  <c r="H172" i="3"/>
  <c r="CW48" i="4"/>
  <c r="AE32" i="31"/>
  <c r="I45" i="68"/>
  <c r="AB122" i="3"/>
  <c r="H122" i="3" s="1"/>
  <c r="K45" i="68" s="1"/>
  <c r="AA122" i="3"/>
  <c r="G122" i="3" s="1"/>
  <c r="AO122" i="3" s="1"/>
  <c r="L27" i="70" s="1"/>
  <c r="N27" i="4"/>
  <c r="B16" i="47"/>
  <c r="C16" i="5"/>
  <c r="B36" i="4"/>
  <c r="B24" i="5"/>
  <c r="A24" i="47"/>
  <c r="M35" i="4"/>
  <c r="M249" i="70"/>
  <c r="J249" i="70" s="1"/>
  <c r="AI95" i="3"/>
  <c r="CW156" i="4"/>
  <c r="M25" i="4"/>
  <c r="A14" i="47"/>
  <c r="B14" i="5"/>
  <c r="I25" i="68"/>
  <c r="AA98" i="3"/>
  <c r="G98" i="3" s="1"/>
  <c r="AO98" i="3" s="1"/>
  <c r="G331" i="3"/>
  <c r="AO331" i="3" s="1"/>
  <c r="T52" i="30"/>
  <c r="C30" i="4"/>
  <c r="N29" i="4"/>
  <c r="C18" i="5"/>
  <c r="B18" i="47"/>
  <c r="DE22" i="4"/>
  <c r="DE156" i="4" s="1"/>
  <c r="AH158" i="3"/>
  <c r="AI101" i="3"/>
  <c r="AH100" i="3"/>
  <c r="AH121" i="3"/>
  <c r="AI121" i="3" s="1"/>
  <c r="AH179" i="3"/>
  <c r="AI179" i="3" s="1"/>
  <c r="AH183" i="3"/>
  <c r="AI183" i="3" s="1"/>
  <c r="CW60" i="4"/>
  <c r="CU28" i="46"/>
  <c r="CU156" i="46"/>
  <c r="Z26" i="4"/>
  <c r="AP26" i="4"/>
  <c r="BF26" i="4"/>
  <c r="BV26" i="4"/>
  <c r="CL26" i="4"/>
  <c r="Y26" i="4"/>
  <c r="AU26" i="4"/>
  <c r="BP26" i="4"/>
  <c r="CK26" i="4"/>
  <c r="DL26" i="4"/>
  <c r="U26" i="4"/>
  <c r="AQ26" i="4"/>
  <c r="BL26" i="4"/>
  <c r="CG26" i="4"/>
  <c r="DI26" i="4"/>
  <c r="AI26" i="4"/>
  <c r="BY26" i="4"/>
  <c r="Q26" i="4"/>
  <c r="BH26" i="4"/>
  <c r="DF26" i="4"/>
  <c r="AN26" i="4"/>
  <c r="CE26" i="4"/>
  <c r="W26" i="4"/>
  <c r="BM26" i="4"/>
  <c r="DJ26" i="4"/>
  <c r="AD26" i="4"/>
  <c r="AT26" i="4"/>
  <c r="BJ26" i="4"/>
  <c r="BZ26" i="4"/>
  <c r="CP26" i="4"/>
  <c r="AE26" i="4"/>
  <c r="AZ26" i="4"/>
  <c r="BU26" i="4"/>
  <c r="CQ26" i="4"/>
  <c r="DP26" i="4"/>
  <c r="AA26" i="4"/>
  <c r="AV26" i="4"/>
  <c r="BQ26" i="4"/>
  <c r="CM26" i="4"/>
  <c r="DM26" i="4"/>
  <c r="AS26" i="4"/>
  <c r="CJ26" i="4"/>
  <c r="AB26" i="4"/>
  <c r="BS26" i="4"/>
  <c r="DN26" i="4"/>
  <c r="AY26" i="4"/>
  <c r="CO26" i="4"/>
  <c r="AG26" i="4"/>
  <c r="BX26" i="4"/>
  <c r="AL26" i="4"/>
  <c r="BR26" i="4"/>
  <c r="T26" i="4"/>
  <c r="BK26" i="4"/>
  <c r="DH26" i="4"/>
  <c r="AK26" i="4"/>
  <c r="CB26" i="4"/>
  <c r="X26" i="4"/>
  <c r="DK26" i="4"/>
  <c r="CN26" i="4"/>
  <c r="BT26" i="4"/>
  <c r="BC26" i="4"/>
  <c r="R26" i="4"/>
  <c r="AX26" i="4"/>
  <c r="CD26" i="4"/>
  <c r="AJ26" i="4"/>
  <c r="CA26" i="4"/>
  <c r="EC26" i="4"/>
  <c r="BA26" i="4"/>
  <c r="CR26" i="4"/>
  <c r="BD26" i="4"/>
  <c r="AM26" i="4"/>
  <c r="S26" i="4"/>
  <c r="DG26" i="4"/>
  <c r="CI26" i="4"/>
  <c r="V26" i="4"/>
  <c r="BB26" i="4"/>
  <c r="CH26" i="4"/>
  <c r="AO26" i="4"/>
  <c r="CF26" i="4"/>
  <c r="P26" i="4"/>
  <c r="BG26" i="4"/>
  <c r="DE26" i="4"/>
  <c r="BO26" i="4"/>
  <c r="AW26" i="4"/>
  <c r="AC26" i="4"/>
  <c r="DO26" i="4"/>
  <c r="CS26" i="4"/>
  <c r="O26" i="4"/>
  <c r="BW26" i="4"/>
  <c r="BI26" i="4"/>
  <c r="BE26" i="4"/>
  <c r="DQ26" i="4"/>
  <c r="AR26" i="4"/>
  <c r="AH26" i="4"/>
  <c r="DD26" i="4"/>
  <c r="CT26" i="4"/>
  <c r="BN26" i="4"/>
  <c r="AF26" i="4"/>
  <c r="CC26" i="4"/>
  <c r="I119" i="68"/>
  <c r="AA219" i="3"/>
  <c r="G219" i="3" s="1"/>
  <c r="AO219" i="3" s="1"/>
  <c r="L66" i="70" s="1"/>
  <c r="DM34" i="4"/>
  <c r="AF34" i="4"/>
  <c r="AI34" i="4"/>
  <c r="AL34" i="4"/>
  <c r="AH34" i="4"/>
  <c r="W34" i="4"/>
  <c r="Y34" i="4"/>
  <c r="CJ34" i="4"/>
  <c r="DP34" i="4"/>
  <c r="DO34" i="4"/>
  <c r="AY34" i="4"/>
  <c r="BT34" i="4"/>
  <c r="BP34" i="4"/>
  <c r="CG34" i="4"/>
  <c r="BM34" i="4"/>
  <c r="CT34" i="4"/>
  <c r="CF34" i="4"/>
  <c r="BX34" i="4"/>
  <c r="CR34" i="4"/>
  <c r="AO34" i="4"/>
  <c r="AQ34" i="4"/>
  <c r="AM34" i="4"/>
  <c r="AR34" i="4"/>
  <c r="V34" i="4"/>
  <c r="T34" i="4"/>
  <c r="Q34" i="4"/>
  <c r="CO34" i="4"/>
  <c r="CN34" i="4"/>
  <c r="DQ34" i="4"/>
  <c r="BA34" i="4"/>
  <c r="CK34" i="4"/>
  <c r="EC34" i="4"/>
  <c r="X34" i="4"/>
  <c r="BJ34" i="4"/>
  <c r="P34" i="4"/>
  <c r="CH34" i="4"/>
  <c r="BS34" i="4"/>
  <c r="AA34" i="4"/>
  <c r="R34" i="4"/>
  <c r="DJ34" i="4"/>
  <c r="AJ34" i="4"/>
  <c r="AG34" i="4"/>
  <c r="AK34" i="4"/>
  <c r="DK34" i="4"/>
  <c r="CI34" i="4"/>
  <c r="BI34" i="4"/>
  <c r="BL34" i="4"/>
  <c r="BC34" i="4"/>
  <c r="BU34" i="4"/>
  <c r="DI34" i="4"/>
  <c r="AE34" i="4"/>
  <c r="AB34" i="4"/>
  <c r="S34" i="4"/>
  <c r="DL34" i="4"/>
  <c r="BK34" i="4"/>
  <c r="BW34" i="4"/>
  <c r="BZ34" i="4"/>
  <c r="BQ34" i="4"/>
  <c r="CC34" i="4"/>
  <c r="AP34" i="4"/>
  <c r="U34" i="4"/>
  <c r="CQ34" i="4"/>
  <c r="BB34" i="4"/>
  <c r="DH34" i="4"/>
  <c r="AD34" i="4"/>
  <c r="BE34" i="4"/>
  <c r="BY34" i="4"/>
  <c r="O34" i="4"/>
  <c r="DN34" i="4"/>
  <c r="AC34" i="4"/>
  <c r="CP34" i="4"/>
  <c r="BF34" i="4"/>
  <c r="BV34" i="4"/>
  <c r="CS34" i="4"/>
  <c r="BR34" i="4"/>
  <c r="AN34" i="4"/>
  <c r="CA34" i="4"/>
  <c r="Z34" i="4"/>
  <c r="AZ34" i="4"/>
  <c r="BH34" i="4"/>
  <c r="BI51" i="30"/>
  <c r="BI58" i="30"/>
  <c r="CX28" i="4"/>
  <c r="CX156" i="4"/>
  <c r="CX48" i="4"/>
  <c r="CX36" i="4"/>
  <c r="CX60" i="4"/>
  <c r="CT28" i="46"/>
  <c r="CT156" i="46"/>
  <c r="K32" i="29"/>
  <c r="K38" i="29" s="1"/>
  <c r="D41" i="30"/>
  <c r="AC252" i="70" s="1"/>
  <c r="AD252" i="70" s="1"/>
  <c r="S21" i="29"/>
  <c r="S32" i="29" s="1"/>
  <c r="S38" i="29" s="1"/>
  <c r="CV60" i="46"/>
  <c r="CV72" i="46" s="1"/>
  <c r="CV84" i="46" s="1"/>
  <c r="I366" i="3"/>
  <c r="CV28" i="4"/>
  <c r="CV156" i="4"/>
  <c r="CV60" i="4"/>
  <c r="CV36" i="4"/>
  <c r="CV48" i="4"/>
  <c r="AH146" i="3"/>
  <c r="AI146" i="3" s="1"/>
  <c r="AV58" i="30"/>
  <c r="J88" i="15"/>
  <c r="I123" i="3"/>
  <c r="J123" i="3"/>
  <c r="J379" i="3" s="1"/>
  <c r="DP22" i="46"/>
  <c r="DP156" i="46" s="1"/>
  <c r="AI86" i="3"/>
  <c r="K168" i="3"/>
  <c r="AI103" i="3"/>
  <c r="AI191" i="3"/>
  <c r="AH222" i="3"/>
  <c r="AI222" i="3" s="1"/>
  <c r="DF22" i="4"/>
  <c r="DF156" i="4" s="1"/>
  <c r="DG22" i="46"/>
  <c r="DG16" i="46" s="1"/>
  <c r="D18" i="69"/>
  <c r="E18" i="69" s="1"/>
  <c r="DE22" i="46"/>
  <c r="DE16" i="46" s="1"/>
  <c r="T156" i="4"/>
  <c r="P156" i="4"/>
  <c r="K47" i="58"/>
  <c r="F48" i="3"/>
  <c r="DR156" i="46"/>
  <c r="DR16" i="46"/>
  <c r="H389" i="3"/>
  <c r="AL38" i="30" s="1"/>
  <c r="AJ38" i="30" s="1"/>
  <c r="M24" i="29" s="1"/>
  <c r="E74" i="3"/>
  <c r="D19" i="69" s="1"/>
  <c r="E19" i="69" s="1"/>
  <c r="F19" i="69" s="1"/>
  <c r="H179" i="3"/>
  <c r="K92" i="68" s="1"/>
  <c r="J92" i="68" s="1"/>
  <c r="BV156" i="46"/>
  <c r="BL22" i="46"/>
  <c r="AI136" i="3"/>
  <c r="AI274" i="3"/>
  <c r="I127" i="68"/>
  <c r="AA227" i="3"/>
  <c r="G227" i="3" s="1"/>
  <c r="AO227" i="3" s="1"/>
  <c r="L74" i="70" s="1"/>
  <c r="K20" i="68"/>
  <c r="J20" i="68" s="1"/>
  <c r="H93" i="3"/>
  <c r="AA100" i="3"/>
  <c r="G100" i="3" s="1"/>
  <c r="AO100" i="3" s="1"/>
  <c r="I24" i="68"/>
  <c r="I126" i="68"/>
  <c r="AA226" i="3"/>
  <c r="G226" i="3" s="1"/>
  <c r="AO226" i="3" s="1"/>
  <c r="L73" i="70" s="1"/>
  <c r="AI138" i="3"/>
  <c r="AH81" i="3"/>
  <c r="AI81" i="3" s="1"/>
  <c r="I86" i="68"/>
  <c r="H86" i="68" s="1"/>
  <c r="AA171" i="3"/>
  <c r="G171" i="3" s="1"/>
  <c r="AO171" i="3" s="1"/>
  <c r="L48" i="70" s="1"/>
  <c r="I100" i="68"/>
  <c r="AA191" i="3"/>
  <c r="G191" i="3" s="1"/>
  <c r="AO191" i="3" s="1"/>
  <c r="L59" i="70" s="1"/>
  <c r="H224" i="3"/>
  <c r="K124" i="68" s="1"/>
  <c r="AI224" i="3"/>
  <c r="AI218" i="3"/>
  <c r="AH141" i="3"/>
  <c r="AI85" i="3"/>
  <c r="I91" i="3"/>
  <c r="CA156" i="46"/>
  <c r="H247" i="3"/>
  <c r="AI247" i="3"/>
  <c r="I20" i="68"/>
  <c r="H20" i="68" s="1"/>
  <c r="AA94" i="3"/>
  <c r="G94" i="3" s="1"/>
  <c r="AO94" i="3" s="1"/>
  <c r="L12" i="70" s="1"/>
  <c r="AB100" i="3"/>
  <c r="AH171" i="3"/>
  <c r="AI171" i="3" s="1"/>
  <c r="I92" i="68"/>
  <c r="H92" i="68" s="1"/>
  <c r="AA179" i="3"/>
  <c r="G179" i="3" s="1"/>
  <c r="AO179" i="3" s="1"/>
  <c r="L53" i="70" s="1"/>
  <c r="BX27" i="4"/>
  <c r="BX156" i="4"/>
  <c r="C15" i="5"/>
  <c r="B15" i="47"/>
  <c r="AW156" i="4"/>
  <c r="AW27" i="4"/>
  <c r="AW34" i="4"/>
  <c r="DH16" i="46"/>
  <c r="DH24" i="46" s="1"/>
  <c r="DH156" i="46"/>
  <c r="H73" i="3"/>
  <c r="DN22" i="4"/>
  <c r="DB29" i="46"/>
  <c r="DJ22" i="4"/>
  <c r="DJ156" i="4" s="1"/>
  <c r="P31" i="4"/>
  <c r="H86" i="3"/>
  <c r="K14" i="68" s="1"/>
  <c r="AZ58" i="30"/>
  <c r="AI134" i="3"/>
  <c r="BD156" i="46"/>
  <c r="AI140" i="3"/>
  <c r="DL22" i="46"/>
  <c r="DL156" i="46" s="1"/>
  <c r="AO57" i="30"/>
  <c r="AO67" i="30" s="1"/>
  <c r="AO68" i="30" s="1"/>
  <c r="AO51" i="30" s="1"/>
  <c r="V27" i="4"/>
  <c r="V31" i="4"/>
  <c r="T27" i="4"/>
  <c r="AL156" i="4"/>
  <c r="AL33" i="4"/>
  <c r="AD27" i="4"/>
  <c r="AD33" i="4"/>
  <c r="DB25" i="46"/>
  <c r="H58" i="3"/>
  <c r="BA22" i="46"/>
  <c r="BC22" i="4"/>
  <c r="F56" i="3"/>
  <c r="AP27" i="4"/>
  <c r="AP33" i="4"/>
  <c r="AQ57" i="30"/>
  <c r="AQ67" i="30" s="1"/>
  <c r="AQ68" i="30" s="1"/>
  <c r="AQ51" i="30" s="1"/>
  <c r="AP57" i="30"/>
  <c r="AP67" i="30" s="1"/>
  <c r="AP68" i="30" s="1"/>
  <c r="AP51" i="30" s="1"/>
  <c r="AM68" i="30"/>
  <c r="AM51" i="30" s="1"/>
  <c r="AZ156" i="4"/>
  <c r="AZ33" i="4"/>
  <c r="AZ27" i="4"/>
  <c r="M379" i="3"/>
  <c r="J384" i="3"/>
  <c r="AW58" i="30"/>
  <c r="AW51" i="30"/>
  <c r="F100" i="65"/>
  <c r="K51" i="68"/>
  <c r="G65" i="15"/>
  <c r="F65" i="15" s="1"/>
  <c r="AH108" i="3"/>
  <c r="G75" i="65"/>
  <c r="L379" i="3"/>
  <c r="L386" i="3" s="1"/>
  <c r="AH102" i="3"/>
  <c r="AI102" i="3" s="1"/>
  <c r="BG156" i="46"/>
  <c r="Z58" i="30"/>
  <c r="Z51" i="30"/>
  <c r="BF58" i="30"/>
  <c r="BF51" i="30"/>
  <c r="X57" i="30"/>
  <c r="X67" i="30" s="1"/>
  <c r="X68" i="30" s="1"/>
  <c r="AF51" i="30"/>
  <c r="AF58" i="30"/>
  <c r="BG51" i="30"/>
  <c r="BG58" i="30"/>
  <c r="M386" i="3"/>
  <c r="C24" i="4"/>
  <c r="N25" i="4"/>
  <c r="C14" i="5"/>
  <c r="B14" i="47"/>
  <c r="U32" i="29"/>
  <c r="U38" i="29" s="1"/>
  <c r="BM50" i="30"/>
  <c r="BJ45" i="30"/>
  <c r="T55" i="30"/>
  <c r="W50" i="30"/>
  <c r="T45" i="30"/>
  <c r="AB50" i="30"/>
  <c r="S19" i="29" s="1"/>
  <c r="AI57" i="30"/>
  <c r="L69" i="30"/>
  <c r="H153" i="3"/>
  <c r="H145" i="3" s="1"/>
  <c r="H221" i="3"/>
  <c r="K121" i="68" s="1"/>
  <c r="H102" i="3"/>
  <c r="BB38" i="30"/>
  <c r="Q24" i="29" s="1"/>
  <c r="Q32" i="29" s="1"/>
  <c r="Q38" i="29" s="1"/>
  <c r="BD45" i="30"/>
  <c r="AH153" i="3"/>
  <c r="AI153" i="3" s="1"/>
  <c r="AH156" i="3"/>
  <c r="AI156" i="3" s="1"/>
  <c r="AI239" i="3"/>
  <c r="H239" i="3"/>
  <c r="H217" i="3"/>
  <c r="K117" i="68" s="1"/>
  <c r="AA207" i="3"/>
  <c r="G207" i="3" s="1"/>
  <c r="AO207" i="3" s="1"/>
  <c r="L62" i="70" s="1"/>
  <c r="I110" i="68"/>
  <c r="H133" i="3"/>
  <c r="AI133" i="3"/>
  <c r="AH162" i="3"/>
  <c r="I125" i="68"/>
  <c r="AA225" i="3"/>
  <c r="G225" i="3" s="1"/>
  <c r="AO225" i="3" s="1"/>
  <c r="L72" i="70" s="1"/>
  <c r="H235" i="3"/>
  <c r="AI235" i="3"/>
  <c r="K63" i="68"/>
  <c r="J63" i="68" s="1"/>
  <c r="H89" i="3"/>
  <c r="AI89" i="3"/>
  <c r="K32" i="68"/>
  <c r="I32" i="68" s="1"/>
  <c r="BP22" i="46"/>
  <c r="F55" i="65"/>
  <c r="F56" i="65" s="1"/>
  <c r="G57" i="15"/>
  <c r="F57" i="15" s="1"/>
  <c r="I60" i="68"/>
  <c r="AA141" i="3"/>
  <c r="G141" i="3" s="1"/>
  <c r="AO141" i="3" s="1"/>
  <c r="L39" i="70" s="1"/>
  <c r="H135" i="3"/>
  <c r="K54" i="68" s="1"/>
  <c r="I54" i="68" s="1"/>
  <c r="AI135" i="3"/>
  <c r="I123" i="68"/>
  <c r="AB223" i="3"/>
  <c r="AA223" i="3"/>
  <c r="G223" i="3" s="1"/>
  <c r="AO223" i="3" s="1"/>
  <c r="L70" i="70" s="1"/>
  <c r="AI237" i="3"/>
  <c r="H237" i="3"/>
  <c r="I79" i="68"/>
  <c r="AA162" i="3"/>
  <c r="G162" i="3" s="1"/>
  <c r="AO162" i="3" s="1"/>
  <c r="L46" i="70" s="1"/>
  <c r="AB162" i="3"/>
  <c r="I121" i="68"/>
  <c r="AA221" i="3"/>
  <c r="G221" i="3" s="1"/>
  <c r="AO221" i="3" s="1"/>
  <c r="L68" i="70" s="1"/>
  <c r="H238" i="3"/>
  <c r="AI127" i="3"/>
  <c r="AH207" i="3"/>
  <c r="AI207" i="3" s="1"/>
  <c r="AB137" i="3"/>
  <c r="I75" i="68"/>
  <c r="AA158" i="3"/>
  <c r="G158" i="3" s="1"/>
  <c r="AO158" i="3" s="1"/>
  <c r="L45" i="70" s="1"/>
  <c r="AH217" i="3"/>
  <c r="AI217" i="3" s="1"/>
  <c r="AH221" i="3"/>
  <c r="AI221" i="3" s="1"/>
  <c r="AH230" i="3"/>
  <c r="AI230" i="3" s="1"/>
  <c r="AH238" i="3"/>
  <c r="AI238" i="3" s="1"/>
  <c r="K73" i="68"/>
  <c r="J73" i="68" s="1"/>
  <c r="K379" i="3"/>
  <c r="K386" i="3" s="1"/>
  <c r="K44" i="68"/>
  <c r="J44" i="68" s="1"/>
  <c r="H120" i="3"/>
  <c r="H123" i="3" s="1"/>
  <c r="I29" i="68"/>
  <c r="H29" i="68" s="1"/>
  <c r="AA104" i="3"/>
  <c r="G104" i="3" s="1"/>
  <c r="AO104" i="3" s="1"/>
  <c r="L17" i="70" s="1"/>
  <c r="AH225" i="3"/>
  <c r="AI225" i="3" s="1"/>
  <c r="AI158" i="3"/>
  <c r="H158" i="3"/>
  <c r="K75" i="68" s="1"/>
  <c r="H220" i="3"/>
  <c r="K120" i="68" s="1"/>
  <c r="AI220" i="3"/>
  <c r="H315" i="3"/>
  <c r="AI315" i="3"/>
  <c r="BJ22" i="46"/>
  <c r="K26" i="68"/>
  <c r="J26" i="68" s="1"/>
  <c r="BL22" i="4"/>
  <c r="F35" i="65"/>
  <c r="AI213" i="3"/>
  <c r="H213" i="3"/>
  <c r="H96" i="3"/>
  <c r="AI96" i="3"/>
  <c r="K100" i="68"/>
  <c r="G59" i="15"/>
  <c r="F59" i="15" s="1"/>
  <c r="H176" i="3"/>
  <c r="AI176" i="3"/>
  <c r="AI164" i="3"/>
  <c r="H164" i="3"/>
  <c r="H180" i="3"/>
  <c r="AI180" i="3"/>
  <c r="I70" i="68"/>
  <c r="AA153" i="3"/>
  <c r="G153" i="3" s="1"/>
  <c r="AO153" i="3" s="1"/>
  <c r="L43" i="70" s="1"/>
  <c r="H142" i="3"/>
  <c r="K61" i="68" s="1"/>
  <c r="I61" i="68" s="1"/>
  <c r="AI142" i="3"/>
  <c r="AB104" i="3"/>
  <c r="AA139" i="3"/>
  <c r="G139" i="3" s="1"/>
  <c r="AO139" i="3" s="1"/>
  <c r="L37" i="70" s="1"/>
  <c r="I58" i="68"/>
  <c r="AB139" i="3"/>
  <c r="AA236" i="3"/>
  <c r="G236" i="3" s="1"/>
  <c r="AO236" i="3" s="1"/>
  <c r="L77" i="70" s="1"/>
  <c r="AB236" i="3"/>
  <c r="I134" i="68"/>
  <c r="I27" i="68"/>
  <c r="H27" i="68" s="1"/>
  <c r="AA102" i="3"/>
  <c r="G102" i="3" s="1"/>
  <c r="AO102" i="3" s="1"/>
  <c r="L15" i="70" s="1"/>
  <c r="H230" i="3"/>
  <c r="K130" i="68" s="1"/>
  <c r="AB141" i="3"/>
  <c r="H225" i="3"/>
  <c r="K125" i="68" s="1"/>
  <c r="AA230" i="3"/>
  <c r="G230" i="3" s="1"/>
  <c r="AO230" i="3" s="1"/>
  <c r="L75" i="70" s="1"/>
  <c r="I130" i="68"/>
  <c r="H184" i="3"/>
  <c r="K97" i="68" s="1"/>
  <c r="J97" i="68" s="1"/>
  <c r="AI184" i="3"/>
  <c r="AI192" i="3"/>
  <c r="H192" i="3"/>
  <c r="K101" i="68" s="1"/>
  <c r="BR27" i="4"/>
  <c r="BR156" i="4"/>
  <c r="BO156" i="46"/>
  <c r="L31" i="30"/>
  <c r="F31" i="30"/>
  <c r="D31" i="30" s="1"/>
  <c r="H98" i="3"/>
  <c r="AI98" i="3"/>
  <c r="H10" i="68"/>
  <c r="BN27" i="4"/>
  <c r="BN156" i="4"/>
  <c r="BN34" i="4"/>
  <c r="H207" i="3"/>
  <c r="H170" i="3"/>
  <c r="K87" i="68"/>
  <c r="I87" i="68" s="1"/>
  <c r="AI82" i="3"/>
  <c r="H82" i="3"/>
  <c r="K100" i="65"/>
  <c r="K30" i="68"/>
  <c r="J30" i="68" s="1"/>
  <c r="BP22" i="4"/>
  <c r="BN22" i="46"/>
  <c r="F36" i="65"/>
  <c r="H125" i="3"/>
  <c r="BQ27" i="4"/>
  <c r="BQ156" i="4"/>
  <c r="BS22" i="4"/>
  <c r="BQ22" i="46"/>
  <c r="H384" i="3"/>
  <c r="AL33" i="30" s="1"/>
  <c r="F68" i="65"/>
  <c r="J7" i="68"/>
  <c r="DB156" i="46"/>
  <c r="DB27" i="46"/>
  <c r="DB26" i="46"/>
  <c r="DB24" i="46"/>
  <c r="AQ27" i="4"/>
  <c r="AQ156" i="4"/>
  <c r="AQ33" i="4"/>
  <c r="AU27" i="4"/>
  <c r="AU34" i="4"/>
  <c r="AI27" i="4"/>
  <c r="AI33" i="4"/>
  <c r="AM156" i="4"/>
  <c r="AM27" i="4"/>
  <c r="AM33" i="4"/>
  <c r="P50" i="30"/>
  <c r="P57" i="30" s="1"/>
  <c r="EE22" i="46" s="1"/>
  <c r="EE156" i="46" s="1"/>
  <c r="EE157" i="46" s="1"/>
  <c r="AT156" i="4"/>
  <c r="AT34" i="4"/>
  <c r="L27" i="30"/>
  <c r="I23" i="29" s="1"/>
  <c r="F23" i="29" s="1"/>
  <c r="G23" i="29" s="1"/>
  <c r="AV27" i="4"/>
  <c r="AV34" i="4"/>
  <c r="AG27" i="4"/>
  <c r="AG33" i="4"/>
  <c r="Y27" i="4"/>
  <c r="Y31" i="4"/>
  <c r="AO156" i="4"/>
  <c r="AO27" i="4"/>
  <c r="AO33" i="4"/>
  <c r="AJ27" i="30"/>
  <c r="M23" i="29" s="1"/>
  <c r="AR27" i="4"/>
  <c r="AR33" i="4"/>
  <c r="U156" i="4"/>
  <c r="U31" i="4"/>
  <c r="AJ27" i="4"/>
  <c r="AJ156" i="4"/>
  <c r="AJ33" i="4"/>
  <c r="AF27" i="4"/>
  <c r="AF33" i="4"/>
  <c r="AF156" i="4"/>
  <c r="S156" i="4"/>
  <c r="S31" i="4"/>
  <c r="AC156" i="4"/>
  <c r="AC30" i="4"/>
  <c r="AN156" i="4"/>
  <c r="AN33" i="4"/>
  <c r="O45" i="30"/>
  <c r="O50" i="30" s="1"/>
  <c r="G26" i="30"/>
  <c r="AJ69" i="30"/>
  <c r="L47" i="30"/>
  <c r="I35" i="29" s="1"/>
  <c r="F35" i="29" s="1"/>
  <c r="G35" i="29" s="1"/>
  <c r="DN156" i="46"/>
  <c r="DN16" i="46"/>
  <c r="AH156" i="4"/>
  <c r="AH27" i="4"/>
  <c r="AH33" i="4"/>
  <c r="AE156" i="4"/>
  <c r="AE27" i="4"/>
  <c r="AE33" i="4"/>
  <c r="DM16" i="46"/>
  <c r="DC16" i="46"/>
  <c r="DC156" i="46"/>
  <c r="AX27" i="4"/>
  <c r="AX156" i="4"/>
  <c r="AX34" i="4"/>
  <c r="K26" i="30"/>
  <c r="K45" i="30" s="1"/>
  <c r="K50" i="30" s="1"/>
  <c r="K57" i="30" s="1"/>
  <c r="K67" i="30" s="1"/>
  <c r="K68" i="30" s="1"/>
  <c r="S45" i="30"/>
  <c r="S50" i="30" s="1"/>
  <c r="S57" i="30" s="1"/>
  <c r="EH22" i="46" s="1"/>
  <c r="EH156" i="46" s="1"/>
  <c r="EH157" i="46" s="1"/>
  <c r="X27" i="4"/>
  <c r="X156" i="4"/>
  <c r="X31" i="4"/>
  <c r="AS156" i="4"/>
  <c r="AS34" i="4"/>
  <c r="DO156" i="4"/>
  <c r="DO27" i="4"/>
  <c r="DI16" i="46"/>
  <c r="DI156" i="46"/>
  <c r="J26" i="30"/>
  <c r="J45" i="30" s="1"/>
  <c r="J50" i="30" s="1"/>
  <c r="J57" i="30" s="1"/>
  <c r="J67" i="30" s="1"/>
  <c r="J68" i="30" s="1"/>
  <c r="R45" i="30"/>
  <c r="R50" i="30" s="1"/>
  <c r="R57" i="30" s="1"/>
  <c r="D27" i="30"/>
  <c r="C9" i="73"/>
  <c r="B9" i="73" s="1"/>
  <c r="G9" i="73" s="1"/>
  <c r="AK27" i="4"/>
  <c r="AK156" i="4"/>
  <c r="AK33" i="4"/>
  <c r="DI156" i="4"/>
  <c r="DK156" i="4"/>
  <c r="DH156" i="4"/>
  <c r="Q45" i="30"/>
  <c r="Q50" i="30" s="1"/>
  <c r="Q57" i="30" s="1"/>
  <c r="EH22" i="4" s="1"/>
  <c r="EH156" i="4" s="1"/>
  <c r="I26" i="30"/>
  <c r="I45" i="30" s="1"/>
  <c r="I50" i="30" s="1"/>
  <c r="I57" i="30" s="1"/>
  <c r="I67" i="30" s="1"/>
  <c r="I68" i="30" s="1"/>
  <c r="AM75" i="3"/>
  <c r="J168" i="70" s="1"/>
  <c r="G75" i="3"/>
  <c r="H75" i="3" s="1"/>
  <c r="D20" i="69"/>
  <c r="E20" i="69" s="1"/>
  <c r="F20" i="69" s="1"/>
  <c r="W156" i="4"/>
  <c r="W27" i="4"/>
  <c r="W31" i="4"/>
  <c r="AB27" i="4"/>
  <c r="AB156" i="4"/>
  <c r="AB30" i="4"/>
  <c r="DL156" i="4"/>
  <c r="DD25" i="46"/>
  <c r="H45" i="30"/>
  <c r="H50" i="30" s="1"/>
  <c r="H57" i="30" s="1"/>
  <c r="E7" i="73"/>
  <c r="E18" i="73" s="1"/>
  <c r="DJ156" i="46"/>
  <c r="Q156" i="4"/>
  <c r="Q27" i="4"/>
  <c r="Q31" i="4"/>
  <c r="DK16" i="46"/>
  <c r="DK156" i="46"/>
  <c r="BE31" i="31"/>
  <c r="BD31" i="31"/>
  <c r="DD29" i="46" l="1"/>
  <c r="E322" i="3"/>
  <c r="F322" i="3" s="1"/>
  <c r="K140" i="68"/>
  <c r="J140" i="68" s="1"/>
  <c r="G78" i="15"/>
  <c r="F78" i="15" s="1"/>
  <c r="AI244" i="3"/>
  <c r="DR28" i="4"/>
  <c r="DD28" i="46"/>
  <c r="DD27" i="46"/>
  <c r="DD24" i="46"/>
  <c r="DD26" i="46"/>
  <c r="DR33" i="4"/>
  <c r="DP33" i="46" s="1"/>
  <c r="DR31" i="4"/>
  <c r="DP31" i="46" s="1"/>
  <c r="DR30" i="4"/>
  <c r="DP30" i="46" s="1"/>
  <c r="DR37" i="4"/>
  <c r="DP37" i="46" s="1"/>
  <c r="DR36" i="4"/>
  <c r="DP36" i="46" s="1"/>
  <c r="N38" i="30"/>
  <c r="L38" i="30" s="1"/>
  <c r="I24" i="29" s="1"/>
  <c r="F24" i="29" s="1"/>
  <c r="G24" i="29" s="1"/>
  <c r="DR29" i="4"/>
  <c r="DP29" i="46" s="1"/>
  <c r="DR35" i="4"/>
  <c r="DP35" i="46" s="1"/>
  <c r="DR156" i="4"/>
  <c r="DR32" i="4"/>
  <c r="DP32" i="46" s="1"/>
  <c r="DG156" i="46"/>
  <c r="K104" i="68"/>
  <c r="H195" i="3"/>
  <c r="G62" i="15"/>
  <c r="F62" i="15" s="1"/>
  <c r="G43" i="15"/>
  <c r="F43" i="15" s="1"/>
  <c r="I379" i="3"/>
  <c r="CV155" i="4"/>
  <c r="CV157" i="4" s="1"/>
  <c r="B31" i="46"/>
  <c r="K30" i="46"/>
  <c r="CW155" i="4"/>
  <c r="CW157" i="4" s="1"/>
  <c r="BX29" i="46"/>
  <c r="CG29" i="46"/>
  <c r="EA29" i="46"/>
  <c r="AQ29" i="46"/>
  <c r="BK29" i="46"/>
  <c r="CM29" i="46"/>
  <c r="BD29" i="46"/>
  <c r="BW29" i="46"/>
  <c r="M29" i="46"/>
  <c r="CO29" i="46"/>
  <c r="BV29" i="46"/>
  <c r="BC29" i="46"/>
  <c r="BU29" i="46"/>
  <c r="BS29" i="46"/>
  <c r="BE29" i="46"/>
  <c r="BR29" i="46"/>
  <c r="AS29" i="46"/>
  <c r="O29" i="46"/>
  <c r="BO29" i="46"/>
  <c r="CA29" i="46"/>
  <c r="BG29" i="46"/>
  <c r="BF29" i="46"/>
  <c r="BL29" i="46"/>
  <c r="AA29" i="46"/>
  <c r="N29" i="46"/>
  <c r="BZ29" i="46"/>
  <c r="BI29" i="46"/>
  <c r="BB29" i="46"/>
  <c r="CN29" i="46"/>
  <c r="BH29" i="46"/>
  <c r="BT29" i="46"/>
  <c r="CD29" i="46"/>
  <c r="BN29" i="46"/>
  <c r="R29" i="46"/>
  <c r="CK29" i="46"/>
  <c r="S29" i="46"/>
  <c r="BQ29" i="46"/>
  <c r="BJ29" i="46"/>
  <c r="CL29" i="46"/>
  <c r="CJ29" i="46"/>
  <c r="P29" i="46"/>
  <c r="AJ29" i="46"/>
  <c r="AL29" i="46"/>
  <c r="AO29" i="46"/>
  <c r="AG29" i="46"/>
  <c r="AM29" i="46"/>
  <c r="AE29" i="46"/>
  <c r="AF29" i="46"/>
  <c r="AH29" i="46"/>
  <c r="AD29" i="46"/>
  <c r="Q29" i="46"/>
  <c r="BP29" i="46"/>
  <c r="W29" i="46"/>
  <c r="CF29" i="46"/>
  <c r="CC29" i="46"/>
  <c r="CP29" i="46"/>
  <c r="CQ29" i="46"/>
  <c r="U29" i="46"/>
  <c r="AX29" i="46"/>
  <c r="AC29" i="46"/>
  <c r="AP29" i="46"/>
  <c r="Y29" i="46"/>
  <c r="BM29" i="46"/>
  <c r="V29" i="46"/>
  <c r="AV29" i="46"/>
  <c r="X29" i="46"/>
  <c r="T29" i="46"/>
  <c r="AU29" i="46"/>
  <c r="CE29" i="46"/>
  <c r="AI29" i="46"/>
  <c r="AN29" i="46"/>
  <c r="AK29" i="46"/>
  <c r="CH29" i="46"/>
  <c r="CR29" i="46"/>
  <c r="BY29" i="46"/>
  <c r="AR29" i="46"/>
  <c r="CI29" i="46"/>
  <c r="Z29" i="46"/>
  <c r="CB29" i="46"/>
  <c r="AT29" i="46"/>
  <c r="AZ29" i="46"/>
  <c r="AB29" i="46"/>
  <c r="AI197" i="3"/>
  <c r="G45" i="15"/>
  <c r="F45" i="15" s="1"/>
  <c r="BL156" i="46"/>
  <c r="DF16" i="46"/>
  <c r="DF30" i="46" s="1"/>
  <c r="DP16" i="46"/>
  <c r="AQ31" i="31"/>
  <c r="AS31" i="31" s="1"/>
  <c r="AQ32" i="31"/>
  <c r="DN35" i="4"/>
  <c r="AU35" i="4"/>
  <c r="AE35" i="4"/>
  <c r="AD35" i="4"/>
  <c r="AG35" i="4"/>
  <c r="AF35" i="4"/>
  <c r="U35" i="4"/>
  <c r="AK35" i="4"/>
  <c r="AB35" i="4"/>
  <c r="CQ35" i="4"/>
  <c r="DQ35" i="4"/>
  <c r="BA35" i="4"/>
  <c r="BK35" i="4"/>
  <c r="BG35" i="4"/>
  <c r="BD35" i="4"/>
  <c r="O35" i="4"/>
  <c r="BY35" i="4"/>
  <c r="BV35" i="4"/>
  <c r="CA35" i="4"/>
  <c r="BI35" i="4"/>
  <c r="BU35" i="4"/>
  <c r="CF35" i="4"/>
  <c r="DI35" i="4"/>
  <c r="AT35" i="4"/>
  <c r="AO35" i="4"/>
  <c r="AP35" i="4"/>
  <c r="AL35" i="4"/>
  <c r="AV35" i="4"/>
  <c r="AC35" i="4"/>
  <c r="Y35" i="4"/>
  <c r="W35" i="4"/>
  <c r="CJ35" i="4"/>
  <c r="CN35" i="4"/>
  <c r="DO35" i="4"/>
  <c r="BE35" i="4"/>
  <c r="CI35" i="4"/>
  <c r="CC35" i="4"/>
  <c r="CT35" i="4"/>
  <c r="X35" i="4"/>
  <c r="BB35" i="4"/>
  <c r="BR35" i="4"/>
  <c r="CG35" i="4"/>
  <c r="BL35" i="4"/>
  <c r="BM35" i="4"/>
  <c r="BW35" i="4"/>
  <c r="BJ35" i="4"/>
  <c r="AW35" i="4"/>
  <c r="AH35" i="4"/>
  <c r="AQ35" i="4"/>
  <c r="Z35" i="4"/>
  <c r="CO35" i="4"/>
  <c r="DL35" i="4"/>
  <c r="AY35" i="4"/>
  <c r="EC35" i="4"/>
  <c r="BT35" i="4"/>
  <c r="CB35" i="4"/>
  <c r="BP35" i="4"/>
  <c r="DJ35" i="4"/>
  <c r="DM35" i="4"/>
  <c r="AN35" i="4"/>
  <c r="AX35" i="4"/>
  <c r="Q35" i="4"/>
  <c r="V35" i="4"/>
  <c r="CP35" i="4"/>
  <c r="DP35" i="4"/>
  <c r="CK35" i="4"/>
  <c r="P35" i="4"/>
  <c r="AA35" i="4"/>
  <c r="CH35" i="4"/>
  <c r="CR35" i="4"/>
  <c r="BZ35" i="4"/>
  <c r="AM35" i="4"/>
  <c r="S35" i="4"/>
  <c r="CL35" i="4"/>
  <c r="CS35" i="4"/>
  <c r="BQ35" i="4"/>
  <c r="CE35" i="4"/>
  <c r="AR35" i="4"/>
  <c r="DK35" i="4"/>
  <c r="BC35" i="4"/>
  <c r="BO35" i="4"/>
  <c r="BX35" i="4"/>
  <c r="AS35" i="4"/>
  <c r="AJ35" i="4"/>
  <c r="BF35" i="4"/>
  <c r="BS35" i="4"/>
  <c r="CD35" i="4"/>
  <c r="AZ35" i="4"/>
  <c r="T35" i="4"/>
  <c r="DH35" i="4"/>
  <c r="CM35" i="4"/>
  <c r="R35" i="4"/>
  <c r="AI35" i="4"/>
  <c r="BN35" i="4"/>
  <c r="BH35" i="4"/>
  <c r="CU36" i="46"/>
  <c r="AI122" i="3"/>
  <c r="CT48" i="46"/>
  <c r="CT60" i="46" s="1"/>
  <c r="J386" i="3"/>
  <c r="B19" i="47"/>
  <c r="C19" i="5"/>
  <c r="N30" i="4"/>
  <c r="C31" i="4"/>
  <c r="CT36" i="46"/>
  <c r="O25" i="4"/>
  <c r="AE25" i="4"/>
  <c r="AU25" i="4"/>
  <c r="BK25" i="4"/>
  <c r="CA25" i="4"/>
  <c r="CQ25" i="4"/>
  <c r="DP25" i="4"/>
  <c r="AB25" i="4"/>
  <c r="AW25" i="4"/>
  <c r="BR25" i="4"/>
  <c r="CN25" i="4"/>
  <c r="R25" i="4"/>
  <c r="AN25" i="4"/>
  <c r="BI25" i="4"/>
  <c r="CD25" i="4"/>
  <c r="DI25" i="4"/>
  <c r="CK25" i="4"/>
  <c r="AT25" i="4"/>
  <c r="CR25" i="4"/>
  <c r="BA25" i="4"/>
  <c r="T25" i="4"/>
  <c r="DJ25" i="4"/>
  <c r="CL25" i="4"/>
  <c r="BU25" i="4"/>
  <c r="BF25" i="4"/>
  <c r="S25" i="4"/>
  <c r="AI25" i="4"/>
  <c r="AY25" i="4"/>
  <c r="BO25" i="4"/>
  <c r="CE25" i="4"/>
  <c r="DD25" i="4"/>
  <c r="EC25" i="4"/>
  <c r="AG25" i="4"/>
  <c r="BB25" i="4"/>
  <c r="BX25" i="4"/>
  <c r="CS25" i="4"/>
  <c r="X25" i="4"/>
  <c r="AS25" i="4"/>
  <c r="BN25" i="4"/>
  <c r="CJ25" i="4"/>
  <c r="DN25" i="4"/>
  <c r="BZ25" i="4"/>
  <c r="AJ25" i="4"/>
  <c r="CG25" i="4"/>
  <c r="AP25" i="4"/>
  <c r="AO25" i="4"/>
  <c r="Z25" i="4"/>
  <c r="DQ25" i="4"/>
  <c r="CP25" i="4"/>
  <c r="CB25" i="4"/>
  <c r="AM25" i="4"/>
  <c r="BS25" i="4"/>
  <c r="DH25" i="4"/>
  <c r="AL25" i="4"/>
  <c r="CC25" i="4"/>
  <c r="AC25" i="4"/>
  <c r="BT25" i="4"/>
  <c r="BP25" i="4"/>
  <c r="BV25" i="4"/>
  <c r="CF25" i="4"/>
  <c r="AZ25" i="4"/>
  <c r="AQ25" i="4"/>
  <c r="BW25" i="4"/>
  <c r="DL25" i="4"/>
  <c r="AR25" i="4"/>
  <c r="CH25" i="4"/>
  <c r="AH25" i="4"/>
  <c r="BY25" i="4"/>
  <c r="BE25" i="4"/>
  <c r="BL25" i="4"/>
  <c r="AV25" i="4"/>
  <c r="P25" i="4"/>
  <c r="W25" i="4"/>
  <c r="BC25" i="4"/>
  <c r="CI25" i="4"/>
  <c r="Q25" i="4"/>
  <c r="BH25" i="4"/>
  <c r="DG25" i="4"/>
  <c r="DG30" i="4" s="1"/>
  <c r="DG31" i="4" s="1"/>
  <c r="DG32" i="4" s="1"/>
  <c r="AX25" i="4"/>
  <c r="CO25" i="4"/>
  <c r="DO25" i="4"/>
  <c r="Y25" i="4"/>
  <c r="AF25" i="4"/>
  <c r="BQ25" i="4"/>
  <c r="AK25" i="4"/>
  <c r="V25" i="4"/>
  <c r="CT25" i="4"/>
  <c r="U25" i="4"/>
  <c r="AD25" i="4"/>
  <c r="AA25" i="4"/>
  <c r="BM25" i="4"/>
  <c r="DF25" i="4"/>
  <c r="DF30" i="4" s="1"/>
  <c r="BG25" i="4"/>
  <c r="DM25" i="4"/>
  <c r="BD25" i="4"/>
  <c r="BJ25" i="4"/>
  <c r="DE25" i="4"/>
  <c r="DE30" i="4" s="1"/>
  <c r="DK25" i="4"/>
  <c r="CM25" i="4"/>
  <c r="B37" i="4"/>
  <c r="A25" i="47"/>
  <c r="M36" i="4"/>
  <c r="B25" i="5"/>
  <c r="AU32" i="31"/>
  <c r="BI32" i="31" s="1"/>
  <c r="BJ32" i="31" s="1"/>
  <c r="AS32" i="31"/>
  <c r="G75" i="15"/>
  <c r="F75" i="15" s="1"/>
  <c r="CV96" i="46"/>
  <c r="CX155" i="4"/>
  <c r="CX157" i="4" s="1"/>
  <c r="DE26" i="46"/>
  <c r="DE25" i="46"/>
  <c r="DE27" i="46"/>
  <c r="DE28" i="46"/>
  <c r="DE30" i="46"/>
  <c r="DE24" i="46"/>
  <c r="DE156" i="46"/>
  <c r="DE29" i="46"/>
  <c r="DH28" i="46"/>
  <c r="DH27" i="46"/>
  <c r="DL16" i="46"/>
  <c r="DH30" i="46"/>
  <c r="AO322" i="3"/>
  <c r="L105" i="70" s="1"/>
  <c r="G29" i="65"/>
  <c r="G103" i="65" s="1"/>
  <c r="I380" i="3"/>
  <c r="I386" i="3" s="1"/>
  <c r="BE22" i="46"/>
  <c r="BG22" i="4"/>
  <c r="F27" i="65"/>
  <c r="H100" i="3"/>
  <c r="AI100" i="3"/>
  <c r="K12" i="68"/>
  <c r="H243" i="3"/>
  <c r="G50" i="3"/>
  <c r="DH26" i="46"/>
  <c r="DH25" i="46"/>
  <c r="DN156" i="4"/>
  <c r="AP58" i="30"/>
  <c r="DH29" i="46"/>
  <c r="DB30" i="46"/>
  <c r="DB31" i="46" s="1"/>
  <c r="AQ58" i="30"/>
  <c r="AM58" i="30"/>
  <c r="BA29" i="46"/>
  <c r="BA156" i="46"/>
  <c r="BC27" i="4"/>
  <c r="BC33" i="4"/>
  <c r="BC156" i="4"/>
  <c r="AO58" i="30"/>
  <c r="BM57" i="30"/>
  <c r="BJ57" i="30" s="1"/>
  <c r="BJ50" i="30"/>
  <c r="U19" i="29" s="1"/>
  <c r="W57" i="30"/>
  <c r="T50" i="30"/>
  <c r="C24" i="46"/>
  <c r="B13" i="47"/>
  <c r="N24" i="4"/>
  <c r="C13" i="5"/>
  <c r="X58" i="30"/>
  <c r="X51" i="30"/>
  <c r="AI67" i="30"/>
  <c r="AB57" i="30"/>
  <c r="T23" i="29"/>
  <c r="T56" i="29"/>
  <c r="T41" i="29"/>
  <c r="T29" i="29"/>
  <c r="T46" i="29"/>
  <c r="T22" i="29"/>
  <c r="T21" i="29"/>
  <c r="T39" i="29"/>
  <c r="T32" i="29"/>
  <c r="T38" i="29"/>
  <c r="T31" i="29"/>
  <c r="T58" i="29"/>
  <c r="T40" i="29"/>
  <c r="T59" i="29"/>
  <c r="T35" i="29"/>
  <c r="T25" i="29"/>
  <c r="T37" i="29"/>
  <c r="T26" i="29"/>
  <c r="T42" i="29"/>
  <c r="T54" i="29"/>
  <c r="T60" i="29"/>
  <c r="K19" i="29"/>
  <c r="T45" i="29"/>
  <c r="T27" i="29"/>
  <c r="T50" i="29"/>
  <c r="T55" i="29"/>
  <c r="T51" i="29"/>
  <c r="T34" i="29"/>
  <c r="T44" i="29"/>
  <c r="T36" i="29"/>
  <c r="T48" i="29"/>
  <c r="T53" i="29"/>
  <c r="T30" i="29"/>
  <c r="T24" i="29"/>
  <c r="T43" i="29"/>
  <c r="T49" i="29"/>
  <c r="T47" i="29"/>
  <c r="T52" i="29"/>
  <c r="T33" i="29"/>
  <c r="T57" i="29"/>
  <c r="T61" i="29"/>
  <c r="T28" i="29"/>
  <c r="H236" i="3"/>
  <c r="G82" i="15" s="1"/>
  <c r="F82" i="15" s="1"/>
  <c r="AI236" i="3"/>
  <c r="K81" i="68"/>
  <c r="J81" i="68" s="1"/>
  <c r="H163" i="3"/>
  <c r="AI162" i="3"/>
  <c r="H162" i="3"/>
  <c r="K79" i="68" s="1"/>
  <c r="BP156" i="46"/>
  <c r="G51" i="15"/>
  <c r="F51" i="15" s="1"/>
  <c r="CG22" i="46"/>
  <c r="K133" i="68"/>
  <c r="CI22" i="4"/>
  <c r="H104" i="3"/>
  <c r="AI104" i="3"/>
  <c r="H190" i="3"/>
  <c r="K22" i="68"/>
  <c r="BF22" i="46"/>
  <c r="F32" i="65"/>
  <c r="K32" i="65" s="1"/>
  <c r="K37" i="65" s="1"/>
  <c r="BH22" i="4"/>
  <c r="BL27" i="4"/>
  <c r="BL156" i="4"/>
  <c r="H393" i="3"/>
  <c r="DS22" i="4"/>
  <c r="DQ22" i="46"/>
  <c r="H155" i="3"/>
  <c r="H137" i="3"/>
  <c r="K56" i="68" s="1"/>
  <c r="I56" i="68" s="1"/>
  <c r="AI137" i="3"/>
  <c r="K136" i="68"/>
  <c r="J136" i="68" s="1"/>
  <c r="CL22" i="4"/>
  <c r="CJ22" i="46"/>
  <c r="F86" i="65"/>
  <c r="BU22" i="46"/>
  <c r="BW22" i="4"/>
  <c r="K52" i="68"/>
  <c r="I52" i="68" s="1"/>
  <c r="I146" i="68" s="1"/>
  <c r="BK22" i="46"/>
  <c r="BM22" i="4"/>
  <c r="K27" i="68"/>
  <c r="J27" i="68" s="1"/>
  <c r="AI141" i="3"/>
  <c r="H141" i="3"/>
  <c r="K60" i="68" s="1"/>
  <c r="H139" i="3"/>
  <c r="K58" i="68" s="1"/>
  <c r="AI139" i="3"/>
  <c r="K37" i="68"/>
  <c r="BT22" i="4"/>
  <c r="BR22" i="46"/>
  <c r="F74" i="65"/>
  <c r="F75" i="65" s="1"/>
  <c r="H223" i="3"/>
  <c r="K123" i="68" s="1"/>
  <c r="AI223" i="3"/>
  <c r="K137" i="68"/>
  <c r="J137" i="68" s="1"/>
  <c r="CK22" i="46"/>
  <c r="CM22" i="4"/>
  <c r="BD50" i="30"/>
  <c r="BB45" i="30"/>
  <c r="K70" i="68"/>
  <c r="G52" i="15"/>
  <c r="F52" i="15" s="1"/>
  <c r="K93" i="68"/>
  <c r="G49" i="15"/>
  <c r="F49" i="15" s="1"/>
  <c r="K89" i="68"/>
  <c r="J89" i="68" s="1"/>
  <c r="G48" i="15"/>
  <c r="F48" i="15" s="1"/>
  <c r="H175" i="3"/>
  <c r="BJ156" i="46"/>
  <c r="K135" i="68"/>
  <c r="CI22" i="46"/>
  <c r="CK22" i="4"/>
  <c r="F85" i="65"/>
  <c r="G81" i="15"/>
  <c r="F81" i="15" s="1"/>
  <c r="K17" i="68"/>
  <c r="J17" i="68" s="1"/>
  <c r="H87" i="3"/>
  <c r="W333" i="3"/>
  <c r="X333" i="3" s="1"/>
  <c r="BQ156" i="46"/>
  <c r="BS22" i="46"/>
  <c r="H129" i="3"/>
  <c r="H385" i="3" s="1"/>
  <c r="AL34" i="30" s="1"/>
  <c r="BU22" i="4"/>
  <c r="H173" i="3"/>
  <c r="BY22" i="46"/>
  <c r="CA22" i="4"/>
  <c r="BN156" i="46"/>
  <c r="K10" i="68"/>
  <c r="H78" i="3"/>
  <c r="G42" i="15"/>
  <c r="F42" i="15" s="1"/>
  <c r="K68" i="65"/>
  <c r="K75" i="65" s="1"/>
  <c r="K103" i="65" s="1"/>
  <c r="K104" i="65" s="1"/>
  <c r="BS27" i="4"/>
  <c r="BS156" i="4"/>
  <c r="BP27" i="4"/>
  <c r="BP156" i="4"/>
  <c r="AJ33" i="30"/>
  <c r="N33" i="30"/>
  <c r="K110" i="68"/>
  <c r="D72" i="30"/>
  <c r="H205" i="3"/>
  <c r="BK22" i="4"/>
  <c r="K25" i="68"/>
  <c r="BI22" i="46"/>
  <c r="D21" i="69"/>
  <c r="EF22" i="46"/>
  <c r="EF156" i="46" s="1"/>
  <c r="EF157" i="46" s="1"/>
  <c r="EG22" i="4"/>
  <c r="EG156" i="4" s="1"/>
  <c r="Q67" i="30"/>
  <c r="Q68" i="30" s="1"/>
  <c r="Q58" i="30" s="1"/>
  <c r="E54" i="3"/>
  <c r="F59" i="58"/>
  <c r="O57" i="30"/>
  <c r="O67" i="30" s="1"/>
  <c r="O68" i="30" s="1"/>
  <c r="EF22" i="4"/>
  <c r="EF156" i="4" s="1"/>
  <c r="D7" i="73"/>
  <c r="D18" i="73" s="1"/>
  <c r="G45" i="30"/>
  <c r="G50" i="30" s="1"/>
  <c r="G57" i="30" s="1"/>
  <c r="G67" i="30" s="1"/>
  <c r="G68" i="30" s="1"/>
  <c r="S67" i="30"/>
  <c r="S68" i="30" s="1"/>
  <c r="S51" i="30" s="1"/>
  <c r="EJ22" i="4"/>
  <c r="EJ156" i="4" s="1"/>
  <c r="EJ157" i="4" s="1"/>
  <c r="DP28" i="46"/>
  <c r="EG22" i="46"/>
  <c r="EG156" i="46" s="1"/>
  <c r="EG157" i="46" s="1"/>
  <c r="R67" i="30"/>
  <c r="R68" i="30" s="1"/>
  <c r="EI22" i="4"/>
  <c r="EI156" i="4" s="1"/>
  <c r="EI157" i="4" s="1"/>
  <c r="I51" i="30"/>
  <c r="I58" i="30"/>
  <c r="J51" i="30"/>
  <c r="J58" i="30"/>
  <c r="DI27" i="46"/>
  <c r="DI24" i="46"/>
  <c r="DI29" i="46"/>
  <c r="DI26" i="46"/>
  <c r="DI30" i="46"/>
  <c r="DI28" i="46"/>
  <c r="DI25" i="46"/>
  <c r="DG24" i="46"/>
  <c r="DG29" i="46"/>
  <c r="DG27" i="46"/>
  <c r="DG25" i="46"/>
  <c r="DG26" i="46"/>
  <c r="DG28" i="46"/>
  <c r="DG30" i="46"/>
  <c r="K51" i="30"/>
  <c r="K58" i="30"/>
  <c r="DC24" i="46"/>
  <c r="DC28" i="46"/>
  <c r="DC30" i="46"/>
  <c r="DC25" i="46"/>
  <c r="DC27" i="46"/>
  <c r="DC26" i="46"/>
  <c r="DC29" i="46"/>
  <c r="DN26" i="46"/>
  <c r="DN28" i="46"/>
  <c r="DN25" i="46"/>
  <c r="DN30" i="46"/>
  <c r="DN24" i="46"/>
  <c r="DN27" i="46"/>
  <c r="DN29" i="46"/>
  <c r="DF25" i="46"/>
  <c r="DF29" i="46"/>
  <c r="DM28" i="46"/>
  <c r="DM26" i="46"/>
  <c r="DM24" i="46"/>
  <c r="DM30" i="46"/>
  <c r="DM29" i="46"/>
  <c r="DM27" i="46"/>
  <c r="DM25" i="46"/>
  <c r="BF31" i="31"/>
  <c r="DK27" i="46"/>
  <c r="DK25" i="46"/>
  <c r="DK28" i="46"/>
  <c r="DK24" i="46"/>
  <c r="DK29" i="46"/>
  <c r="DK30" i="46"/>
  <c r="DK26" i="46"/>
  <c r="E21" i="69"/>
  <c r="F18" i="69"/>
  <c r="DO22" i="46"/>
  <c r="H388" i="3"/>
  <c r="AL37" i="30" s="1"/>
  <c r="DQ22" i="4"/>
  <c r="M253" i="70"/>
  <c r="DJ26" i="46"/>
  <c r="DJ28" i="46"/>
  <c r="DJ24" i="46"/>
  <c r="DJ29" i="46"/>
  <c r="DJ25" i="46"/>
  <c r="DJ27" i="46"/>
  <c r="DJ30" i="46"/>
  <c r="DF26" i="46" l="1"/>
  <c r="DF27" i="46"/>
  <c r="DF24" i="46"/>
  <c r="DF28" i="46"/>
  <c r="F90" i="65"/>
  <c r="H241" i="3"/>
  <c r="AU31" i="31"/>
  <c r="BI31" i="31" s="1"/>
  <c r="BP31" i="31" s="1"/>
  <c r="F38" i="30"/>
  <c r="D38" i="30" s="1"/>
  <c r="AS30" i="46"/>
  <c r="AU30" i="46"/>
  <c r="AV30" i="46"/>
  <c r="AQ30" i="46"/>
  <c r="AT30" i="46"/>
  <c r="AR30" i="46"/>
  <c r="U30" i="46"/>
  <c r="AH30" i="46"/>
  <c r="AB30" i="46"/>
  <c r="AF30" i="46"/>
  <c r="P30" i="46"/>
  <c r="CQ30" i="46"/>
  <c r="AN30" i="46"/>
  <c r="BP30" i="46"/>
  <c r="BF30" i="46"/>
  <c r="AJ30" i="46"/>
  <c r="BC30" i="46"/>
  <c r="BR30" i="46"/>
  <c r="BJ30" i="46"/>
  <c r="CA30" i="46"/>
  <c r="BD30" i="46"/>
  <c r="T30" i="46"/>
  <c r="CR30" i="46"/>
  <c r="S30" i="46"/>
  <c r="CH30" i="46"/>
  <c r="CP30" i="46"/>
  <c r="AC30" i="46"/>
  <c r="CL30" i="46"/>
  <c r="AD30" i="46"/>
  <c r="AA30" i="46"/>
  <c r="N30" i="46"/>
  <c r="AM30" i="46"/>
  <c r="CI30" i="46"/>
  <c r="AE30" i="46"/>
  <c r="BG30" i="46"/>
  <c r="AZ30" i="46"/>
  <c r="BK30" i="46"/>
  <c r="BI30" i="46"/>
  <c r="BN30" i="46"/>
  <c r="BO30" i="46"/>
  <c r="AY30" i="46"/>
  <c r="Q30" i="46"/>
  <c r="CF30" i="46"/>
  <c r="R30" i="46"/>
  <c r="BX30" i="46"/>
  <c r="EA30" i="46"/>
  <c r="BQ30" i="46"/>
  <c r="Y30" i="46"/>
  <c r="X30" i="46"/>
  <c r="V30" i="46"/>
  <c r="M30" i="46"/>
  <c r="CD30" i="46"/>
  <c r="BH30" i="46"/>
  <c r="AO30" i="46"/>
  <c r="BW30" i="46"/>
  <c r="AW30" i="46"/>
  <c r="BA30" i="46"/>
  <c r="CO30" i="46"/>
  <c r="AI30" i="46"/>
  <c r="DD30" i="46"/>
  <c r="Z30" i="46"/>
  <c r="AP30" i="46"/>
  <c r="W30" i="46"/>
  <c r="CG30" i="46"/>
  <c r="AL30" i="46"/>
  <c r="AG30" i="46"/>
  <c r="CE30" i="46"/>
  <c r="BY30" i="46"/>
  <c r="CM30" i="46"/>
  <c r="AK30" i="46"/>
  <c r="BV30" i="46"/>
  <c r="CN30" i="46"/>
  <c r="O30" i="46"/>
  <c r="AX30" i="46"/>
  <c r="BT30" i="46"/>
  <c r="BU30" i="46"/>
  <c r="BS30" i="46"/>
  <c r="K31" i="46"/>
  <c r="B32" i="46"/>
  <c r="CE22" i="4"/>
  <c r="CC22" i="46"/>
  <c r="H200" i="3"/>
  <c r="DL31" i="46"/>
  <c r="BL30" i="46"/>
  <c r="H168" i="3"/>
  <c r="DF31" i="4"/>
  <c r="DF32" i="4" s="1"/>
  <c r="DF33" i="4" s="1"/>
  <c r="DL28" i="46"/>
  <c r="DE31" i="4"/>
  <c r="DE32" i="4" s="1"/>
  <c r="DE33" i="4" s="1"/>
  <c r="CE36" i="4"/>
  <c r="AT36" i="4"/>
  <c r="AH36" i="4"/>
  <c r="AK36" i="4"/>
  <c r="AE36" i="4"/>
  <c r="AI36" i="4"/>
  <c r="T36" i="4"/>
  <c r="U36" i="4"/>
  <c r="CO36" i="4"/>
  <c r="CM36" i="4"/>
  <c r="DP36" i="4"/>
  <c r="DL36" i="4"/>
  <c r="CI36" i="4"/>
  <c r="BR36" i="4"/>
  <c r="BY36" i="4"/>
  <c r="BC36" i="4"/>
  <c r="BI36" i="4"/>
  <c r="CG36" i="4"/>
  <c r="CH36" i="4"/>
  <c r="BU36" i="4"/>
  <c r="CF36" i="4"/>
  <c r="BQ36" i="4"/>
  <c r="DI36" i="4"/>
  <c r="DM36" i="4"/>
  <c r="AU36" i="4"/>
  <c r="AS36" i="4"/>
  <c r="AX36" i="4"/>
  <c r="AJ36" i="4"/>
  <c r="AF36" i="4"/>
  <c r="AQ36" i="4"/>
  <c r="W36" i="4"/>
  <c r="Y36" i="4"/>
  <c r="CP36" i="4"/>
  <c r="CL36" i="4"/>
  <c r="DQ36" i="4"/>
  <c r="BA36" i="4"/>
  <c r="BG36" i="4"/>
  <c r="R36" i="4"/>
  <c r="BJ36" i="4"/>
  <c r="BD36" i="4"/>
  <c r="BT36" i="4"/>
  <c r="BX36" i="4"/>
  <c r="BL36" i="4"/>
  <c r="CA36" i="4"/>
  <c r="DH36" i="4"/>
  <c r="AM36" i="4"/>
  <c r="AR36" i="4"/>
  <c r="AB36" i="4"/>
  <c r="Q36" i="4"/>
  <c r="CJ36" i="4"/>
  <c r="DO36" i="4"/>
  <c r="BK36" i="4"/>
  <c r="CC36" i="4"/>
  <c r="X36" i="4"/>
  <c r="BZ36" i="4"/>
  <c r="CD36" i="4"/>
  <c r="DJ36" i="4"/>
  <c r="DN36" i="4"/>
  <c r="AD36" i="4"/>
  <c r="AN36" i="4"/>
  <c r="AC36" i="4"/>
  <c r="S36" i="4"/>
  <c r="DK36" i="4"/>
  <c r="BS36" i="4"/>
  <c r="BO36" i="4"/>
  <c r="CB36" i="4"/>
  <c r="BW36" i="4"/>
  <c r="AV36" i="4"/>
  <c r="AO36" i="4"/>
  <c r="AY36" i="4"/>
  <c r="P36" i="4"/>
  <c r="BV36" i="4"/>
  <c r="AL36" i="4"/>
  <c r="Z36" i="4"/>
  <c r="CN36" i="4"/>
  <c r="CS36" i="4"/>
  <c r="EC36" i="4"/>
  <c r="BM36" i="4"/>
  <c r="AG36" i="4"/>
  <c r="V36" i="4"/>
  <c r="CQ36" i="4"/>
  <c r="O36" i="4"/>
  <c r="AA36" i="4"/>
  <c r="BB36" i="4"/>
  <c r="AW36" i="4"/>
  <c r="BF36" i="4"/>
  <c r="CT36" i="4"/>
  <c r="BP36" i="4"/>
  <c r="AP36" i="4"/>
  <c r="BH36" i="4"/>
  <c r="AZ36" i="4"/>
  <c r="BN36" i="4"/>
  <c r="DG33" i="4"/>
  <c r="H212" i="3"/>
  <c r="CF22" i="46" s="1"/>
  <c r="H131" i="3"/>
  <c r="B38" i="4"/>
  <c r="A26" i="47"/>
  <c r="M37" i="4"/>
  <c r="BU37" i="4" s="1"/>
  <c r="B26" i="5"/>
  <c r="N31" i="4"/>
  <c r="C32" i="4"/>
  <c r="B20" i="47"/>
  <c r="C20" i="5"/>
  <c r="DD30" i="4"/>
  <c r="CU48" i="46"/>
  <c r="CU60" i="46" s="1"/>
  <c r="CT72" i="46"/>
  <c r="CT84" i="46" s="1"/>
  <c r="CV108" i="46"/>
  <c r="CV120" i="46" s="1"/>
  <c r="H143" i="3"/>
  <c r="DL26" i="46"/>
  <c r="DL25" i="46"/>
  <c r="DL24" i="46"/>
  <c r="DL30" i="46"/>
  <c r="DL27" i="46"/>
  <c r="DL29" i="46"/>
  <c r="DB32" i="46"/>
  <c r="DB33" i="46" s="1"/>
  <c r="H321" i="3"/>
  <c r="H331" i="3"/>
  <c r="H395" i="3" s="1"/>
  <c r="AL40" i="30" s="1"/>
  <c r="BJ22" i="4"/>
  <c r="F34" i="65"/>
  <c r="K24" i="68"/>
  <c r="BH22" i="46"/>
  <c r="BG34" i="4"/>
  <c r="BG27" i="4"/>
  <c r="BG156" i="4"/>
  <c r="H248" i="3"/>
  <c r="F78" i="65"/>
  <c r="F79" i="65" s="1"/>
  <c r="CO22" i="4"/>
  <c r="CM22" i="46"/>
  <c r="BE30" i="46"/>
  <c r="BE156" i="46"/>
  <c r="F61" i="58"/>
  <c r="F62" i="58" s="1"/>
  <c r="H50" i="3"/>
  <c r="AO50" i="3"/>
  <c r="L150" i="70" s="1"/>
  <c r="Q51" i="30"/>
  <c r="F91" i="15"/>
  <c r="E91" i="15" s="1"/>
  <c r="ED22" i="46"/>
  <c r="ED156" i="46" s="1"/>
  <c r="AI68" i="30"/>
  <c r="AB67" i="30"/>
  <c r="W67" i="30"/>
  <c r="T57" i="30"/>
  <c r="L35" i="29"/>
  <c r="L59" i="29"/>
  <c r="L34" i="29"/>
  <c r="L41" i="29"/>
  <c r="L29" i="29"/>
  <c r="L40" i="29"/>
  <c r="L30" i="29"/>
  <c r="L38" i="29"/>
  <c r="L49" i="29"/>
  <c r="L52" i="29"/>
  <c r="L25" i="29"/>
  <c r="L36" i="29"/>
  <c r="L50" i="29"/>
  <c r="L46" i="29"/>
  <c r="L22" i="29"/>
  <c r="L37" i="29"/>
  <c r="L28" i="29"/>
  <c r="L54" i="29"/>
  <c r="L39" i="29"/>
  <c r="L45" i="29"/>
  <c r="L43" i="29"/>
  <c r="L53" i="29"/>
  <c r="L21" i="29"/>
  <c r="L48" i="29"/>
  <c r="L56" i="29"/>
  <c r="L27" i="29"/>
  <c r="L58" i="29"/>
  <c r="L51" i="29"/>
  <c r="L24" i="29"/>
  <c r="K40" i="29"/>
  <c r="L32" i="29"/>
  <c r="L42" i="29"/>
  <c r="L57" i="29"/>
  <c r="L60" i="29"/>
  <c r="L33" i="29"/>
  <c r="L23" i="29"/>
  <c r="L47" i="29"/>
  <c r="L61" i="29"/>
  <c r="L44" i="29"/>
  <c r="L31" i="29"/>
  <c r="L55" i="29"/>
  <c r="L26" i="29"/>
  <c r="V31" i="29"/>
  <c r="V37" i="29"/>
  <c r="V28" i="29"/>
  <c r="V25" i="29"/>
  <c r="V30" i="29"/>
  <c r="V35" i="29"/>
  <c r="V26" i="29"/>
  <c r="V32" i="29"/>
  <c r="V33" i="29"/>
  <c r="V38" i="29"/>
  <c r="V23" i="29"/>
  <c r="V39" i="29"/>
  <c r="V34" i="29"/>
  <c r="V36" i="29"/>
  <c r="V21" i="29"/>
  <c r="V29" i="29"/>
  <c r="V24" i="29"/>
  <c r="V40" i="29"/>
  <c r="V27" i="29"/>
  <c r="V22" i="29"/>
  <c r="L24" i="46"/>
  <c r="C25" i="46"/>
  <c r="AA333" i="3"/>
  <c r="G333" i="3" s="1"/>
  <c r="AO333" i="3" s="1"/>
  <c r="L110" i="70" s="1"/>
  <c r="AB333" i="3"/>
  <c r="BZ22" i="46"/>
  <c r="F40" i="65"/>
  <c r="H185" i="3"/>
  <c r="H381" i="3" s="1"/>
  <c r="AL30" i="30" s="1"/>
  <c r="CB22" i="4"/>
  <c r="BD57" i="30"/>
  <c r="BB50" i="30"/>
  <c r="Q19" i="29" s="1"/>
  <c r="BR156" i="46"/>
  <c r="BT22" i="46"/>
  <c r="H387" i="3"/>
  <c r="BV22" i="4"/>
  <c r="BU156" i="46"/>
  <c r="DQ16" i="46"/>
  <c r="DQ156" i="46"/>
  <c r="BH27" i="4"/>
  <c r="BH156" i="4"/>
  <c r="H193" i="3"/>
  <c r="H383" i="3" s="1"/>
  <c r="AL32" i="30" s="1"/>
  <c r="CD22" i="4"/>
  <c r="CB22" i="46"/>
  <c r="S58" i="30"/>
  <c r="BC22" i="46"/>
  <c r="F26" i="65"/>
  <c r="BE22" i="4"/>
  <c r="CK27" i="4"/>
  <c r="CK156" i="4"/>
  <c r="CK36" i="4"/>
  <c r="CM156" i="4"/>
  <c r="CM27" i="4"/>
  <c r="CM34" i="4"/>
  <c r="BT37" i="4"/>
  <c r="BT27" i="4"/>
  <c r="BT156" i="4"/>
  <c r="BM27" i="4"/>
  <c r="BM156" i="4"/>
  <c r="DS45" i="4"/>
  <c r="DQ45" i="46" s="1"/>
  <c r="DS50" i="4"/>
  <c r="DQ50" i="46" s="1"/>
  <c r="DS55" i="4"/>
  <c r="DQ55" i="46" s="1"/>
  <c r="DS60" i="4"/>
  <c r="DQ60" i="46" s="1"/>
  <c r="DS35" i="4"/>
  <c r="DQ35" i="46" s="1"/>
  <c r="DS49" i="4"/>
  <c r="DQ49" i="46" s="1"/>
  <c r="DS54" i="4"/>
  <c r="DQ54" i="46" s="1"/>
  <c r="DS59" i="4"/>
  <c r="DQ59" i="46" s="1"/>
  <c r="DS61" i="4"/>
  <c r="DQ61" i="46" s="1"/>
  <c r="DS66" i="4"/>
  <c r="DQ66" i="46" s="1"/>
  <c r="DS71" i="4"/>
  <c r="DQ71" i="46" s="1"/>
  <c r="DS76" i="4"/>
  <c r="DQ76" i="46" s="1"/>
  <c r="DS67" i="4"/>
  <c r="DQ67" i="46" s="1"/>
  <c r="DS65" i="4"/>
  <c r="DQ65" i="46" s="1"/>
  <c r="DS70" i="4"/>
  <c r="DQ70" i="46" s="1"/>
  <c r="DS34" i="4"/>
  <c r="DQ34" i="46" s="1"/>
  <c r="DS44" i="4"/>
  <c r="DQ44" i="46" s="1"/>
  <c r="DS33" i="4"/>
  <c r="DQ33" i="46" s="1"/>
  <c r="DS43" i="4"/>
  <c r="DQ43" i="46" s="1"/>
  <c r="DS64" i="4"/>
  <c r="DQ64" i="46" s="1"/>
  <c r="DS30" i="4"/>
  <c r="DQ30" i="46" s="1"/>
  <c r="DS37" i="4"/>
  <c r="DQ37" i="46" s="1"/>
  <c r="DS42" i="4"/>
  <c r="DQ42" i="46" s="1"/>
  <c r="DS47" i="4"/>
  <c r="DQ47" i="46" s="1"/>
  <c r="DS52" i="4"/>
  <c r="DQ52" i="46" s="1"/>
  <c r="DS51" i="4"/>
  <c r="DQ51" i="46" s="1"/>
  <c r="DS29" i="4"/>
  <c r="DQ29" i="46" s="1"/>
  <c r="DS39" i="4"/>
  <c r="DQ39" i="46" s="1"/>
  <c r="DS46" i="4"/>
  <c r="DQ46" i="46" s="1"/>
  <c r="DS38" i="4"/>
  <c r="DQ38" i="46" s="1"/>
  <c r="DS32" i="4"/>
  <c r="DQ32" i="46" s="1"/>
  <c r="DS84" i="4"/>
  <c r="DQ84" i="46" s="1"/>
  <c r="DS83" i="4"/>
  <c r="DQ83" i="46" s="1"/>
  <c r="DS69" i="4"/>
  <c r="DQ69" i="46" s="1"/>
  <c r="DS74" i="4"/>
  <c r="DQ74" i="46" s="1"/>
  <c r="DS79" i="4"/>
  <c r="DQ79" i="46" s="1"/>
  <c r="DS73" i="4"/>
  <c r="DQ73" i="46" s="1"/>
  <c r="DS28" i="4"/>
  <c r="DS77" i="4"/>
  <c r="DQ77" i="46" s="1"/>
  <c r="DS87" i="4"/>
  <c r="DQ87" i="46" s="1"/>
  <c r="DS56" i="4"/>
  <c r="DQ56" i="46" s="1"/>
  <c r="DS86" i="4"/>
  <c r="DQ86" i="46" s="1"/>
  <c r="DS48" i="4"/>
  <c r="DQ48" i="46" s="1"/>
  <c r="DS57" i="4"/>
  <c r="DQ57" i="46" s="1"/>
  <c r="DS72" i="4"/>
  <c r="DQ72" i="46" s="1"/>
  <c r="DS85" i="4"/>
  <c r="DQ85" i="46" s="1"/>
  <c r="DS31" i="4"/>
  <c r="DQ31" i="46" s="1"/>
  <c r="DS36" i="4"/>
  <c r="DQ36" i="46" s="1"/>
  <c r="DS62" i="4"/>
  <c r="DQ62" i="46" s="1"/>
  <c r="DS82" i="4"/>
  <c r="DQ82" i="46" s="1"/>
  <c r="DS80" i="4"/>
  <c r="DQ80" i="46" s="1"/>
  <c r="DS63" i="4"/>
  <c r="DQ63" i="46" s="1"/>
  <c r="DS41" i="4"/>
  <c r="DQ41" i="46" s="1"/>
  <c r="DS78" i="4"/>
  <c r="DQ78" i="46" s="1"/>
  <c r="DS68" i="4"/>
  <c r="DQ68" i="46" s="1"/>
  <c r="DS156" i="4"/>
  <c r="DS81" i="4"/>
  <c r="DQ81" i="46" s="1"/>
  <c r="DS53" i="4"/>
  <c r="DQ53" i="46" s="1"/>
  <c r="DS40" i="4"/>
  <c r="DQ40" i="46" s="1"/>
  <c r="DS75" i="4"/>
  <c r="DQ75" i="46" s="1"/>
  <c r="DS58" i="4"/>
  <c r="DQ58" i="46" s="1"/>
  <c r="CI27" i="4"/>
  <c r="CI156" i="4"/>
  <c r="CI156" i="46"/>
  <c r="CK156" i="46"/>
  <c r="CK30" i="46"/>
  <c r="BK156" i="46"/>
  <c r="BW27" i="4"/>
  <c r="BW156" i="4"/>
  <c r="CJ156" i="46"/>
  <c r="CJ30" i="46"/>
  <c r="BF156" i="46"/>
  <c r="BO22" i="4"/>
  <c r="K29" i="68"/>
  <c r="J29" i="68" s="1"/>
  <c r="BM22" i="46"/>
  <c r="G46" i="15"/>
  <c r="F46" i="15" s="1"/>
  <c r="F92" i="15" s="1"/>
  <c r="H105" i="3"/>
  <c r="F37" i="65" s="1"/>
  <c r="CH22" i="46"/>
  <c r="K134" i="68"/>
  <c r="CJ22" i="4"/>
  <c r="CH22" i="4"/>
  <c r="CL27" i="4"/>
  <c r="CL34" i="4"/>
  <c r="CL156" i="4"/>
  <c r="BW22" i="46"/>
  <c r="BY22" i="4"/>
  <c r="CG156" i="46"/>
  <c r="BX22" i="46"/>
  <c r="BZ22" i="4"/>
  <c r="BB22" i="46"/>
  <c r="F25" i="65"/>
  <c r="H91" i="3"/>
  <c r="BD22" i="4"/>
  <c r="BI156" i="46"/>
  <c r="CE22" i="46"/>
  <c r="H210" i="3"/>
  <c r="CG22" i="4"/>
  <c r="L33" i="30"/>
  <c r="F33" i="30"/>
  <c r="D33" i="30" s="1"/>
  <c r="J10" i="68"/>
  <c r="CA27" i="4"/>
  <c r="CA156" i="4"/>
  <c r="BU27" i="4"/>
  <c r="BU156" i="4"/>
  <c r="BY156" i="46"/>
  <c r="N34" i="30"/>
  <c r="AJ34" i="30"/>
  <c r="BK27" i="4"/>
  <c r="BK156" i="4"/>
  <c r="BS156" i="46"/>
  <c r="AO52" i="3"/>
  <c r="L152" i="70" s="1"/>
  <c r="H52" i="3"/>
  <c r="G59" i="58"/>
  <c r="H59" i="58" s="1"/>
  <c r="E331" i="3"/>
  <c r="E321" i="3"/>
  <c r="G58" i="30"/>
  <c r="G51" i="30"/>
  <c r="R51" i="30"/>
  <c r="R58" i="30"/>
  <c r="J253" i="70"/>
  <c r="DO156" i="46"/>
  <c r="DO16" i="46"/>
  <c r="DQ156" i="4"/>
  <c r="O58" i="30"/>
  <c r="O51" i="30"/>
  <c r="AJ37" i="30"/>
  <c r="N37" i="30"/>
  <c r="DF34" i="4" l="1"/>
  <c r="C10" i="73"/>
  <c r="B10" i="73" s="1"/>
  <c r="G10" i="73" s="1"/>
  <c r="H233" i="3"/>
  <c r="B33" i="46"/>
  <c r="K32" i="46"/>
  <c r="CE34" i="4"/>
  <c r="CE27" i="4"/>
  <c r="CE156" i="4"/>
  <c r="F321" i="3"/>
  <c r="CA37" i="4"/>
  <c r="DD31" i="46"/>
  <c r="Z31" i="46"/>
  <c r="BP31" i="46"/>
  <c r="BV31" i="46"/>
  <c r="R31" i="46"/>
  <c r="BX31" i="46"/>
  <c r="AH31" i="46"/>
  <c r="BO31" i="46"/>
  <c r="BQ31" i="46"/>
  <c r="BW31" i="46"/>
  <c r="AP31" i="46"/>
  <c r="CC31" i="46"/>
  <c r="AG31" i="46"/>
  <c r="T31" i="46"/>
  <c r="N31" i="46"/>
  <c r="V31" i="46"/>
  <c r="BC31" i="46"/>
  <c r="BF31" i="46"/>
  <c r="AK31" i="46"/>
  <c r="AW31" i="46"/>
  <c r="AE31" i="46"/>
  <c r="AS31" i="46"/>
  <c r="DF31" i="46"/>
  <c r="DM31" i="46"/>
  <c r="DK31" i="46"/>
  <c r="Y31" i="46"/>
  <c r="AM31" i="46"/>
  <c r="AL31" i="46"/>
  <c r="W31" i="46"/>
  <c r="CF31" i="46"/>
  <c r="CM31" i="46"/>
  <c r="BB31" i="46"/>
  <c r="AF31" i="46"/>
  <c r="AA31" i="46"/>
  <c r="AR31" i="46"/>
  <c r="X31" i="46"/>
  <c r="CO31" i="46"/>
  <c r="AN31" i="46"/>
  <c r="BZ31" i="46"/>
  <c r="CB31" i="46"/>
  <c r="CA31" i="46"/>
  <c r="BH31" i="46"/>
  <c r="CD31" i="46"/>
  <c r="AZ31" i="46"/>
  <c r="AU31" i="46"/>
  <c r="AY31" i="46"/>
  <c r="DC31" i="46"/>
  <c r="DN31" i="46"/>
  <c r="DH31" i="46"/>
  <c r="S31" i="46"/>
  <c r="CI31" i="46"/>
  <c r="CL31" i="46"/>
  <c r="CN31" i="46"/>
  <c r="AB31" i="46"/>
  <c r="CK31" i="46"/>
  <c r="BE31" i="46"/>
  <c r="P31" i="46"/>
  <c r="AV31" i="46"/>
  <c r="AC31" i="46"/>
  <c r="BL31" i="46"/>
  <c r="BY31" i="46"/>
  <c r="EA31" i="46"/>
  <c r="O31" i="46"/>
  <c r="BG31" i="46"/>
  <c r="BK31" i="46"/>
  <c r="BU31" i="46"/>
  <c r="CH31" i="46"/>
  <c r="AJ31" i="46"/>
  <c r="BN31" i="46"/>
  <c r="BI31" i="46"/>
  <c r="AI31" i="46"/>
  <c r="DE31" i="46"/>
  <c r="DJ31" i="46"/>
  <c r="AX31" i="46"/>
  <c r="DG31" i="46"/>
  <c r="Q31" i="46"/>
  <c r="CG31" i="46"/>
  <c r="CQ31" i="46"/>
  <c r="BJ31" i="46"/>
  <c r="U31" i="46"/>
  <c r="AO31" i="46"/>
  <c r="CR31" i="46"/>
  <c r="AD31" i="46"/>
  <c r="BT31" i="46"/>
  <c r="CE31" i="46"/>
  <c r="M31" i="46"/>
  <c r="CJ31" i="46"/>
  <c r="BD31" i="46"/>
  <c r="AQ31" i="46"/>
  <c r="BA31" i="46"/>
  <c r="AT31" i="46"/>
  <c r="BS31" i="46"/>
  <c r="CP31" i="46"/>
  <c r="BM31" i="46"/>
  <c r="BR31" i="46"/>
  <c r="DI31" i="46"/>
  <c r="DQ37" i="4"/>
  <c r="CC30" i="46"/>
  <c r="CC156" i="46"/>
  <c r="BJ31" i="31"/>
  <c r="CU72" i="46"/>
  <c r="DD31" i="4"/>
  <c r="AU37" i="4"/>
  <c r="AN37" i="4"/>
  <c r="AR37" i="4"/>
  <c r="AJ37" i="4"/>
  <c r="AH37" i="4"/>
  <c r="U37" i="4"/>
  <c r="Q37" i="4"/>
  <c r="S37" i="4"/>
  <c r="CP37" i="4"/>
  <c r="CL37" i="4"/>
  <c r="DO37" i="4"/>
  <c r="AY37" i="4"/>
  <c r="CT37" i="4"/>
  <c r="AZ37" i="4"/>
  <c r="AA37" i="4"/>
  <c r="BX37" i="4"/>
  <c r="BW37" i="4"/>
  <c r="BL37" i="4"/>
  <c r="DI37" i="4"/>
  <c r="DN37" i="4"/>
  <c r="AT37" i="4"/>
  <c r="AG37" i="4"/>
  <c r="AO37" i="4"/>
  <c r="AE37" i="4"/>
  <c r="AI37" i="4"/>
  <c r="Z37" i="4"/>
  <c r="V37" i="4"/>
  <c r="T37" i="4"/>
  <c r="CM37" i="4"/>
  <c r="DK37" i="4"/>
  <c r="BF37" i="4"/>
  <c r="CK37" i="4"/>
  <c r="CS37" i="4"/>
  <c r="BC37" i="4"/>
  <c r="O37" i="4"/>
  <c r="BG37" i="4"/>
  <c r="CF37" i="4"/>
  <c r="BM37" i="4"/>
  <c r="BD37" i="4"/>
  <c r="DJ37" i="4"/>
  <c r="AV37" i="4"/>
  <c r="AW37" i="4"/>
  <c r="AX37" i="4"/>
  <c r="AB37" i="4"/>
  <c r="CQ37" i="4"/>
  <c r="CI37" i="4"/>
  <c r="BR37" i="4"/>
  <c r="EC37" i="4"/>
  <c r="CB37" i="4"/>
  <c r="CD37" i="4"/>
  <c r="AS37" i="4"/>
  <c r="AF37" i="4"/>
  <c r="AL37" i="4"/>
  <c r="Y37" i="4"/>
  <c r="CO37" i="4"/>
  <c r="DL37" i="4"/>
  <c r="BK37" i="4"/>
  <c r="X37" i="4"/>
  <c r="BO37" i="4"/>
  <c r="BV37" i="4"/>
  <c r="R37" i="4"/>
  <c r="CE37" i="4"/>
  <c r="AP37" i="4"/>
  <c r="BA37" i="4"/>
  <c r="CR37" i="4"/>
  <c r="CC37" i="4"/>
  <c r="AM37" i="4"/>
  <c r="AC37" i="4"/>
  <c r="CG37" i="4"/>
  <c r="AK37" i="4"/>
  <c r="W37" i="4"/>
  <c r="CN37" i="4"/>
  <c r="BB37" i="4"/>
  <c r="BZ37" i="4"/>
  <c r="DM37" i="4"/>
  <c r="BE37" i="4"/>
  <c r="P37" i="4"/>
  <c r="AQ37" i="4"/>
  <c r="BQ37" i="4"/>
  <c r="AD37" i="4"/>
  <c r="BN37" i="4"/>
  <c r="BH37" i="4"/>
  <c r="BI37" i="4"/>
  <c r="DP37" i="4"/>
  <c r="DH37" i="4"/>
  <c r="BS37" i="4"/>
  <c r="BP37" i="4"/>
  <c r="DG34" i="4"/>
  <c r="C33" i="4"/>
  <c r="N32" i="4"/>
  <c r="B21" i="47"/>
  <c r="C21" i="5"/>
  <c r="B39" i="4"/>
  <c r="B27" i="5"/>
  <c r="A27" i="47"/>
  <c r="M38" i="4"/>
  <c r="CU84" i="46"/>
  <c r="CT96" i="46"/>
  <c r="CV132" i="46"/>
  <c r="CV144" i="46" s="1"/>
  <c r="DB34" i="46"/>
  <c r="DB35" i="46" s="1"/>
  <c r="DB36" i="46" s="1"/>
  <c r="AJ40" i="30"/>
  <c r="M26" i="29" s="1"/>
  <c r="N40" i="30"/>
  <c r="CM156" i="46"/>
  <c r="BJ156" i="4"/>
  <c r="BJ27" i="4"/>
  <c r="BJ37" i="4"/>
  <c r="CO27" i="4"/>
  <c r="CO156" i="4"/>
  <c r="BH156" i="46"/>
  <c r="AW22" i="46"/>
  <c r="AY22" i="4"/>
  <c r="W68" i="30"/>
  <c r="T67" i="30"/>
  <c r="AI51" i="30"/>
  <c r="AI58" i="30"/>
  <c r="C26" i="46"/>
  <c r="L25" i="46"/>
  <c r="K146" i="68"/>
  <c r="N146" i="68" s="1"/>
  <c r="BZ27" i="4"/>
  <c r="BZ156" i="4"/>
  <c r="BW156" i="46"/>
  <c r="CF156" i="46"/>
  <c r="BO27" i="4"/>
  <c r="BO156" i="4"/>
  <c r="BO34" i="4"/>
  <c r="BC156" i="46"/>
  <c r="BC32" i="46"/>
  <c r="N32" i="30"/>
  <c r="AJ32" i="30"/>
  <c r="BV27" i="4"/>
  <c r="BV156" i="4"/>
  <c r="BD67" i="30"/>
  <c r="BB57" i="30"/>
  <c r="BZ156" i="46"/>
  <c r="BZ30" i="46"/>
  <c r="L123" i="15"/>
  <c r="J124" i="15" s="1"/>
  <c r="E92" i="15"/>
  <c r="AU35" i="30"/>
  <c r="AU28" i="30"/>
  <c r="CB27" i="4"/>
  <c r="CB156" i="4"/>
  <c r="CB34" i="4"/>
  <c r="H333" i="3"/>
  <c r="H332" i="3" s="1"/>
  <c r="H335" i="3" s="1"/>
  <c r="AI333" i="3"/>
  <c r="BY27" i="4"/>
  <c r="BY156" i="4"/>
  <c r="BY37" i="4"/>
  <c r="CH156" i="46"/>
  <c r="DQ28" i="46"/>
  <c r="CD156" i="4"/>
  <c r="CD34" i="4"/>
  <c r="CD27" i="4"/>
  <c r="R35" i="29"/>
  <c r="R37" i="29"/>
  <c r="R25" i="29"/>
  <c r="R38" i="29"/>
  <c r="R29" i="29"/>
  <c r="R34" i="29"/>
  <c r="R26" i="29"/>
  <c r="R36" i="29"/>
  <c r="R21" i="29"/>
  <c r="R27" i="29"/>
  <c r="R23" i="29"/>
  <c r="R24" i="29"/>
  <c r="BX156" i="46"/>
  <c r="CJ27" i="4"/>
  <c r="CJ156" i="4"/>
  <c r="CJ37" i="4"/>
  <c r="CH156" i="4"/>
  <c r="CH37" i="4"/>
  <c r="CH27" i="4"/>
  <c r="BM30" i="46"/>
  <c r="BM156" i="46"/>
  <c r="BE27" i="4"/>
  <c r="BE36" i="4"/>
  <c r="BE156" i="4"/>
  <c r="CB30" i="46"/>
  <c r="CB156" i="46"/>
  <c r="BT156" i="46"/>
  <c r="N30" i="30"/>
  <c r="AJ30" i="30"/>
  <c r="BD27" i="4"/>
  <c r="BD156" i="4"/>
  <c r="BD34" i="4"/>
  <c r="F34" i="30"/>
  <c r="D34" i="30" s="1"/>
  <c r="L34" i="30"/>
  <c r="CE156" i="46"/>
  <c r="H380" i="3"/>
  <c r="AL29" i="30" s="1"/>
  <c r="F29" i="65"/>
  <c r="F103" i="65" s="1"/>
  <c r="H379" i="3"/>
  <c r="CG27" i="4"/>
  <c r="CG156" i="4"/>
  <c r="BB156" i="46"/>
  <c r="BB30" i="46"/>
  <c r="I59" i="58"/>
  <c r="AY22" i="46"/>
  <c r="BA22" i="4"/>
  <c r="H54" i="3"/>
  <c r="H76" i="3" s="1"/>
  <c r="H19" i="74"/>
  <c r="AC249" i="70"/>
  <c r="AD249" i="70" s="1"/>
  <c r="DE34" i="4"/>
  <c r="DE35" i="4" s="1"/>
  <c r="DE36" i="4" s="1"/>
  <c r="DO26" i="46"/>
  <c r="DO30" i="46"/>
  <c r="DO27" i="46"/>
  <c r="DO31" i="46"/>
  <c r="DO25" i="46"/>
  <c r="DO28" i="46"/>
  <c r="DO32" i="46"/>
  <c r="DO24" i="46"/>
  <c r="DO29" i="46"/>
  <c r="DF35" i="4"/>
  <c r="DF36" i="4" s="1"/>
  <c r="F37" i="30"/>
  <c r="L37" i="30"/>
  <c r="H4" i="74" l="1"/>
  <c r="H6" i="74"/>
  <c r="N6" i="74" s="1"/>
  <c r="H5" i="74"/>
  <c r="N5" i="74" s="1"/>
  <c r="K147" i="68"/>
  <c r="DJ32" i="46"/>
  <c r="DC32" i="46"/>
  <c r="DN32" i="46"/>
  <c r="DF32" i="46"/>
  <c r="DK32" i="46"/>
  <c r="DE32" i="46"/>
  <c r="DH32" i="46"/>
  <c r="DI32" i="46"/>
  <c r="DG32" i="46"/>
  <c r="DM32" i="46"/>
  <c r="W32" i="46"/>
  <c r="CK32" i="46"/>
  <c r="BJ32" i="46"/>
  <c r="M32" i="46"/>
  <c r="AC32" i="46"/>
  <c r="AH32" i="46"/>
  <c r="CB32" i="46"/>
  <c r="V32" i="46"/>
  <c r="BF32" i="46"/>
  <c r="CF32" i="46"/>
  <c r="BW32" i="46"/>
  <c r="Y32" i="46"/>
  <c r="CQ32" i="46"/>
  <c r="AQ32" i="46"/>
  <c r="BY32" i="46"/>
  <c r="BO32" i="46"/>
  <c r="BH32" i="46"/>
  <c r="AU32" i="46"/>
  <c r="AW32" i="46"/>
  <c r="AT32" i="46"/>
  <c r="AY32" i="46"/>
  <c r="CI32" i="46"/>
  <c r="AV32" i="46"/>
  <c r="AS32" i="46"/>
  <c r="DL32" i="46"/>
  <c r="AB32" i="46"/>
  <c r="BP32" i="46"/>
  <c r="AE32" i="46"/>
  <c r="R32" i="46"/>
  <c r="BQ32" i="46"/>
  <c r="CL32" i="46"/>
  <c r="BI32" i="46"/>
  <c r="CH32" i="46"/>
  <c r="BM32" i="46"/>
  <c r="AO32" i="46"/>
  <c r="BK32" i="46"/>
  <c r="CJ32" i="46"/>
  <c r="AL32" i="46"/>
  <c r="N32" i="46"/>
  <c r="BZ32" i="46"/>
  <c r="BA32" i="46"/>
  <c r="CG32" i="46"/>
  <c r="CO32" i="46"/>
  <c r="CC32" i="46"/>
  <c r="BR32" i="46"/>
  <c r="DD32" i="46"/>
  <c r="T32" i="46"/>
  <c r="BX32" i="46"/>
  <c r="AR32" i="46"/>
  <c r="AF32" i="46"/>
  <c r="S32" i="46"/>
  <c r="BG32" i="46"/>
  <c r="EA32" i="46"/>
  <c r="BU32" i="46"/>
  <c r="BL32" i="46"/>
  <c r="BE32" i="46"/>
  <c r="U32" i="46"/>
  <c r="AP32" i="46"/>
  <c r="BT32" i="46"/>
  <c r="Q32" i="46"/>
  <c r="CE32" i="46"/>
  <c r="CR32" i="46"/>
  <c r="AJ32" i="46"/>
  <c r="BN32" i="46"/>
  <c r="P32" i="46"/>
  <c r="AI32" i="46"/>
  <c r="BV32" i="46"/>
  <c r="AN32" i="46"/>
  <c r="X32" i="46"/>
  <c r="AK32" i="46"/>
  <c r="BB32" i="46"/>
  <c r="BS32" i="46"/>
  <c r="O32" i="46"/>
  <c r="AZ32" i="46"/>
  <c r="AX32" i="46"/>
  <c r="CM32" i="46"/>
  <c r="AG32" i="46"/>
  <c r="Z32" i="46"/>
  <c r="BD32" i="46"/>
  <c r="AD32" i="46"/>
  <c r="AA32" i="46"/>
  <c r="CA32" i="46"/>
  <c r="CD32" i="46"/>
  <c r="CN32" i="46"/>
  <c r="AM32" i="46"/>
  <c r="K33" i="46"/>
  <c r="B34" i="46"/>
  <c r="DN38" i="4"/>
  <c r="AT38" i="4"/>
  <c r="AH38" i="4"/>
  <c r="AK38" i="4"/>
  <c r="AD38" i="4"/>
  <c r="T38" i="4"/>
  <c r="S38" i="4"/>
  <c r="AR38" i="4"/>
  <c r="CP38" i="4"/>
  <c r="CL38" i="4"/>
  <c r="DO38" i="4"/>
  <c r="AY38" i="4"/>
  <c r="BJ38" i="4"/>
  <c r="BP38" i="4"/>
  <c r="X38" i="4"/>
  <c r="BV38" i="4"/>
  <c r="BT38" i="4"/>
  <c r="EC38" i="4"/>
  <c r="CH38" i="4"/>
  <c r="BZ38" i="4"/>
  <c r="BD38" i="4"/>
  <c r="DM38" i="4"/>
  <c r="AO38" i="4"/>
  <c r="AU38" i="4"/>
  <c r="AI38" i="4"/>
  <c r="U38" i="4"/>
  <c r="AG38" i="4"/>
  <c r="CO38" i="4"/>
  <c r="DK38" i="4"/>
  <c r="BF38" i="4"/>
  <c r="CA38" i="4"/>
  <c r="BC38" i="4"/>
  <c r="CF38" i="4"/>
  <c r="BW38" i="4"/>
  <c r="CG38" i="4"/>
  <c r="BX38" i="4"/>
  <c r="DI38" i="4"/>
  <c r="AW38" i="4"/>
  <c r="AN38" i="4"/>
  <c r="AF38" i="4"/>
  <c r="V38" i="4"/>
  <c r="Q38" i="4"/>
  <c r="AX38" i="4"/>
  <c r="CJ38" i="4"/>
  <c r="CM38" i="4"/>
  <c r="DL38" i="4"/>
  <c r="CK38" i="4"/>
  <c r="CS38" i="4"/>
  <c r="BO38" i="4"/>
  <c r="O38" i="4"/>
  <c r="BI38" i="4"/>
  <c r="R38" i="4"/>
  <c r="AA38" i="4"/>
  <c r="CR38" i="4"/>
  <c r="AL38" i="4"/>
  <c r="W38" i="4"/>
  <c r="CQ38" i="4"/>
  <c r="BQ38" i="4"/>
  <c r="P38" i="4"/>
  <c r="BB38" i="4"/>
  <c r="AS38" i="4"/>
  <c r="AJ38" i="4"/>
  <c r="Y38" i="4"/>
  <c r="BE38" i="4"/>
  <c r="CT38" i="4"/>
  <c r="CB38" i="4"/>
  <c r="BY38" i="4"/>
  <c r="AV38" i="4"/>
  <c r="AP38" i="4"/>
  <c r="AQ38" i="4"/>
  <c r="BA38" i="4"/>
  <c r="CC38" i="4"/>
  <c r="BU38" i="4"/>
  <c r="CD38" i="4"/>
  <c r="CN38" i="4"/>
  <c r="BG38" i="4"/>
  <c r="AM38" i="4"/>
  <c r="BK38" i="4"/>
  <c r="BR38" i="4"/>
  <c r="Z38" i="4"/>
  <c r="DJ38" i="4"/>
  <c r="AE38" i="4"/>
  <c r="BS38" i="4"/>
  <c r="BN38" i="4"/>
  <c r="BH38" i="4"/>
  <c r="AZ38" i="4"/>
  <c r="DH38" i="4"/>
  <c r="AC38" i="4"/>
  <c r="DP38" i="4"/>
  <c r="AB38" i="4"/>
  <c r="CE38" i="4"/>
  <c r="BL38" i="4"/>
  <c r="CI38" i="4"/>
  <c r="BM38" i="4"/>
  <c r="DQ38" i="4"/>
  <c r="DG35" i="4"/>
  <c r="CU96" i="46"/>
  <c r="CV155" i="46"/>
  <c r="CV157" i="46" s="1"/>
  <c r="B40" i="4"/>
  <c r="M39" i="4"/>
  <c r="A28" i="47"/>
  <c r="B28" i="5"/>
  <c r="C22" i="5"/>
  <c r="B22" i="47"/>
  <c r="C34" i="4"/>
  <c r="N33" i="4"/>
  <c r="DD32" i="4"/>
  <c r="CT108" i="46"/>
  <c r="F40" i="30"/>
  <c r="L40" i="30"/>
  <c r="I26" i="29" s="1"/>
  <c r="F26" i="29" s="1"/>
  <c r="G26" i="29" s="1"/>
  <c r="AY27" i="4"/>
  <c r="AY156" i="4"/>
  <c r="AY33" i="4"/>
  <c r="AW156" i="46"/>
  <c r="AW29" i="46"/>
  <c r="C27" i="46"/>
  <c r="L26" i="46"/>
  <c r="W58" i="30"/>
  <c r="W51" i="30"/>
  <c r="L30" i="30"/>
  <c r="F30" i="30"/>
  <c r="D30" i="30" s="1"/>
  <c r="AU20" i="30"/>
  <c r="G71" i="15"/>
  <c r="F71" i="15" s="1"/>
  <c r="AU45" i="30"/>
  <c r="AS28" i="30"/>
  <c r="O21" i="29" s="1"/>
  <c r="O32" i="29" s="1"/>
  <c r="O38" i="29" s="1"/>
  <c r="F32" i="30"/>
  <c r="D32" i="30" s="1"/>
  <c r="L32" i="30"/>
  <c r="H402" i="3"/>
  <c r="AL46" i="30" s="1"/>
  <c r="CP22" i="46"/>
  <c r="CR22" i="4"/>
  <c r="N35" i="30"/>
  <c r="AS35" i="30"/>
  <c r="BD68" i="30"/>
  <c r="BB67" i="30"/>
  <c r="H386" i="3"/>
  <c r="AL36" i="30" s="1"/>
  <c r="AL28" i="30"/>
  <c r="AJ29" i="30"/>
  <c r="N29" i="30"/>
  <c r="H377" i="3"/>
  <c r="AL26" i="30" s="1"/>
  <c r="G19" i="74"/>
  <c r="BA33" i="4"/>
  <c r="BA156" i="4"/>
  <c r="BA27" i="4"/>
  <c r="J59" i="58"/>
  <c r="K59" i="58" s="1"/>
  <c r="L59" i="58"/>
  <c r="AY29" i="46"/>
  <c r="AY156" i="46"/>
  <c r="H20" i="74"/>
  <c r="DB37" i="46"/>
  <c r="DB38" i="46" s="1"/>
  <c r="DB39" i="46" s="1"/>
  <c r="DB40" i="46" s="1"/>
  <c r="DF37" i="4"/>
  <c r="D37" i="30"/>
  <c r="DE37" i="4"/>
  <c r="N4" i="74" l="1"/>
  <c r="N7" i="74" s="1"/>
  <c r="H7" i="74"/>
  <c r="G5" i="74"/>
  <c r="K5" i="74" s="1"/>
  <c r="G4" i="74"/>
  <c r="G6" i="74"/>
  <c r="K6" i="74" s="1"/>
  <c r="B35" i="46"/>
  <c r="K34" i="46"/>
  <c r="BR33" i="46"/>
  <c r="BS33" i="46"/>
  <c r="DL33" i="46"/>
  <c r="BY33" i="46"/>
  <c r="T33" i="46"/>
  <c r="CK33" i="46"/>
  <c r="BT33" i="46"/>
  <c r="W33" i="46"/>
  <c r="CG33" i="46"/>
  <c r="EA33" i="46"/>
  <c r="X33" i="46"/>
  <c r="CN33" i="46"/>
  <c r="AN33" i="46"/>
  <c r="P33" i="46"/>
  <c r="AR33" i="46"/>
  <c r="AJ33" i="46"/>
  <c r="BP33" i="46"/>
  <c r="BI33" i="46"/>
  <c r="BV33" i="46"/>
  <c r="CR33" i="46"/>
  <c r="BZ33" i="46"/>
  <c r="AA33" i="46"/>
  <c r="AS33" i="46"/>
  <c r="BD33" i="46"/>
  <c r="DE33" i="46"/>
  <c r="DC33" i="46"/>
  <c r="DJ33" i="46"/>
  <c r="CH33" i="46"/>
  <c r="CA33" i="46"/>
  <c r="BB33" i="46"/>
  <c r="BQ33" i="46"/>
  <c r="BH33" i="46"/>
  <c r="CI33" i="46"/>
  <c r="AQ33" i="46"/>
  <c r="BU33" i="46"/>
  <c r="N33" i="46"/>
  <c r="BG33" i="46"/>
  <c r="BN33" i="46"/>
  <c r="Q33" i="46"/>
  <c r="AF33" i="46"/>
  <c r="CP33" i="46"/>
  <c r="AB33" i="46"/>
  <c r="AG33" i="46"/>
  <c r="CD33" i="46"/>
  <c r="BX33" i="46"/>
  <c r="R33" i="46"/>
  <c r="CM33" i="46"/>
  <c r="AD33" i="46"/>
  <c r="AZ33" i="46"/>
  <c r="AT33" i="46"/>
  <c r="O33" i="46"/>
  <c r="BF33" i="46"/>
  <c r="CB33" i="46"/>
  <c r="BK33" i="46"/>
  <c r="BO33" i="46"/>
  <c r="BA33" i="46"/>
  <c r="AY33" i="46"/>
  <c r="DN33" i="46"/>
  <c r="DH33" i="46"/>
  <c r="DK33" i="46"/>
  <c r="CF33" i="46"/>
  <c r="DO33" i="46"/>
  <c r="AM33" i="46"/>
  <c r="AH33" i="46"/>
  <c r="AO33" i="46"/>
  <c r="CE33" i="46"/>
  <c r="BC33" i="46"/>
  <c r="BL33" i="46"/>
  <c r="BE33" i="46"/>
  <c r="DD33" i="46"/>
  <c r="DI33" i="46"/>
  <c r="BW33" i="46"/>
  <c r="S33" i="46"/>
  <c r="CQ33" i="46"/>
  <c r="AK33" i="46"/>
  <c r="AV33" i="46"/>
  <c r="AL33" i="46"/>
  <c r="Z33" i="46"/>
  <c r="BJ33" i="46"/>
  <c r="Y33" i="46"/>
  <c r="AX33" i="46"/>
  <c r="V33" i="46"/>
  <c r="AC33" i="46"/>
  <c r="M33" i="46"/>
  <c r="AU33" i="46"/>
  <c r="AI33" i="46"/>
  <c r="DF33" i="46"/>
  <c r="AP33" i="46"/>
  <c r="CC33" i="46"/>
  <c r="CL33" i="46"/>
  <c r="BM33" i="46"/>
  <c r="DM33" i="46"/>
  <c r="U33" i="46"/>
  <c r="CO33" i="46"/>
  <c r="CJ33" i="46"/>
  <c r="AE33" i="46"/>
  <c r="AW33" i="46"/>
  <c r="DG33" i="46"/>
  <c r="DG36" i="4"/>
  <c r="DG37" i="4" s="1"/>
  <c r="CU108" i="46"/>
  <c r="B23" i="47"/>
  <c r="N34" i="4"/>
  <c r="C23" i="5"/>
  <c r="C35" i="4"/>
  <c r="B41" i="4"/>
  <c r="M40" i="4"/>
  <c r="A29" i="47"/>
  <c r="B29" i="5"/>
  <c r="DD33" i="4"/>
  <c r="AS39" i="4"/>
  <c r="AU39" i="4"/>
  <c r="AE39" i="4"/>
  <c r="AH39" i="4"/>
  <c r="AG39" i="4"/>
  <c r="AC39" i="4"/>
  <c r="Y39" i="4"/>
  <c r="V39" i="4"/>
  <c r="DR39" i="4"/>
  <c r="CM39" i="4"/>
  <c r="DO39" i="4"/>
  <c r="AY39" i="4"/>
  <c r="BL39" i="4"/>
  <c r="BS39" i="4"/>
  <c r="EC39" i="4"/>
  <c r="CA39" i="4"/>
  <c r="CH39" i="4"/>
  <c r="CG39" i="4"/>
  <c r="CB39" i="4"/>
  <c r="BR39" i="4"/>
  <c r="AW39" i="4"/>
  <c r="AF39" i="4"/>
  <c r="AI39" i="4"/>
  <c r="AX39" i="4"/>
  <c r="AB39" i="4"/>
  <c r="U39" i="4"/>
  <c r="S39" i="4"/>
  <c r="CJ39" i="4"/>
  <c r="CN39" i="4"/>
  <c r="BE39" i="4"/>
  <c r="CI39" i="4"/>
  <c r="CC39" i="4"/>
  <c r="BQ39" i="4"/>
  <c r="BC39" i="4"/>
  <c r="BU39" i="4"/>
  <c r="BW39" i="4"/>
  <c r="BY39" i="4"/>
  <c r="BT39" i="4"/>
  <c r="AO39" i="4"/>
  <c r="AN39" i="4"/>
  <c r="AL39" i="4"/>
  <c r="W39" i="4"/>
  <c r="BA39" i="4"/>
  <c r="CR39" i="4"/>
  <c r="CS39" i="4"/>
  <c r="BM39" i="4"/>
  <c r="AA39" i="4"/>
  <c r="CE39" i="4"/>
  <c r="AJ39" i="4"/>
  <c r="AK39" i="4"/>
  <c r="AR39" i="4"/>
  <c r="CL39" i="4"/>
  <c r="CK39" i="4"/>
  <c r="CF39" i="4"/>
  <c r="BX39" i="4"/>
  <c r="BO39" i="4"/>
  <c r="BP39" i="4"/>
  <c r="AT39" i="4"/>
  <c r="AQ39" i="4"/>
  <c r="AD39" i="4"/>
  <c r="T39" i="4"/>
  <c r="CQ39" i="4"/>
  <c r="BK39" i="4"/>
  <c r="R39" i="4"/>
  <c r="BJ39" i="4"/>
  <c r="BV39" i="4"/>
  <c r="BB39" i="4"/>
  <c r="AV39" i="4"/>
  <c r="CP39" i="4"/>
  <c r="X39" i="4"/>
  <c r="AP39" i="4"/>
  <c r="BI39" i="4"/>
  <c r="AM39" i="4"/>
  <c r="BG39" i="4"/>
  <c r="BF39" i="4"/>
  <c r="CT39" i="4"/>
  <c r="Z39" i="4"/>
  <c r="AZ39" i="4"/>
  <c r="BH39" i="4"/>
  <c r="BN39" i="4"/>
  <c r="O39" i="4"/>
  <c r="DK39" i="4"/>
  <c r="DM39" i="4"/>
  <c r="Q39" i="4"/>
  <c r="P39" i="4"/>
  <c r="DP39" i="4"/>
  <c r="DI39" i="4"/>
  <c r="DL39" i="4"/>
  <c r="DH39" i="4"/>
  <c r="DN39" i="4"/>
  <c r="DJ39" i="4"/>
  <c r="DQ39" i="4"/>
  <c r="BD39" i="4"/>
  <c r="CO39" i="4"/>
  <c r="CD39" i="4"/>
  <c r="BZ39" i="4"/>
  <c r="CU120" i="46"/>
  <c r="CT120" i="46"/>
  <c r="CT132" i="46" s="1"/>
  <c r="CT144" i="46" s="1"/>
  <c r="CT155" i="46" s="1"/>
  <c r="CT157" i="46" s="1"/>
  <c r="C12" i="73"/>
  <c r="B12" i="73" s="1"/>
  <c r="G12" i="73" s="1"/>
  <c r="D40" i="30"/>
  <c r="L27" i="46"/>
  <c r="C28" i="46"/>
  <c r="AU50" i="30"/>
  <c r="AS45" i="30"/>
  <c r="L35" i="30"/>
  <c r="F35" i="30"/>
  <c r="D35" i="30" s="1"/>
  <c r="N46" i="30"/>
  <c r="AJ46" i="30"/>
  <c r="M34" i="29" s="1"/>
  <c r="BB68" i="30"/>
  <c r="BD51" i="30"/>
  <c r="BB51" i="30" s="1"/>
  <c r="BD58" i="30"/>
  <c r="BB58" i="30" s="1"/>
  <c r="CR36" i="4"/>
  <c r="CR27" i="4"/>
  <c r="CR156" i="4"/>
  <c r="CP32" i="46"/>
  <c r="CP156" i="46"/>
  <c r="N28" i="30"/>
  <c r="AJ28" i="30"/>
  <c r="N36" i="30"/>
  <c r="AJ36" i="30"/>
  <c r="F29" i="30"/>
  <c r="D29" i="30" s="1"/>
  <c r="L29" i="30"/>
  <c r="M59" i="58"/>
  <c r="L61" i="58"/>
  <c r="L62" i="58" s="1"/>
  <c r="G20" i="74"/>
  <c r="AJ26" i="30"/>
  <c r="N26" i="30"/>
  <c r="DB41" i="46"/>
  <c r="DB42" i="46" s="1"/>
  <c r="DF38" i="4"/>
  <c r="AC254" i="70"/>
  <c r="AD254" i="70" s="1"/>
  <c r="DE38" i="4"/>
  <c r="G7" i="74" l="1"/>
  <c r="K4" i="74"/>
  <c r="CU132" i="46"/>
  <c r="CU144" i="46" s="1"/>
  <c r="CU155" i="46" s="1"/>
  <c r="CU157" i="46" s="1"/>
  <c r="DO34" i="46"/>
  <c r="AC34" i="46"/>
  <c r="AM34" i="46"/>
  <c r="AX34" i="46"/>
  <c r="W34" i="46"/>
  <c r="CE34" i="46"/>
  <c r="BH34" i="46"/>
  <c r="CH34" i="46"/>
  <c r="R34" i="46"/>
  <c r="BL34" i="46"/>
  <c r="CK34" i="46"/>
  <c r="BI34" i="46"/>
  <c r="AJ34" i="46"/>
  <c r="BZ34" i="46"/>
  <c r="O34" i="46"/>
  <c r="M34" i="46"/>
  <c r="BN34" i="46"/>
  <c r="BG34" i="46"/>
  <c r="AW34" i="46"/>
  <c r="AY34" i="46"/>
  <c r="Z34" i="46"/>
  <c r="DE34" i="46"/>
  <c r="DH34" i="46"/>
  <c r="CC34" i="46"/>
  <c r="BK34" i="46"/>
  <c r="CI34" i="46"/>
  <c r="AV34" i="46"/>
  <c r="CM34" i="46"/>
  <c r="V34" i="46"/>
  <c r="AP34" i="46"/>
  <c r="CQ34" i="46"/>
  <c r="AO34" i="46"/>
  <c r="AD34" i="46"/>
  <c r="BR34" i="46"/>
  <c r="CL34" i="46"/>
  <c r="AH34" i="46"/>
  <c r="BV34" i="46"/>
  <c r="Q34" i="46"/>
  <c r="AE34" i="46"/>
  <c r="BB34" i="46"/>
  <c r="BA34" i="46"/>
  <c r="BF34" i="46"/>
  <c r="BP34" i="46"/>
  <c r="AS34" i="46"/>
  <c r="Y34" i="46"/>
  <c r="BJ34" i="46"/>
  <c r="DN34" i="46"/>
  <c r="DI34" i="46"/>
  <c r="CG34" i="46"/>
  <c r="T34" i="46"/>
  <c r="CF34" i="46"/>
  <c r="CR34" i="46"/>
  <c r="AR34" i="46"/>
  <c r="BY34" i="46"/>
  <c r="AG34" i="46"/>
  <c r="BM34" i="46"/>
  <c r="BU34" i="46"/>
  <c r="CJ34" i="46"/>
  <c r="P34" i="46"/>
  <c r="EA34" i="46"/>
  <c r="AK34" i="46"/>
  <c r="AU34" i="46"/>
  <c r="AL34" i="46"/>
  <c r="BC34" i="46"/>
  <c r="BW34" i="46"/>
  <c r="BO34" i="46"/>
  <c r="AZ34" i="46"/>
  <c r="AQ34" i="46"/>
  <c r="AI34" i="46"/>
  <c r="AA34" i="46"/>
  <c r="DC34" i="46"/>
  <c r="DF34" i="46"/>
  <c r="DG34" i="46"/>
  <c r="DL34" i="46"/>
  <c r="X34" i="46"/>
  <c r="AF34" i="46"/>
  <c r="BS34" i="46"/>
  <c r="S34" i="46"/>
  <c r="BQ34" i="46"/>
  <c r="CD34" i="46"/>
  <c r="AB34" i="46"/>
  <c r="CO34" i="46"/>
  <c r="AN34" i="46"/>
  <c r="U34" i="46"/>
  <c r="BD34" i="46"/>
  <c r="BT34" i="46"/>
  <c r="CA34" i="46"/>
  <c r="N34" i="46"/>
  <c r="BX34" i="46"/>
  <c r="AT34" i="46"/>
  <c r="CP34" i="46"/>
  <c r="CN34" i="46"/>
  <c r="CB34" i="46"/>
  <c r="BE34" i="46"/>
  <c r="DD34" i="46"/>
  <c r="DK34" i="46"/>
  <c r="DJ34" i="46"/>
  <c r="DM34" i="46"/>
  <c r="K35" i="46"/>
  <c r="B36" i="46"/>
  <c r="DG38" i="4"/>
  <c r="DG39" i="4" s="1"/>
  <c r="DD34" i="4"/>
  <c r="DD35" i="4" s="1"/>
  <c r="B42" i="4"/>
  <c r="B30" i="5"/>
  <c r="A30" i="47"/>
  <c r="M41" i="4"/>
  <c r="DP39" i="46"/>
  <c r="AW40" i="4"/>
  <c r="AS40" i="4"/>
  <c r="AI40" i="4"/>
  <c r="AH40" i="4"/>
  <c r="AF40" i="4"/>
  <c r="AC40" i="4"/>
  <c r="Q40" i="4"/>
  <c r="AB40" i="4"/>
  <c r="CO40" i="4"/>
  <c r="CM40" i="4"/>
  <c r="DO40" i="4"/>
  <c r="AY40" i="4"/>
  <c r="BO40" i="4"/>
  <c r="CG40" i="4"/>
  <c r="EC40" i="4"/>
  <c r="CH40" i="4"/>
  <c r="R40" i="4"/>
  <c r="AU40" i="4"/>
  <c r="AM40" i="4"/>
  <c r="AP40" i="4"/>
  <c r="AL40" i="4"/>
  <c r="AQ40" i="4"/>
  <c r="T40" i="4"/>
  <c r="U40" i="4"/>
  <c r="Y40" i="4"/>
  <c r="CJ40" i="4"/>
  <c r="CN40" i="4"/>
  <c r="BE40" i="4"/>
  <c r="CI40" i="4"/>
  <c r="CF40" i="4"/>
  <c r="CC40" i="4"/>
  <c r="BG40" i="4"/>
  <c r="BM40" i="4"/>
  <c r="P40" i="4"/>
  <c r="BX40" i="4"/>
  <c r="BZ40" i="4"/>
  <c r="CD40" i="4"/>
  <c r="CE40" i="4"/>
  <c r="AE40" i="4"/>
  <c r="AK40" i="4"/>
  <c r="W40" i="4"/>
  <c r="BA40" i="4"/>
  <c r="CB40" i="4"/>
  <c r="BT40" i="4"/>
  <c r="BB40" i="4"/>
  <c r="O40" i="4"/>
  <c r="CR40" i="4"/>
  <c r="AV40" i="4"/>
  <c r="AN40" i="4"/>
  <c r="AG40" i="4"/>
  <c r="AR40" i="4"/>
  <c r="CL40" i="4"/>
  <c r="CK40" i="4"/>
  <c r="BP40" i="4"/>
  <c r="BL40" i="4"/>
  <c r="AA40" i="4"/>
  <c r="CT40" i="4"/>
  <c r="AT40" i="4"/>
  <c r="AD40" i="4"/>
  <c r="AJ40" i="4"/>
  <c r="V40" i="4"/>
  <c r="DR40" i="4"/>
  <c r="DP40" i="46" s="1"/>
  <c r="CQ40" i="4"/>
  <c r="BI40" i="4"/>
  <c r="BS40" i="4"/>
  <c r="BC40" i="4"/>
  <c r="BJ40" i="4"/>
  <c r="S40" i="4"/>
  <c r="BF40" i="4"/>
  <c r="BU40" i="4"/>
  <c r="AO40" i="4"/>
  <c r="CP40" i="4"/>
  <c r="BY40" i="4"/>
  <c r="AX40" i="4"/>
  <c r="CA40" i="4"/>
  <c r="Z40" i="4"/>
  <c r="X40" i="4"/>
  <c r="CS40" i="4"/>
  <c r="AZ40" i="4"/>
  <c r="BN40" i="4"/>
  <c r="BR40" i="4"/>
  <c r="BQ40" i="4"/>
  <c r="DP40" i="4"/>
  <c r="DM40" i="4"/>
  <c r="DK40" i="4"/>
  <c r="DH40" i="4"/>
  <c r="DL40" i="4"/>
  <c r="DI40" i="4"/>
  <c r="DN40" i="4"/>
  <c r="DJ40" i="4"/>
  <c r="BK40" i="4"/>
  <c r="BH40" i="4"/>
  <c r="BW40" i="4"/>
  <c r="DQ40" i="4"/>
  <c r="BV40" i="4"/>
  <c r="BD40" i="4"/>
  <c r="C24" i="5"/>
  <c r="B24" i="47"/>
  <c r="C36" i="4"/>
  <c r="N35" i="4"/>
  <c r="AC251" i="70"/>
  <c r="AD251" i="70" s="1"/>
  <c r="I19" i="74"/>
  <c r="L28" i="46"/>
  <c r="C29" i="46"/>
  <c r="BC56" i="30"/>
  <c r="BC55" i="30"/>
  <c r="BC30" i="30"/>
  <c r="BC66" i="30"/>
  <c r="BC39" i="30"/>
  <c r="BC35" i="30"/>
  <c r="BC62" i="30"/>
  <c r="BC32" i="30"/>
  <c r="BC44" i="30"/>
  <c r="BC27" i="30"/>
  <c r="BC49" i="30"/>
  <c r="BC48" i="30"/>
  <c r="BC64" i="30"/>
  <c r="BC54" i="30"/>
  <c r="BC33" i="30"/>
  <c r="BC45" i="30"/>
  <c r="BC53" i="30"/>
  <c r="BC61" i="30"/>
  <c r="BC34" i="30"/>
  <c r="BC42" i="30"/>
  <c r="BC60" i="30"/>
  <c r="BC41" i="30"/>
  <c r="BC47" i="30"/>
  <c r="BC26" i="30"/>
  <c r="BC36" i="30"/>
  <c r="BC51" i="30"/>
  <c r="BC52" i="30"/>
  <c r="BC43" i="30"/>
  <c r="BC67" i="30"/>
  <c r="BC40" i="30"/>
  <c r="BC28" i="30"/>
  <c r="BC63" i="30"/>
  <c r="BC68" i="30"/>
  <c r="BC58" i="30"/>
  <c r="BC29" i="30"/>
  <c r="BC57" i="30"/>
  <c r="BC37" i="30"/>
  <c r="BC31" i="30"/>
  <c r="BC59" i="30"/>
  <c r="BC46" i="30"/>
  <c r="BC38" i="30"/>
  <c r="BC50" i="30"/>
  <c r="BC65" i="30"/>
  <c r="M21" i="29"/>
  <c r="L46" i="30"/>
  <c r="I34" i="29" s="1"/>
  <c r="F34" i="29" s="1"/>
  <c r="G34" i="29" s="1"/>
  <c r="F46" i="30"/>
  <c r="D46" i="30" s="1"/>
  <c r="AS50" i="30"/>
  <c r="O19" i="29" s="1"/>
  <c r="AU57" i="30"/>
  <c r="F28" i="30"/>
  <c r="D28" i="30" s="1"/>
  <c r="AC247" i="70" s="1"/>
  <c r="AD247" i="70" s="1"/>
  <c r="L28" i="30"/>
  <c r="F36" i="30"/>
  <c r="D36" i="30" s="1"/>
  <c r="L36" i="30"/>
  <c r="L26" i="30"/>
  <c r="F26" i="30"/>
  <c r="DB43" i="46"/>
  <c r="DB44" i="46" s="1"/>
  <c r="DB45" i="46" s="1"/>
  <c r="DB46" i="46" s="1"/>
  <c r="DB47" i="46" s="1"/>
  <c r="DB48" i="46" s="1"/>
  <c r="DB49" i="46" s="1"/>
  <c r="DB50" i="46" s="1"/>
  <c r="DB51" i="46" s="1"/>
  <c r="DB52" i="46" s="1"/>
  <c r="DB53" i="46" s="1"/>
  <c r="DB54" i="46" s="1"/>
  <c r="DB55" i="46" s="1"/>
  <c r="DB56" i="46" s="1"/>
  <c r="DB57" i="46" s="1"/>
  <c r="DB58" i="46" s="1"/>
  <c r="DB59" i="46" s="1"/>
  <c r="DB60" i="46" s="1"/>
  <c r="DB61" i="46" s="1"/>
  <c r="DB62" i="46" s="1"/>
  <c r="DB63" i="46" s="1"/>
  <c r="DB64" i="46" s="1"/>
  <c r="DB65" i="46" s="1"/>
  <c r="DB66" i="46" s="1"/>
  <c r="DB67" i="46" s="1"/>
  <c r="DB68" i="46" s="1"/>
  <c r="DB69" i="46" s="1"/>
  <c r="DB70" i="46" s="1"/>
  <c r="DB71" i="46" s="1"/>
  <c r="DB72" i="46" s="1"/>
  <c r="DB73" i="46" s="1"/>
  <c r="DB74" i="46" s="1"/>
  <c r="DB75" i="46" s="1"/>
  <c r="DB76" i="46" s="1"/>
  <c r="DB77" i="46" s="1"/>
  <c r="DB78" i="46" s="1"/>
  <c r="DB79" i="46" s="1"/>
  <c r="DB80" i="46" s="1"/>
  <c r="DB81" i="46" s="1"/>
  <c r="DB82" i="46" s="1"/>
  <c r="DB83" i="46" s="1"/>
  <c r="DB84" i="46" s="1"/>
  <c r="DB85" i="46" s="1"/>
  <c r="DB86" i="46" s="1"/>
  <c r="DB87" i="46" s="1"/>
  <c r="DB88" i="46" s="1"/>
  <c r="DB89" i="46" s="1"/>
  <c r="DB90" i="46" s="1"/>
  <c r="DB91" i="46" s="1"/>
  <c r="DB92" i="46" s="1"/>
  <c r="DB93" i="46" s="1"/>
  <c r="DB94" i="46" s="1"/>
  <c r="DB95" i="46" s="1"/>
  <c r="DB96" i="46" s="1"/>
  <c r="DB97" i="46" s="1"/>
  <c r="DB98" i="46" s="1"/>
  <c r="DB99" i="46" s="1"/>
  <c r="DB100" i="46" s="1"/>
  <c r="DB101" i="46" s="1"/>
  <c r="DB102" i="46" s="1"/>
  <c r="DB103" i="46" s="1"/>
  <c r="DB104" i="46" s="1"/>
  <c r="DB105" i="46" s="1"/>
  <c r="DB106" i="46" s="1"/>
  <c r="DB107" i="46" s="1"/>
  <c r="DB108" i="46" s="1"/>
  <c r="DB109" i="46" s="1"/>
  <c r="DB110" i="46" s="1"/>
  <c r="DB111" i="46" s="1"/>
  <c r="DB112" i="46" s="1"/>
  <c r="DB113" i="46" s="1"/>
  <c r="DB114" i="46" s="1"/>
  <c r="DB115" i="46" s="1"/>
  <c r="DB116" i="46" s="1"/>
  <c r="DB117" i="46" s="1"/>
  <c r="DB118" i="46" s="1"/>
  <c r="DB119" i="46" s="1"/>
  <c r="DB120" i="46" s="1"/>
  <c r="DB121" i="46" s="1"/>
  <c r="DB122" i="46" s="1"/>
  <c r="DB123" i="46" s="1"/>
  <c r="DB124" i="46" s="1"/>
  <c r="DB125" i="46" s="1"/>
  <c r="DB126" i="46" s="1"/>
  <c r="DB127" i="46" s="1"/>
  <c r="DB128" i="46" s="1"/>
  <c r="DB129" i="46" s="1"/>
  <c r="DB130" i="46" s="1"/>
  <c r="DB131" i="46" s="1"/>
  <c r="DB132" i="46" s="1"/>
  <c r="DB133" i="46" s="1"/>
  <c r="DB134" i="46" s="1"/>
  <c r="DB135" i="46" s="1"/>
  <c r="DB136" i="46" s="1"/>
  <c r="DB137" i="46" s="1"/>
  <c r="DB138" i="46" s="1"/>
  <c r="DB139" i="46" s="1"/>
  <c r="DB140" i="46" s="1"/>
  <c r="DB141" i="46" s="1"/>
  <c r="DB142" i="46" s="1"/>
  <c r="DB143" i="46" s="1"/>
  <c r="DB144" i="46" s="1"/>
  <c r="DB145" i="46" s="1"/>
  <c r="DB146" i="46" s="1"/>
  <c r="DB147" i="46" s="1"/>
  <c r="DB148" i="46" s="1"/>
  <c r="DB149" i="46" s="1"/>
  <c r="DB150" i="46" s="1"/>
  <c r="DB151" i="46" s="1"/>
  <c r="DB152" i="46" s="1"/>
  <c r="DB153" i="46" s="1"/>
  <c r="DB155" i="46" s="1"/>
  <c r="DB157" i="46" s="1"/>
  <c r="DE39" i="4"/>
  <c r="DF39" i="4"/>
  <c r="I6" i="74" l="1"/>
  <c r="M6" i="74" s="1"/>
  <c r="I4" i="74"/>
  <c r="I5" i="74"/>
  <c r="M5" i="74" s="1"/>
  <c r="K7" i="74"/>
  <c r="DG40" i="4"/>
  <c r="DG41" i="4" s="1"/>
  <c r="Y35" i="46"/>
  <c r="AM35" i="46"/>
  <c r="CN35" i="46"/>
  <c r="S35" i="46"/>
  <c r="CH35" i="46"/>
  <c r="AG35" i="46"/>
  <c r="BL35" i="46"/>
  <c r="CK35" i="46"/>
  <c r="AA35" i="46"/>
  <c r="EA35" i="46"/>
  <c r="X35" i="46"/>
  <c r="CO35" i="46"/>
  <c r="AT35" i="46"/>
  <c r="CI35" i="46"/>
  <c r="BC35" i="46"/>
  <c r="AK35" i="46"/>
  <c r="BH35" i="46"/>
  <c r="T35" i="46"/>
  <c r="BR35" i="46"/>
  <c r="M35" i="46"/>
  <c r="DJ35" i="46"/>
  <c r="DI35" i="46"/>
  <c r="DE35" i="46"/>
  <c r="CM35" i="46"/>
  <c r="R35" i="46"/>
  <c r="BQ35" i="46"/>
  <c r="AH35" i="46"/>
  <c r="BS35" i="46"/>
  <c r="W35" i="46"/>
  <c r="CF35" i="46"/>
  <c r="BZ35" i="46"/>
  <c r="AQ35" i="46"/>
  <c r="AN35" i="46"/>
  <c r="AC35" i="46"/>
  <c r="CR35" i="46"/>
  <c r="BY35" i="46"/>
  <c r="CD35" i="46"/>
  <c r="BW35" i="46"/>
  <c r="BU35" i="46"/>
  <c r="BA35" i="46"/>
  <c r="BV35" i="46"/>
  <c r="BG35" i="46"/>
  <c r="AZ35" i="46"/>
  <c r="AV35" i="46"/>
  <c r="N35" i="46"/>
  <c r="DG35" i="46"/>
  <c r="DN35" i="46"/>
  <c r="DL35" i="46"/>
  <c r="BX35" i="46"/>
  <c r="Q35" i="46"/>
  <c r="CJ35" i="46"/>
  <c r="CQ35" i="46"/>
  <c r="AU35" i="46"/>
  <c r="AB35" i="46"/>
  <c r="BP35" i="46"/>
  <c r="AJ35" i="46"/>
  <c r="P35" i="46"/>
  <c r="AL35" i="46"/>
  <c r="CE35" i="46"/>
  <c r="BD35" i="46"/>
  <c r="CG35" i="46"/>
  <c r="AS35" i="46"/>
  <c r="AE35" i="46"/>
  <c r="BT35" i="46"/>
  <c r="BI35" i="46"/>
  <c r="AX35" i="46"/>
  <c r="BJ35" i="46"/>
  <c r="AW35" i="46"/>
  <c r="AY35" i="46"/>
  <c r="DD35" i="46"/>
  <c r="DM35" i="46"/>
  <c r="DF35" i="46"/>
  <c r="BB35" i="46"/>
  <c r="CB35" i="46"/>
  <c r="Z35" i="46"/>
  <c r="AF35" i="46"/>
  <c r="AR35" i="46"/>
  <c r="AI35" i="46"/>
  <c r="U35" i="46"/>
  <c r="AP35" i="46"/>
  <c r="CA35" i="46"/>
  <c r="AD35" i="46"/>
  <c r="BO35" i="46"/>
  <c r="AO35" i="46"/>
  <c r="CC35" i="46"/>
  <c r="CL35" i="46"/>
  <c r="V35" i="46"/>
  <c r="BM35" i="46"/>
  <c r="BK35" i="46"/>
  <c r="BN35" i="46"/>
  <c r="BF35" i="46"/>
  <c r="BE35" i="46"/>
  <c r="CP35" i="46"/>
  <c r="O35" i="46"/>
  <c r="DC35" i="46"/>
  <c r="DH35" i="46"/>
  <c r="DK35" i="46"/>
  <c r="DO35" i="46"/>
  <c r="K36" i="46"/>
  <c r="B37" i="46"/>
  <c r="DD36" i="4"/>
  <c r="DD37" i="4" s="1"/>
  <c r="B25" i="47"/>
  <c r="C25" i="5"/>
  <c r="N36" i="4"/>
  <c r="C37" i="4"/>
  <c r="B43" i="4"/>
  <c r="M42" i="4"/>
  <c r="A31" i="47"/>
  <c r="B31" i="5"/>
  <c r="CE41" i="4"/>
  <c r="AW41" i="4"/>
  <c r="AQ41" i="4"/>
  <c r="AF41" i="4"/>
  <c r="AE41" i="4"/>
  <c r="AG41" i="4"/>
  <c r="CJ41" i="4"/>
  <c r="CM41" i="4"/>
  <c r="DO41" i="4"/>
  <c r="AY41" i="4"/>
  <c r="CD41" i="4"/>
  <c r="BV41" i="4"/>
  <c r="BD41" i="4"/>
  <c r="BG41" i="4"/>
  <c r="CF41" i="4"/>
  <c r="BB41" i="4"/>
  <c r="BP41" i="4"/>
  <c r="CS41" i="4"/>
  <c r="AS41" i="4"/>
  <c r="AD41" i="4"/>
  <c r="AJ41" i="4"/>
  <c r="AK41" i="4"/>
  <c r="CO41" i="4"/>
  <c r="CQ41" i="4"/>
  <c r="CK41" i="4"/>
  <c r="CT41" i="4"/>
  <c r="BZ41" i="4"/>
  <c r="BY41" i="4"/>
  <c r="P41" i="4"/>
  <c r="CR41" i="4"/>
  <c r="BR41" i="4"/>
  <c r="BL41" i="4"/>
  <c r="AN41" i="4"/>
  <c r="AI41" i="4"/>
  <c r="AL41" i="4"/>
  <c r="AX41" i="4"/>
  <c r="BE41" i="4"/>
  <c r="CI41" i="4"/>
  <c r="BS41" i="4"/>
  <c r="BT41" i="4"/>
  <c r="BI41" i="4"/>
  <c r="O41" i="4"/>
  <c r="BX41" i="4"/>
  <c r="BM41" i="4"/>
  <c r="AU41" i="4"/>
  <c r="AT41" i="4"/>
  <c r="AH41" i="4"/>
  <c r="Q41" i="4"/>
  <c r="AR41" i="4"/>
  <c r="DR41" i="4"/>
  <c r="DP41" i="46" s="1"/>
  <c r="CN41" i="4"/>
  <c r="BF41" i="4"/>
  <c r="BK41" i="4"/>
  <c r="BJ41" i="4"/>
  <c r="EC41" i="4"/>
  <c r="CB41" i="4"/>
  <c r="BQ41" i="4"/>
  <c r="CC41" i="4"/>
  <c r="BC41" i="4"/>
  <c r="AM41" i="4"/>
  <c r="CP41" i="4"/>
  <c r="CL41" i="4"/>
  <c r="BU41" i="4"/>
  <c r="AA41" i="4"/>
  <c r="AO41" i="4"/>
  <c r="BA41" i="4"/>
  <c r="CH41" i="4"/>
  <c r="BW41" i="4"/>
  <c r="AP41" i="4"/>
  <c r="CA41" i="4"/>
  <c r="AV41" i="4"/>
  <c r="BO41" i="4"/>
  <c r="BH41" i="4"/>
  <c r="BN41" i="4"/>
  <c r="AZ41" i="4"/>
  <c r="R41" i="4"/>
  <c r="Z41" i="4"/>
  <c r="V41" i="4"/>
  <c r="DI41" i="4"/>
  <c r="DM41" i="4"/>
  <c r="W41" i="4"/>
  <c r="DK41" i="4"/>
  <c r="AC41" i="4"/>
  <c r="AB41" i="4"/>
  <c r="DL41" i="4"/>
  <c r="Y41" i="4"/>
  <c r="U41" i="4"/>
  <c r="DP41" i="4"/>
  <c r="X41" i="4"/>
  <c r="S41" i="4"/>
  <c r="DH41" i="4"/>
  <c r="T41" i="4"/>
  <c r="DN41" i="4"/>
  <c r="DJ41" i="4"/>
  <c r="DQ41" i="4"/>
  <c r="CG41" i="4"/>
  <c r="I20" i="74"/>
  <c r="L29" i="46"/>
  <c r="C30" i="46"/>
  <c r="AU67" i="30"/>
  <c r="AS57" i="30"/>
  <c r="P29" i="29"/>
  <c r="P38" i="29"/>
  <c r="P23" i="29"/>
  <c r="P25" i="29"/>
  <c r="P36" i="29"/>
  <c r="P39" i="29"/>
  <c r="P28" i="29"/>
  <c r="P26" i="29"/>
  <c r="P24" i="29"/>
  <c r="P37" i="29"/>
  <c r="P21" i="29"/>
  <c r="P27" i="29"/>
  <c r="P33" i="29"/>
  <c r="P31" i="29"/>
  <c r="P40" i="29"/>
  <c r="P32" i="29"/>
  <c r="P30" i="29"/>
  <c r="P34" i="29"/>
  <c r="P35" i="29"/>
  <c r="P22" i="29"/>
  <c r="D26" i="30"/>
  <c r="C7" i="73"/>
  <c r="F97" i="15"/>
  <c r="I21" i="29"/>
  <c r="L64" i="58"/>
  <c r="DF40" i="4"/>
  <c r="DF41" i="4" s="1"/>
  <c r="DF42" i="4" s="1"/>
  <c r="DF43" i="4" s="1"/>
  <c r="DF44" i="4" s="1"/>
  <c r="DF45" i="4" s="1"/>
  <c r="DF46" i="4" s="1"/>
  <c r="DF47" i="4" s="1"/>
  <c r="DF48" i="4" s="1"/>
  <c r="DF49" i="4" s="1"/>
  <c r="DF50" i="4" s="1"/>
  <c r="DF51" i="4" s="1"/>
  <c r="DF52" i="4" s="1"/>
  <c r="DF53" i="4" s="1"/>
  <c r="DF54" i="4" s="1"/>
  <c r="DF55" i="4" s="1"/>
  <c r="DF56" i="4" s="1"/>
  <c r="DF57" i="4" s="1"/>
  <c r="DF58" i="4" s="1"/>
  <c r="DF59" i="4" s="1"/>
  <c r="DF60" i="4" s="1"/>
  <c r="DF61" i="4" s="1"/>
  <c r="DF62" i="4" s="1"/>
  <c r="DF63" i="4" s="1"/>
  <c r="DF64" i="4" s="1"/>
  <c r="DF65" i="4" s="1"/>
  <c r="DF66" i="4" s="1"/>
  <c r="DF67" i="4" s="1"/>
  <c r="DF68" i="4" s="1"/>
  <c r="DF69" i="4" s="1"/>
  <c r="DF70" i="4" s="1"/>
  <c r="DF71" i="4" s="1"/>
  <c r="DF72" i="4" s="1"/>
  <c r="DF73" i="4" s="1"/>
  <c r="DF74" i="4" s="1"/>
  <c r="DF75" i="4" s="1"/>
  <c r="DF76" i="4" s="1"/>
  <c r="DF77" i="4" s="1"/>
  <c r="DF78" i="4" s="1"/>
  <c r="DF79" i="4" s="1"/>
  <c r="DF80" i="4" s="1"/>
  <c r="DF81" i="4" s="1"/>
  <c r="DF82" i="4" s="1"/>
  <c r="DF83" i="4" s="1"/>
  <c r="DF84" i="4" s="1"/>
  <c r="DF85" i="4" s="1"/>
  <c r="DF86" i="4" s="1"/>
  <c r="DF87" i="4" s="1"/>
  <c r="DF88" i="4" s="1"/>
  <c r="DF89" i="4" s="1"/>
  <c r="DF90" i="4" s="1"/>
  <c r="DF91" i="4" s="1"/>
  <c r="DF92" i="4" s="1"/>
  <c r="DF93" i="4" s="1"/>
  <c r="DF94" i="4" s="1"/>
  <c r="DF95" i="4" s="1"/>
  <c r="DF96" i="4" s="1"/>
  <c r="DE40" i="4"/>
  <c r="DE41" i="4" s="1"/>
  <c r="DE42" i="4" s="1"/>
  <c r="DE43" i="4" s="1"/>
  <c r="DE44" i="4" s="1"/>
  <c r="DE45" i="4" s="1"/>
  <c r="DE46" i="4" s="1"/>
  <c r="DE47" i="4" s="1"/>
  <c r="DE48" i="4" s="1"/>
  <c r="DE49" i="4" s="1"/>
  <c r="DE50" i="4" s="1"/>
  <c r="DE51" i="4" s="1"/>
  <c r="DE52" i="4" s="1"/>
  <c r="DE53" i="4" s="1"/>
  <c r="DE54" i="4" s="1"/>
  <c r="DE55" i="4" s="1"/>
  <c r="DE56" i="4" s="1"/>
  <c r="DE57" i="4" s="1"/>
  <c r="DE58" i="4" s="1"/>
  <c r="DE59" i="4" s="1"/>
  <c r="DE60" i="4" s="1"/>
  <c r="DE61" i="4" s="1"/>
  <c r="DE62" i="4" s="1"/>
  <c r="DE63" i="4" s="1"/>
  <c r="DE64" i="4" s="1"/>
  <c r="DE65" i="4" s="1"/>
  <c r="DE66" i="4" s="1"/>
  <c r="DE67" i="4" s="1"/>
  <c r="DE68" i="4" s="1"/>
  <c r="DE69" i="4" s="1"/>
  <c r="DE70" i="4" s="1"/>
  <c r="DE71" i="4" s="1"/>
  <c r="DE72" i="4" s="1"/>
  <c r="DE73" i="4" s="1"/>
  <c r="DE74" i="4" s="1"/>
  <c r="DE75" i="4" s="1"/>
  <c r="DE76" i="4" s="1"/>
  <c r="DE77" i="4" s="1"/>
  <c r="DE78" i="4" s="1"/>
  <c r="DE79" i="4" s="1"/>
  <c r="DE80" i="4" s="1"/>
  <c r="DE81" i="4" s="1"/>
  <c r="DE82" i="4" s="1"/>
  <c r="DE83" i="4" s="1"/>
  <c r="DE84" i="4" s="1"/>
  <c r="DE85" i="4" s="1"/>
  <c r="DE86" i="4" s="1"/>
  <c r="DE87" i="4" s="1"/>
  <c r="DE88" i="4" s="1"/>
  <c r="DE89" i="4" s="1"/>
  <c r="DE90" i="4" s="1"/>
  <c r="DE91" i="4" s="1"/>
  <c r="DE92" i="4" s="1"/>
  <c r="DE93" i="4" s="1"/>
  <c r="DE94" i="4" s="1"/>
  <c r="DE95" i="4" s="1"/>
  <c r="DE96" i="4" s="1"/>
  <c r="DE97" i="4" s="1"/>
  <c r="DE98" i="4" s="1"/>
  <c r="DE99" i="4" s="1"/>
  <c r="DE100" i="4" s="1"/>
  <c r="DE101" i="4" s="1"/>
  <c r="DE102" i="4" s="1"/>
  <c r="DE103" i="4" s="1"/>
  <c r="DE104" i="4" s="1"/>
  <c r="DE105" i="4" s="1"/>
  <c r="DE106" i="4" s="1"/>
  <c r="DE107" i="4" s="1"/>
  <c r="DE108" i="4" s="1"/>
  <c r="DE109" i="4" s="1"/>
  <c r="DE110" i="4" s="1"/>
  <c r="DE111" i="4" s="1"/>
  <c r="DE112" i="4" s="1"/>
  <c r="DE113" i="4" s="1"/>
  <c r="DE114" i="4" s="1"/>
  <c r="DE115" i="4" s="1"/>
  <c r="DE116" i="4" s="1"/>
  <c r="DE117" i="4" s="1"/>
  <c r="DE118" i="4" s="1"/>
  <c r="DE119" i="4" s="1"/>
  <c r="DE120" i="4" s="1"/>
  <c r="DE121" i="4" s="1"/>
  <c r="DE122" i="4" s="1"/>
  <c r="DE123" i="4" s="1"/>
  <c r="DE124" i="4" s="1"/>
  <c r="DE125" i="4" s="1"/>
  <c r="DE126" i="4" s="1"/>
  <c r="DE127" i="4" s="1"/>
  <c r="DE128" i="4" s="1"/>
  <c r="DE129" i="4" s="1"/>
  <c r="DE130" i="4" s="1"/>
  <c r="DE131" i="4" s="1"/>
  <c r="DE132" i="4" s="1"/>
  <c r="DE133" i="4" s="1"/>
  <c r="DE134" i="4" s="1"/>
  <c r="DE135" i="4" s="1"/>
  <c r="DE136" i="4" s="1"/>
  <c r="DE137" i="4" s="1"/>
  <c r="DE138" i="4" s="1"/>
  <c r="DE139" i="4" s="1"/>
  <c r="DE140" i="4" s="1"/>
  <c r="DE141" i="4" s="1"/>
  <c r="DE142" i="4" s="1"/>
  <c r="DE143" i="4" s="1"/>
  <c r="DE144" i="4" s="1"/>
  <c r="DE145" i="4" s="1"/>
  <c r="DE146" i="4" s="1"/>
  <c r="DE147" i="4" s="1"/>
  <c r="DE148" i="4" s="1"/>
  <c r="DE149" i="4" s="1"/>
  <c r="DE150" i="4" s="1"/>
  <c r="DE151" i="4" s="1"/>
  <c r="DE152" i="4" s="1"/>
  <c r="DE153" i="4" s="1"/>
  <c r="DE155" i="4" s="1"/>
  <c r="DE157" i="4" s="1"/>
  <c r="M4" i="74" l="1"/>
  <c r="M7" i="74" s="1"/>
  <c r="I7" i="74"/>
  <c r="DG42" i="4"/>
  <c r="DG43" i="4" s="1"/>
  <c r="B38" i="46"/>
  <c r="K37" i="46"/>
  <c r="AC36" i="46"/>
  <c r="AM36" i="46"/>
  <c r="CO36" i="46"/>
  <c r="W36" i="46"/>
  <c r="CG36" i="46"/>
  <c r="EA36" i="46"/>
  <c r="BZ36" i="46"/>
  <c r="X36" i="46"/>
  <c r="CD36" i="46"/>
  <c r="V36" i="46"/>
  <c r="BW36" i="46"/>
  <c r="P36" i="46"/>
  <c r="BB36" i="46"/>
  <c r="AS36" i="46"/>
  <c r="CL36" i="46"/>
  <c r="AG36" i="46"/>
  <c r="AA36" i="46"/>
  <c r="CR36" i="46"/>
  <c r="AZ36" i="46"/>
  <c r="BO36" i="46"/>
  <c r="DJ36" i="46"/>
  <c r="BP36" i="46"/>
  <c r="DH36" i="46"/>
  <c r="BF36" i="46"/>
  <c r="T36" i="46"/>
  <c r="CH36" i="46"/>
  <c r="CN36" i="46"/>
  <c r="BC36" i="46"/>
  <c r="AB36" i="46"/>
  <c r="CJ36" i="46"/>
  <c r="CA36" i="46"/>
  <c r="AR36" i="46"/>
  <c r="BY36" i="46"/>
  <c r="AK36" i="46"/>
  <c r="CI36" i="46"/>
  <c r="CQ36" i="46"/>
  <c r="AD36" i="46"/>
  <c r="CB36" i="46"/>
  <c r="BK36" i="46"/>
  <c r="BD36" i="46"/>
  <c r="AE36" i="46"/>
  <c r="BM36" i="46"/>
  <c r="BL36" i="46"/>
  <c r="AI36" i="46"/>
  <c r="DD36" i="46"/>
  <c r="DG36" i="46"/>
  <c r="DC36" i="46"/>
  <c r="BI36" i="46"/>
  <c r="DO36" i="46"/>
  <c r="Q36" i="46"/>
  <c r="CF36" i="46"/>
  <c r="BJ36" i="46"/>
  <c r="AJ36" i="46"/>
  <c r="U36" i="46"/>
  <c r="AN36" i="46"/>
  <c r="AU36" i="46"/>
  <c r="M36" i="46"/>
  <c r="CK36" i="46"/>
  <c r="AT36" i="46"/>
  <c r="BN36" i="46"/>
  <c r="AL36" i="46"/>
  <c r="BQ36" i="46"/>
  <c r="O36" i="46"/>
  <c r="CE36" i="46"/>
  <c r="BV36" i="46"/>
  <c r="BA36" i="46"/>
  <c r="BG36" i="46"/>
  <c r="BH36" i="46"/>
  <c r="AY36" i="46"/>
  <c r="DI36" i="46"/>
  <c r="DN36" i="46"/>
  <c r="DM36" i="46"/>
  <c r="DL36" i="46"/>
  <c r="BT36" i="46"/>
  <c r="Z36" i="46"/>
  <c r="AF36" i="46"/>
  <c r="AQ36" i="46"/>
  <c r="S36" i="46"/>
  <c r="BX36" i="46"/>
  <c r="AP36" i="46"/>
  <c r="N36" i="46"/>
  <c r="CC36" i="46"/>
  <c r="AH36" i="46"/>
  <c r="R36" i="46"/>
  <c r="AV36" i="46"/>
  <c r="CM36" i="46"/>
  <c r="AO36" i="46"/>
  <c r="Y36" i="46"/>
  <c r="BE36" i="46"/>
  <c r="AX36" i="46"/>
  <c r="BS36" i="46"/>
  <c r="AW36" i="46"/>
  <c r="BR36" i="46"/>
  <c r="CP36" i="46"/>
  <c r="DF36" i="46"/>
  <c r="DK36" i="46"/>
  <c r="DE36" i="46"/>
  <c r="BU36" i="46"/>
  <c r="DD38" i="4"/>
  <c r="DD39" i="4" s="1"/>
  <c r="DD40" i="4" s="1"/>
  <c r="DD41" i="4" s="1"/>
  <c r="DD42" i="4" s="1"/>
  <c r="DD43" i="4" s="1"/>
  <c r="DD44" i="4" s="1"/>
  <c r="DD45" i="4" s="1"/>
  <c r="DD46" i="4" s="1"/>
  <c r="DD47" i="4" s="1"/>
  <c r="DD48" i="4" s="1"/>
  <c r="DD49" i="4" s="1"/>
  <c r="DD50" i="4" s="1"/>
  <c r="DD51" i="4" s="1"/>
  <c r="DD52" i="4" s="1"/>
  <c r="DD53" i="4" s="1"/>
  <c r="DD54" i="4" s="1"/>
  <c r="DD55" i="4" s="1"/>
  <c r="DD56" i="4" s="1"/>
  <c r="DD57" i="4" s="1"/>
  <c r="DD58" i="4" s="1"/>
  <c r="DD59" i="4" s="1"/>
  <c r="DD60" i="4" s="1"/>
  <c r="DD61" i="4" s="1"/>
  <c r="DD62" i="4" s="1"/>
  <c r="DD63" i="4" s="1"/>
  <c r="DD64" i="4" s="1"/>
  <c r="DD65" i="4" s="1"/>
  <c r="DD66" i="4" s="1"/>
  <c r="C26" i="5"/>
  <c r="N37" i="4"/>
  <c r="C38" i="4"/>
  <c r="B26" i="47"/>
  <c r="CE42" i="4"/>
  <c r="AU42" i="4"/>
  <c r="AE42" i="4"/>
  <c r="AH42" i="4"/>
  <c r="AR42" i="4"/>
  <c r="AB42" i="4"/>
  <c r="Y42" i="4"/>
  <c r="CP42" i="4"/>
  <c r="CN42" i="4"/>
  <c r="BE42" i="4"/>
  <c r="BK42" i="4"/>
  <c r="BS42" i="4"/>
  <c r="X42" i="4"/>
  <c r="BT42" i="4"/>
  <c r="CC42" i="4"/>
  <c r="CB42" i="4"/>
  <c r="CA42" i="4"/>
  <c r="CH42" i="4"/>
  <c r="BL42" i="4"/>
  <c r="AV42" i="4"/>
  <c r="AI42" i="4"/>
  <c r="AX42" i="4"/>
  <c r="AK42" i="4"/>
  <c r="Z42" i="4"/>
  <c r="DR42" i="4"/>
  <c r="DP42" i="46" s="1"/>
  <c r="CM42" i="4"/>
  <c r="BA42" i="4"/>
  <c r="CI42" i="4"/>
  <c r="CS42" i="4"/>
  <c r="BD42" i="4"/>
  <c r="CF42" i="4"/>
  <c r="BX42" i="4"/>
  <c r="BY42" i="4"/>
  <c r="AT42" i="4"/>
  <c r="AP42" i="4"/>
  <c r="AG42" i="4"/>
  <c r="AM42" i="4"/>
  <c r="CO42" i="4"/>
  <c r="CL42" i="4"/>
  <c r="BF42" i="4"/>
  <c r="BZ42" i="4"/>
  <c r="CD42" i="4"/>
  <c r="EC42" i="4"/>
  <c r="BU42" i="4"/>
  <c r="CG42" i="4"/>
  <c r="BQ42" i="4"/>
  <c r="AW42" i="4"/>
  <c r="AO42" i="4"/>
  <c r="AD42" i="4"/>
  <c r="AJ42" i="4"/>
  <c r="AQ42" i="4"/>
  <c r="CJ42" i="4"/>
  <c r="CQ42" i="4"/>
  <c r="AY42" i="4"/>
  <c r="BG42" i="4"/>
  <c r="CT42" i="4"/>
  <c r="BC42" i="4"/>
  <c r="BM42" i="4"/>
  <c r="BP42" i="4"/>
  <c r="BW42" i="4"/>
  <c r="AF42" i="4"/>
  <c r="CK42" i="4"/>
  <c r="BB42" i="4"/>
  <c r="AS42" i="4"/>
  <c r="AC42" i="4"/>
  <c r="CR42" i="4"/>
  <c r="AN42" i="4"/>
  <c r="AA42" i="4"/>
  <c r="BR42" i="4"/>
  <c r="AL42" i="4"/>
  <c r="BO42" i="4"/>
  <c r="DO42" i="4"/>
  <c r="AZ42" i="4"/>
  <c r="BH42" i="4"/>
  <c r="BN42" i="4"/>
  <c r="O42" i="4"/>
  <c r="R42" i="4"/>
  <c r="BI42" i="4"/>
  <c r="S42" i="4"/>
  <c r="DI42" i="4"/>
  <c r="DH42" i="4"/>
  <c r="P42" i="4"/>
  <c r="U42" i="4"/>
  <c r="Q42" i="4"/>
  <c r="DM42" i="4"/>
  <c r="V42" i="4"/>
  <c r="T42" i="4"/>
  <c r="W42" i="4"/>
  <c r="DP42" i="4"/>
  <c r="DL42" i="4"/>
  <c r="DK42" i="4"/>
  <c r="DJ42" i="4"/>
  <c r="DN42" i="4"/>
  <c r="DQ42" i="4"/>
  <c r="BJ42" i="4"/>
  <c r="BV42" i="4"/>
  <c r="B44" i="4"/>
  <c r="M43" i="4"/>
  <c r="A32" i="47"/>
  <c r="B32" i="5"/>
  <c r="C31" i="46"/>
  <c r="L30" i="46"/>
  <c r="AS67" i="30"/>
  <c r="AU68" i="30"/>
  <c r="F21" i="29"/>
  <c r="G21" i="29" s="1"/>
  <c r="B7" i="73"/>
  <c r="I63" i="23"/>
  <c r="AC248" i="70"/>
  <c r="AD248" i="70" s="1"/>
  <c r="DF97" i="4"/>
  <c r="DG44" i="4" l="1"/>
  <c r="DG45" i="4" s="1"/>
  <c r="DG46" i="4" s="1"/>
  <c r="DG47" i="4" s="1"/>
  <c r="DG48" i="4" s="1"/>
  <c r="DG49" i="4" s="1"/>
  <c r="DG50" i="4" s="1"/>
  <c r="DG51" i="4" s="1"/>
  <c r="DG52" i="4" s="1"/>
  <c r="DG53" i="4" s="1"/>
  <c r="DG54" i="4" s="1"/>
  <c r="DG55" i="4" s="1"/>
  <c r="DG56" i="4" s="1"/>
  <c r="DG57" i="4" s="1"/>
  <c r="DG58" i="4" s="1"/>
  <c r="DG59" i="4" s="1"/>
  <c r="DG60" i="4" s="1"/>
  <c r="DG61" i="4" s="1"/>
  <c r="DG62" i="4" s="1"/>
  <c r="DG63" i="4" s="1"/>
  <c r="DG64" i="4" s="1"/>
  <c r="DG65" i="4" s="1"/>
  <c r="DG66" i="4" s="1"/>
  <c r="DG67" i="4" s="1"/>
  <c r="DG68" i="4" s="1"/>
  <c r="DG69" i="4" s="1"/>
  <c r="DG70" i="4" s="1"/>
  <c r="DG71" i="4" s="1"/>
  <c r="DG72" i="4" s="1"/>
  <c r="DG73" i="4" s="1"/>
  <c r="DG74" i="4" s="1"/>
  <c r="DG75" i="4" s="1"/>
  <c r="DG76" i="4" s="1"/>
  <c r="DG77" i="4" s="1"/>
  <c r="DG78" i="4" s="1"/>
  <c r="DG79" i="4" s="1"/>
  <c r="DG80" i="4" s="1"/>
  <c r="DG81" i="4" s="1"/>
  <c r="DG82" i="4" s="1"/>
  <c r="DG83" i="4" s="1"/>
  <c r="DG84" i="4" s="1"/>
  <c r="DG85" i="4" s="1"/>
  <c r="DG86" i="4" s="1"/>
  <c r="DG87" i="4" s="1"/>
  <c r="DG88" i="4" s="1"/>
  <c r="DG89" i="4" s="1"/>
  <c r="DG90" i="4" s="1"/>
  <c r="DG91" i="4" s="1"/>
  <c r="DG92" i="4" s="1"/>
  <c r="DG93" i="4" s="1"/>
  <c r="DG94" i="4" s="1"/>
  <c r="DG95" i="4" s="1"/>
  <c r="DG96" i="4" s="1"/>
  <c r="DG97" i="4" s="1"/>
  <c r="DG98" i="4" s="1"/>
  <c r="DG99" i="4" s="1"/>
  <c r="DG100" i="4" s="1"/>
  <c r="DG101" i="4" s="1"/>
  <c r="DG102" i="4" s="1"/>
  <c r="DG103" i="4" s="1"/>
  <c r="DG104" i="4" s="1"/>
  <c r="DG105" i="4" s="1"/>
  <c r="DG106" i="4" s="1"/>
  <c r="DG107" i="4" s="1"/>
  <c r="DG108" i="4" s="1"/>
  <c r="DG109" i="4" s="1"/>
  <c r="DG110" i="4" s="1"/>
  <c r="DG111" i="4" s="1"/>
  <c r="DG112" i="4" s="1"/>
  <c r="DG113" i="4" s="1"/>
  <c r="DG114" i="4" s="1"/>
  <c r="DG115" i="4" s="1"/>
  <c r="DG116" i="4" s="1"/>
  <c r="DG117" i="4" s="1"/>
  <c r="DG118" i="4" s="1"/>
  <c r="DG119" i="4" s="1"/>
  <c r="DG120" i="4" s="1"/>
  <c r="DG121" i="4" s="1"/>
  <c r="DG122" i="4" s="1"/>
  <c r="DG123" i="4" s="1"/>
  <c r="DG124" i="4" s="1"/>
  <c r="DG125" i="4" s="1"/>
  <c r="DG126" i="4" s="1"/>
  <c r="DG127" i="4" s="1"/>
  <c r="DG128" i="4" s="1"/>
  <c r="DG129" i="4" s="1"/>
  <c r="DG130" i="4" s="1"/>
  <c r="DG131" i="4" s="1"/>
  <c r="DG132" i="4" s="1"/>
  <c r="DG133" i="4" s="1"/>
  <c r="DG134" i="4" s="1"/>
  <c r="DG135" i="4" s="1"/>
  <c r="DG136" i="4" s="1"/>
  <c r="DG137" i="4" s="1"/>
  <c r="DG138" i="4" s="1"/>
  <c r="DG139" i="4" s="1"/>
  <c r="DG140" i="4" s="1"/>
  <c r="DG141" i="4" s="1"/>
  <c r="DG142" i="4" s="1"/>
  <c r="DG143" i="4" s="1"/>
  <c r="DG144" i="4" s="1"/>
  <c r="DG145" i="4" s="1"/>
  <c r="DG146" i="4" s="1"/>
  <c r="DG147" i="4" s="1"/>
  <c r="DG148" i="4" s="1"/>
  <c r="DG149" i="4" s="1"/>
  <c r="DG150" i="4" s="1"/>
  <c r="DG151" i="4" s="1"/>
  <c r="DG152" i="4" s="1"/>
  <c r="DG153" i="4" s="1"/>
  <c r="DG155" i="4" s="1"/>
  <c r="DG157" i="4" s="1"/>
  <c r="BX37" i="46"/>
  <c r="BK37" i="46"/>
  <c r="N37" i="46"/>
  <c r="CF37" i="46"/>
  <c r="AW37" i="46"/>
  <c r="X37" i="46"/>
  <c r="AS37" i="46"/>
  <c r="BM37" i="46"/>
  <c r="BW37" i="46"/>
  <c r="BG37" i="46"/>
  <c r="CB37" i="46"/>
  <c r="CN37" i="46"/>
  <c r="BC37" i="46"/>
  <c r="CP37" i="46"/>
  <c r="AT37" i="46"/>
  <c r="BF37" i="46"/>
  <c r="BY37" i="46"/>
  <c r="CM37" i="46"/>
  <c r="BS37" i="46"/>
  <c r="W37" i="46"/>
  <c r="S37" i="46"/>
  <c r="DN37" i="46"/>
  <c r="DM37" i="46"/>
  <c r="DK37" i="46"/>
  <c r="CK37" i="46"/>
  <c r="AR37" i="46"/>
  <c r="AB37" i="46"/>
  <c r="AG37" i="46"/>
  <c r="M37" i="46"/>
  <c r="CI37" i="46"/>
  <c r="Z37" i="46"/>
  <c r="EA37" i="46"/>
  <c r="Y37" i="46"/>
  <c r="CD37" i="46"/>
  <c r="AX37" i="46"/>
  <c r="AN37" i="46"/>
  <c r="AJ37" i="46"/>
  <c r="CO37" i="46"/>
  <c r="CL37" i="46"/>
  <c r="AZ37" i="46"/>
  <c r="BJ37" i="46"/>
  <c r="BI37" i="46"/>
  <c r="AY37" i="46"/>
  <c r="R37" i="46"/>
  <c r="Q37" i="46"/>
  <c r="DE37" i="46"/>
  <c r="DI37" i="46"/>
  <c r="DL37" i="46"/>
  <c r="AA37" i="46"/>
  <c r="AF37" i="46"/>
  <c r="CR37" i="46"/>
  <c r="AC37" i="46"/>
  <c r="AV37" i="46"/>
  <c r="BO37" i="46"/>
  <c r="AO37" i="46"/>
  <c r="CJ37" i="46"/>
  <c r="AI37" i="46"/>
  <c r="CG37" i="46"/>
  <c r="BP37" i="46"/>
  <c r="BZ37" i="46"/>
  <c r="BV37" i="46"/>
  <c r="BN37" i="46"/>
  <c r="BE37" i="46"/>
  <c r="AE37" i="46"/>
  <c r="BQ37" i="46"/>
  <c r="BH37" i="46"/>
  <c r="BD37" i="46"/>
  <c r="P37" i="46"/>
  <c r="V37" i="46"/>
  <c r="DD37" i="46"/>
  <c r="DC37" i="46"/>
  <c r="DG37" i="46"/>
  <c r="DO37" i="46"/>
  <c r="AD37" i="46"/>
  <c r="AP37" i="46"/>
  <c r="AU37" i="46"/>
  <c r="CH37" i="46"/>
  <c r="CQ37" i="46"/>
  <c r="AQ37" i="46"/>
  <c r="AL37" i="46"/>
  <c r="AM37" i="46"/>
  <c r="BT37" i="46"/>
  <c r="AH37" i="46"/>
  <c r="O37" i="46"/>
  <c r="BU37" i="46"/>
  <c r="BB37" i="46"/>
  <c r="CA37" i="46"/>
  <c r="CC37" i="46"/>
  <c r="BA37" i="46"/>
  <c r="BR37" i="46"/>
  <c r="BL37" i="46"/>
  <c r="AK37" i="46"/>
  <c r="T37" i="46"/>
  <c r="U37" i="46"/>
  <c r="DH37" i="46"/>
  <c r="DF37" i="46"/>
  <c r="DJ37" i="46"/>
  <c r="CE37" i="46"/>
  <c r="B39" i="46"/>
  <c r="K38" i="46"/>
  <c r="DD67" i="4"/>
  <c r="DD68" i="4" s="1"/>
  <c r="DD69" i="4" s="1"/>
  <c r="DD70" i="4" s="1"/>
  <c r="DD71" i="4" s="1"/>
  <c r="DD72" i="4" s="1"/>
  <c r="DD73" i="4" s="1"/>
  <c r="DD74" i="4" s="1"/>
  <c r="DD75" i="4" s="1"/>
  <c r="DD76" i="4" s="1"/>
  <c r="DD77" i="4" s="1"/>
  <c r="DD78" i="4" s="1"/>
  <c r="DD79" i="4" s="1"/>
  <c r="DD80" i="4" s="1"/>
  <c r="DD81" i="4" s="1"/>
  <c r="DD82" i="4" s="1"/>
  <c r="DD83" i="4" s="1"/>
  <c r="DD84" i="4" s="1"/>
  <c r="DD85" i="4" s="1"/>
  <c r="DD86" i="4" s="1"/>
  <c r="DD87" i="4" s="1"/>
  <c r="DD88" i="4" s="1"/>
  <c r="DD89" i="4" s="1"/>
  <c r="DD90" i="4" s="1"/>
  <c r="DD91" i="4" s="1"/>
  <c r="DD92" i="4" s="1"/>
  <c r="DD93" i="4" s="1"/>
  <c r="DD94" i="4" s="1"/>
  <c r="DD95" i="4" s="1"/>
  <c r="DD96" i="4" s="1"/>
  <c r="DD97" i="4" s="1"/>
  <c r="DD98" i="4" s="1"/>
  <c r="DD99" i="4" s="1"/>
  <c r="DD100" i="4" s="1"/>
  <c r="DD101" i="4" s="1"/>
  <c r="DD102" i="4" s="1"/>
  <c r="DD103" i="4" s="1"/>
  <c r="DD104" i="4" s="1"/>
  <c r="DD105" i="4" s="1"/>
  <c r="DD106" i="4" s="1"/>
  <c r="DD107" i="4" s="1"/>
  <c r="DD108" i="4" s="1"/>
  <c r="DD109" i="4" s="1"/>
  <c r="DD110" i="4" s="1"/>
  <c r="DD111" i="4" s="1"/>
  <c r="DD112" i="4" s="1"/>
  <c r="DD113" i="4" s="1"/>
  <c r="DD114" i="4" s="1"/>
  <c r="DD115" i="4" s="1"/>
  <c r="DD116" i="4" s="1"/>
  <c r="DD117" i="4" s="1"/>
  <c r="DD118" i="4" s="1"/>
  <c r="DD119" i="4" s="1"/>
  <c r="DD120" i="4" s="1"/>
  <c r="DD121" i="4" s="1"/>
  <c r="DD122" i="4" s="1"/>
  <c r="DD123" i="4" s="1"/>
  <c r="DD124" i="4" s="1"/>
  <c r="DD125" i="4" s="1"/>
  <c r="DD126" i="4" s="1"/>
  <c r="DD127" i="4" s="1"/>
  <c r="DD128" i="4" s="1"/>
  <c r="DD129" i="4" s="1"/>
  <c r="DD130" i="4" s="1"/>
  <c r="DD131" i="4" s="1"/>
  <c r="DD132" i="4" s="1"/>
  <c r="DD133" i="4" s="1"/>
  <c r="DD134" i="4" s="1"/>
  <c r="DD135" i="4" s="1"/>
  <c r="DD136" i="4" s="1"/>
  <c r="DD137" i="4" s="1"/>
  <c r="DD138" i="4" s="1"/>
  <c r="DD139" i="4" s="1"/>
  <c r="DD140" i="4" s="1"/>
  <c r="DD141" i="4" s="1"/>
  <c r="DD142" i="4" s="1"/>
  <c r="DD143" i="4" s="1"/>
  <c r="DD144" i="4" s="1"/>
  <c r="DD145" i="4" s="1"/>
  <c r="DD146" i="4" s="1"/>
  <c r="DD147" i="4" s="1"/>
  <c r="DD148" i="4" s="1"/>
  <c r="DD149" i="4" s="1"/>
  <c r="DD150" i="4" s="1"/>
  <c r="DD151" i="4" s="1"/>
  <c r="DD152" i="4" s="1"/>
  <c r="DD153" i="4" s="1"/>
  <c r="DD155" i="4" s="1"/>
  <c r="DD157" i="4" s="1"/>
  <c r="B45" i="4"/>
  <c r="A33" i="47"/>
  <c r="M44" i="4"/>
  <c r="B33" i="5"/>
  <c r="C27" i="5"/>
  <c r="B27" i="47"/>
  <c r="C39" i="4"/>
  <c r="N38" i="4"/>
  <c r="AC43" i="4"/>
  <c r="V43" i="4"/>
  <c r="Z43" i="4"/>
  <c r="CJ43" i="4"/>
  <c r="CL43" i="4"/>
  <c r="BF43" i="4"/>
  <c r="BX43" i="4"/>
  <c r="R43" i="4"/>
  <c r="P43" i="4"/>
  <c r="AB43" i="4"/>
  <c r="T43" i="4"/>
  <c r="DR43" i="4"/>
  <c r="DP43" i="46" s="1"/>
  <c r="CM43" i="4"/>
  <c r="DP43" i="4"/>
  <c r="CA43" i="4"/>
  <c r="BR43" i="4"/>
  <c r="BM43" i="4"/>
  <c r="CD43" i="4"/>
  <c r="CF43" i="4"/>
  <c r="CB43" i="4"/>
  <c r="BY43" i="4"/>
  <c r="Q43" i="4"/>
  <c r="CO43" i="4"/>
  <c r="CN43" i="4"/>
  <c r="CI43" i="4"/>
  <c r="BT43" i="4"/>
  <c r="CT43" i="4"/>
  <c r="AA43" i="4"/>
  <c r="CC43" i="4"/>
  <c r="BV43" i="4"/>
  <c r="BO43" i="4"/>
  <c r="BQ43" i="4"/>
  <c r="CE43" i="4"/>
  <c r="S43" i="4"/>
  <c r="CP43" i="4"/>
  <c r="CQ43" i="4"/>
  <c r="BK43" i="4"/>
  <c r="BJ43" i="4"/>
  <c r="DH43" i="4"/>
  <c r="CG43" i="4"/>
  <c r="CH43" i="4"/>
  <c r="BU43" i="4"/>
  <c r="BI43" i="4"/>
  <c r="BL43" i="4"/>
  <c r="BS43" i="4"/>
  <c r="O43" i="4"/>
  <c r="DO43" i="4"/>
  <c r="CS43" i="4"/>
  <c r="BW43" i="4"/>
  <c r="U43" i="4"/>
  <c r="BZ43" i="4"/>
  <c r="EC43" i="4"/>
  <c r="W43" i="4"/>
  <c r="BP43" i="4"/>
  <c r="BH43" i="4"/>
  <c r="BN43" i="4"/>
  <c r="BB43" i="4"/>
  <c r="AF43" i="4"/>
  <c r="AX43" i="4"/>
  <c r="DK43" i="4"/>
  <c r="DL43" i="4"/>
  <c r="AU43" i="4"/>
  <c r="AI43" i="4"/>
  <c r="AT43" i="4"/>
  <c r="AR43" i="4"/>
  <c r="AJ43" i="4"/>
  <c r="AE43" i="4"/>
  <c r="AS43" i="4"/>
  <c r="AK43" i="4"/>
  <c r="DI43" i="4"/>
  <c r="AG43" i="4"/>
  <c r="Y43" i="4"/>
  <c r="AW43" i="4"/>
  <c r="AL43" i="4"/>
  <c r="AP43" i="4"/>
  <c r="AZ43" i="4"/>
  <c r="AM43" i="4"/>
  <c r="AO43" i="4"/>
  <c r="AN43" i="4"/>
  <c r="DM43" i="4"/>
  <c r="AQ43" i="4"/>
  <c r="AH43" i="4"/>
  <c r="AD43" i="4"/>
  <c r="AV43" i="4"/>
  <c r="X43" i="4"/>
  <c r="DN43" i="4"/>
  <c r="DJ43" i="4"/>
  <c r="BC43" i="4"/>
  <c r="BG43" i="4"/>
  <c r="CK43" i="4"/>
  <c r="DQ43" i="4"/>
  <c r="BD43" i="4"/>
  <c r="BE43" i="4"/>
  <c r="BA43" i="4"/>
  <c r="AY43" i="4"/>
  <c r="CR43" i="4"/>
  <c r="C32" i="46"/>
  <c r="L31" i="46"/>
  <c r="AU58" i="30"/>
  <c r="AS58" i="30" s="1"/>
  <c r="AU51" i="30"/>
  <c r="AS51" i="30" s="1"/>
  <c r="AS68" i="30"/>
  <c r="G7" i="73"/>
  <c r="DF98" i="4"/>
  <c r="Z38" i="46" l="1"/>
  <c r="AF38" i="46"/>
  <c r="EA38" i="46"/>
  <c r="W38" i="46"/>
  <c r="CJ38" i="46"/>
  <c r="BP38" i="46"/>
  <c r="AY38" i="46"/>
  <c r="AG38" i="46"/>
  <c r="AR38" i="46"/>
  <c r="CF38" i="46"/>
  <c r="CB38" i="46"/>
  <c r="N38" i="46"/>
  <c r="BV38" i="46"/>
  <c r="AU38" i="46"/>
  <c r="CH38" i="46"/>
  <c r="CL38" i="46"/>
  <c r="BF38" i="46"/>
  <c r="BS38" i="46"/>
  <c r="BL38" i="46"/>
  <c r="AX38" i="46"/>
  <c r="BG38" i="46"/>
  <c r="DC38" i="46"/>
  <c r="DN38" i="46"/>
  <c r="DL38" i="46"/>
  <c r="BX38" i="46"/>
  <c r="CK38" i="46"/>
  <c r="BY38" i="46"/>
  <c r="AO38" i="46"/>
  <c r="CN38" i="46"/>
  <c r="CD38" i="46"/>
  <c r="AE38" i="46"/>
  <c r="BN38" i="46"/>
  <c r="DG38" i="46"/>
  <c r="BT38" i="46"/>
  <c r="U38" i="46"/>
  <c r="AN38" i="46"/>
  <c r="BM38" i="46"/>
  <c r="AB38" i="46"/>
  <c r="P38" i="46"/>
  <c r="AM38" i="46"/>
  <c r="AA38" i="46"/>
  <c r="AH38" i="46"/>
  <c r="CC38" i="46"/>
  <c r="AP38" i="46"/>
  <c r="AL38" i="46"/>
  <c r="BB38" i="46"/>
  <c r="BZ38" i="46"/>
  <c r="AT38" i="46"/>
  <c r="AZ38" i="46"/>
  <c r="BW38" i="46"/>
  <c r="BE38" i="46"/>
  <c r="BR38" i="46"/>
  <c r="M38" i="46"/>
  <c r="BA38" i="46"/>
  <c r="DD38" i="46"/>
  <c r="DF38" i="46"/>
  <c r="DJ38" i="46"/>
  <c r="DO38" i="46"/>
  <c r="BD38" i="46"/>
  <c r="DM38" i="46"/>
  <c r="R38" i="46"/>
  <c r="CI38" i="46"/>
  <c r="CR38" i="46"/>
  <c r="AJ38" i="46"/>
  <c r="AC38" i="46"/>
  <c r="AD38" i="46"/>
  <c r="CA38" i="46"/>
  <c r="Y38" i="46"/>
  <c r="BU38" i="46"/>
  <c r="X38" i="46"/>
  <c r="AV38" i="46"/>
  <c r="S38" i="46"/>
  <c r="BK38" i="46"/>
  <c r="V38" i="46"/>
  <c r="BC38" i="46"/>
  <c r="AQ38" i="46"/>
  <c r="CO38" i="46"/>
  <c r="CG38" i="46"/>
  <c r="O38" i="46"/>
  <c r="CP38" i="46"/>
  <c r="AI38" i="46"/>
  <c r="DI38" i="46"/>
  <c r="DK38" i="46"/>
  <c r="DE38" i="46"/>
  <c r="BH38" i="46"/>
  <c r="Q38" i="46"/>
  <c r="CE38" i="46"/>
  <c r="BJ38" i="46"/>
  <c r="T38" i="46"/>
  <c r="BQ38" i="46"/>
  <c r="AK38" i="46"/>
  <c r="CQ38" i="46"/>
  <c r="CM38" i="46"/>
  <c r="BO38" i="46"/>
  <c r="BI38" i="46"/>
  <c r="AW38" i="46"/>
  <c r="AS38" i="46"/>
  <c r="DH38" i="46"/>
  <c r="K39" i="46"/>
  <c r="B40" i="46"/>
  <c r="B28" i="47"/>
  <c r="C28" i="5"/>
  <c r="N39" i="4"/>
  <c r="C40" i="4"/>
  <c r="B46" i="4"/>
  <c r="A34" i="47"/>
  <c r="M45" i="4"/>
  <c r="B34" i="5"/>
  <c r="AS44" i="4"/>
  <c r="AO44" i="4"/>
  <c r="AR44" i="4"/>
  <c r="AQ44" i="4"/>
  <c r="AL44" i="4"/>
  <c r="AB44" i="4"/>
  <c r="W44" i="4"/>
  <c r="AC44" i="4"/>
  <c r="CJ44" i="4"/>
  <c r="CL44" i="4"/>
  <c r="DO44" i="4"/>
  <c r="AY44" i="4"/>
  <c r="R44" i="4"/>
  <c r="BI44" i="4"/>
  <c r="CG44" i="4"/>
  <c r="BW44" i="4"/>
  <c r="BD44" i="4"/>
  <c r="BB44" i="4"/>
  <c r="BC44" i="4"/>
  <c r="X44" i="4"/>
  <c r="BJ44" i="4"/>
  <c r="AW44" i="4"/>
  <c r="AN44" i="4"/>
  <c r="AM44" i="4"/>
  <c r="AI44" i="4"/>
  <c r="AE44" i="4"/>
  <c r="AP44" i="4"/>
  <c r="T44" i="4"/>
  <c r="Q44" i="4"/>
  <c r="CP44" i="4"/>
  <c r="CQ44" i="4"/>
  <c r="BE44" i="4"/>
  <c r="CK44" i="4"/>
  <c r="CA44" i="4"/>
  <c r="DH44" i="4"/>
  <c r="BP44" i="4"/>
  <c r="CH44" i="4"/>
  <c r="BX44" i="4"/>
  <c r="CT44" i="4"/>
  <c r="CC44" i="4"/>
  <c r="BV44" i="4"/>
  <c r="AT44" i="4"/>
  <c r="AG44" i="4"/>
  <c r="AF44" i="4"/>
  <c r="AU44" i="4"/>
  <c r="AH44" i="4"/>
  <c r="V44" i="4"/>
  <c r="S44" i="4"/>
  <c r="Y44" i="4"/>
  <c r="CN44" i="4"/>
  <c r="BF44" i="4"/>
  <c r="BK44" i="4"/>
  <c r="BU44" i="4"/>
  <c r="BT44" i="4"/>
  <c r="BS44" i="4"/>
  <c r="O44" i="4"/>
  <c r="CF44" i="4"/>
  <c r="BO44" i="4"/>
  <c r="P44" i="4"/>
  <c r="EC44" i="4"/>
  <c r="AV44" i="4"/>
  <c r="AX44" i="4"/>
  <c r="DR44" i="4"/>
  <c r="DP44" i="46" s="1"/>
  <c r="CS44" i="4"/>
  <c r="BG44" i="4"/>
  <c r="AK44" i="4"/>
  <c r="Z44" i="4"/>
  <c r="CM44" i="4"/>
  <c r="CB44" i="4"/>
  <c r="CD44" i="4"/>
  <c r="AJ44" i="4"/>
  <c r="U44" i="4"/>
  <c r="DP44" i="4"/>
  <c r="BY44" i="4"/>
  <c r="BQ44" i="4"/>
  <c r="AD44" i="4"/>
  <c r="BR44" i="4"/>
  <c r="BA44" i="4"/>
  <c r="AA44" i="4"/>
  <c r="CE44" i="4"/>
  <c r="AZ44" i="4"/>
  <c r="BN44" i="4"/>
  <c r="BH44" i="4"/>
  <c r="DK44" i="4"/>
  <c r="DL44" i="4"/>
  <c r="DI44" i="4"/>
  <c r="DM44" i="4"/>
  <c r="DJ44" i="4"/>
  <c r="DN44" i="4"/>
  <c r="BL44" i="4"/>
  <c r="BM44" i="4"/>
  <c r="CI44" i="4"/>
  <c r="DQ44" i="4"/>
  <c r="CO44" i="4"/>
  <c r="BZ44" i="4"/>
  <c r="CR44" i="4"/>
  <c r="L32" i="46"/>
  <c r="C33" i="46"/>
  <c r="AT59" i="30"/>
  <c r="AT37" i="30"/>
  <c r="AT63" i="30"/>
  <c r="AT55" i="30"/>
  <c r="AT30" i="30"/>
  <c r="AT64" i="30"/>
  <c r="AT31" i="30"/>
  <c r="AT43" i="30"/>
  <c r="AT34" i="30"/>
  <c r="AT35" i="30"/>
  <c r="AT45" i="30"/>
  <c r="AT56" i="30"/>
  <c r="AT33" i="30"/>
  <c r="AT48" i="30"/>
  <c r="AT66" i="30"/>
  <c r="AT42" i="30"/>
  <c r="AT29" i="30"/>
  <c r="AT54" i="30"/>
  <c r="AT67" i="30"/>
  <c r="AT26" i="30"/>
  <c r="AT32" i="30"/>
  <c r="AT52" i="30"/>
  <c r="AT58" i="30"/>
  <c r="AT51" i="30"/>
  <c r="AT50" i="30"/>
  <c r="AT28" i="30"/>
  <c r="AT40" i="30"/>
  <c r="AT36" i="30"/>
  <c r="AT44" i="30"/>
  <c r="AT38" i="30"/>
  <c r="AT57" i="30"/>
  <c r="AT49" i="30"/>
  <c r="AT62" i="30"/>
  <c r="AT68" i="30"/>
  <c r="AT53" i="30"/>
  <c r="AT39" i="30"/>
  <c r="AT46" i="30"/>
  <c r="AT60" i="30"/>
  <c r="AT65" i="30"/>
  <c r="AT47" i="30"/>
  <c r="AT61" i="30"/>
  <c r="AT41" i="30"/>
  <c r="AT27" i="30"/>
  <c r="DF99" i="4"/>
  <c r="T39" i="46" l="1"/>
  <c r="BQ39" i="46"/>
  <c r="P39" i="46"/>
  <c r="CR39" i="46"/>
  <c r="AA39" i="46"/>
  <c r="CN39" i="46"/>
  <c r="BT39" i="46"/>
  <c r="CF39" i="46"/>
  <c r="BB39" i="46"/>
  <c r="BU39" i="46"/>
  <c r="BW39" i="46"/>
  <c r="CO39" i="46"/>
  <c r="BK39" i="46"/>
  <c r="AZ39" i="46"/>
  <c r="BZ39" i="46"/>
  <c r="AX39" i="46"/>
  <c r="AE39" i="46"/>
  <c r="AB39" i="46"/>
  <c r="AU39" i="46"/>
  <c r="AH39" i="46"/>
  <c r="DM39" i="46"/>
  <c r="DH39" i="46"/>
  <c r="DI39" i="46"/>
  <c r="BE39" i="46"/>
  <c r="AY39" i="46"/>
  <c r="W39" i="46"/>
  <c r="CE39" i="46"/>
  <c r="Z39" i="46"/>
  <c r="BM39" i="46"/>
  <c r="AD39" i="46"/>
  <c r="AL39" i="46"/>
  <c r="S39" i="46"/>
  <c r="BN39" i="46"/>
  <c r="BD39" i="46"/>
  <c r="BI39" i="46"/>
  <c r="CA39" i="46"/>
  <c r="CL39" i="46"/>
  <c r="BG39" i="46"/>
  <c r="BF39" i="46"/>
  <c r="BR39" i="46"/>
  <c r="AS39" i="46"/>
  <c r="AO39" i="46"/>
  <c r="AK39" i="46"/>
  <c r="AN39" i="46"/>
  <c r="AT39" i="46"/>
  <c r="DN39" i="46"/>
  <c r="DF39" i="46"/>
  <c r="DJ39" i="46"/>
  <c r="BC39" i="46"/>
  <c r="CP39" i="46"/>
  <c r="V39" i="46"/>
  <c r="EA39" i="46"/>
  <c r="BX39" i="46"/>
  <c r="N39" i="46"/>
  <c r="CH39" i="46"/>
  <c r="M39" i="46"/>
  <c r="Q39" i="46"/>
  <c r="BJ39" i="46"/>
  <c r="CB39" i="46"/>
  <c r="R39" i="46"/>
  <c r="BL39" i="46"/>
  <c r="CD39" i="46"/>
  <c r="BS39" i="46"/>
  <c r="BY39" i="46"/>
  <c r="AI39" i="46"/>
  <c r="AQ39" i="46"/>
  <c r="AC39" i="46"/>
  <c r="AG39" i="46"/>
  <c r="AF39" i="46"/>
  <c r="DD39" i="46"/>
  <c r="BA39" i="46"/>
  <c r="DC39" i="46"/>
  <c r="DL39" i="46"/>
  <c r="DO39" i="46"/>
  <c r="Y39" i="46"/>
  <c r="CQ39" i="46"/>
  <c r="CJ39" i="46"/>
  <c r="CC39" i="46"/>
  <c r="CK39" i="46"/>
  <c r="O39" i="46"/>
  <c r="U39" i="46"/>
  <c r="CG39" i="46"/>
  <c r="BO39" i="46"/>
  <c r="BP39" i="46"/>
  <c r="X39" i="46"/>
  <c r="BV39" i="46"/>
  <c r="BH39" i="46"/>
  <c r="CM39" i="46"/>
  <c r="AJ39" i="46"/>
  <c r="AM39" i="46"/>
  <c r="AP39" i="46"/>
  <c r="AV39" i="46"/>
  <c r="AR39" i="46"/>
  <c r="DG39" i="46"/>
  <c r="DK39" i="46"/>
  <c r="DE39" i="46"/>
  <c r="CI39" i="46"/>
  <c r="AW39" i="46"/>
  <c r="K40" i="46"/>
  <c r="B41" i="46"/>
  <c r="B47" i="4"/>
  <c r="B35" i="5"/>
  <c r="A35" i="47"/>
  <c r="M46" i="4"/>
  <c r="C41" i="4"/>
  <c r="N40" i="4"/>
  <c r="C29" i="5"/>
  <c r="B29" i="47"/>
  <c r="DM45" i="4"/>
  <c r="AS45" i="4"/>
  <c r="AJ45" i="4"/>
  <c r="AP45" i="4"/>
  <c r="AG45" i="4"/>
  <c r="AH45" i="4"/>
  <c r="AB45" i="4"/>
  <c r="T45" i="4"/>
  <c r="V45" i="4"/>
  <c r="CP45" i="4"/>
  <c r="CQ45" i="4"/>
  <c r="DO45" i="4"/>
  <c r="BA45" i="4"/>
  <c r="BK45" i="4"/>
  <c r="O45" i="4"/>
  <c r="AA45" i="4"/>
  <c r="BI45" i="4"/>
  <c r="BW45" i="4"/>
  <c r="CF45" i="4"/>
  <c r="BU45" i="4"/>
  <c r="BS45" i="4"/>
  <c r="CA45" i="4"/>
  <c r="CB45" i="4"/>
  <c r="DN45" i="4"/>
  <c r="AW45" i="4"/>
  <c r="AQ45" i="4"/>
  <c r="AO45" i="4"/>
  <c r="AR45" i="4"/>
  <c r="AK45" i="4"/>
  <c r="Q45" i="4"/>
  <c r="Y45" i="4"/>
  <c r="DR45" i="4"/>
  <c r="DP45" i="46" s="1"/>
  <c r="CN45" i="4"/>
  <c r="DK45" i="4"/>
  <c r="AY45" i="4"/>
  <c r="BP45" i="4"/>
  <c r="CC45" i="4"/>
  <c r="BY45" i="4"/>
  <c r="X45" i="4"/>
  <c r="BR45" i="4"/>
  <c r="BZ45" i="4"/>
  <c r="R45" i="4"/>
  <c r="BL45" i="4"/>
  <c r="CH45" i="4"/>
  <c r="AV45" i="4"/>
  <c r="AM45" i="4"/>
  <c r="AE45" i="4"/>
  <c r="AD45" i="4"/>
  <c r="AU45" i="4"/>
  <c r="AC45" i="4"/>
  <c r="Z45" i="4"/>
  <c r="S45" i="4"/>
  <c r="CO45" i="4"/>
  <c r="CM45" i="4"/>
  <c r="DP45" i="4"/>
  <c r="BE45" i="4"/>
  <c r="CI45" i="4"/>
  <c r="CS45" i="4"/>
  <c r="DH45" i="4"/>
  <c r="DJ45" i="4"/>
  <c r="BO45" i="4"/>
  <c r="BJ45" i="4"/>
  <c r="BT45" i="4"/>
  <c r="BX45" i="4"/>
  <c r="BQ45" i="4"/>
  <c r="BB45" i="4"/>
  <c r="BD45" i="4"/>
  <c r="AI45" i="4"/>
  <c r="W45" i="4"/>
  <c r="CL45" i="4"/>
  <c r="BG45" i="4"/>
  <c r="P45" i="4"/>
  <c r="AL45" i="4"/>
  <c r="U45" i="4"/>
  <c r="DL45" i="4"/>
  <c r="CG45" i="4"/>
  <c r="CT45" i="4"/>
  <c r="EC45" i="4"/>
  <c r="AT45" i="4"/>
  <c r="AN45" i="4"/>
  <c r="BF45" i="4"/>
  <c r="BH45" i="4"/>
  <c r="BM45" i="4"/>
  <c r="CJ45" i="4"/>
  <c r="AF45" i="4"/>
  <c r="CK45" i="4"/>
  <c r="DI45" i="4"/>
  <c r="BC45" i="4"/>
  <c r="AX45" i="4"/>
  <c r="BN45" i="4"/>
  <c r="AZ45" i="4"/>
  <c r="CE45" i="4"/>
  <c r="DQ45" i="4"/>
  <c r="BV45" i="4"/>
  <c r="CD45" i="4"/>
  <c r="CR45" i="4"/>
  <c r="L33" i="46"/>
  <c r="C34" i="46"/>
  <c r="DF100" i="4"/>
  <c r="S40" i="46" l="1"/>
  <c r="CI40" i="46"/>
  <c r="BM40" i="46"/>
  <c r="AD40" i="46"/>
  <c r="AV40" i="46"/>
  <c r="X40" i="46"/>
  <c r="AG40" i="46"/>
  <c r="N40" i="46"/>
  <c r="CF40" i="46"/>
  <c r="AL40" i="46"/>
  <c r="BB40" i="46"/>
  <c r="Z40" i="46"/>
  <c r="BN40" i="46"/>
  <c r="BY40" i="46"/>
  <c r="BC40" i="46"/>
  <c r="CE40" i="46"/>
  <c r="AT40" i="46"/>
  <c r="BZ40" i="46"/>
  <c r="CC40" i="46"/>
  <c r="AI40" i="46"/>
  <c r="DG40" i="46"/>
  <c r="DC40" i="46"/>
  <c r="DE40" i="46"/>
  <c r="DL40" i="46"/>
  <c r="DO40" i="46"/>
  <c r="CL40" i="46"/>
  <c r="Q40" i="46"/>
  <c r="T40" i="46"/>
  <c r="AC40" i="46"/>
  <c r="BS40" i="46"/>
  <c r="AZ40" i="46"/>
  <c r="BD40" i="46"/>
  <c r="AA40" i="46"/>
  <c r="CK40" i="46"/>
  <c r="EA40" i="46"/>
  <c r="CH40" i="46"/>
  <c r="AW40" i="46"/>
  <c r="U40" i="46"/>
  <c r="AR40" i="46"/>
  <c r="P40" i="46"/>
  <c r="AF40" i="46"/>
  <c r="W40" i="46"/>
  <c r="AE40" i="46"/>
  <c r="AM40" i="46"/>
  <c r="BO40" i="46"/>
  <c r="CO40" i="46"/>
  <c r="BU40" i="46"/>
  <c r="CB40" i="46"/>
  <c r="BV40" i="46"/>
  <c r="BH40" i="46"/>
  <c r="AJ40" i="46"/>
  <c r="AS40" i="46"/>
  <c r="DN40" i="46"/>
  <c r="DF40" i="46"/>
  <c r="DH40" i="46"/>
  <c r="CG40" i="46"/>
  <c r="CP40" i="46"/>
  <c r="BP40" i="46"/>
  <c r="CQ40" i="46"/>
  <c r="AK40" i="46"/>
  <c r="BA40" i="46"/>
  <c r="O40" i="46"/>
  <c r="AY40" i="46"/>
  <c r="DK40" i="46"/>
  <c r="BK40" i="46"/>
  <c r="V40" i="46"/>
  <c r="AO40" i="46"/>
  <c r="R40" i="46"/>
  <c r="CJ40" i="46"/>
  <c r="CN40" i="46"/>
  <c r="BQ40" i="46"/>
  <c r="BT40" i="46"/>
  <c r="AB40" i="46"/>
  <c r="AH40" i="46"/>
  <c r="AN40" i="46"/>
  <c r="AX40" i="46"/>
  <c r="BW40" i="46"/>
  <c r="BG40" i="46"/>
  <c r="CD40" i="46"/>
  <c r="BL40" i="46"/>
  <c r="CR40" i="46"/>
  <c r="CA40" i="46"/>
  <c r="BR40" i="46"/>
  <c r="BI40" i="46"/>
  <c r="DD40" i="46"/>
  <c r="DJ40" i="46"/>
  <c r="BJ40" i="46"/>
  <c r="DM40" i="46"/>
  <c r="CM40" i="46"/>
  <c r="Y40" i="46"/>
  <c r="AP40" i="46"/>
  <c r="M40" i="46"/>
  <c r="AU40" i="46"/>
  <c r="BE40" i="46"/>
  <c r="AQ40" i="46"/>
  <c r="BF40" i="46"/>
  <c r="DI40" i="46"/>
  <c r="BX40" i="46"/>
  <c r="K41" i="46"/>
  <c r="B42" i="46"/>
  <c r="C42" i="4"/>
  <c r="B30" i="47"/>
  <c r="C30" i="5"/>
  <c r="N41" i="4"/>
  <c r="B48" i="4"/>
  <c r="M47" i="4"/>
  <c r="B36" i="5"/>
  <c r="A36" i="47"/>
  <c r="CE46" i="4"/>
  <c r="AS46" i="4"/>
  <c r="AI46" i="4"/>
  <c r="AH46" i="4"/>
  <c r="AR46" i="4"/>
  <c r="AQ46" i="4"/>
  <c r="W46" i="4"/>
  <c r="U46" i="4"/>
  <c r="DR46" i="4"/>
  <c r="DP46" i="46" s="1"/>
  <c r="CQ46" i="4"/>
  <c r="DO46" i="4"/>
  <c r="BF46" i="4"/>
  <c r="BK46" i="4"/>
  <c r="BS46" i="4"/>
  <c r="AZ46" i="4"/>
  <c r="BU46" i="4"/>
  <c r="CS46" i="4"/>
  <c r="BN46" i="4"/>
  <c r="BR46" i="4"/>
  <c r="BO46" i="4"/>
  <c r="BD46" i="4"/>
  <c r="BZ46" i="4"/>
  <c r="BP46" i="4"/>
  <c r="BC46" i="4"/>
  <c r="AU46" i="4"/>
  <c r="AN46" i="4"/>
  <c r="AP46" i="4"/>
  <c r="AL46" i="4"/>
  <c r="AJ46" i="4"/>
  <c r="AB46" i="4"/>
  <c r="V46" i="4"/>
  <c r="Q46" i="4"/>
  <c r="CJ46" i="4"/>
  <c r="CM46" i="4"/>
  <c r="DP46" i="4"/>
  <c r="DL46" i="4"/>
  <c r="AY46" i="4"/>
  <c r="O46" i="4"/>
  <c r="BX46" i="4"/>
  <c r="EC46" i="4"/>
  <c r="BQ46" i="4"/>
  <c r="BB46" i="4"/>
  <c r="BH46" i="4"/>
  <c r="DI46" i="4"/>
  <c r="BL46" i="4"/>
  <c r="AA46" i="4"/>
  <c r="BG46" i="4"/>
  <c r="DM46" i="4"/>
  <c r="AW46" i="4"/>
  <c r="AM46" i="4"/>
  <c r="AO46" i="4"/>
  <c r="AX46" i="4"/>
  <c r="AV46" i="4"/>
  <c r="T46" i="4"/>
  <c r="AF46" i="4"/>
  <c r="Y46" i="4"/>
  <c r="CO46" i="4"/>
  <c r="CN46" i="4"/>
  <c r="DK46" i="4"/>
  <c r="BE46" i="4"/>
  <c r="CI46" i="4"/>
  <c r="CT46" i="4"/>
  <c r="CR46" i="4"/>
  <c r="CB46" i="4"/>
  <c r="CC46" i="4"/>
  <c r="BY46" i="4"/>
  <c r="DH46" i="4"/>
  <c r="BM46" i="4"/>
  <c r="CF46" i="4"/>
  <c r="CG46" i="4"/>
  <c r="CD46" i="4"/>
  <c r="AE46" i="4"/>
  <c r="Z46" i="4"/>
  <c r="CP46" i="4"/>
  <c r="CK46" i="4"/>
  <c r="R46" i="4"/>
  <c r="BW46" i="4"/>
  <c r="AD46" i="4"/>
  <c r="AC46" i="4"/>
  <c r="CL46" i="4"/>
  <c r="X46" i="4"/>
  <c r="BT46" i="4"/>
  <c r="DJ46" i="4"/>
  <c r="DN46" i="4"/>
  <c r="AG46" i="4"/>
  <c r="S46" i="4"/>
  <c r="DQ46" i="4"/>
  <c r="CH46" i="4"/>
  <c r="CA46" i="4"/>
  <c r="P46" i="4"/>
  <c r="AT46" i="4"/>
  <c r="BA46" i="4"/>
  <c r="BJ46" i="4"/>
  <c r="AK46" i="4"/>
  <c r="BI46" i="4"/>
  <c r="BV46" i="4"/>
  <c r="C35" i="46"/>
  <c r="L34" i="46"/>
  <c r="DF101" i="4"/>
  <c r="S41" i="46" l="1"/>
  <c r="BX41" i="46"/>
  <c r="AP41" i="46"/>
  <c r="M41" i="46"/>
  <c r="BQ41" i="46"/>
  <c r="CQ41" i="46"/>
  <c r="Z41" i="46"/>
  <c r="AH41" i="46"/>
  <c r="O41" i="46"/>
  <c r="CI41" i="46"/>
  <c r="AK41" i="46"/>
  <c r="AR41" i="46"/>
  <c r="BL41" i="46"/>
  <c r="AN41" i="46"/>
  <c r="BV41" i="46"/>
  <c r="AZ41" i="46"/>
  <c r="BT41" i="46"/>
  <c r="BZ41" i="46"/>
  <c r="CB41" i="46"/>
  <c r="CH41" i="46"/>
  <c r="BI41" i="46"/>
  <c r="AY41" i="46"/>
  <c r="DK41" i="46"/>
  <c r="DG41" i="46"/>
  <c r="DL41" i="46"/>
  <c r="Y41" i="46"/>
  <c r="AA41" i="46"/>
  <c r="CK41" i="46"/>
  <c r="N41" i="46"/>
  <c r="BW41" i="46"/>
  <c r="W41" i="46"/>
  <c r="CJ41" i="46"/>
  <c r="AU41" i="46"/>
  <c r="P41" i="46"/>
  <c r="BP41" i="46"/>
  <c r="AL41" i="46"/>
  <c r="BY41" i="46"/>
  <c r="AQ41" i="46"/>
  <c r="T41" i="46"/>
  <c r="CE41" i="46"/>
  <c r="AW41" i="46"/>
  <c r="CL41" i="46"/>
  <c r="CP41" i="46"/>
  <c r="BK41" i="46"/>
  <c r="BE41" i="46"/>
  <c r="AC41" i="46"/>
  <c r="BJ41" i="46"/>
  <c r="CA41" i="46"/>
  <c r="BD41" i="46"/>
  <c r="BA41" i="46"/>
  <c r="AI41" i="46"/>
  <c r="DD41" i="46"/>
  <c r="DI41" i="46"/>
  <c r="DJ41" i="46"/>
  <c r="DO41" i="46"/>
  <c r="AT41" i="46"/>
  <c r="BN41" i="46"/>
  <c r="AV41" i="46"/>
  <c r="X41" i="46"/>
  <c r="BG41" i="46"/>
  <c r="BO41" i="46"/>
  <c r="CO41" i="46"/>
  <c r="DM41" i="46"/>
  <c r="DF41" i="46"/>
  <c r="AB41" i="46"/>
  <c r="CF41" i="46"/>
  <c r="EA41" i="46"/>
  <c r="V41" i="46"/>
  <c r="AM41" i="46"/>
  <c r="CC41" i="46"/>
  <c r="CG41" i="46"/>
  <c r="BM41" i="46"/>
  <c r="Q41" i="46"/>
  <c r="AF41" i="46"/>
  <c r="R41" i="46"/>
  <c r="BH41" i="46"/>
  <c r="BF41" i="46"/>
  <c r="AE41" i="46"/>
  <c r="BC41" i="46"/>
  <c r="AG41" i="46"/>
  <c r="BB41" i="46"/>
  <c r="BS41" i="46"/>
  <c r="AX41" i="46"/>
  <c r="BR41" i="46"/>
  <c r="CD41" i="46"/>
  <c r="DN41" i="46"/>
  <c r="DE41" i="46"/>
  <c r="DC41" i="46"/>
  <c r="AO41" i="46"/>
  <c r="U41" i="46"/>
  <c r="CR41" i="46"/>
  <c r="AJ41" i="46"/>
  <c r="AD41" i="46"/>
  <c r="BU41" i="46"/>
  <c r="CM41" i="46"/>
  <c r="CN41" i="46"/>
  <c r="AS41" i="46"/>
  <c r="DH41" i="46"/>
  <c r="K42" i="46"/>
  <c r="B43" i="46"/>
  <c r="DN47" i="4"/>
  <c r="AO47" i="4"/>
  <c r="AM47" i="4"/>
  <c r="AX47" i="4"/>
  <c r="AJ47" i="4"/>
  <c r="AI47" i="4"/>
  <c r="AB47" i="4"/>
  <c r="S47" i="4"/>
  <c r="DR47" i="4"/>
  <c r="DP47" i="46" s="1"/>
  <c r="CQ47" i="4"/>
  <c r="DK47" i="4"/>
  <c r="BA47" i="4"/>
  <c r="BK47" i="4"/>
  <c r="BS47" i="4"/>
  <c r="BX47" i="4"/>
  <c r="EC47" i="4"/>
  <c r="BQ47" i="4"/>
  <c r="O47" i="4"/>
  <c r="BY47" i="4"/>
  <c r="BB47" i="4"/>
  <c r="BT47" i="4"/>
  <c r="BO47" i="4"/>
  <c r="BR47" i="4"/>
  <c r="AV47" i="4"/>
  <c r="AW47" i="4"/>
  <c r="AD47" i="4"/>
  <c r="AG47" i="4"/>
  <c r="AE47" i="4"/>
  <c r="AC47" i="4"/>
  <c r="Q47" i="4"/>
  <c r="Z47" i="4"/>
  <c r="CO47" i="4"/>
  <c r="CM47" i="4"/>
  <c r="DL47" i="4"/>
  <c r="DO47" i="4"/>
  <c r="AY47" i="4"/>
  <c r="AZ47" i="4"/>
  <c r="BZ47" i="4"/>
  <c r="CS47" i="4"/>
  <c r="AA47" i="4"/>
  <c r="CC47" i="4"/>
  <c r="CH47" i="4"/>
  <c r="CD47" i="4"/>
  <c r="BP47" i="4"/>
  <c r="BM47" i="4"/>
  <c r="BJ47" i="4"/>
  <c r="AU47" i="4"/>
  <c r="AT47" i="4"/>
  <c r="AH47" i="4"/>
  <c r="AK47" i="4"/>
  <c r="AP47" i="4"/>
  <c r="U47" i="4"/>
  <c r="V47" i="4"/>
  <c r="W47" i="4"/>
  <c r="CP47" i="4"/>
  <c r="CN47" i="4"/>
  <c r="DP47" i="4"/>
  <c r="BE47" i="4"/>
  <c r="CI47" i="4"/>
  <c r="BV47" i="4"/>
  <c r="CF47" i="4"/>
  <c r="CR47" i="4"/>
  <c r="DJ47" i="4"/>
  <c r="CB47" i="4"/>
  <c r="BH47" i="4"/>
  <c r="P47" i="4"/>
  <c r="BL47" i="4"/>
  <c r="DH47" i="4"/>
  <c r="BC47" i="4"/>
  <c r="DM47" i="4"/>
  <c r="AR47" i="4"/>
  <c r="T47" i="4"/>
  <c r="DQ47" i="4"/>
  <c r="X47" i="4"/>
  <c r="CG47" i="4"/>
  <c r="BI47" i="4"/>
  <c r="AS47" i="4"/>
  <c r="AQ47" i="4"/>
  <c r="BF47" i="4"/>
  <c r="DI47" i="4"/>
  <c r="CA47" i="4"/>
  <c r="BW47" i="4"/>
  <c r="AN47" i="4"/>
  <c r="AF47" i="4"/>
  <c r="CJ47" i="4"/>
  <c r="CK47" i="4"/>
  <c r="BD47" i="4"/>
  <c r="R47" i="4"/>
  <c r="CL47" i="4"/>
  <c r="AL47" i="4"/>
  <c r="CT47" i="4"/>
  <c r="Y47" i="4"/>
  <c r="BG47" i="4"/>
  <c r="BN47" i="4"/>
  <c r="CE47" i="4"/>
  <c r="BU47" i="4"/>
  <c r="B49" i="4"/>
  <c r="B37" i="5"/>
  <c r="M48" i="4"/>
  <c r="A37" i="47"/>
  <c r="C31" i="5"/>
  <c r="B31" i="47"/>
  <c r="N42" i="4"/>
  <c r="C43" i="4"/>
  <c r="C36" i="46"/>
  <c r="L35" i="46"/>
  <c r="DF102" i="4"/>
  <c r="K43" i="46" l="1"/>
  <c r="B44" i="46"/>
  <c r="S42" i="46"/>
  <c r="BX42" i="46"/>
  <c r="AH42" i="46"/>
  <c r="CC42" i="46"/>
  <c r="CG42" i="46"/>
  <c r="BM42" i="46"/>
  <c r="AD42" i="46"/>
  <c r="AV42" i="46"/>
  <c r="T42" i="46"/>
  <c r="CK42" i="46"/>
  <c r="U42" i="46"/>
  <c r="BD42" i="46"/>
  <c r="BU42" i="46"/>
  <c r="AQ42" i="46"/>
  <c r="CA42" i="46"/>
  <c r="P42" i="46"/>
  <c r="CL42" i="46"/>
  <c r="BE42" i="46"/>
  <c r="V42" i="46"/>
  <c r="CO42" i="46"/>
  <c r="BH42" i="46"/>
  <c r="AS42" i="46"/>
  <c r="DJ42" i="46"/>
  <c r="DF42" i="46"/>
  <c r="DL42" i="46"/>
  <c r="AC42" i="46"/>
  <c r="AO42" i="46"/>
  <c r="AR42" i="46"/>
  <c r="BY42" i="46"/>
  <c r="Q42" i="46"/>
  <c r="AP42" i="46"/>
  <c r="CB42" i="46"/>
  <c r="CH42" i="46"/>
  <c r="BK42" i="46"/>
  <c r="AX42" i="46"/>
  <c r="CQ42" i="46"/>
  <c r="BR42" i="46"/>
  <c r="BZ42" i="46"/>
  <c r="CP42" i="46"/>
  <c r="DI42" i="46"/>
  <c r="W42" i="46"/>
  <c r="CJ42" i="46"/>
  <c r="CR42" i="46"/>
  <c r="AA42" i="46"/>
  <c r="AF42" i="46"/>
  <c r="M42" i="46"/>
  <c r="CI42" i="46"/>
  <c r="AE42" i="46"/>
  <c r="X42" i="46"/>
  <c r="AG42" i="46"/>
  <c r="O42" i="46"/>
  <c r="BW42" i="46"/>
  <c r="BS42" i="46"/>
  <c r="AT42" i="46"/>
  <c r="BO42" i="46"/>
  <c r="BP42" i="46"/>
  <c r="BV42" i="46"/>
  <c r="BC42" i="46"/>
  <c r="CN42" i="46"/>
  <c r="BF42" i="46"/>
  <c r="BJ42" i="46"/>
  <c r="DD42" i="46"/>
  <c r="DN42" i="46"/>
  <c r="DG42" i="46"/>
  <c r="DO42" i="46"/>
  <c r="AK42" i="46"/>
  <c r="AL42" i="46"/>
  <c r="BA42" i="46"/>
  <c r="BT42" i="46"/>
  <c r="BL42" i="46"/>
  <c r="BB42" i="46"/>
  <c r="AI42" i="46"/>
  <c r="DK42" i="46"/>
  <c r="DH42" i="46"/>
  <c r="AB42" i="46"/>
  <c r="CF42" i="46"/>
  <c r="EA42" i="46"/>
  <c r="Z42" i="46"/>
  <c r="AN42" i="46"/>
  <c r="R42" i="46"/>
  <c r="CE42" i="46"/>
  <c r="AW42" i="46"/>
  <c r="Y42" i="46"/>
  <c r="N42" i="46"/>
  <c r="AU42" i="46"/>
  <c r="BG42" i="46"/>
  <c r="BQ42" i="46"/>
  <c r="CD42" i="46"/>
  <c r="BI42" i="46"/>
  <c r="AJ42" i="46"/>
  <c r="BN42" i="46"/>
  <c r="AZ42" i="46"/>
  <c r="AM42" i="46"/>
  <c r="CM42" i="46"/>
  <c r="AY42" i="46"/>
  <c r="DM42" i="46"/>
  <c r="DE42" i="46"/>
  <c r="DC42" i="46"/>
  <c r="CE48" i="4"/>
  <c r="AU48" i="4"/>
  <c r="AK48" i="4"/>
  <c r="AQ48" i="4"/>
  <c r="AH48" i="4"/>
  <c r="AI48" i="4"/>
  <c r="W48" i="4"/>
  <c r="AC48" i="4"/>
  <c r="DR48" i="4"/>
  <c r="DP48" i="46" s="1"/>
  <c r="CN48" i="4"/>
  <c r="DQ48" i="4"/>
  <c r="BF48" i="4"/>
  <c r="CK48" i="4"/>
  <c r="X48" i="4"/>
  <c r="BB48" i="4"/>
  <c r="DJ48" i="4"/>
  <c r="BU48" i="4"/>
  <c r="O48" i="4"/>
  <c r="BZ48" i="4"/>
  <c r="CF48" i="4"/>
  <c r="AS48" i="4"/>
  <c r="AT48" i="4"/>
  <c r="AR48" i="4"/>
  <c r="AE48" i="4"/>
  <c r="AX48" i="4"/>
  <c r="AB48" i="4"/>
  <c r="T48" i="4"/>
  <c r="U48" i="4"/>
  <c r="CO48" i="4"/>
  <c r="CQ48" i="4"/>
  <c r="DK48" i="4"/>
  <c r="BA48" i="4"/>
  <c r="AZ48" i="4"/>
  <c r="BM48" i="4"/>
  <c r="R48" i="4"/>
  <c r="DI48" i="4"/>
  <c r="BX48" i="4"/>
  <c r="CC48" i="4"/>
  <c r="DM48" i="4"/>
  <c r="AW48" i="4"/>
  <c r="AO48" i="4"/>
  <c r="AF48" i="4"/>
  <c r="AP48" i="4"/>
  <c r="AN48" i="4"/>
  <c r="V48" i="4"/>
  <c r="AL48" i="4"/>
  <c r="S48" i="4"/>
  <c r="CP48" i="4"/>
  <c r="DP48" i="4"/>
  <c r="DL48" i="4"/>
  <c r="AY48" i="4"/>
  <c r="AA48" i="4"/>
  <c r="BG48" i="4"/>
  <c r="BL48" i="4"/>
  <c r="BC48" i="4"/>
  <c r="CT48" i="4"/>
  <c r="BJ48" i="4"/>
  <c r="AG48" i="4"/>
  <c r="Z48" i="4"/>
  <c r="CS48" i="4"/>
  <c r="BD48" i="4"/>
  <c r="AJ48" i="4"/>
  <c r="Y48" i="4"/>
  <c r="DO48" i="4"/>
  <c r="BI48" i="4"/>
  <c r="P48" i="4"/>
  <c r="DN48" i="4"/>
  <c r="AM48" i="4"/>
  <c r="Q48" i="4"/>
  <c r="BE48" i="4"/>
  <c r="EC48" i="4"/>
  <c r="DH48" i="4"/>
  <c r="AV48" i="4"/>
  <c r="CI48" i="4"/>
  <c r="CD48" i="4"/>
  <c r="AD48" i="4"/>
  <c r="BN48" i="4"/>
  <c r="BQ48" i="4"/>
  <c r="BR48" i="4"/>
  <c r="BS48" i="4"/>
  <c r="BP48" i="4"/>
  <c r="BT48" i="4"/>
  <c r="CM48" i="4"/>
  <c r="CA48" i="4"/>
  <c r="BW48" i="4"/>
  <c r="BK48" i="4"/>
  <c r="BH48" i="4"/>
  <c r="CL48" i="4"/>
  <c r="BY48" i="4"/>
  <c r="CJ48" i="4"/>
  <c r="CH48" i="4"/>
  <c r="BO48" i="4"/>
  <c r="BV48" i="4"/>
  <c r="CG48" i="4"/>
  <c r="CB48" i="4"/>
  <c r="CR48" i="4"/>
  <c r="N43" i="4"/>
  <c r="C44" i="4"/>
  <c r="C32" i="5"/>
  <c r="B32" i="47"/>
  <c r="B38" i="5"/>
  <c r="M49" i="4"/>
  <c r="A38" i="47"/>
  <c r="B50" i="4"/>
  <c r="L36" i="46"/>
  <c r="C37" i="46"/>
  <c r="DF103" i="4"/>
  <c r="K44" i="46" l="1"/>
  <c r="B45" i="46"/>
  <c r="T43" i="46"/>
  <c r="CC43" i="46"/>
  <c r="CH43" i="46"/>
  <c r="AH43" i="46"/>
  <c r="BD43" i="46"/>
  <c r="M43" i="46"/>
  <c r="AB43" i="46"/>
  <c r="CG43" i="46"/>
  <c r="CA43" i="46"/>
  <c r="O43" i="46"/>
  <c r="BQ43" i="46"/>
  <c r="CQ43" i="46"/>
  <c r="BC43" i="46"/>
  <c r="R43" i="46"/>
  <c r="AO43" i="46"/>
  <c r="AQ43" i="46"/>
  <c r="AK43" i="46"/>
  <c r="AN43" i="46"/>
  <c r="CL43" i="46"/>
  <c r="CF43" i="46"/>
  <c r="AS43" i="46"/>
  <c r="DD43" i="46"/>
  <c r="DI43" i="46"/>
  <c r="DH43" i="46"/>
  <c r="BS43" i="46"/>
  <c r="BP43" i="46"/>
  <c r="S43" i="46"/>
  <c r="AT43" i="46"/>
  <c r="BA43" i="46"/>
  <c r="BB43" i="46"/>
  <c r="BI43" i="46"/>
  <c r="AR43" i="46"/>
  <c r="BU43" i="46"/>
  <c r="CP43" i="46"/>
  <c r="DK43" i="46"/>
  <c r="DJ43" i="46"/>
  <c r="AD43" i="46"/>
  <c r="AW43" i="46"/>
  <c r="V43" i="46"/>
  <c r="BG43" i="46"/>
  <c r="CN43" i="46"/>
  <c r="BN43" i="46"/>
  <c r="AX43" i="46"/>
  <c r="BL43" i="46"/>
  <c r="AL43" i="46"/>
  <c r="DF43" i="46"/>
  <c r="Q43" i="46"/>
  <c r="P43" i="46"/>
  <c r="CE43" i="46"/>
  <c r="EA43" i="46"/>
  <c r="AE43" i="46"/>
  <c r="AU43" i="46"/>
  <c r="U43" i="46"/>
  <c r="AM43" i="46"/>
  <c r="BF43" i="46"/>
  <c r="BK43" i="46"/>
  <c r="CJ43" i="46"/>
  <c r="BW43" i="46"/>
  <c r="BV43" i="46"/>
  <c r="BX43" i="46"/>
  <c r="AG43" i="46"/>
  <c r="CB43" i="46"/>
  <c r="BZ43" i="46"/>
  <c r="BM43" i="46"/>
  <c r="CD43" i="46"/>
  <c r="BH43" i="46"/>
  <c r="AI43" i="46"/>
  <c r="DN43" i="46"/>
  <c r="DM43" i="46"/>
  <c r="DG43" i="46"/>
  <c r="DO43" i="46"/>
  <c r="Z43" i="46"/>
  <c r="CM43" i="46"/>
  <c r="BT43" i="46"/>
  <c r="BY43" i="46"/>
  <c r="N43" i="46"/>
  <c r="AF43" i="46"/>
  <c r="CK43" i="46"/>
  <c r="BR43" i="46"/>
  <c r="AJ43" i="46"/>
  <c r="AY43" i="46"/>
  <c r="DC43" i="46"/>
  <c r="Y43" i="46"/>
  <c r="BO43" i="46"/>
  <c r="W43" i="46"/>
  <c r="CR43" i="46"/>
  <c r="AV43" i="46"/>
  <c r="AZ43" i="46"/>
  <c r="BJ43" i="46"/>
  <c r="AA43" i="46"/>
  <c r="BE43" i="46"/>
  <c r="DE43" i="46"/>
  <c r="DL43" i="46"/>
  <c r="X43" i="46"/>
  <c r="CO43" i="46"/>
  <c r="AP43" i="46"/>
  <c r="AC43" i="46"/>
  <c r="CI43" i="46"/>
  <c r="DN49" i="4"/>
  <c r="AS49" i="4"/>
  <c r="AO49" i="4"/>
  <c r="AN49" i="4"/>
  <c r="AH49" i="4"/>
  <c r="AG49" i="4"/>
  <c r="AB49" i="4"/>
  <c r="W49" i="4"/>
  <c r="V49" i="4"/>
  <c r="CP49" i="4"/>
  <c r="CL49" i="4"/>
  <c r="DO49" i="4"/>
  <c r="BF49" i="4"/>
  <c r="CK49" i="4"/>
  <c r="AA49" i="4"/>
  <c r="BR49" i="4"/>
  <c r="CD49" i="4"/>
  <c r="CA49" i="4"/>
  <c r="CR49" i="4"/>
  <c r="BW49" i="4"/>
  <c r="AZ49" i="4"/>
  <c r="BP49" i="4"/>
  <c r="BB49" i="4"/>
  <c r="DI49" i="4"/>
  <c r="DJ49" i="4"/>
  <c r="CE49" i="4"/>
  <c r="AW49" i="4"/>
  <c r="AF49" i="4"/>
  <c r="AE49" i="4"/>
  <c r="AX49" i="4"/>
  <c r="AR49" i="4"/>
  <c r="Q49" i="4"/>
  <c r="T49" i="4"/>
  <c r="DR49" i="4"/>
  <c r="DP49" i="46" s="1"/>
  <c r="CQ49" i="4"/>
  <c r="DL49" i="4"/>
  <c r="BA49" i="4"/>
  <c r="BK49" i="4"/>
  <c r="BL49" i="4"/>
  <c r="BQ49" i="4"/>
  <c r="BO49" i="4"/>
  <c r="BY49" i="4"/>
  <c r="P49" i="4"/>
  <c r="BH49" i="4"/>
  <c r="CC49" i="4"/>
  <c r="BS49" i="4"/>
  <c r="BM49" i="4"/>
  <c r="CF49" i="4"/>
  <c r="BV49" i="4"/>
  <c r="AV49" i="4"/>
  <c r="AU49" i="4"/>
  <c r="AJ49" i="4"/>
  <c r="AI49" i="4"/>
  <c r="AK49" i="4"/>
  <c r="AC49" i="4"/>
  <c r="U49" i="4"/>
  <c r="Y49" i="4"/>
  <c r="CO49" i="4"/>
  <c r="CM49" i="4"/>
  <c r="DP49" i="4"/>
  <c r="DK49" i="4"/>
  <c r="AY49" i="4"/>
  <c r="CB49" i="4"/>
  <c r="CS49" i="4"/>
  <c r="BT49" i="4"/>
  <c r="BN49" i="4"/>
  <c r="CT49" i="4"/>
  <c r="BC49" i="4"/>
  <c r="BI49" i="4"/>
  <c r="CH49" i="4"/>
  <c r="BG49" i="4"/>
  <c r="O49" i="4"/>
  <c r="AT49" i="4"/>
  <c r="AD49" i="4"/>
  <c r="BE49" i="4"/>
  <c r="BD49" i="4"/>
  <c r="DH49" i="4"/>
  <c r="BJ49" i="4"/>
  <c r="AM49" i="4"/>
  <c r="AL49" i="4"/>
  <c r="CJ49" i="4"/>
  <c r="CI49" i="4"/>
  <c r="EC49" i="4"/>
  <c r="CG49" i="4"/>
  <c r="AQ49" i="4"/>
  <c r="Z49" i="4"/>
  <c r="CN49" i="4"/>
  <c r="X49" i="4"/>
  <c r="R49" i="4"/>
  <c r="S49" i="4"/>
  <c r="BZ49" i="4"/>
  <c r="DM49" i="4"/>
  <c r="DQ49" i="4"/>
  <c r="BU49" i="4"/>
  <c r="AP49" i="4"/>
  <c r="BX49" i="4"/>
  <c r="B51" i="4"/>
  <c r="B39" i="5"/>
  <c r="M50" i="4"/>
  <c r="A39" i="47"/>
  <c r="N44" i="4"/>
  <c r="C45" i="4"/>
  <c r="B33" i="47"/>
  <c r="C33" i="5"/>
  <c r="C38" i="46"/>
  <c r="L37" i="46"/>
  <c r="DF104" i="4"/>
  <c r="B46" i="46" l="1"/>
  <c r="K45" i="46"/>
  <c r="V44" i="46"/>
  <c r="U44" i="46"/>
  <c r="BV44" i="46"/>
  <c r="AQ44" i="46"/>
  <c r="CA44" i="46"/>
  <c r="AB44" i="46"/>
  <c r="CQ44" i="46"/>
  <c r="BB44" i="46"/>
  <c r="Z44" i="46"/>
  <c r="AN44" i="46"/>
  <c r="AJ44" i="46"/>
  <c r="AX44" i="46"/>
  <c r="AM44" i="46"/>
  <c r="BJ44" i="46"/>
  <c r="AS44" i="46"/>
  <c r="Q44" i="46"/>
  <c r="CP44" i="46"/>
  <c r="BO44" i="46"/>
  <c r="DF44" i="46"/>
  <c r="DE44" i="46"/>
  <c r="DI44" i="46"/>
  <c r="CJ44" i="46"/>
  <c r="BU44" i="46"/>
  <c r="BW44" i="46"/>
  <c r="AO44" i="46"/>
  <c r="DL44" i="46"/>
  <c r="BQ44" i="46"/>
  <c r="X44" i="46"/>
  <c r="P44" i="46"/>
  <c r="BK44" i="46"/>
  <c r="AE44" i="46"/>
  <c r="BY44" i="46"/>
  <c r="Y44" i="46"/>
  <c r="AG44" i="46"/>
  <c r="AR44" i="46"/>
  <c r="N44" i="46"/>
  <c r="BG44" i="46"/>
  <c r="AC44" i="46"/>
  <c r="BT44" i="46"/>
  <c r="AK44" i="46"/>
  <c r="BX44" i="46"/>
  <c r="AV44" i="46"/>
  <c r="CD44" i="46"/>
  <c r="BS44" i="46"/>
  <c r="O44" i="46"/>
  <c r="AZ44" i="46"/>
  <c r="AW44" i="46"/>
  <c r="BL44" i="46"/>
  <c r="BP44" i="46"/>
  <c r="DM44" i="46"/>
  <c r="DG44" i="46"/>
  <c r="BF44" i="46"/>
  <c r="BZ44" i="46"/>
  <c r="CH44" i="46"/>
  <c r="DC44" i="46"/>
  <c r="BM44" i="46"/>
  <c r="AA44" i="46"/>
  <c r="BD44" i="46"/>
  <c r="CL44" i="46"/>
  <c r="W44" i="46"/>
  <c r="AI44" i="46"/>
  <c r="CI44" i="46"/>
  <c r="AY44" i="46"/>
  <c r="DN44" i="46"/>
  <c r="DK44" i="46"/>
  <c r="CE44" i="46"/>
  <c r="S44" i="46"/>
  <c r="R44" i="46"/>
  <c r="AH44" i="46"/>
  <c r="M44" i="46"/>
  <c r="BA44" i="46"/>
  <c r="CO44" i="46"/>
  <c r="AP44" i="46"/>
  <c r="AL44" i="46"/>
  <c r="CC44" i="46"/>
  <c r="CG44" i="46"/>
  <c r="CM44" i="46"/>
  <c r="AU44" i="46"/>
  <c r="CN44" i="46"/>
  <c r="BE44" i="46"/>
  <c r="T44" i="46"/>
  <c r="AT44" i="46"/>
  <c r="BH44" i="46"/>
  <c r="DD44" i="46"/>
  <c r="BN44" i="46"/>
  <c r="BR44" i="46"/>
  <c r="BI44" i="46"/>
  <c r="CF44" i="46"/>
  <c r="EA44" i="46"/>
  <c r="BC44" i="46"/>
  <c r="CR44" i="46"/>
  <c r="AF44" i="46"/>
  <c r="AD44" i="46"/>
  <c r="CB44" i="46"/>
  <c r="DH44" i="46"/>
  <c r="DJ44" i="46"/>
  <c r="CK44" i="46"/>
  <c r="DO44" i="46"/>
  <c r="B34" i="47"/>
  <c r="N45" i="4"/>
  <c r="C34" i="5"/>
  <c r="C46" i="4"/>
  <c r="A40" i="47"/>
  <c r="B40" i="5"/>
  <c r="M51" i="4"/>
  <c r="B52" i="4"/>
  <c r="DM50" i="4"/>
  <c r="AW50" i="4"/>
  <c r="AM50" i="4"/>
  <c r="AS50" i="4"/>
  <c r="AX50" i="4"/>
  <c r="AG50" i="4"/>
  <c r="T50" i="4"/>
  <c r="AC50" i="4"/>
  <c r="S50" i="4"/>
  <c r="CP50" i="4"/>
  <c r="CN50" i="4"/>
  <c r="DQ50" i="4"/>
  <c r="BE50" i="4"/>
  <c r="CI50" i="4"/>
  <c r="BI50" i="4"/>
  <c r="CG50" i="4"/>
  <c r="DH50" i="4"/>
  <c r="X50" i="4"/>
  <c r="CD50" i="4"/>
  <c r="BU50" i="4"/>
  <c r="CR50" i="4"/>
  <c r="BT50" i="4"/>
  <c r="BY50" i="4"/>
  <c r="BR50" i="4"/>
  <c r="DN50" i="4"/>
  <c r="AT50" i="4"/>
  <c r="AE50" i="4"/>
  <c r="AD50" i="4"/>
  <c r="AK50" i="4"/>
  <c r="AJ50" i="4"/>
  <c r="Z50" i="4"/>
  <c r="U50" i="4"/>
  <c r="Y50" i="4"/>
  <c r="CO50" i="4"/>
  <c r="CL50" i="4"/>
  <c r="DK50" i="4"/>
  <c r="BA50" i="4"/>
  <c r="CK50" i="4"/>
  <c r="BG50" i="4"/>
  <c r="CB50" i="4"/>
  <c r="BQ50" i="4"/>
  <c r="AA50" i="4"/>
  <c r="P50" i="4"/>
  <c r="CT50" i="4"/>
  <c r="BJ50" i="4"/>
  <c r="BB50" i="4"/>
  <c r="DI50" i="4"/>
  <c r="BW50" i="4"/>
  <c r="R50" i="4"/>
  <c r="CE50" i="4"/>
  <c r="AV50" i="4"/>
  <c r="AI50" i="4"/>
  <c r="AH50" i="4"/>
  <c r="AF50" i="4"/>
  <c r="AR50" i="4"/>
  <c r="W50" i="4"/>
  <c r="Q50" i="4"/>
  <c r="DR50" i="4"/>
  <c r="DP50" i="46" s="1"/>
  <c r="CQ50" i="4"/>
  <c r="DL50" i="4"/>
  <c r="BF50" i="4"/>
  <c r="BK50" i="4"/>
  <c r="CH50" i="4"/>
  <c r="BV50" i="4"/>
  <c r="CF50" i="4"/>
  <c r="BN50" i="4"/>
  <c r="BH50" i="4"/>
  <c r="BD50" i="4"/>
  <c r="CS50" i="4"/>
  <c r="BS50" i="4"/>
  <c r="BO50" i="4"/>
  <c r="BX50" i="4"/>
  <c r="BP50" i="4"/>
  <c r="AP50" i="4"/>
  <c r="AO50" i="4"/>
  <c r="CM50" i="4"/>
  <c r="AZ50" i="4"/>
  <c r="CC50" i="4"/>
  <c r="AL50" i="4"/>
  <c r="V50" i="4"/>
  <c r="DP50" i="4"/>
  <c r="BZ50" i="4"/>
  <c r="CA50" i="4"/>
  <c r="BC50" i="4"/>
  <c r="AU50" i="4"/>
  <c r="AQ50" i="4"/>
  <c r="DO50" i="4"/>
  <c r="BL50" i="4"/>
  <c r="BM50" i="4"/>
  <c r="O50" i="4"/>
  <c r="CJ50" i="4"/>
  <c r="AN50" i="4"/>
  <c r="AY50" i="4"/>
  <c r="EC50" i="4"/>
  <c r="AB50" i="4"/>
  <c r="DJ50" i="4"/>
  <c r="L38" i="46"/>
  <c r="C39" i="46"/>
  <c r="DF105" i="4"/>
  <c r="T45" i="46" l="1"/>
  <c r="CG45" i="46"/>
  <c r="CL45" i="46"/>
  <c r="AL45" i="46"/>
  <c r="AQ45" i="46"/>
  <c r="BF45" i="46"/>
  <c r="U45" i="46"/>
  <c r="AO45" i="46"/>
  <c r="AW45" i="46"/>
  <c r="AX45" i="46"/>
  <c r="AZ45" i="46"/>
  <c r="AD45" i="46"/>
  <c r="AN45" i="46"/>
  <c r="BG45" i="46"/>
  <c r="BJ45" i="46"/>
  <c r="CN45" i="46"/>
  <c r="CM45" i="46"/>
  <c r="BR45" i="46"/>
  <c r="Y45" i="46"/>
  <c r="BD45" i="46"/>
  <c r="CK45" i="46"/>
  <c r="AY45" i="46"/>
  <c r="DE45" i="46"/>
  <c r="DM45" i="46"/>
  <c r="DL45" i="46"/>
  <c r="AA45" i="46"/>
  <c r="BP45" i="46"/>
  <c r="CB45" i="46"/>
  <c r="EA45" i="46"/>
  <c r="N45" i="46"/>
  <c r="S45" i="46"/>
  <c r="BX45" i="46"/>
  <c r="AG45" i="46"/>
  <c r="AJ45" i="46"/>
  <c r="AK45" i="46"/>
  <c r="CC45" i="46"/>
  <c r="CH45" i="46"/>
  <c r="AV45" i="46"/>
  <c r="AT45" i="46"/>
  <c r="AU45" i="46"/>
  <c r="BH45" i="46"/>
  <c r="M45" i="46"/>
  <c r="AB45" i="46"/>
  <c r="BY45" i="46"/>
  <c r="BE45" i="46"/>
  <c r="AH45" i="46"/>
  <c r="DD45" i="46"/>
  <c r="DC45" i="46"/>
  <c r="DK45" i="46"/>
  <c r="DO45" i="46"/>
  <c r="AC45" i="46"/>
  <c r="AP45" i="46"/>
  <c r="BA45" i="46"/>
  <c r="BB45" i="46"/>
  <c r="CP45" i="46"/>
  <c r="CF45" i="46"/>
  <c r="BK45" i="46"/>
  <c r="BO45" i="46"/>
  <c r="BS45" i="46"/>
  <c r="X45" i="46"/>
  <c r="BV45" i="46"/>
  <c r="CD45" i="46"/>
  <c r="BU45" i="46"/>
  <c r="BL45" i="46"/>
  <c r="BC45" i="46"/>
  <c r="AS45" i="46"/>
  <c r="DF45" i="46"/>
  <c r="V45" i="46"/>
  <c r="AF45" i="46"/>
  <c r="BM45" i="46"/>
  <c r="BW45" i="46"/>
  <c r="CO45" i="46"/>
  <c r="Q45" i="46"/>
  <c r="BQ45" i="46"/>
  <c r="BZ45" i="46"/>
  <c r="CR45" i="46"/>
  <c r="BI45" i="46"/>
  <c r="P45" i="46"/>
  <c r="CJ45" i="46"/>
  <c r="CQ45" i="46"/>
  <c r="O45" i="46"/>
  <c r="AI45" i="46"/>
  <c r="W45" i="46"/>
  <c r="AE45" i="46"/>
  <c r="BT45" i="46"/>
  <c r="AM45" i="46"/>
  <c r="R45" i="46"/>
  <c r="AR45" i="46"/>
  <c r="DI45" i="46"/>
  <c r="DN45" i="46"/>
  <c r="DH45" i="46"/>
  <c r="Z45" i="46"/>
  <c r="CE45" i="46"/>
  <c r="BN45" i="46"/>
  <c r="CA45" i="46"/>
  <c r="CI45" i="46"/>
  <c r="DJ45" i="46"/>
  <c r="DG45" i="46"/>
  <c r="K46" i="46"/>
  <c r="B47" i="46"/>
  <c r="CE51" i="4"/>
  <c r="AO51" i="4"/>
  <c r="AH51" i="4"/>
  <c r="AK51" i="4"/>
  <c r="AQ51" i="4"/>
  <c r="AP51" i="4"/>
  <c r="Q51" i="4"/>
  <c r="S51" i="4"/>
  <c r="DR51" i="4"/>
  <c r="DP51" i="46" s="1"/>
  <c r="CQ51" i="4"/>
  <c r="DL51" i="4"/>
  <c r="BA51" i="4"/>
  <c r="BK51" i="4"/>
  <c r="CC51" i="4"/>
  <c r="BN51" i="4"/>
  <c r="DJ51" i="4"/>
  <c r="BS51" i="4"/>
  <c r="BW51" i="4"/>
  <c r="AZ51" i="4"/>
  <c r="O51" i="4"/>
  <c r="BG51" i="4"/>
  <c r="BO51" i="4"/>
  <c r="BI51" i="4"/>
  <c r="BC51" i="4"/>
  <c r="AV51" i="4"/>
  <c r="AN51" i="4"/>
  <c r="AL51" i="4"/>
  <c r="AR51" i="4"/>
  <c r="AI51" i="4"/>
  <c r="AC51" i="4"/>
  <c r="AE51" i="4"/>
  <c r="Z51" i="4"/>
  <c r="CO51" i="4"/>
  <c r="CM51" i="4"/>
  <c r="DP51" i="4"/>
  <c r="DO51" i="4"/>
  <c r="AY51" i="4"/>
  <c r="EC51" i="4"/>
  <c r="CR51" i="4"/>
  <c r="BR51" i="4"/>
  <c r="R51" i="4"/>
  <c r="P51" i="4"/>
  <c r="CD51" i="4"/>
  <c r="BH51" i="4"/>
  <c r="CH51" i="4"/>
  <c r="BY51" i="4"/>
  <c r="CB51" i="4"/>
  <c r="DM51" i="4"/>
  <c r="AU51" i="4"/>
  <c r="AS51" i="4"/>
  <c r="AX51" i="4"/>
  <c r="AM51" i="4"/>
  <c r="AJ51" i="4"/>
  <c r="U51" i="4"/>
  <c r="V51" i="4"/>
  <c r="W51" i="4"/>
  <c r="CP51" i="4"/>
  <c r="CN51" i="4"/>
  <c r="DQ51" i="4"/>
  <c r="BE51" i="4"/>
  <c r="CI51" i="4"/>
  <c r="BM51" i="4"/>
  <c r="BQ51" i="4"/>
  <c r="AA51" i="4"/>
  <c r="BT51" i="4"/>
  <c r="CA51" i="4"/>
  <c r="BB51" i="4"/>
  <c r="BL51" i="4"/>
  <c r="CG51" i="4"/>
  <c r="DH51" i="4"/>
  <c r="CF51" i="4"/>
  <c r="DN51" i="4"/>
  <c r="AF51" i="4"/>
  <c r="T51" i="4"/>
  <c r="DK51" i="4"/>
  <c r="DI51" i="4"/>
  <c r="BX51" i="4"/>
  <c r="BV51" i="4"/>
  <c r="AT51" i="4"/>
  <c r="AW51" i="4"/>
  <c r="BF51" i="4"/>
  <c r="BU51" i="4"/>
  <c r="CS51" i="4"/>
  <c r="BP51" i="4"/>
  <c r="AD51" i="4"/>
  <c r="AB51" i="4"/>
  <c r="CJ51" i="4"/>
  <c r="CK51" i="4"/>
  <c r="BZ51" i="4"/>
  <c r="X51" i="4"/>
  <c r="CL51" i="4"/>
  <c r="BJ51" i="4"/>
  <c r="AG51" i="4"/>
  <c r="BD51" i="4"/>
  <c r="CT51" i="4"/>
  <c r="Y51" i="4"/>
  <c r="B53" i="4"/>
  <c r="A41" i="47"/>
  <c r="B41" i="5"/>
  <c r="M52" i="4"/>
  <c r="C47" i="4"/>
  <c r="B35" i="47"/>
  <c r="N46" i="4"/>
  <c r="C35" i="5"/>
  <c r="C40" i="46"/>
  <c r="L39" i="46"/>
  <c r="DF106" i="4"/>
  <c r="CC46" i="46" l="1"/>
  <c r="BY46" i="46"/>
  <c r="AH46" i="46"/>
  <c r="AZ46" i="46"/>
  <c r="BT46" i="46"/>
  <c r="M46" i="46"/>
  <c r="AC46" i="46"/>
  <c r="AF46" i="46"/>
  <c r="BS46" i="46"/>
  <c r="EA46" i="46"/>
  <c r="AY46" i="46"/>
  <c r="V46" i="46"/>
  <c r="BN46" i="46"/>
  <c r="CA46" i="46"/>
  <c r="AI46" i="46"/>
  <c r="BE46" i="46"/>
  <c r="BW46" i="46"/>
  <c r="BL46" i="46"/>
  <c r="CH46" i="46"/>
  <c r="BV46" i="46"/>
  <c r="CE46" i="46"/>
  <c r="BK46" i="46"/>
  <c r="DI46" i="46"/>
  <c r="DE46" i="46"/>
  <c r="DL46" i="46"/>
  <c r="BA46" i="46"/>
  <c r="AV46" i="46"/>
  <c r="S46" i="46"/>
  <c r="AN46" i="46"/>
  <c r="AJ46" i="46"/>
  <c r="AT46" i="46"/>
  <c r="U46" i="46"/>
  <c r="DN46" i="46"/>
  <c r="P46" i="46"/>
  <c r="CJ46" i="46"/>
  <c r="CN46" i="46"/>
  <c r="AQ46" i="46"/>
  <c r="BI46" i="46"/>
  <c r="T46" i="46"/>
  <c r="BX46" i="46"/>
  <c r="CL46" i="46"/>
  <c r="BF46" i="46"/>
  <c r="CB46" i="46"/>
  <c r="AL46" i="46"/>
  <c r="Y46" i="46"/>
  <c r="AO46" i="46"/>
  <c r="BO46" i="46"/>
  <c r="CQ46" i="46"/>
  <c r="AW46" i="46"/>
  <c r="AE46" i="46"/>
  <c r="CO46" i="46"/>
  <c r="BQ46" i="46"/>
  <c r="O46" i="46"/>
  <c r="AS46" i="46"/>
  <c r="DD46" i="46"/>
  <c r="DC46" i="46"/>
  <c r="DF46" i="46"/>
  <c r="DO46" i="46"/>
  <c r="X46" i="46"/>
  <c r="BU46" i="46"/>
  <c r="N46" i="46"/>
  <c r="CG46" i="46"/>
  <c r="BR46" i="46"/>
  <c r="BD46" i="46"/>
  <c r="BC46" i="46"/>
  <c r="AP46" i="46"/>
  <c r="DG46" i="46"/>
  <c r="DM46" i="46"/>
  <c r="AD46" i="46"/>
  <c r="AG46" i="46"/>
  <c r="BJ46" i="46"/>
  <c r="CM46" i="46"/>
  <c r="AR46" i="46"/>
  <c r="AB46" i="46"/>
  <c r="BP46" i="46"/>
  <c r="CD46" i="46"/>
  <c r="AK46" i="46"/>
  <c r="BG46" i="46"/>
  <c r="AA46" i="46"/>
  <c r="CK46" i="46"/>
  <c r="CR46" i="46"/>
  <c r="AU46" i="46"/>
  <c r="BM46" i="46"/>
  <c r="R46" i="46"/>
  <c r="Q46" i="46"/>
  <c r="Z46" i="46"/>
  <c r="BB46" i="46"/>
  <c r="BH46" i="46"/>
  <c r="AM46" i="46"/>
  <c r="DJ46" i="46"/>
  <c r="DK46" i="46"/>
  <c r="DH46" i="46"/>
  <c r="CF46" i="46"/>
  <c r="W46" i="46"/>
  <c r="AX46" i="46"/>
  <c r="CI46" i="46"/>
  <c r="BZ46" i="46"/>
  <c r="CP46" i="46"/>
  <c r="K47" i="46"/>
  <c r="B48" i="46"/>
  <c r="B54" i="4"/>
  <c r="B42" i="5"/>
  <c r="A42" i="47"/>
  <c r="M53" i="4"/>
  <c r="DM52" i="4"/>
  <c r="AV52" i="4"/>
  <c r="AO52" i="4"/>
  <c r="AH52" i="4"/>
  <c r="AI52" i="4"/>
  <c r="AF52" i="4"/>
  <c r="Z52" i="4"/>
  <c r="T52" i="4"/>
  <c r="Q52" i="4"/>
  <c r="CP52" i="4"/>
  <c r="CN52" i="4"/>
  <c r="DQ52" i="4"/>
  <c r="BE52" i="4"/>
  <c r="CI52" i="4"/>
  <c r="BG52" i="4"/>
  <c r="BC52" i="4"/>
  <c r="BB52" i="4"/>
  <c r="BW52" i="4"/>
  <c r="P52" i="4"/>
  <c r="BI52" i="4"/>
  <c r="DH52" i="4"/>
  <c r="DJ52" i="4"/>
  <c r="CR52" i="4"/>
  <c r="DN52" i="4"/>
  <c r="AU52" i="4"/>
  <c r="AN52" i="4"/>
  <c r="AL52" i="4"/>
  <c r="AP52" i="4"/>
  <c r="AQ52" i="4"/>
  <c r="W52" i="4"/>
  <c r="S52" i="4"/>
  <c r="U52" i="4"/>
  <c r="CJ52" i="4"/>
  <c r="CL52" i="4"/>
  <c r="DL52" i="4"/>
  <c r="BF52" i="4"/>
  <c r="CK52" i="4"/>
  <c r="CE52" i="4"/>
  <c r="AT52" i="4"/>
  <c r="AG52" i="4"/>
  <c r="AX52" i="4"/>
  <c r="AJ52" i="4"/>
  <c r="AB52" i="4"/>
  <c r="AR52" i="4"/>
  <c r="AC52" i="4"/>
  <c r="DR52" i="4"/>
  <c r="DP52" i="46" s="1"/>
  <c r="CQ52" i="4"/>
  <c r="DO52" i="4"/>
  <c r="BA52" i="4"/>
  <c r="BK52" i="4"/>
  <c r="DI52" i="4"/>
  <c r="BU52" i="4"/>
  <c r="O52" i="4"/>
  <c r="BQ52" i="4"/>
  <c r="BP52" i="4"/>
  <c r="BV52" i="4"/>
  <c r="CS52" i="4"/>
  <c r="BD52" i="4"/>
  <c r="BO52" i="4"/>
  <c r="BM52" i="4"/>
  <c r="AS52" i="4"/>
  <c r="V52" i="4"/>
  <c r="CO52" i="4"/>
  <c r="AY52" i="4"/>
  <c r="BJ52" i="4"/>
  <c r="AA52" i="4"/>
  <c r="CF52" i="4"/>
  <c r="EC52" i="4"/>
  <c r="CG52" i="4"/>
  <c r="AM52" i="4"/>
  <c r="AE52" i="4"/>
  <c r="CM52" i="4"/>
  <c r="CC52" i="4"/>
  <c r="CH52" i="4"/>
  <c r="R52" i="4"/>
  <c r="BT52" i="4"/>
  <c r="BZ52" i="4"/>
  <c r="AD52" i="4"/>
  <c r="Y52" i="4"/>
  <c r="DP52" i="4"/>
  <c r="BS52" i="4"/>
  <c r="CD52" i="4"/>
  <c r="CB52" i="4"/>
  <c r="X52" i="4"/>
  <c r="BX52" i="4"/>
  <c r="BR52" i="4"/>
  <c r="AW52" i="4"/>
  <c r="DK52" i="4"/>
  <c r="CA52" i="4"/>
  <c r="AK52" i="4"/>
  <c r="BY52" i="4"/>
  <c r="CT52" i="4"/>
  <c r="BL52" i="4"/>
  <c r="BH52" i="4"/>
  <c r="AZ52" i="4"/>
  <c r="BN52" i="4"/>
  <c r="B36" i="47"/>
  <c r="C48" i="4"/>
  <c r="C36" i="5"/>
  <c r="N47" i="4"/>
  <c r="C41" i="46"/>
  <c r="L40" i="46"/>
  <c r="DF107" i="4"/>
  <c r="K48" i="46" l="1"/>
  <c r="B49" i="46"/>
  <c r="V47" i="46"/>
  <c r="BQ47" i="46"/>
  <c r="CD47" i="46"/>
  <c r="AK47" i="46"/>
  <c r="BG47" i="46"/>
  <c r="Q47" i="46"/>
  <c r="CF47" i="46"/>
  <c r="AV47" i="46"/>
  <c r="BD47" i="46"/>
  <c r="BZ47" i="46"/>
  <c r="O47" i="46"/>
  <c r="X47" i="46"/>
  <c r="AO47" i="46"/>
  <c r="BL47" i="46"/>
  <c r="CO47" i="46"/>
  <c r="AR47" i="46"/>
  <c r="CN47" i="46"/>
  <c r="CG47" i="46"/>
  <c r="T47" i="46"/>
  <c r="CM47" i="46"/>
  <c r="AZ47" i="46"/>
  <c r="DI47" i="46"/>
  <c r="DM47" i="46"/>
  <c r="DN47" i="46"/>
  <c r="BV47" i="46"/>
  <c r="BT47" i="46"/>
  <c r="AH47" i="46"/>
  <c r="CL47" i="46"/>
  <c r="BP47" i="46"/>
  <c r="BC47" i="46"/>
  <c r="BJ47" i="46"/>
  <c r="DH47" i="46"/>
  <c r="AC47" i="46"/>
  <c r="CE47" i="46"/>
  <c r="BS47" i="46"/>
  <c r="EA47" i="46"/>
  <c r="AW47" i="46"/>
  <c r="Z47" i="46"/>
  <c r="CJ47" i="46"/>
  <c r="CR47" i="46"/>
  <c r="AU47" i="46"/>
  <c r="BM47" i="46"/>
  <c r="BF47" i="46"/>
  <c r="AD47" i="46"/>
  <c r="AN47" i="46"/>
  <c r="BB47" i="46"/>
  <c r="M47" i="46"/>
  <c r="AQ47" i="46"/>
  <c r="BU47" i="46"/>
  <c r="BX47" i="46"/>
  <c r="AL47" i="46"/>
  <c r="DG47" i="46"/>
  <c r="DK47" i="46"/>
  <c r="DC47" i="46"/>
  <c r="AA47" i="46"/>
  <c r="CH47" i="46"/>
  <c r="AX47" i="46"/>
  <c r="S47" i="46"/>
  <c r="CI47" i="46"/>
  <c r="AT47" i="46"/>
  <c r="BW47" i="46"/>
  <c r="AG47" i="46"/>
  <c r="AP47" i="46"/>
  <c r="DE47" i="46"/>
  <c r="R47" i="46"/>
  <c r="BY47" i="46"/>
  <c r="AM47" i="46"/>
  <c r="BH47" i="46"/>
  <c r="CB47" i="46"/>
  <c r="AJ47" i="46"/>
  <c r="Y47" i="46"/>
  <c r="AF47" i="46"/>
  <c r="CA47" i="46"/>
  <c r="AI47" i="46"/>
  <c r="BE47" i="46"/>
  <c r="CC47" i="46"/>
  <c r="CK47" i="46"/>
  <c r="CP47" i="46"/>
  <c r="AS47" i="46"/>
  <c r="BK47" i="46"/>
  <c r="AB47" i="46"/>
  <c r="BI47" i="46"/>
  <c r="N47" i="46"/>
  <c r="BN47" i="46"/>
  <c r="W47" i="46"/>
  <c r="AY47" i="46"/>
  <c r="DJ47" i="46"/>
  <c r="DF47" i="46"/>
  <c r="DL47" i="46"/>
  <c r="BR47" i="46"/>
  <c r="CQ47" i="46"/>
  <c r="P47" i="46"/>
  <c r="AE47" i="46"/>
  <c r="BA47" i="46"/>
  <c r="DD47" i="46"/>
  <c r="BO47" i="46"/>
  <c r="U47" i="46"/>
  <c r="DO47" i="46"/>
  <c r="DN53" i="4"/>
  <c r="AS53" i="4"/>
  <c r="AK53" i="4"/>
  <c r="AE53" i="4"/>
  <c r="AF53" i="4"/>
  <c r="AC53" i="4"/>
  <c r="Q53" i="4"/>
  <c r="AQ53" i="4"/>
  <c r="V53" i="4"/>
  <c r="CP53" i="4"/>
  <c r="CL53" i="4"/>
  <c r="DO53" i="4"/>
  <c r="BF53" i="4"/>
  <c r="CK53" i="4"/>
  <c r="BI53" i="4"/>
  <c r="DI53" i="4"/>
  <c r="DJ53" i="4"/>
  <c r="BX53" i="4"/>
  <c r="BV53" i="4"/>
  <c r="BU53" i="4"/>
  <c r="BC53" i="4"/>
  <c r="BG53" i="4"/>
  <c r="BQ53" i="4"/>
  <c r="CA53" i="4"/>
  <c r="BZ53" i="4"/>
  <c r="AV53" i="4"/>
  <c r="AU53" i="4"/>
  <c r="AN53" i="4"/>
  <c r="AX53" i="4"/>
  <c r="AO53" i="4"/>
  <c r="AH53" i="4"/>
  <c r="Z53" i="4"/>
  <c r="Y53" i="4"/>
  <c r="CO53" i="4"/>
  <c r="CM53" i="4"/>
  <c r="DP53" i="4"/>
  <c r="DL53" i="4"/>
  <c r="AY53" i="4"/>
  <c r="BT53" i="4"/>
  <c r="BR53" i="4"/>
  <c r="BB53" i="4"/>
  <c r="CR53" i="4"/>
  <c r="CF53" i="4"/>
  <c r="AZ53" i="4"/>
  <c r="BY53" i="4"/>
  <c r="CS53" i="4"/>
  <c r="CB53" i="4"/>
  <c r="BM53" i="4"/>
  <c r="DM53" i="4"/>
  <c r="AG53" i="4"/>
  <c r="AT53" i="4"/>
  <c r="AB53" i="4"/>
  <c r="S53" i="4"/>
  <c r="CJ53" i="4"/>
  <c r="DQ53" i="4"/>
  <c r="CI53" i="4"/>
  <c r="CT53" i="4"/>
  <c r="AA53" i="4"/>
  <c r="CH53" i="4"/>
  <c r="O53" i="4"/>
  <c r="P53" i="4"/>
  <c r="BO53" i="4"/>
  <c r="CE53" i="4"/>
  <c r="AR53" i="4"/>
  <c r="AL53" i="4"/>
  <c r="U53" i="4"/>
  <c r="DK53" i="4"/>
  <c r="BK53" i="4"/>
  <c r="BS53" i="4"/>
  <c r="BD53" i="4"/>
  <c r="CD53" i="4"/>
  <c r="BH53" i="4"/>
  <c r="BN53" i="4"/>
  <c r="AW53" i="4"/>
  <c r="AD53" i="4"/>
  <c r="AI53" i="4"/>
  <c r="W53" i="4"/>
  <c r="CN53" i="4"/>
  <c r="BE53" i="4"/>
  <c r="BJ53" i="4"/>
  <c r="R53" i="4"/>
  <c r="BL53" i="4"/>
  <c r="X53" i="4"/>
  <c r="BW53" i="4"/>
  <c r="AJ53" i="4"/>
  <c r="CG53" i="4"/>
  <c r="AP53" i="4"/>
  <c r="CC53" i="4"/>
  <c r="T53" i="4"/>
  <c r="CQ53" i="4"/>
  <c r="DH53" i="4"/>
  <c r="BA53" i="4"/>
  <c r="AM53" i="4"/>
  <c r="EC53" i="4"/>
  <c r="DR53" i="4"/>
  <c r="DP53" i="46" s="1"/>
  <c r="BP53" i="4"/>
  <c r="C49" i="4"/>
  <c r="C37" i="5"/>
  <c r="B37" i="47"/>
  <c r="N48" i="4"/>
  <c r="B55" i="4"/>
  <c r="M54" i="4"/>
  <c r="A43" i="47"/>
  <c r="B43" i="5"/>
  <c r="L41" i="46"/>
  <c r="C42" i="46"/>
  <c r="DF108" i="4"/>
  <c r="B50" i="46" l="1"/>
  <c r="K49" i="46"/>
  <c r="AB48" i="46"/>
  <c r="CE48" i="46"/>
  <c r="CB48" i="46"/>
  <c r="M48" i="46"/>
  <c r="AU48" i="46"/>
  <c r="V48" i="46"/>
  <c r="BP48" i="46"/>
  <c r="CQ48" i="46"/>
  <c r="AL48" i="46"/>
  <c r="BD48" i="46"/>
  <c r="Q48" i="46"/>
  <c r="BN48" i="46"/>
  <c r="BV48" i="46"/>
  <c r="CR48" i="46"/>
  <c r="AK48" i="46"/>
  <c r="BX48" i="46"/>
  <c r="AX48" i="46"/>
  <c r="BT48" i="46"/>
  <c r="CK48" i="46"/>
  <c r="AT48" i="46"/>
  <c r="BR48" i="46"/>
  <c r="DE48" i="46"/>
  <c r="DF48" i="46"/>
  <c r="DI48" i="46"/>
  <c r="W48" i="46"/>
  <c r="CH48" i="46"/>
  <c r="AR48" i="46"/>
  <c r="BF48" i="46"/>
  <c r="CG48" i="46"/>
  <c r="AM48" i="46"/>
  <c r="BS48" i="46"/>
  <c r="CO48" i="46"/>
  <c r="BB48" i="46"/>
  <c r="O48" i="46"/>
  <c r="X48" i="46"/>
  <c r="AD48" i="46"/>
  <c r="DN48" i="46"/>
  <c r="U48" i="46"/>
  <c r="CJ48" i="46"/>
  <c r="BM48" i="46"/>
  <c r="CN48" i="46"/>
  <c r="AE48" i="46"/>
  <c r="Y48" i="46"/>
  <c r="AF48" i="46"/>
  <c r="BZ48" i="46"/>
  <c r="EA48" i="46"/>
  <c r="AQ48" i="46"/>
  <c r="Z48" i="46"/>
  <c r="AO48" i="46"/>
  <c r="BI48" i="46"/>
  <c r="CA48" i="46"/>
  <c r="AZ48" i="46"/>
  <c r="BL48" i="46"/>
  <c r="BH48" i="46"/>
  <c r="CP48" i="46"/>
  <c r="CL48" i="46"/>
  <c r="BJ48" i="46"/>
  <c r="AY48" i="46"/>
  <c r="DH48" i="46"/>
  <c r="DL48" i="46"/>
  <c r="DM48" i="46"/>
  <c r="AA48" i="46"/>
  <c r="BA48" i="46"/>
  <c r="S48" i="46"/>
  <c r="AJ48" i="46"/>
  <c r="CC48" i="46"/>
  <c r="AP48" i="46"/>
  <c r="BW48" i="46"/>
  <c r="DD48" i="46"/>
  <c r="DJ48" i="46"/>
  <c r="R48" i="46"/>
  <c r="BY48" i="46"/>
  <c r="AV48" i="46"/>
  <c r="BC48" i="46"/>
  <c r="BU48" i="46"/>
  <c r="T48" i="46"/>
  <c r="CI48" i="46"/>
  <c r="AG48" i="46"/>
  <c r="BK48" i="46"/>
  <c r="CD48" i="46"/>
  <c r="N48" i="46"/>
  <c r="AC48" i="46"/>
  <c r="AH48" i="46"/>
  <c r="AW48" i="46"/>
  <c r="BO48" i="46"/>
  <c r="BE48" i="46"/>
  <c r="CM48" i="46"/>
  <c r="P48" i="46"/>
  <c r="AI48" i="46"/>
  <c r="BG48" i="46"/>
  <c r="BQ48" i="46"/>
  <c r="AS48" i="46"/>
  <c r="DG48" i="46"/>
  <c r="DC48" i="46"/>
  <c r="DK48" i="46"/>
  <c r="AN48" i="46"/>
  <c r="CF48" i="46"/>
  <c r="DO48" i="46"/>
  <c r="N49" i="4"/>
  <c r="C38" i="5"/>
  <c r="B38" i="47"/>
  <c r="C50" i="4"/>
  <c r="AW54" i="4"/>
  <c r="AU54" i="4"/>
  <c r="AF54" i="4"/>
  <c r="AP54" i="4"/>
  <c r="AG54" i="4"/>
  <c r="T54" i="4"/>
  <c r="AC54" i="4"/>
  <c r="AL54" i="4"/>
  <c r="CJ54" i="4"/>
  <c r="CM54" i="4"/>
  <c r="DP54" i="4"/>
  <c r="DO54" i="4"/>
  <c r="AY54" i="4"/>
  <c r="DN54" i="4"/>
  <c r="AS54" i="4"/>
  <c r="AV54" i="4"/>
  <c r="AQ54" i="4"/>
  <c r="AI54" i="4"/>
  <c r="AB54" i="4"/>
  <c r="W54" i="4"/>
  <c r="Q54" i="4"/>
  <c r="S54" i="4"/>
  <c r="CP54" i="4"/>
  <c r="CL54" i="4"/>
  <c r="DK54" i="4"/>
  <c r="BA54" i="4"/>
  <c r="CK54" i="4"/>
  <c r="AN54" i="4"/>
  <c r="AH54" i="4"/>
  <c r="AX54" i="4"/>
  <c r="V54" i="4"/>
  <c r="DR54" i="4"/>
  <c r="DP54" i="46" s="1"/>
  <c r="CQ54" i="4"/>
  <c r="BF54" i="4"/>
  <c r="DI54" i="4"/>
  <c r="P54" i="4"/>
  <c r="CA54" i="4"/>
  <c r="CF54" i="4"/>
  <c r="BX54" i="4"/>
  <c r="BR54" i="4"/>
  <c r="BC54" i="4"/>
  <c r="BM54" i="4"/>
  <c r="BP54" i="4"/>
  <c r="BV54" i="4"/>
  <c r="DM54" i="4"/>
  <c r="AM54" i="4"/>
  <c r="AD54" i="4"/>
  <c r="Z54" i="4"/>
  <c r="Y54" i="4"/>
  <c r="CO54" i="4"/>
  <c r="DQ54" i="4"/>
  <c r="CI54" i="4"/>
  <c r="BG54" i="4"/>
  <c r="BO54" i="4"/>
  <c r="BI54" i="4"/>
  <c r="BQ54" i="4"/>
  <c r="CH54" i="4"/>
  <c r="CT54" i="4"/>
  <c r="X54" i="4"/>
  <c r="AA54" i="4"/>
  <c r="CR54" i="4"/>
  <c r="CE54" i="4"/>
  <c r="AO54" i="4"/>
  <c r="AR54" i="4"/>
  <c r="AE54" i="4"/>
  <c r="DL54" i="4"/>
  <c r="BK54" i="4"/>
  <c r="EC54" i="4"/>
  <c r="CS54" i="4"/>
  <c r="BW54" i="4"/>
  <c r="CG54" i="4"/>
  <c r="CB54" i="4"/>
  <c r="BT54" i="4"/>
  <c r="DH54" i="4"/>
  <c r="R54" i="4"/>
  <c r="CD54" i="4"/>
  <c r="BU54" i="4"/>
  <c r="AK54" i="4"/>
  <c r="BY54" i="4"/>
  <c r="BS54" i="4"/>
  <c r="BB54" i="4"/>
  <c r="U54" i="4"/>
  <c r="CN54" i="4"/>
  <c r="CC54" i="4"/>
  <c r="BL54" i="4"/>
  <c r="O54" i="4"/>
  <c r="AT54" i="4"/>
  <c r="BE54" i="4"/>
  <c r="BZ54" i="4"/>
  <c r="DJ54" i="4"/>
  <c r="AJ54" i="4"/>
  <c r="BJ54" i="4"/>
  <c r="BD54" i="4"/>
  <c r="BN54" i="4"/>
  <c r="AZ54" i="4"/>
  <c r="BH54" i="4"/>
  <c r="B56" i="4"/>
  <c r="A44" i="47"/>
  <c r="M55" i="4"/>
  <c r="B44" i="5"/>
  <c r="C43" i="46"/>
  <c r="L42" i="46"/>
  <c r="DF109" i="4"/>
  <c r="CR49" i="46" l="1"/>
  <c r="BZ49" i="46"/>
  <c r="AN49" i="46"/>
  <c r="CK49" i="46"/>
  <c r="X49" i="46"/>
  <c r="CF49" i="46"/>
  <c r="CA49" i="46"/>
  <c r="AK49" i="46"/>
  <c r="BG49" i="46"/>
  <c r="AB49" i="46"/>
  <c r="CE49" i="46"/>
  <c r="CP49" i="46"/>
  <c r="AU49" i="46"/>
  <c r="BM49" i="46"/>
  <c r="CC49" i="46"/>
  <c r="AG49" i="46"/>
  <c r="CO49" i="46"/>
  <c r="AC49" i="46"/>
  <c r="CL49" i="46"/>
  <c r="CM49" i="46"/>
  <c r="W49" i="46"/>
  <c r="BU49" i="46"/>
  <c r="BC49" i="46"/>
  <c r="M49" i="46"/>
  <c r="BT49" i="46"/>
  <c r="DD49" i="46"/>
  <c r="DH49" i="46"/>
  <c r="DF49" i="46"/>
  <c r="DO49" i="46"/>
  <c r="BK49" i="46"/>
  <c r="CD49" i="46"/>
  <c r="BB49" i="46"/>
  <c r="AP49" i="46"/>
  <c r="DI49" i="46"/>
  <c r="DC49" i="46"/>
  <c r="BF49" i="46"/>
  <c r="AL49" i="46"/>
  <c r="AM49" i="46"/>
  <c r="AW49" i="46"/>
  <c r="BJ49" i="46"/>
  <c r="AT49" i="46"/>
  <c r="AR49" i="46"/>
  <c r="AE49" i="46"/>
  <c r="N49" i="46"/>
  <c r="DJ49" i="46"/>
  <c r="DK49" i="46"/>
  <c r="S49" i="46"/>
  <c r="BR49" i="46"/>
  <c r="BX49" i="46"/>
  <c r="BD49" i="46"/>
  <c r="CG49" i="46"/>
  <c r="T49" i="46"/>
  <c r="Q49" i="46"/>
  <c r="AZ49" i="46"/>
  <c r="DG49" i="46"/>
  <c r="AD49" i="46"/>
  <c r="AO49" i="46"/>
  <c r="BO49" i="46"/>
  <c r="EA49" i="46"/>
  <c r="AY49" i="46"/>
  <c r="U49" i="46"/>
  <c r="BP49" i="46"/>
  <c r="BW49" i="46"/>
  <c r="AI49" i="46"/>
  <c r="BE49" i="46"/>
  <c r="Z49" i="46"/>
  <c r="CN49" i="46"/>
  <c r="CI49" i="46"/>
  <c r="BI49" i="46"/>
  <c r="BY49" i="46"/>
  <c r="O49" i="46"/>
  <c r="BS49" i="46"/>
  <c r="DN49" i="46"/>
  <c r="AH49" i="46"/>
  <c r="AA49" i="46"/>
  <c r="CQ49" i="46"/>
  <c r="CH49" i="46"/>
  <c r="BN49" i="46"/>
  <c r="BQ49" i="46"/>
  <c r="Y49" i="46"/>
  <c r="DM49" i="46"/>
  <c r="CJ49" i="46"/>
  <c r="AX49" i="46"/>
  <c r="R49" i="46"/>
  <c r="AV49" i="46"/>
  <c r="AJ49" i="46"/>
  <c r="AS49" i="46"/>
  <c r="AQ49" i="46"/>
  <c r="BV49" i="46"/>
  <c r="BA49" i="46"/>
  <c r="DL49" i="46"/>
  <c r="P49" i="46"/>
  <c r="CB49" i="46"/>
  <c r="BL49" i="46"/>
  <c r="BH49" i="46"/>
  <c r="V49" i="46"/>
  <c r="AF49" i="46"/>
  <c r="DE49" i="46"/>
  <c r="B51" i="46"/>
  <c r="K50" i="46"/>
  <c r="DM55" i="4"/>
  <c r="AU55" i="4"/>
  <c r="AW55" i="4"/>
  <c r="AI55" i="4"/>
  <c r="AQ55" i="4"/>
  <c r="AG55" i="4"/>
  <c r="AH55" i="4"/>
  <c r="AK55" i="4"/>
  <c r="Q55" i="4"/>
  <c r="CP55" i="4"/>
  <c r="CN55" i="4"/>
  <c r="DQ55" i="4"/>
  <c r="BE55" i="4"/>
  <c r="CI55" i="4"/>
  <c r="BY55" i="4"/>
  <c r="BN55" i="4"/>
  <c r="BO55" i="4"/>
  <c r="CT55" i="4"/>
  <c r="CB55" i="4"/>
  <c r="BC55" i="4"/>
  <c r="DI55" i="4"/>
  <c r="BL55" i="4"/>
  <c r="AZ55" i="4"/>
  <c r="BB55" i="4"/>
  <c r="BP55" i="4"/>
  <c r="DN55" i="4"/>
  <c r="AT55" i="4"/>
  <c r="AN55" i="4"/>
  <c r="AP55" i="4"/>
  <c r="AD55" i="4"/>
  <c r="AR55" i="4"/>
  <c r="V55" i="4"/>
  <c r="AB55" i="4"/>
  <c r="T55" i="4"/>
  <c r="CJ55" i="4"/>
  <c r="CL55" i="4"/>
  <c r="DK55" i="4"/>
  <c r="BF55" i="4"/>
  <c r="CK55" i="4"/>
  <c r="BH55" i="4"/>
  <c r="EC55" i="4"/>
  <c r="AA55" i="4"/>
  <c r="CF55" i="4"/>
  <c r="X55" i="4"/>
  <c r="CH55" i="4"/>
  <c r="BT55" i="4"/>
  <c r="CS55" i="4"/>
  <c r="CR55" i="4"/>
  <c r="BW55" i="4"/>
  <c r="BI55" i="4"/>
  <c r="CE55" i="4"/>
  <c r="AS55" i="4"/>
  <c r="AM55" i="4"/>
  <c r="AF55" i="4"/>
  <c r="AL55" i="4"/>
  <c r="U55" i="4"/>
  <c r="Y55" i="4"/>
  <c r="Z55" i="4"/>
  <c r="DR55" i="4"/>
  <c r="DP55" i="46" s="1"/>
  <c r="CQ55" i="4"/>
  <c r="DL55" i="4"/>
  <c r="BA55" i="4"/>
  <c r="BK55" i="4"/>
  <c r="BR55" i="4"/>
  <c r="CA55" i="4"/>
  <c r="BX55" i="4"/>
  <c r="CD55" i="4"/>
  <c r="BU55" i="4"/>
  <c r="BV55" i="4"/>
  <c r="BJ55" i="4"/>
  <c r="R55" i="4"/>
  <c r="BZ55" i="4"/>
  <c r="CC55" i="4"/>
  <c r="AO55" i="4"/>
  <c r="AX55" i="4"/>
  <c r="CO55" i="4"/>
  <c r="AY55" i="4"/>
  <c r="CG55" i="4"/>
  <c r="BG55" i="4"/>
  <c r="O55" i="4"/>
  <c r="AE55" i="4"/>
  <c r="S55" i="4"/>
  <c r="CM55" i="4"/>
  <c r="BQ55" i="4"/>
  <c r="DJ55" i="4"/>
  <c r="AJ55" i="4"/>
  <c r="W55" i="4"/>
  <c r="DP55" i="4"/>
  <c r="BD55" i="4"/>
  <c r="BS55" i="4"/>
  <c r="AV55" i="4"/>
  <c r="DO55" i="4"/>
  <c r="BM55" i="4"/>
  <c r="AC55" i="4"/>
  <c r="P55" i="4"/>
  <c r="DH55" i="4"/>
  <c r="C39" i="5"/>
  <c r="C51" i="4"/>
  <c r="N50" i="4"/>
  <c r="B39" i="47"/>
  <c r="B57" i="4"/>
  <c r="M56" i="4"/>
  <c r="A45" i="47"/>
  <c r="B45" i="5"/>
  <c r="C44" i="46"/>
  <c r="L43" i="46"/>
  <c r="DF110" i="4"/>
  <c r="K51" i="46" l="1"/>
  <c r="B52" i="46"/>
  <c r="P50" i="46"/>
  <c r="CK50" i="46"/>
  <c r="Q50" i="46"/>
  <c r="CJ50" i="46"/>
  <c r="CD50" i="46"/>
  <c r="AQ50" i="46"/>
  <c r="BI50" i="46"/>
  <c r="X50" i="46"/>
  <c r="CP50" i="46"/>
  <c r="AE50" i="46"/>
  <c r="AL50" i="46"/>
  <c r="CG50" i="46"/>
  <c r="AD50" i="46"/>
  <c r="BL50" i="46"/>
  <c r="BV50" i="46"/>
  <c r="BY50" i="46"/>
  <c r="BR50" i="46"/>
  <c r="BD50" i="46"/>
  <c r="T50" i="46"/>
  <c r="CO50" i="46"/>
  <c r="BO50" i="46"/>
  <c r="DL50" i="46"/>
  <c r="DE50" i="46"/>
  <c r="DJ50" i="46"/>
  <c r="AC50" i="46"/>
  <c r="AG50" i="46"/>
  <c r="Z50" i="46"/>
  <c r="CE50" i="46"/>
  <c r="BS50" i="46"/>
  <c r="N50" i="46"/>
  <c r="BA50" i="46"/>
  <c r="W50" i="46"/>
  <c r="BU50" i="46"/>
  <c r="CB50" i="46"/>
  <c r="AB50" i="46"/>
  <c r="AF50" i="46"/>
  <c r="CF50" i="46"/>
  <c r="BB50" i="46"/>
  <c r="BG50" i="46"/>
  <c r="CR50" i="46"/>
  <c r="AT50" i="46"/>
  <c r="EA50" i="46"/>
  <c r="AN50" i="46"/>
  <c r="BE50" i="46"/>
  <c r="AS50" i="46"/>
  <c r="DM50" i="46"/>
  <c r="DH50" i="46"/>
  <c r="DN50" i="46"/>
  <c r="R50" i="46"/>
  <c r="BX50" i="46"/>
  <c r="AH50" i="46"/>
  <c r="AA50" i="46"/>
  <c r="AP50" i="46"/>
  <c r="BH50" i="46"/>
  <c r="CM50" i="46"/>
  <c r="AR50" i="46"/>
  <c r="BN50" i="46"/>
  <c r="BF50" i="46"/>
  <c r="BM50" i="46"/>
  <c r="U50" i="46"/>
  <c r="CL50" i="46"/>
  <c r="AO50" i="46"/>
  <c r="AK50" i="46"/>
  <c r="AW50" i="46"/>
  <c r="BJ50" i="46"/>
  <c r="BP50" i="46"/>
  <c r="BK50" i="46"/>
  <c r="BW50" i="46"/>
  <c r="AY50" i="46"/>
  <c r="BZ50" i="46"/>
  <c r="DK50" i="46"/>
  <c r="DG50" i="46"/>
  <c r="DC50" i="46"/>
  <c r="V50" i="46"/>
  <c r="BQ50" i="46"/>
  <c r="CC50" i="46"/>
  <c r="CI50" i="46"/>
  <c r="AV50" i="46"/>
  <c r="AZ50" i="46"/>
  <c r="BT50" i="46"/>
  <c r="M50" i="46"/>
  <c r="AM50" i="46"/>
  <c r="AU50" i="46"/>
  <c r="BC50" i="46"/>
  <c r="CH50" i="46"/>
  <c r="S50" i="46"/>
  <c r="CA50" i="46"/>
  <c r="CQ50" i="46"/>
  <c r="O50" i="46"/>
  <c r="AI50" i="46"/>
  <c r="CN50" i="46"/>
  <c r="AJ50" i="46"/>
  <c r="AX50" i="46"/>
  <c r="Y50" i="46"/>
  <c r="DD50" i="46"/>
  <c r="DI50" i="46"/>
  <c r="DF50" i="46"/>
  <c r="DO50" i="46"/>
  <c r="CE56" i="4"/>
  <c r="AO56" i="4"/>
  <c r="AM56" i="4"/>
  <c r="AX56" i="4"/>
  <c r="AG56" i="4"/>
  <c r="AF56" i="4"/>
  <c r="AQ56" i="4"/>
  <c r="U56" i="4"/>
  <c r="DR56" i="4"/>
  <c r="DP56" i="46" s="1"/>
  <c r="CQ56" i="4"/>
  <c r="DO56" i="4"/>
  <c r="BA56" i="4"/>
  <c r="BK56" i="4"/>
  <c r="BJ56" i="4"/>
  <c r="DH56" i="4"/>
  <c r="BQ56" i="4"/>
  <c r="CR56" i="4"/>
  <c r="CD56" i="4"/>
  <c r="CA56" i="4"/>
  <c r="CS56" i="4"/>
  <c r="BM56" i="4"/>
  <c r="BZ56" i="4"/>
  <c r="BO56" i="4"/>
  <c r="AW56" i="4"/>
  <c r="AT56" i="4"/>
  <c r="AD56" i="4"/>
  <c r="AE56" i="4"/>
  <c r="AR56" i="4"/>
  <c r="V56" i="4"/>
  <c r="T56" i="4"/>
  <c r="Q56" i="4"/>
  <c r="CO56" i="4"/>
  <c r="CM56" i="4"/>
  <c r="DP56" i="4"/>
  <c r="DK56" i="4"/>
  <c r="AY56" i="4"/>
  <c r="BD56" i="4"/>
  <c r="CF56" i="4"/>
  <c r="BT56" i="4"/>
  <c r="CG56" i="4"/>
  <c r="BV56" i="4"/>
  <c r="BI56" i="4"/>
  <c r="BC56" i="4"/>
  <c r="BS56" i="4"/>
  <c r="BX56" i="4"/>
  <c r="DM56" i="4"/>
  <c r="AV56" i="4"/>
  <c r="AS56" i="4"/>
  <c r="AH56" i="4"/>
  <c r="AI56" i="4"/>
  <c r="AJ56" i="4"/>
  <c r="Z56" i="4"/>
  <c r="AK56" i="4"/>
  <c r="Y56" i="4"/>
  <c r="CJ56" i="4"/>
  <c r="CN56" i="4"/>
  <c r="DQ56" i="4"/>
  <c r="BE56" i="4"/>
  <c r="CI56" i="4"/>
  <c r="DI56" i="4"/>
  <c r="DJ56" i="4"/>
  <c r="CC56" i="4"/>
  <c r="AA56" i="4"/>
  <c r="BL56" i="4"/>
  <c r="BY56" i="4"/>
  <c r="BP56" i="4"/>
  <c r="BG56" i="4"/>
  <c r="BB56" i="4"/>
  <c r="R56" i="4"/>
  <c r="AL56" i="4"/>
  <c r="AC56" i="4"/>
  <c r="CL56" i="4"/>
  <c r="BU56" i="4"/>
  <c r="O56" i="4"/>
  <c r="DN56" i="4"/>
  <c r="AP56" i="4"/>
  <c r="S56" i="4"/>
  <c r="DL56" i="4"/>
  <c r="CT56" i="4"/>
  <c r="BW56" i="4"/>
  <c r="CH56" i="4"/>
  <c r="AU56" i="4"/>
  <c r="AB56" i="4"/>
  <c r="BF56" i="4"/>
  <c r="EC56" i="4"/>
  <c r="X56" i="4"/>
  <c r="P56" i="4"/>
  <c r="AN56" i="4"/>
  <c r="CK56" i="4"/>
  <c r="BR56" i="4"/>
  <c r="W56" i="4"/>
  <c r="CB56" i="4"/>
  <c r="CP56" i="4"/>
  <c r="BH56" i="4"/>
  <c r="AZ56" i="4"/>
  <c r="BN56" i="4"/>
  <c r="C52" i="4"/>
  <c r="C40" i="5"/>
  <c r="B40" i="47"/>
  <c r="N51" i="4"/>
  <c r="B58" i="4"/>
  <c r="M57" i="4"/>
  <c r="B46" i="5"/>
  <c r="A46" i="47"/>
  <c r="L44" i="46"/>
  <c r="C45" i="46"/>
  <c r="DF111" i="4"/>
  <c r="K52" i="46" l="1"/>
  <c r="B53" i="46"/>
  <c r="W51" i="46"/>
  <c r="BN51" i="46"/>
  <c r="CD51" i="46"/>
  <c r="AQ51" i="46"/>
  <c r="BG51" i="46"/>
  <c r="Q51" i="46"/>
  <c r="CF51" i="46"/>
  <c r="CP51" i="46"/>
  <c r="AU51" i="46"/>
  <c r="BK51" i="46"/>
  <c r="S51" i="46"/>
  <c r="AG51" i="46"/>
  <c r="CM51" i="46"/>
  <c r="AB51" i="46"/>
  <c r="CA51" i="46"/>
  <c r="BE51" i="46"/>
  <c r="BQ51" i="46"/>
  <c r="BB51" i="46"/>
  <c r="M51" i="46"/>
  <c r="AX51" i="46"/>
  <c r="CR51" i="46"/>
  <c r="DG51" i="46"/>
  <c r="DI51" i="46"/>
  <c r="DH51" i="46"/>
  <c r="EA51" i="46"/>
  <c r="BR51" i="46"/>
  <c r="CI51" i="46"/>
  <c r="BD51" i="46"/>
  <c r="O51" i="46"/>
  <c r="AS51" i="46"/>
  <c r="AV51" i="46"/>
  <c r="Y51" i="46"/>
  <c r="BA51" i="46"/>
  <c r="CQ51" i="46"/>
  <c r="DE51" i="46"/>
  <c r="DO51" i="46"/>
  <c r="AC51" i="46"/>
  <c r="AO51" i="46"/>
  <c r="BS51" i="46"/>
  <c r="N51" i="46"/>
  <c r="AY51" i="46"/>
  <c r="U51" i="46"/>
  <c r="CK51" i="46"/>
  <c r="BW51" i="46"/>
  <c r="AI51" i="46"/>
  <c r="BC51" i="46"/>
  <c r="AA51" i="46"/>
  <c r="CN51" i="46"/>
  <c r="BI51" i="46"/>
  <c r="CH51" i="46"/>
  <c r="BF51" i="46"/>
  <c r="AJ51" i="46"/>
  <c r="AF51" i="46"/>
  <c r="AE51" i="46"/>
  <c r="BO51" i="46"/>
  <c r="X51" i="46"/>
  <c r="AN51" i="46"/>
  <c r="DC51" i="46"/>
  <c r="DJ51" i="46"/>
  <c r="DK51" i="46"/>
  <c r="Z51" i="46"/>
  <c r="CE51" i="46"/>
  <c r="AZ51" i="46"/>
  <c r="CC51" i="46"/>
  <c r="AM51" i="46"/>
  <c r="BV51" i="46"/>
  <c r="CJ51" i="46"/>
  <c r="T51" i="46"/>
  <c r="BZ51" i="46"/>
  <c r="BU51" i="46"/>
  <c r="AD51" i="46"/>
  <c r="DD51" i="46"/>
  <c r="DM51" i="46"/>
  <c r="R51" i="46"/>
  <c r="BX51" i="46"/>
  <c r="AH51" i="46"/>
  <c r="BH51" i="46"/>
  <c r="CB51" i="46"/>
  <c r="AL51" i="46"/>
  <c r="P51" i="46"/>
  <c r="AP51" i="46"/>
  <c r="BL51" i="46"/>
  <c r="CO51" i="46"/>
  <c r="AT51" i="46"/>
  <c r="BY51" i="46"/>
  <c r="BJ51" i="46"/>
  <c r="AR51" i="46"/>
  <c r="BP51" i="46"/>
  <c r="AK51" i="46"/>
  <c r="V51" i="46"/>
  <c r="CL51" i="46"/>
  <c r="BT51" i="46"/>
  <c r="AW51" i="46"/>
  <c r="CG51" i="46"/>
  <c r="BM51" i="46"/>
  <c r="DF51" i="46"/>
  <c r="DN51" i="46"/>
  <c r="DL51" i="46"/>
  <c r="AV57" i="4"/>
  <c r="AM57" i="4"/>
  <c r="AG57" i="4"/>
  <c r="AH57" i="4"/>
  <c r="AC57" i="4"/>
  <c r="AB57" i="4"/>
  <c r="AQ57" i="4"/>
  <c r="U57" i="4"/>
  <c r="CO57" i="4"/>
  <c r="CM57" i="4"/>
  <c r="DP57" i="4"/>
  <c r="DL57" i="4"/>
  <c r="AY57" i="4"/>
  <c r="BW57" i="4"/>
  <c r="DH57" i="4"/>
  <c r="CG57" i="4"/>
  <c r="CA57" i="4"/>
  <c r="BQ57" i="4"/>
  <c r="BH57" i="4"/>
  <c r="X57" i="4"/>
  <c r="CH57" i="4"/>
  <c r="DJ57" i="4"/>
  <c r="BL57" i="4"/>
  <c r="DM57" i="4"/>
  <c r="AW57" i="4"/>
  <c r="AT57" i="4"/>
  <c r="AK57" i="4"/>
  <c r="AL57" i="4"/>
  <c r="AE57" i="4"/>
  <c r="Q57" i="4"/>
  <c r="T57" i="4"/>
  <c r="AF57" i="4"/>
  <c r="CJ57" i="4"/>
  <c r="CN57" i="4"/>
  <c r="DQ57" i="4"/>
  <c r="BE57" i="4"/>
  <c r="CI57" i="4"/>
  <c r="BZ57" i="4"/>
  <c r="CR57" i="4"/>
  <c r="BN57" i="4"/>
  <c r="BJ57" i="4"/>
  <c r="CF57" i="4"/>
  <c r="CB57" i="4"/>
  <c r="AA57" i="4"/>
  <c r="BG57" i="4"/>
  <c r="CT57" i="4"/>
  <c r="BB57" i="4"/>
  <c r="DN57" i="4"/>
  <c r="AS57" i="4"/>
  <c r="AO57" i="4"/>
  <c r="AR57" i="4"/>
  <c r="AX57" i="4"/>
  <c r="AP57" i="4"/>
  <c r="Z57" i="4"/>
  <c r="Y57" i="4"/>
  <c r="V57" i="4"/>
  <c r="CP57" i="4"/>
  <c r="CL57" i="4"/>
  <c r="DO57" i="4"/>
  <c r="BF57" i="4"/>
  <c r="CK57" i="4"/>
  <c r="BX57" i="4"/>
  <c r="CD57" i="4"/>
  <c r="R57" i="4"/>
  <c r="BM57" i="4"/>
  <c r="BI57" i="4"/>
  <c r="BO57" i="4"/>
  <c r="P57" i="4"/>
  <c r="BD57" i="4"/>
  <c r="DI57" i="4"/>
  <c r="BV57" i="4"/>
  <c r="BT57" i="4"/>
  <c r="AU57" i="4"/>
  <c r="AI57" i="4"/>
  <c r="DR57" i="4"/>
  <c r="DP57" i="46" s="1"/>
  <c r="BA57" i="4"/>
  <c r="BC57" i="4"/>
  <c r="CS57" i="4"/>
  <c r="BS57" i="4"/>
  <c r="AN57" i="4"/>
  <c r="W57" i="4"/>
  <c r="BK57" i="4"/>
  <c r="BP57" i="4"/>
  <c r="BR57" i="4"/>
  <c r="AD57" i="4"/>
  <c r="S57" i="4"/>
  <c r="CQ57" i="4"/>
  <c r="CC57" i="4"/>
  <c r="O57" i="4"/>
  <c r="BU57" i="4"/>
  <c r="AJ57" i="4"/>
  <c r="EC57" i="4"/>
  <c r="BY57" i="4"/>
  <c r="AZ57" i="4"/>
  <c r="CE57" i="4"/>
  <c r="DK57" i="4"/>
  <c r="B59" i="4"/>
  <c r="B47" i="5"/>
  <c r="M58" i="4"/>
  <c r="A47" i="47"/>
  <c r="C53" i="4"/>
  <c r="B41" i="47"/>
  <c r="C41" i="5"/>
  <c r="N52" i="4"/>
  <c r="C46" i="46"/>
  <c r="L45" i="46"/>
  <c r="DF112" i="4"/>
  <c r="K53" i="46" l="1"/>
  <c r="B54" i="46"/>
  <c r="U52" i="46"/>
  <c r="BN52" i="46"/>
  <c r="BV52" i="46"/>
  <c r="O52" i="46"/>
  <c r="BB52" i="46"/>
  <c r="Y52" i="46"/>
  <c r="CF52" i="46"/>
  <c r="EA52" i="46"/>
  <c r="AY52" i="46"/>
  <c r="BO52" i="46"/>
  <c r="Q52" i="46"/>
  <c r="AV52" i="46"/>
  <c r="CD52" i="46"/>
  <c r="AA52" i="46"/>
  <c r="BE52" i="46"/>
  <c r="AI52" i="46"/>
  <c r="AW52" i="46"/>
  <c r="AF52" i="46"/>
  <c r="S52" i="46"/>
  <c r="AU52" i="46"/>
  <c r="BS52" i="46"/>
  <c r="DH52" i="46"/>
  <c r="DG52" i="46"/>
  <c r="DJ52" i="46"/>
  <c r="BR52" i="46"/>
  <c r="P52" i="46"/>
  <c r="N52" i="46"/>
  <c r="X52" i="46"/>
  <c r="AN52" i="46"/>
  <c r="BK52" i="46"/>
  <c r="CN52" i="46"/>
  <c r="AS52" i="46"/>
  <c r="AD52" i="46"/>
  <c r="CJ52" i="46"/>
  <c r="CB52" i="46"/>
  <c r="AL52" i="46"/>
  <c r="BF52" i="46"/>
  <c r="AB52" i="46"/>
  <c r="CM52" i="46"/>
  <c r="BH52" i="46"/>
  <c r="BP52" i="46"/>
  <c r="AJ52" i="46"/>
  <c r="Z52" i="46"/>
  <c r="BL52" i="46"/>
  <c r="BT52" i="46"/>
  <c r="AG52" i="46"/>
  <c r="T52" i="46"/>
  <c r="AH52" i="46"/>
  <c r="DI52" i="46"/>
  <c r="DF52" i="46"/>
  <c r="DC52" i="46"/>
  <c r="W52" i="46"/>
  <c r="M52" i="46"/>
  <c r="DN52" i="46"/>
  <c r="CC52" i="46"/>
  <c r="BX52" i="46"/>
  <c r="AM52" i="46"/>
  <c r="BC52" i="46"/>
  <c r="BU52" i="46"/>
  <c r="AE52" i="46"/>
  <c r="AO52" i="46"/>
  <c r="AX52" i="46"/>
  <c r="CH52" i="46"/>
  <c r="BI52" i="46"/>
  <c r="CL52" i="46"/>
  <c r="BW52" i="46"/>
  <c r="BM52" i="46"/>
  <c r="DL52" i="46"/>
  <c r="V52" i="46"/>
  <c r="CE52" i="46"/>
  <c r="CO52" i="46"/>
  <c r="AT52" i="46"/>
  <c r="BJ52" i="46"/>
  <c r="R52" i="46"/>
  <c r="CI52" i="46"/>
  <c r="AP52" i="46"/>
  <c r="BG52" i="46"/>
  <c r="CA52" i="46"/>
  <c r="AK52" i="46"/>
  <c r="CG52" i="46"/>
  <c r="AR52" i="46"/>
  <c r="AC52" i="46"/>
  <c r="BZ52" i="46"/>
  <c r="BD52" i="46"/>
  <c r="CQ52" i="46"/>
  <c r="BY52" i="46"/>
  <c r="AZ52" i="46"/>
  <c r="CP52" i="46"/>
  <c r="BQ52" i="46"/>
  <c r="DD52" i="46"/>
  <c r="DE52" i="46"/>
  <c r="DK52" i="46"/>
  <c r="DO52" i="46"/>
  <c r="CR52" i="46"/>
  <c r="AQ52" i="46"/>
  <c r="CK52" i="46"/>
  <c r="BA52" i="46"/>
  <c r="DM52" i="46"/>
  <c r="DN58" i="4"/>
  <c r="AS58" i="4"/>
  <c r="AU58" i="4"/>
  <c r="AQ58" i="4"/>
  <c r="AE58" i="4"/>
  <c r="AB58" i="4"/>
  <c r="W58" i="4"/>
  <c r="U58" i="4"/>
  <c r="S58" i="4"/>
  <c r="CP58" i="4"/>
  <c r="CL58" i="4"/>
  <c r="DK58" i="4"/>
  <c r="BA58" i="4"/>
  <c r="CK58" i="4"/>
  <c r="EC58" i="4"/>
  <c r="BH58" i="4"/>
  <c r="BZ58" i="4"/>
  <c r="BC58" i="4"/>
  <c r="X58" i="4"/>
  <c r="AA58" i="4"/>
  <c r="CH58" i="4"/>
  <c r="BN58" i="4"/>
  <c r="P58" i="4"/>
  <c r="BJ58" i="4"/>
  <c r="BW58" i="4"/>
  <c r="CE58" i="4"/>
  <c r="AV58" i="4"/>
  <c r="AO58" i="4"/>
  <c r="AG58" i="4"/>
  <c r="AP58" i="4"/>
  <c r="AL58" i="4"/>
  <c r="V58" i="4"/>
  <c r="Q58" i="4"/>
  <c r="DR58" i="4"/>
  <c r="DP58" i="46" s="1"/>
  <c r="CQ58" i="4"/>
  <c r="DL58" i="4"/>
  <c r="BF58" i="4"/>
  <c r="BK58" i="4"/>
  <c r="AZ58" i="4"/>
  <c r="BI58" i="4"/>
  <c r="O58" i="4"/>
  <c r="CS58" i="4"/>
  <c r="R58" i="4"/>
  <c r="CG58" i="4"/>
  <c r="CC58" i="4"/>
  <c r="BX58" i="4"/>
  <c r="BU58" i="4"/>
  <c r="CB58" i="4"/>
  <c r="AW58" i="4"/>
  <c r="AN58" i="4"/>
  <c r="AF58" i="4"/>
  <c r="AK58" i="4"/>
  <c r="AH58" i="4"/>
  <c r="T58" i="4"/>
  <c r="AI58" i="4"/>
  <c r="AD58" i="4"/>
  <c r="CJ58" i="4"/>
  <c r="CM58" i="4"/>
  <c r="DP58" i="4"/>
  <c r="DO58" i="4"/>
  <c r="AY58" i="4"/>
  <c r="BG58" i="4"/>
  <c r="CF58" i="4"/>
  <c r="CT58" i="4"/>
  <c r="DJ58" i="4"/>
  <c r="BS58" i="4"/>
  <c r="BP58" i="4"/>
  <c r="BV58" i="4"/>
  <c r="CA58" i="4"/>
  <c r="BR58" i="4"/>
  <c r="BM58" i="4"/>
  <c r="AJ58" i="4"/>
  <c r="AC58" i="4"/>
  <c r="CN58" i="4"/>
  <c r="DH58" i="4"/>
  <c r="BQ58" i="4"/>
  <c r="DM58" i="4"/>
  <c r="AR58" i="4"/>
  <c r="Y58" i="4"/>
  <c r="DQ58" i="4"/>
  <c r="BD58" i="4"/>
  <c r="BT58" i="4"/>
  <c r="BL58" i="4"/>
  <c r="AT58" i="4"/>
  <c r="AX58" i="4"/>
  <c r="BE58" i="4"/>
  <c r="DI58" i="4"/>
  <c r="BB58" i="4"/>
  <c r="BY58" i="4"/>
  <c r="Z58" i="4"/>
  <c r="CD58" i="4"/>
  <c r="CO58" i="4"/>
  <c r="CR58" i="4"/>
  <c r="AM58" i="4"/>
  <c r="CI58" i="4"/>
  <c r="BO58" i="4"/>
  <c r="C54" i="4"/>
  <c r="N53" i="4"/>
  <c r="B42" i="47"/>
  <c r="C42" i="5"/>
  <c r="B60" i="4"/>
  <c r="M59" i="4"/>
  <c r="A48" i="47"/>
  <c r="B48" i="5"/>
  <c r="C47" i="46"/>
  <c r="L46" i="46"/>
  <c r="DF113" i="4"/>
  <c r="K54" i="46" l="1"/>
  <c r="B55" i="46"/>
  <c r="AD53" i="46"/>
  <c r="CK53" i="46"/>
  <c r="CQ53" i="46"/>
  <c r="AW53" i="46"/>
  <c r="BL53" i="46"/>
  <c r="T53" i="46"/>
  <c r="BX53" i="46"/>
  <c r="AH53" i="46"/>
  <c r="BA53" i="46"/>
  <c r="BS53" i="46"/>
  <c r="N53" i="46"/>
  <c r="AN53" i="46"/>
  <c r="CN53" i="46"/>
  <c r="Z53" i="46"/>
  <c r="BG53" i="46"/>
  <c r="AK53" i="46"/>
  <c r="AY53" i="46"/>
  <c r="AO53" i="46"/>
  <c r="U53" i="46"/>
  <c r="BU53" i="46"/>
  <c r="DH53" i="46"/>
  <c r="DK53" i="46"/>
  <c r="DN53" i="46"/>
  <c r="AA53" i="46"/>
  <c r="AF53" i="46"/>
  <c r="BZ53" i="46"/>
  <c r="AJ53" i="46"/>
  <c r="BD53" i="46"/>
  <c r="V53" i="46"/>
  <c r="CE53" i="46"/>
  <c r="CM53" i="46"/>
  <c r="AR53" i="46"/>
  <c r="BH53" i="46"/>
  <c r="AC53" i="46"/>
  <c r="CO53" i="46"/>
  <c r="BJ53" i="46"/>
  <c r="BP53" i="46"/>
  <c r="AL53" i="46"/>
  <c r="AB53" i="46"/>
  <c r="BO53" i="46"/>
  <c r="BV53" i="46"/>
  <c r="CH53" i="46"/>
  <c r="AX53" i="46"/>
  <c r="Q53" i="46"/>
  <c r="DC53" i="46"/>
  <c r="DJ53" i="46"/>
  <c r="DF53" i="46"/>
  <c r="R53" i="46"/>
  <c r="CI53" i="46"/>
  <c r="AV53" i="46"/>
  <c r="BM53" i="46"/>
  <c r="CP53" i="46"/>
  <c r="AU53" i="46"/>
  <c r="X53" i="46"/>
  <c r="BN53" i="46"/>
  <c r="BT53" i="46"/>
  <c r="M53" i="46"/>
  <c r="AZ53" i="46"/>
  <c r="W53" i="46"/>
  <c r="BK53" i="46"/>
  <c r="AS53" i="46"/>
  <c r="CL53" i="46"/>
  <c r="CA53" i="46"/>
  <c r="CF53" i="46"/>
  <c r="S53" i="46"/>
  <c r="O53" i="46"/>
  <c r="AP53" i="46"/>
  <c r="BC53" i="46"/>
  <c r="AE53" i="46"/>
  <c r="DM53" i="46"/>
  <c r="DI53" i="46"/>
  <c r="DL53" i="46"/>
  <c r="Y53" i="46"/>
  <c r="BQ53" i="46"/>
  <c r="AG53" i="46"/>
  <c r="BE53" i="46"/>
  <c r="BW53" i="46"/>
  <c r="AI53" i="46"/>
  <c r="P53" i="46"/>
  <c r="AM53" i="46"/>
  <c r="BI53" i="46"/>
  <c r="CD53" i="46"/>
  <c r="AQ53" i="46"/>
  <c r="CG53" i="46"/>
  <c r="AT53" i="46"/>
  <c r="CC53" i="46"/>
  <c r="CB53" i="46"/>
  <c r="BF53" i="46"/>
  <c r="EA53" i="46"/>
  <c r="BY53" i="46"/>
  <c r="BB53" i="46"/>
  <c r="BR53" i="46"/>
  <c r="CJ53" i="46"/>
  <c r="DD53" i="46"/>
  <c r="DE53" i="46"/>
  <c r="DG53" i="46"/>
  <c r="DO53" i="46"/>
  <c r="CR53" i="46"/>
  <c r="B61" i="4"/>
  <c r="A49" i="47"/>
  <c r="B49" i="5"/>
  <c r="M60" i="4"/>
  <c r="C43" i="5"/>
  <c r="N54" i="4"/>
  <c r="C55" i="4"/>
  <c r="B43" i="47"/>
  <c r="AV59" i="4"/>
  <c r="AN59" i="4"/>
  <c r="AP59" i="4"/>
  <c r="AQ59" i="4"/>
  <c r="AC59" i="4"/>
  <c r="AG59" i="4"/>
  <c r="V59" i="4"/>
  <c r="W59" i="4"/>
  <c r="CO59" i="4"/>
  <c r="CM59" i="4"/>
  <c r="DP59" i="4"/>
  <c r="DO59" i="4"/>
  <c r="AY59" i="4"/>
  <c r="BG59" i="4"/>
  <c r="CG59" i="4"/>
  <c r="O59" i="4"/>
  <c r="BB59" i="4"/>
  <c r="AA59" i="4"/>
  <c r="CT59" i="4"/>
  <c r="BW59" i="4"/>
  <c r="CA59" i="4"/>
  <c r="BD59" i="4"/>
  <c r="DM59" i="4"/>
  <c r="AU59" i="4"/>
  <c r="DN59" i="4"/>
  <c r="AT59" i="4"/>
  <c r="AE59" i="4"/>
  <c r="AF59" i="4"/>
  <c r="AH59" i="4"/>
  <c r="AR59" i="4"/>
  <c r="Q59" i="4"/>
  <c r="S59" i="4"/>
  <c r="T59" i="4"/>
  <c r="CJ59" i="4"/>
  <c r="CL59" i="4"/>
  <c r="DK59" i="4"/>
  <c r="BF59" i="4"/>
  <c r="CK59" i="4"/>
  <c r="BZ59" i="4"/>
  <c r="X59" i="4"/>
  <c r="BP59" i="4"/>
  <c r="CD59" i="4"/>
  <c r="BQ59" i="4"/>
  <c r="BJ59" i="4"/>
  <c r="BL59" i="4"/>
  <c r="R59" i="4"/>
  <c r="BR59" i="4"/>
  <c r="BI59" i="4"/>
  <c r="CE59" i="4"/>
  <c r="AM59" i="4"/>
  <c r="AK59" i="4"/>
  <c r="Y59" i="4"/>
  <c r="CN59" i="4"/>
  <c r="BE59" i="4"/>
  <c r="BM59" i="4"/>
  <c r="CB59" i="4"/>
  <c r="CR59" i="4"/>
  <c r="DH59" i="4"/>
  <c r="BY59" i="4"/>
  <c r="AO59" i="4"/>
  <c r="AJ59" i="4"/>
  <c r="U59" i="4"/>
  <c r="Z59" i="4"/>
  <c r="DR59" i="4"/>
  <c r="DP59" i="46" s="1"/>
  <c r="CQ59" i="4"/>
  <c r="BA59" i="4"/>
  <c r="BU59" i="4"/>
  <c r="DI59" i="4"/>
  <c r="BT59" i="4"/>
  <c r="BC59" i="4"/>
  <c r="BO59" i="4"/>
  <c r="AW59" i="4"/>
  <c r="AS59" i="4"/>
  <c r="AB59" i="4"/>
  <c r="AL59" i="4"/>
  <c r="CP59" i="4"/>
  <c r="DQ59" i="4"/>
  <c r="CI59" i="4"/>
  <c r="DJ59" i="4"/>
  <c r="BX59" i="4"/>
  <c r="CH59" i="4"/>
  <c r="CF59" i="4"/>
  <c r="P59" i="4"/>
  <c r="AX59" i="4"/>
  <c r="BV59" i="4"/>
  <c r="AD59" i="4"/>
  <c r="CC59" i="4"/>
  <c r="DL59" i="4"/>
  <c r="EC59" i="4"/>
  <c r="CS59" i="4"/>
  <c r="AI59" i="4"/>
  <c r="BS59" i="4"/>
  <c r="BK59" i="4"/>
  <c r="BH59" i="4"/>
  <c r="BN59" i="4"/>
  <c r="AZ59" i="4"/>
  <c r="L47" i="46"/>
  <c r="C48" i="46"/>
  <c r="DF114" i="4"/>
  <c r="B56" i="46" l="1"/>
  <c r="K55" i="46"/>
  <c r="Q54" i="46"/>
  <c r="CE54" i="46"/>
  <c r="BZ54" i="46"/>
  <c r="AJ54" i="46"/>
  <c r="BF54" i="46"/>
  <c r="U54" i="46"/>
  <c r="CK54" i="46"/>
  <c r="CM54" i="46"/>
  <c r="AR54" i="46"/>
  <c r="BJ54" i="46"/>
  <c r="V54" i="46"/>
  <c r="BV54" i="46"/>
  <c r="BD54" i="46"/>
  <c r="BQ54" i="46"/>
  <c r="AY54" i="46"/>
  <c r="N54" i="46"/>
  <c r="BG54" i="46"/>
  <c r="CG54" i="46"/>
  <c r="P54" i="46"/>
  <c r="BH54" i="46"/>
  <c r="AO54" i="46"/>
  <c r="DD54" i="46"/>
  <c r="DC54" i="46"/>
  <c r="DI54" i="46"/>
  <c r="AA54" i="46"/>
  <c r="BM54" i="46"/>
  <c r="CR54" i="46"/>
  <c r="AX54" i="46"/>
  <c r="Z54" i="46"/>
  <c r="BT54" i="46"/>
  <c r="M54" i="46"/>
  <c r="W54" i="46"/>
  <c r="AI54" i="46"/>
  <c r="Y54" i="46"/>
  <c r="CO54" i="46"/>
  <c r="BX54" i="46"/>
  <c r="DF54" i="46"/>
  <c r="DN54" i="46"/>
  <c r="BS54" i="46"/>
  <c r="BK54" i="46"/>
  <c r="CJ54" i="46"/>
  <c r="BO54" i="46"/>
  <c r="BU54" i="46"/>
  <c r="AM54" i="46"/>
  <c r="DH54" i="46"/>
  <c r="AP54" i="46"/>
  <c r="BN54" i="46"/>
  <c r="BB54" i="46"/>
  <c r="BC54" i="46"/>
  <c r="AF54" i="46"/>
  <c r="EA54" i="46"/>
  <c r="CD54" i="46"/>
  <c r="CF54" i="46"/>
  <c r="AU54" i="46"/>
  <c r="DM54" i="46"/>
  <c r="CB54" i="46"/>
  <c r="DJ54" i="46"/>
  <c r="AC54" i="46"/>
  <c r="AW54" i="46"/>
  <c r="CC54" i="46"/>
  <c r="AV54" i="46"/>
  <c r="AE54" i="46"/>
  <c r="BW54" i="46"/>
  <c r="BR54" i="46"/>
  <c r="X54" i="46"/>
  <c r="S54" i="46"/>
  <c r="DG54" i="46"/>
  <c r="R54" i="46"/>
  <c r="BY54" i="46"/>
  <c r="AH54" i="46"/>
  <c r="BE54" i="46"/>
  <c r="CA54" i="46"/>
  <c r="AK54" i="46"/>
  <c r="AB54" i="46"/>
  <c r="AN54" i="46"/>
  <c r="BI54" i="46"/>
  <c r="CN54" i="46"/>
  <c r="AS54" i="46"/>
  <c r="BP54" i="46"/>
  <c r="O54" i="46"/>
  <c r="T54" i="46"/>
  <c r="CL54" i="46"/>
  <c r="CI54" i="46"/>
  <c r="AQ54" i="46"/>
  <c r="AT54" i="46"/>
  <c r="CP54" i="46"/>
  <c r="DK54" i="46"/>
  <c r="DL54" i="46"/>
  <c r="CQ54" i="46"/>
  <c r="CH54" i="46"/>
  <c r="BA54" i="46"/>
  <c r="AG54" i="46"/>
  <c r="AD54" i="46"/>
  <c r="AZ54" i="46"/>
  <c r="BL54" i="46"/>
  <c r="AL54" i="46"/>
  <c r="DE54" i="46"/>
  <c r="DO54" i="46"/>
  <c r="DM60" i="4"/>
  <c r="AV60" i="4"/>
  <c r="W60" i="4"/>
  <c r="AE60" i="4"/>
  <c r="AB60" i="4"/>
  <c r="AD60" i="4"/>
  <c r="AM60" i="4"/>
  <c r="AX60" i="4"/>
  <c r="AJ60" i="4"/>
  <c r="CP60" i="4"/>
  <c r="CN60" i="4"/>
  <c r="DQ60" i="4"/>
  <c r="BE60" i="4"/>
  <c r="CK60" i="4"/>
  <c r="CC60" i="4"/>
  <c r="BR60" i="4"/>
  <c r="CS60" i="4"/>
  <c r="CA60" i="4"/>
  <c r="BV60" i="4"/>
  <c r="BU60" i="4"/>
  <c r="O60" i="4"/>
  <c r="CH60" i="4"/>
  <c r="X60" i="4"/>
  <c r="CF60" i="4"/>
  <c r="CE60" i="4"/>
  <c r="AS60" i="4"/>
  <c r="AF60" i="4"/>
  <c r="AG60" i="4"/>
  <c r="U60" i="4"/>
  <c r="AC60" i="4"/>
  <c r="T60" i="4"/>
  <c r="AK60" i="4"/>
  <c r="DR60" i="4"/>
  <c r="DP60" i="46" s="1"/>
  <c r="CQ60" i="4"/>
  <c r="DO60" i="4"/>
  <c r="AY60" i="4"/>
  <c r="BY60" i="4"/>
  <c r="EC60" i="4"/>
  <c r="BB60" i="4"/>
  <c r="AA60" i="4"/>
  <c r="CB60" i="4"/>
  <c r="DJ60" i="4"/>
  <c r="BI60" i="4"/>
  <c r="BW60" i="4"/>
  <c r="BP60" i="4"/>
  <c r="AT60" i="4"/>
  <c r="AQ60" i="4"/>
  <c r="AI60" i="4"/>
  <c r="AN60" i="4"/>
  <c r="CL60" i="4"/>
  <c r="BF60" i="4"/>
  <c r="BC60" i="4"/>
  <c r="BD60" i="4"/>
  <c r="CD60" i="4"/>
  <c r="DH60" i="4"/>
  <c r="BS60" i="4"/>
  <c r="Z60" i="4"/>
  <c r="Y60" i="4"/>
  <c r="S60" i="4"/>
  <c r="Q60" i="4"/>
  <c r="CO60" i="4"/>
  <c r="DP60" i="4"/>
  <c r="CI60" i="4"/>
  <c r="BT60" i="4"/>
  <c r="BQ60" i="4"/>
  <c r="CR60" i="4"/>
  <c r="BO60" i="4"/>
  <c r="BM60" i="4"/>
  <c r="DN60" i="4"/>
  <c r="AH60" i="4"/>
  <c r="V60" i="4"/>
  <c r="AU60" i="4"/>
  <c r="AR60" i="4"/>
  <c r="CJ60" i="4"/>
  <c r="DL60" i="4"/>
  <c r="BK60" i="4"/>
  <c r="DI60" i="4"/>
  <c r="P60" i="4"/>
  <c r="CG60" i="4"/>
  <c r="BZ60" i="4"/>
  <c r="BL60" i="4"/>
  <c r="AO60" i="4"/>
  <c r="CM60" i="4"/>
  <c r="BX60" i="4"/>
  <c r="AW60" i="4"/>
  <c r="DK60" i="4"/>
  <c r="BJ60" i="4"/>
  <c r="AP60" i="4"/>
  <c r="R60" i="4"/>
  <c r="AL60" i="4"/>
  <c r="CT60" i="4"/>
  <c r="BG60" i="4"/>
  <c r="AZ60" i="4"/>
  <c r="BH60" i="4"/>
  <c r="BA60" i="4"/>
  <c r="BN60" i="4"/>
  <c r="C56" i="4"/>
  <c r="N55" i="4"/>
  <c r="B44" i="47"/>
  <c r="C44" i="5"/>
  <c r="B62" i="4"/>
  <c r="A50" i="47"/>
  <c r="B50" i="5"/>
  <c r="M61" i="4"/>
  <c r="C49" i="46"/>
  <c r="L48" i="46"/>
  <c r="DF115" i="4"/>
  <c r="R55" i="46" l="1"/>
  <c r="BX55" i="46"/>
  <c r="AV55" i="46"/>
  <c r="BB55" i="46"/>
  <c r="BV55" i="46"/>
  <c r="O55" i="46"/>
  <c r="P55" i="46"/>
  <c r="AP55" i="46"/>
  <c r="BO55" i="46"/>
  <c r="EA55" i="46"/>
  <c r="AY55" i="46"/>
  <c r="CH55" i="46"/>
  <c r="BH55" i="46"/>
  <c r="AR55" i="46"/>
  <c r="CL55" i="46"/>
  <c r="BZ55" i="46"/>
  <c r="BY55" i="46"/>
  <c r="AW55" i="46"/>
  <c r="AZ55" i="46"/>
  <c r="CF55" i="46"/>
  <c r="CC55" i="46"/>
  <c r="N55" i="46"/>
  <c r="DI55" i="46"/>
  <c r="DC55" i="46"/>
  <c r="DL55" i="46"/>
  <c r="V55" i="46"/>
  <c r="CK55" i="46"/>
  <c r="CN55" i="46"/>
  <c r="AS55" i="46"/>
  <c r="BK55" i="46"/>
  <c r="T55" i="46"/>
  <c r="CI55" i="46"/>
  <c r="AM55" i="46"/>
  <c r="BF55" i="46"/>
  <c r="CB55" i="46"/>
  <c r="AL55" i="46"/>
  <c r="CE55" i="46"/>
  <c r="AQ55" i="46"/>
  <c r="AC55" i="46"/>
  <c r="BW55" i="46"/>
  <c r="BE55" i="46"/>
  <c r="AO55" i="46"/>
  <c r="Z55" i="46"/>
  <c r="BT55" i="46"/>
  <c r="CP55" i="46"/>
  <c r="AF55" i="46"/>
  <c r="DD55" i="46"/>
  <c r="DN55" i="46"/>
  <c r="DG55" i="46"/>
  <c r="DO55" i="46"/>
  <c r="X55" i="46"/>
  <c r="BP55" i="46"/>
  <c r="BU55" i="46"/>
  <c r="AE55" i="46"/>
  <c r="BC55" i="46"/>
  <c r="Y55" i="46"/>
  <c r="CJ55" i="46"/>
  <c r="CR55" i="46"/>
  <c r="AX55" i="46"/>
  <c r="BR55" i="46"/>
  <c r="U55" i="46"/>
  <c r="AN55" i="46"/>
  <c r="CM55" i="46"/>
  <c r="W55" i="46"/>
  <c r="BD55" i="46"/>
  <c r="AJ55" i="46"/>
  <c r="BL55" i="46"/>
  <c r="BQ55" i="46"/>
  <c r="M55" i="46"/>
  <c r="AU55" i="46"/>
  <c r="BA55" i="46"/>
  <c r="DE55" i="46"/>
  <c r="DF55" i="46"/>
  <c r="DK55" i="46"/>
  <c r="AA55" i="46"/>
  <c r="AG55" i="46"/>
  <c r="BJ55" i="46"/>
  <c r="CO55" i="46"/>
  <c r="AT55" i="46"/>
  <c r="AD55" i="46"/>
  <c r="CG55" i="46"/>
  <c r="CA55" i="46"/>
  <c r="AK55" i="46"/>
  <c r="BG55" i="46"/>
  <c r="AB55" i="46"/>
  <c r="CD55" i="46"/>
  <c r="BI55" i="46"/>
  <c r="BN55" i="46"/>
  <c r="AI55" i="46"/>
  <c r="S55" i="46"/>
  <c r="CQ55" i="46"/>
  <c r="AH55" i="46"/>
  <c r="Q55" i="46"/>
  <c r="BM55" i="46"/>
  <c r="BS55" i="46"/>
  <c r="DM55" i="46"/>
  <c r="DJ55" i="46"/>
  <c r="DH55" i="46"/>
  <c r="B57" i="46"/>
  <c r="K56" i="46"/>
  <c r="AV61" i="4"/>
  <c r="AO61" i="4"/>
  <c r="AD61" i="4"/>
  <c r="AE61" i="4"/>
  <c r="AF61" i="4"/>
  <c r="Z61" i="4"/>
  <c r="AJ61" i="4"/>
  <c r="AC61" i="4"/>
  <c r="CO61" i="4"/>
  <c r="CM61" i="4"/>
  <c r="DP61" i="4"/>
  <c r="DL61" i="4"/>
  <c r="AY61" i="4"/>
  <c r="BO61" i="4"/>
  <c r="BR61" i="4"/>
  <c r="X61" i="4"/>
  <c r="CR61" i="4"/>
  <c r="CA61" i="4"/>
  <c r="AA61" i="4"/>
  <c r="CC61" i="4"/>
  <c r="BT61" i="4"/>
  <c r="BW61" i="4"/>
  <c r="BX61" i="4"/>
  <c r="DN61" i="4"/>
  <c r="AT61" i="4"/>
  <c r="AU61" i="4"/>
  <c r="AL61" i="4"/>
  <c r="AP61" i="4"/>
  <c r="AB61" i="4"/>
  <c r="AR61" i="4"/>
  <c r="S61" i="4"/>
  <c r="Y61" i="4"/>
  <c r="CP61" i="4"/>
  <c r="CL61" i="4"/>
  <c r="DO61" i="4"/>
  <c r="BF61" i="4"/>
  <c r="CK61" i="4"/>
  <c r="BZ61" i="4"/>
  <c r="BV61" i="4"/>
  <c r="BU61" i="4"/>
  <c r="BL61" i="4"/>
  <c r="BM61" i="4"/>
  <c r="BP61" i="4"/>
  <c r="DH61" i="4"/>
  <c r="BD61" i="4"/>
  <c r="CB61" i="4"/>
  <c r="BI61" i="4"/>
  <c r="CH61" i="4"/>
  <c r="DM61" i="4"/>
  <c r="AN61" i="4"/>
  <c r="AI61" i="4"/>
  <c r="W61" i="4"/>
  <c r="Q61" i="4"/>
  <c r="CJ61" i="4"/>
  <c r="DQ61" i="4"/>
  <c r="CI61" i="4"/>
  <c r="DJ61" i="4"/>
  <c r="BH61" i="4"/>
  <c r="CG61" i="4"/>
  <c r="R61" i="4"/>
  <c r="BN61" i="4"/>
  <c r="CE61" i="4"/>
  <c r="AM61" i="4"/>
  <c r="AK61" i="4"/>
  <c r="AG61" i="4"/>
  <c r="DK61" i="4"/>
  <c r="BK61" i="4"/>
  <c r="AZ61" i="4"/>
  <c r="CT61" i="4"/>
  <c r="BQ61" i="4"/>
  <c r="CD61" i="4"/>
  <c r="O61" i="4"/>
  <c r="AW61" i="4"/>
  <c r="AH61" i="4"/>
  <c r="AQ61" i="4"/>
  <c r="T61" i="4"/>
  <c r="CN61" i="4"/>
  <c r="BE61" i="4"/>
  <c r="BB61" i="4"/>
  <c r="BG61" i="4"/>
  <c r="DI61" i="4"/>
  <c r="BC61" i="4"/>
  <c r="P61" i="4"/>
  <c r="AS61" i="4"/>
  <c r="DR61" i="4"/>
  <c r="DP61" i="46" s="1"/>
  <c r="BA61" i="4"/>
  <c r="CF61" i="4"/>
  <c r="BJ61" i="4"/>
  <c r="AX61" i="4"/>
  <c r="BS61" i="4"/>
  <c r="V61" i="4"/>
  <c r="CS61" i="4"/>
  <c r="U61" i="4"/>
  <c r="BY61" i="4"/>
  <c r="CQ61" i="4"/>
  <c r="EC61" i="4"/>
  <c r="B63" i="4"/>
  <c r="B51" i="5"/>
  <c r="M62" i="4"/>
  <c r="A51" i="47"/>
  <c r="B45" i="47"/>
  <c r="N56" i="4"/>
  <c r="C57" i="4"/>
  <c r="C45" i="5"/>
  <c r="L49" i="46"/>
  <c r="C50" i="46"/>
  <c r="DF116" i="4"/>
  <c r="R56" i="46" l="1"/>
  <c r="CL56" i="46"/>
  <c r="CC56" i="46"/>
  <c r="CR56" i="46"/>
  <c r="V56" i="46"/>
  <c r="U56" i="46"/>
  <c r="Z56" i="46"/>
  <c r="AH56" i="46"/>
  <c r="T56" i="46"/>
  <c r="AV56" i="46"/>
  <c r="AI56" i="46"/>
  <c r="AQ56" i="46"/>
  <c r="BL56" i="46"/>
  <c r="BG56" i="46"/>
  <c r="DH56" i="46"/>
  <c r="DN56" i="46"/>
  <c r="BP56" i="46"/>
  <c r="DG56" i="46"/>
  <c r="BF56" i="46"/>
  <c r="BK56" i="46"/>
  <c r="BR56" i="46"/>
  <c r="CH56" i="46"/>
  <c r="BC56" i="46"/>
  <c r="DO56" i="46"/>
  <c r="AY56" i="46"/>
  <c r="CM56" i="46"/>
  <c r="BX56" i="46"/>
  <c r="BE56" i="46"/>
  <c r="BW56" i="46"/>
  <c r="CE56" i="46"/>
  <c r="Y56" i="46"/>
  <c r="CD56" i="46"/>
  <c r="AC56" i="46"/>
  <c r="AU56" i="46"/>
  <c r="AB56" i="46"/>
  <c r="P56" i="46"/>
  <c r="AO56" i="46"/>
  <c r="AZ56" i="46"/>
  <c r="AT56" i="46"/>
  <c r="AN56" i="46"/>
  <c r="AL56" i="46"/>
  <c r="AF56" i="46"/>
  <c r="DD56" i="46"/>
  <c r="BO56" i="46"/>
  <c r="BA56" i="46"/>
  <c r="DK56" i="46"/>
  <c r="BQ56" i="46"/>
  <c r="BJ56" i="46"/>
  <c r="CG56" i="46"/>
  <c r="CI56" i="46"/>
  <c r="CK56" i="46"/>
  <c r="BT56" i="46"/>
  <c r="BZ56" i="46"/>
  <c r="CF56" i="46"/>
  <c r="AW56" i="46"/>
  <c r="AD56" i="46"/>
  <c r="CQ56" i="46"/>
  <c r="X56" i="46"/>
  <c r="AJ56" i="46"/>
  <c r="CP56" i="46"/>
  <c r="BY56" i="46"/>
  <c r="CN56" i="46"/>
  <c r="AA56" i="46"/>
  <c r="AK56" i="46"/>
  <c r="O56" i="46"/>
  <c r="AP56" i="46"/>
  <c r="AM56" i="46"/>
  <c r="BV56" i="46"/>
  <c r="CA56" i="46"/>
  <c r="DI56" i="46"/>
  <c r="DF56" i="46"/>
  <c r="DM56" i="46"/>
  <c r="DL56" i="46"/>
  <c r="BS56" i="46"/>
  <c r="CJ56" i="46"/>
  <c r="BB56" i="46"/>
  <c r="BM56" i="46"/>
  <c r="DJ56" i="46"/>
  <c r="BI56" i="46"/>
  <c r="CB56" i="46"/>
  <c r="W56" i="46"/>
  <c r="M56" i="46"/>
  <c r="AG56" i="46"/>
  <c r="S56" i="46"/>
  <c r="EA56" i="46"/>
  <c r="AR56" i="46"/>
  <c r="Q56" i="46"/>
  <c r="CO56" i="46"/>
  <c r="AS56" i="46"/>
  <c r="AE56" i="46"/>
  <c r="N56" i="46"/>
  <c r="AX56" i="46"/>
  <c r="BD56" i="46"/>
  <c r="DE56" i="46"/>
  <c r="DC56" i="46"/>
  <c r="BN56" i="46"/>
  <c r="BU56" i="46"/>
  <c r="BH56" i="46"/>
  <c r="B58" i="46"/>
  <c r="K57" i="46"/>
  <c r="B64" i="4"/>
  <c r="A52" i="47"/>
  <c r="M63" i="4"/>
  <c r="B52" i="5"/>
  <c r="C46" i="5"/>
  <c r="B46" i="47"/>
  <c r="C58" i="4"/>
  <c r="N57" i="4"/>
  <c r="DN62" i="4"/>
  <c r="AT62" i="4"/>
  <c r="AO62" i="4"/>
  <c r="AD62" i="4"/>
  <c r="AF62" i="4"/>
  <c r="AI62" i="4"/>
  <c r="AP62" i="4"/>
  <c r="AJ62" i="4"/>
  <c r="V62" i="4"/>
  <c r="CO62" i="4"/>
  <c r="CL62" i="4"/>
  <c r="DK62" i="4"/>
  <c r="BA62" i="4"/>
  <c r="CK62" i="4"/>
  <c r="BC62" i="4"/>
  <c r="CT62" i="4"/>
  <c r="DJ62" i="4"/>
  <c r="CS62" i="4"/>
  <c r="BO62" i="4"/>
  <c r="BQ62" i="4"/>
  <c r="DH62" i="4"/>
  <c r="BT62" i="4"/>
  <c r="BP62" i="4"/>
  <c r="BD62" i="4"/>
  <c r="AW62" i="4"/>
  <c r="AS62" i="4"/>
  <c r="AK62" i="4"/>
  <c r="AL62" i="4"/>
  <c r="AC62" i="4"/>
  <c r="AB62" i="4"/>
  <c r="Z62" i="4"/>
  <c r="Y62" i="4"/>
  <c r="CJ62" i="4"/>
  <c r="CM62" i="4"/>
  <c r="DP62" i="4"/>
  <c r="DO62" i="4"/>
  <c r="AY62" i="4"/>
  <c r="CF62" i="4"/>
  <c r="CD62" i="4"/>
  <c r="BY62" i="4"/>
  <c r="AA62" i="4"/>
  <c r="BI62" i="4"/>
  <c r="CR62" i="4"/>
  <c r="DI62" i="4"/>
  <c r="CC62" i="4"/>
  <c r="O62" i="4"/>
  <c r="AM62" i="4"/>
  <c r="AH62" i="4"/>
  <c r="AE62" i="4"/>
  <c r="T62" i="4"/>
  <c r="DR62" i="4"/>
  <c r="DP62" i="46" s="1"/>
  <c r="CQ62" i="4"/>
  <c r="BF62" i="4"/>
  <c r="EC62" i="4"/>
  <c r="CB62" i="4"/>
  <c r="CA62" i="4"/>
  <c r="X62" i="4"/>
  <c r="BL62" i="4"/>
  <c r="DM62" i="4"/>
  <c r="AV62" i="4"/>
  <c r="AX62" i="4"/>
  <c r="Q62" i="4"/>
  <c r="S62" i="4"/>
  <c r="CP62" i="4"/>
  <c r="DQ62" i="4"/>
  <c r="CI62" i="4"/>
  <c r="BR62" i="4"/>
  <c r="BU62" i="4"/>
  <c r="R62" i="4"/>
  <c r="BW62" i="4"/>
  <c r="BB62" i="4"/>
  <c r="CE62" i="4"/>
  <c r="AG62" i="4"/>
  <c r="AQ62" i="4"/>
  <c r="U62" i="4"/>
  <c r="DL62" i="4"/>
  <c r="BK62" i="4"/>
  <c r="BM62" i="4"/>
  <c r="BX62" i="4"/>
  <c r="BV62" i="4"/>
  <c r="BS62" i="4"/>
  <c r="CG62" i="4"/>
  <c r="AR62" i="4"/>
  <c r="CH62" i="4"/>
  <c r="AN62" i="4"/>
  <c r="BZ62" i="4"/>
  <c r="W62" i="4"/>
  <c r="CN62" i="4"/>
  <c r="BG62" i="4"/>
  <c r="AU62" i="4"/>
  <c r="P62" i="4"/>
  <c r="BJ62" i="4"/>
  <c r="BH62" i="4"/>
  <c r="BE62" i="4"/>
  <c r="BN62" i="4"/>
  <c r="AZ62" i="4"/>
  <c r="L50" i="46"/>
  <c r="C51" i="46"/>
  <c r="DF117" i="4"/>
  <c r="AD57" i="46" l="1"/>
  <c r="CJ57" i="46"/>
  <c r="EA57" i="46"/>
  <c r="AZ57" i="46"/>
  <c r="BR57" i="46"/>
  <c r="U57" i="46"/>
  <c r="CE57" i="46"/>
  <c r="CR57" i="46"/>
  <c r="AX57" i="46"/>
  <c r="BM57" i="46"/>
  <c r="T57" i="46"/>
  <c r="AP57" i="46"/>
  <c r="CM57" i="46"/>
  <c r="CH57" i="46"/>
  <c r="BD57" i="46"/>
  <c r="O57" i="46"/>
  <c r="AG57" i="46"/>
  <c r="BT57" i="46"/>
  <c r="BK57" i="46"/>
  <c r="CL57" i="46"/>
  <c r="P57" i="46"/>
  <c r="DJ57" i="46"/>
  <c r="DN57" i="46"/>
  <c r="DC57" i="46"/>
  <c r="S57" i="46"/>
  <c r="CF57" i="46"/>
  <c r="CD57" i="46"/>
  <c r="AQ57" i="46"/>
  <c r="BG57" i="46"/>
  <c r="Q57" i="46"/>
  <c r="BP57" i="46"/>
  <c r="CA57" i="46"/>
  <c r="AK57" i="46"/>
  <c r="BE57" i="46"/>
  <c r="AB57" i="46"/>
  <c r="CN57" i="46"/>
  <c r="BI57" i="46"/>
  <c r="CG57" i="46"/>
  <c r="AI57" i="46"/>
  <c r="V57" i="46"/>
  <c r="BU57" i="46"/>
  <c r="BA57" i="46"/>
  <c r="BN57" i="46"/>
  <c r="AU57" i="46"/>
  <c r="DD57" i="46"/>
  <c r="DG57" i="46"/>
  <c r="DK57" i="46"/>
  <c r="BY57" i="46"/>
  <c r="R57" i="46"/>
  <c r="Z57" i="46"/>
  <c r="AO57" i="46"/>
  <c r="BS57" i="46"/>
  <c r="N57" i="46"/>
  <c r="AY57" i="46"/>
  <c r="W57" i="46"/>
  <c r="AN57" i="46"/>
  <c r="BO57" i="46"/>
  <c r="CQ57" i="46"/>
  <c r="AW57" i="46"/>
  <c r="BQ57" i="46"/>
  <c r="BJ57" i="46"/>
  <c r="AR57" i="46"/>
  <c r="AM57" i="46"/>
  <c r="BV57" i="46"/>
  <c r="CI57" i="46"/>
  <c r="BB57" i="46"/>
  <c r="M57" i="46"/>
  <c r="BL57" i="46"/>
  <c r="CO57" i="46"/>
  <c r="DE57" i="46"/>
  <c r="DH57" i="46"/>
  <c r="DM57" i="46"/>
  <c r="DL57" i="46"/>
  <c r="Y57" i="46"/>
  <c r="AA57" i="46"/>
  <c r="AH57" i="46"/>
  <c r="BH57" i="46"/>
  <c r="CB57" i="46"/>
  <c r="AL57" i="46"/>
  <c r="BX57" i="46"/>
  <c r="AV57" i="46"/>
  <c r="BF57" i="46"/>
  <c r="BZ57" i="46"/>
  <c r="AJ57" i="46"/>
  <c r="AF57" i="46"/>
  <c r="AS57" i="46"/>
  <c r="AC57" i="46"/>
  <c r="BW57" i="46"/>
  <c r="BC57" i="46"/>
  <c r="CK57" i="46"/>
  <c r="AE57" i="46"/>
  <c r="CP57" i="46"/>
  <c r="AT57" i="46"/>
  <c r="X57" i="46"/>
  <c r="DF57" i="46"/>
  <c r="DI57" i="46"/>
  <c r="CC57" i="46"/>
  <c r="DO57" i="46"/>
  <c r="K58" i="46"/>
  <c r="B59" i="46"/>
  <c r="N58" i="4"/>
  <c r="C47" i="5"/>
  <c r="B47" i="47"/>
  <c r="C59" i="4"/>
  <c r="B65" i="4"/>
  <c r="A53" i="47"/>
  <c r="B53" i="5"/>
  <c r="M64" i="4"/>
  <c r="DR63" i="4"/>
  <c r="DP63" i="46" s="1"/>
  <c r="CN63" i="4"/>
  <c r="DL63" i="4"/>
  <c r="DI63" i="4"/>
  <c r="DJ63" i="4"/>
  <c r="DH63" i="4"/>
  <c r="DM63" i="4"/>
  <c r="DQ63" i="4"/>
  <c r="BF63" i="4"/>
  <c r="AA63" i="4"/>
  <c r="CR63" i="4"/>
  <c r="CC63" i="4"/>
  <c r="CP63" i="4"/>
  <c r="DO63" i="4"/>
  <c r="CS63" i="4"/>
  <c r="CT63" i="4"/>
  <c r="DN63" i="4"/>
  <c r="CQ63" i="4"/>
  <c r="BB63" i="4"/>
  <c r="DP63" i="4"/>
  <c r="EC63" i="4"/>
  <c r="DK63" i="4"/>
  <c r="CF63" i="4"/>
  <c r="Z63" i="4"/>
  <c r="BI63" i="4"/>
  <c r="O63" i="4"/>
  <c r="R63" i="4"/>
  <c r="AW63" i="4"/>
  <c r="T63" i="4"/>
  <c r="AD63" i="4"/>
  <c r="BR63" i="4"/>
  <c r="AQ63" i="4"/>
  <c r="AG63" i="4"/>
  <c r="AO63" i="4"/>
  <c r="U63" i="4"/>
  <c r="AC63" i="4"/>
  <c r="AN63" i="4"/>
  <c r="AH63" i="4"/>
  <c r="AE63" i="4"/>
  <c r="X63" i="4"/>
  <c r="AS63" i="4"/>
  <c r="V63" i="4"/>
  <c r="AL63" i="4"/>
  <c r="BX63" i="4"/>
  <c r="P63" i="4"/>
  <c r="AZ63" i="4"/>
  <c r="Y63" i="4"/>
  <c r="S63" i="4"/>
  <c r="AX63" i="4"/>
  <c r="W63" i="4"/>
  <c r="AP63" i="4"/>
  <c r="AM63" i="4"/>
  <c r="AR63" i="4"/>
  <c r="BN63" i="4"/>
  <c r="BQ63" i="4"/>
  <c r="AU63" i="4"/>
  <c r="AI63" i="4"/>
  <c r="AT63" i="4"/>
  <c r="AV63" i="4"/>
  <c r="AF63" i="4"/>
  <c r="AK63" i="4"/>
  <c r="AB63" i="4"/>
  <c r="Q63" i="4"/>
  <c r="AJ63" i="4"/>
  <c r="BL63" i="4"/>
  <c r="BP63" i="4"/>
  <c r="CE63" i="4"/>
  <c r="BS63" i="4"/>
  <c r="BC63" i="4"/>
  <c r="BH63" i="4"/>
  <c r="CK63" i="4"/>
  <c r="BW63" i="4"/>
  <c r="BM63" i="4"/>
  <c r="CL63" i="4"/>
  <c r="CI63" i="4"/>
  <c r="CM63" i="4"/>
  <c r="CA63" i="4"/>
  <c r="BT63" i="4"/>
  <c r="BU63" i="4"/>
  <c r="BK63" i="4"/>
  <c r="BG63" i="4"/>
  <c r="BO63" i="4"/>
  <c r="CO63" i="4"/>
  <c r="BV63" i="4"/>
  <c r="BY63" i="4"/>
  <c r="BD63" i="4"/>
  <c r="BZ63" i="4"/>
  <c r="CG63" i="4"/>
  <c r="CB63" i="4"/>
  <c r="CD63" i="4"/>
  <c r="CJ63" i="4"/>
  <c r="BE63" i="4"/>
  <c r="BJ63" i="4"/>
  <c r="CH63" i="4"/>
  <c r="AY63" i="4"/>
  <c r="BA63" i="4"/>
  <c r="C52" i="46"/>
  <c r="L51" i="46"/>
  <c r="DF118" i="4"/>
  <c r="B60" i="46" l="1"/>
  <c r="K59" i="46"/>
  <c r="P58" i="46"/>
  <c r="AP58" i="46"/>
  <c r="BI58" i="46"/>
  <c r="CD58" i="46"/>
  <c r="AQ58" i="46"/>
  <c r="AD58" i="46"/>
  <c r="BP58" i="46"/>
  <c r="CB58" i="46"/>
  <c r="AL58" i="46"/>
  <c r="BF58" i="46"/>
  <c r="BY58" i="46"/>
  <c r="CO58" i="46"/>
  <c r="BJ58" i="46"/>
  <c r="CI58" i="46"/>
  <c r="BE58" i="46"/>
  <c r="AI58" i="46"/>
  <c r="CL58" i="46"/>
  <c r="BU58" i="46"/>
  <c r="CP58" i="46"/>
  <c r="BM58" i="46"/>
  <c r="AC58" i="46"/>
  <c r="DE58" i="46"/>
  <c r="DN58" i="46"/>
  <c r="DJ58" i="46"/>
  <c r="AV58" i="46"/>
  <c r="DK58" i="46"/>
  <c r="AZ58" i="46"/>
  <c r="CG58" i="46"/>
  <c r="BO58" i="46"/>
  <c r="AH58" i="46"/>
  <c r="BZ58" i="46"/>
  <c r="CF58" i="46"/>
  <c r="W58" i="46"/>
  <c r="AW58" i="46"/>
  <c r="DC58" i="46"/>
  <c r="CC58" i="46"/>
  <c r="BX58" i="46"/>
  <c r="AG58" i="46"/>
  <c r="BA58" i="46"/>
  <c r="BS58" i="46"/>
  <c r="N58" i="46"/>
  <c r="AA58" i="46"/>
  <c r="AO58" i="46"/>
  <c r="BR58" i="46"/>
  <c r="CR58" i="46"/>
  <c r="AX58" i="46"/>
  <c r="BQ58" i="46"/>
  <c r="BK58" i="46"/>
  <c r="AS58" i="46"/>
  <c r="CE58" i="46"/>
  <c r="AJ58" i="46"/>
  <c r="T58" i="46"/>
  <c r="BV58" i="46"/>
  <c r="BB58" i="46"/>
  <c r="CQ58" i="46"/>
  <c r="AU58" i="46"/>
  <c r="Q58" i="46"/>
  <c r="DH58" i="46"/>
  <c r="DF58" i="46"/>
  <c r="DL58" i="46"/>
  <c r="Z58" i="46"/>
  <c r="CK58" i="46"/>
  <c r="M58" i="46"/>
  <c r="Y58" i="46"/>
  <c r="EA58" i="46"/>
  <c r="V58" i="46"/>
  <c r="CN58" i="46"/>
  <c r="BD58" i="46"/>
  <c r="BN58" i="46"/>
  <c r="DM58" i="46"/>
  <c r="U58" i="46"/>
  <c r="CJ58" i="46"/>
  <c r="CM58" i="46"/>
  <c r="AR58" i="46"/>
  <c r="BH58" i="46"/>
  <c r="S58" i="46"/>
  <c r="CH58" i="46"/>
  <c r="AN58" i="46"/>
  <c r="BG58" i="46"/>
  <c r="CA58" i="46"/>
  <c r="AK58" i="46"/>
  <c r="AF58" i="46"/>
  <c r="AT58" i="46"/>
  <c r="R58" i="46"/>
  <c r="AM58" i="46"/>
  <c r="BW58" i="46"/>
  <c r="AB58" i="46"/>
  <c r="BC58" i="46"/>
  <c r="AE58" i="46"/>
  <c r="BL58" i="46"/>
  <c r="DD58" i="46"/>
  <c r="DG58" i="46"/>
  <c r="DO58" i="46"/>
  <c r="BT58" i="46"/>
  <c r="AY58" i="46"/>
  <c r="X58" i="46"/>
  <c r="O58" i="46"/>
  <c r="DI58" i="46"/>
  <c r="B66" i="4"/>
  <c r="B54" i="5"/>
  <c r="M65" i="4"/>
  <c r="A54" i="47"/>
  <c r="DN64" i="4"/>
  <c r="AV64" i="4"/>
  <c r="AU64" i="4"/>
  <c r="AF64" i="4"/>
  <c r="AL64" i="4"/>
  <c r="AR64" i="4"/>
  <c r="AH64" i="4"/>
  <c r="S64" i="4"/>
  <c r="T64" i="4"/>
  <c r="CJ64" i="4"/>
  <c r="CL64" i="4"/>
  <c r="DL64" i="4"/>
  <c r="BF64" i="4"/>
  <c r="CK64" i="4"/>
  <c r="O64" i="4"/>
  <c r="CR64" i="4"/>
  <c r="BW64" i="4"/>
  <c r="BC64" i="4"/>
  <c r="X64" i="4"/>
  <c r="BP64" i="4"/>
  <c r="CF64" i="4"/>
  <c r="CA64" i="4"/>
  <c r="BL64" i="4"/>
  <c r="AA64" i="4"/>
  <c r="BU64" i="4"/>
  <c r="AW64" i="4"/>
  <c r="AN64" i="4"/>
  <c r="AI64" i="4"/>
  <c r="AQ64" i="4"/>
  <c r="AT64" i="4"/>
  <c r="U64" i="4"/>
  <c r="V64" i="4"/>
  <c r="W64" i="4"/>
  <c r="CO64" i="4"/>
  <c r="CM64" i="4"/>
  <c r="DP64" i="4"/>
  <c r="DK64" i="4"/>
  <c r="AY64" i="4"/>
  <c r="DI64" i="4"/>
  <c r="BX64" i="4"/>
  <c r="BN64" i="4"/>
  <c r="CB64" i="4"/>
  <c r="BS64" i="4"/>
  <c r="BD64" i="4"/>
  <c r="DH64" i="4"/>
  <c r="EC64" i="4"/>
  <c r="CH64" i="4"/>
  <c r="P64" i="4"/>
  <c r="AO64" i="4"/>
  <c r="AJ64" i="4"/>
  <c r="AK64" i="4"/>
  <c r="Z64" i="4"/>
  <c r="DR64" i="4"/>
  <c r="DP64" i="46" s="1"/>
  <c r="CQ64" i="4"/>
  <c r="BA64" i="4"/>
  <c r="CD64" i="4"/>
  <c r="BR64" i="4"/>
  <c r="BV64" i="4"/>
  <c r="BQ64" i="4"/>
  <c r="BJ64" i="4"/>
  <c r="CG64" i="4"/>
  <c r="DM64" i="4"/>
  <c r="AM64" i="4"/>
  <c r="AD64" i="4"/>
  <c r="AB64" i="4"/>
  <c r="Q64" i="4"/>
  <c r="CP64" i="4"/>
  <c r="DQ64" i="4"/>
  <c r="CI64" i="4"/>
  <c r="BG64" i="4"/>
  <c r="DJ64" i="4"/>
  <c r="CC64" i="4"/>
  <c r="R64" i="4"/>
  <c r="BO64" i="4"/>
  <c r="CE64" i="4"/>
  <c r="AE64" i="4"/>
  <c r="AC64" i="4"/>
  <c r="AX64" i="4"/>
  <c r="DO64" i="4"/>
  <c r="BK64" i="4"/>
  <c r="BM64" i="4"/>
  <c r="BB64" i="4"/>
  <c r="AZ64" i="4"/>
  <c r="BT64" i="4"/>
  <c r="BY64" i="4"/>
  <c r="AS64" i="4"/>
  <c r="BE64" i="4"/>
  <c r="BI64" i="4"/>
  <c r="CS64" i="4"/>
  <c r="AP64" i="4"/>
  <c r="CT64" i="4"/>
  <c r="AG64" i="4"/>
  <c r="BH64" i="4"/>
  <c r="CN64" i="4"/>
  <c r="Y64" i="4"/>
  <c r="BZ64" i="4"/>
  <c r="C48" i="5"/>
  <c r="N59" i="4"/>
  <c r="B48" i="47"/>
  <c r="C60" i="4"/>
  <c r="C53" i="46"/>
  <c r="L52" i="46"/>
  <c r="DF119" i="4"/>
  <c r="T59" i="46" l="1"/>
  <c r="CF59" i="46"/>
  <c r="CO59" i="46"/>
  <c r="AT59" i="46"/>
  <c r="BJ59" i="46"/>
  <c r="S59" i="46"/>
  <c r="CK59" i="46"/>
  <c r="BZ59" i="46"/>
  <c r="CD59" i="46"/>
  <c r="Y59" i="46"/>
  <c r="BQ59" i="46"/>
  <c r="CQ59" i="46"/>
  <c r="M59" i="46"/>
  <c r="AK59" i="46"/>
  <c r="BN59" i="46"/>
  <c r="BE59" i="46"/>
  <c r="BH59" i="46"/>
  <c r="BM59" i="46"/>
  <c r="BA59" i="46"/>
  <c r="AL59" i="46"/>
  <c r="BY59" i="46"/>
  <c r="R59" i="46"/>
  <c r="DJ59" i="46"/>
  <c r="DM59" i="46"/>
  <c r="DL59" i="46"/>
  <c r="Z59" i="46"/>
  <c r="CE59" i="46"/>
  <c r="BV59" i="46"/>
  <c r="O59" i="46"/>
  <c r="BB59" i="46"/>
  <c r="AD59" i="46"/>
  <c r="AN59" i="46"/>
  <c r="BI59" i="46"/>
  <c r="BO59" i="46"/>
  <c r="Q59" i="46"/>
  <c r="BP59" i="46"/>
  <c r="BT59" i="46"/>
  <c r="CA59" i="46"/>
  <c r="AC59" i="46"/>
  <c r="AG59" i="46"/>
  <c r="AR59" i="46"/>
  <c r="AX59" i="46"/>
  <c r="BS59" i="46"/>
  <c r="BF59" i="46"/>
  <c r="AU59" i="46"/>
  <c r="N59" i="46"/>
  <c r="DD59" i="46"/>
  <c r="DG59" i="46"/>
  <c r="DH59" i="46"/>
  <c r="DO59" i="46"/>
  <c r="AB59" i="46"/>
  <c r="AO59" i="46"/>
  <c r="BK59" i="46"/>
  <c r="CN59" i="46"/>
  <c r="AS59" i="46"/>
  <c r="W59" i="46"/>
  <c r="CL59" i="46"/>
  <c r="AY59" i="46"/>
  <c r="BD59" i="46"/>
  <c r="AA59" i="46"/>
  <c r="AP59" i="46"/>
  <c r="BG59" i="46"/>
  <c r="BL59" i="46"/>
  <c r="X59" i="46"/>
  <c r="CM59" i="46"/>
  <c r="CR59" i="46"/>
  <c r="AI59" i="46"/>
  <c r="V59" i="46"/>
  <c r="P59" i="46"/>
  <c r="CB59" i="46"/>
  <c r="AH59" i="46"/>
  <c r="DC59" i="46"/>
  <c r="DF59" i="46"/>
  <c r="DI59" i="46"/>
  <c r="BX59" i="46"/>
  <c r="AM59" i="46"/>
  <c r="BC59" i="46"/>
  <c r="BU59" i="46"/>
  <c r="AE59" i="46"/>
  <c r="CH59" i="46"/>
  <c r="EA59" i="46"/>
  <c r="AJ59" i="46"/>
  <c r="AQ59" i="46"/>
  <c r="CI59" i="46"/>
  <c r="AV59" i="46"/>
  <c r="AW59" i="46"/>
  <c r="AZ59" i="46"/>
  <c r="CG59" i="46"/>
  <c r="BR59" i="46"/>
  <c r="BW59" i="46"/>
  <c r="CC59" i="46"/>
  <c r="CJ59" i="46"/>
  <c r="AF59" i="46"/>
  <c r="CP59" i="46"/>
  <c r="U59" i="46"/>
  <c r="DN59" i="46"/>
  <c r="DK59" i="46"/>
  <c r="DE59" i="46"/>
  <c r="B61" i="46"/>
  <c r="K60" i="46"/>
  <c r="AV65" i="4"/>
  <c r="AU65" i="4"/>
  <c r="AH65" i="4"/>
  <c r="AI65" i="4"/>
  <c r="AJ65" i="4"/>
  <c r="V65" i="4"/>
  <c r="T65" i="4"/>
  <c r="AC65" i="4"/>
  <c r="CO65" i="4"/>
  <c r="CM65" i="4"/>
  <c r="DP65" i="4"/>
  <c r="DL65" i="4"/>
  <c r="AY65" i="4"/>
  <c r="DN65" i="4"/>
  <c r="AT65" i="4"/>
  <c r="AM65" i="4"/>
  <c r="AX65" i="4"/>
  <c r="AG65" i="4"/>
  <c r="AN65" i="4"/>
  <c r="W65" i="4"/>
  <c r="S65" i="4"/>
  <c r="Q65" i="4"/>
  <c r="CP65" i="4"/>
  <c r="CL65" i="4"/>
  <c r="DO65" i="4"/>
  <c r="BF65" i="4"/>
  <c r="CK65" i="4"/>
  <c r="AW65" i="4"/>
  <c r="AL65" i="4"/>
  <c r="AB65" i="4"/>
  <c r="AK65" i="4"/>
  <c r="CN65" i="4"/>
  <c r="BE65" i="4"/>
  <c r="BX65" i="4"/>
  <c r="CT65" i="4"/>
  <c r="BR65" i="4"/>
  <c r="BY65" i="4"/>
  <c r="O65" i="4"/>
  <c r="BL65" i="4"/>
  <c r="AZ65" i="4"/>
  <c r="BM65" i="4"/>
  <c r="BO65" i="4"/>
  <c r="CR65" i="4"/>
  <c r="AS65" i="4"/>
  <c r="AE65" i="4"/>
  <c r="AQ65" i="4"/>
  <c r="Y65" i="4"/>
  <c r="DR65" i="4"/>
  <c r="DP65" i="46" s="1"/>
  <c r="CQ65" i="4"/>
  <c r="BA65" i="4"/>
  <c r="CC65" i="4"/>
  <c r="CG65" i="4"/>
  <c r="BZ65" i="4"/>
  <c r="R65" i="4"/>
  <c r="BJ65" i="4"/>
  <c r="BD65" i="4"/>
  <c r="BG65" i="4"/>
  <c r="CF65" i="4"/>
  <c r="BU65" i="4"/>
  <c r="P65" i="4"/>
  <c r="BC65" i="4"/>
  <c r="DM65" i="4"/>
  <c r="AO65" i="4"/>
  <c r="AP65" i="4"/>
  <c r="Z65" i="4"/>
  <c r="U65" i="4"/>
  <c r="CJ65" i="4"/>
  <c r="DQ65" i="4"/>
  <c r="CI65" i="4"/>
  <c r="BN65" i="4"/>
  <c r="BW65" i="4"/>
  <c r="BV65" i="4"/>
  <c r="BH65" i="4"/>
  <c r="BI65" i="4"/>
  <c r="CA65" i="4"/>
  <c r="CD65" i="4"/>
  <c r="BB65" i="4"/>
  <c r="BQ65" i="4"/>
  <c r="DJ65" i="4"/>
  <c r="BT65" i="4"/>
  <c r="AD65" i="4"/>
  <c r="BK65" i="4"/>
  <c r="CB65" i="4"/>
  <c r="CS65" i="4"/>
  <c r="AR65" i="4"/>
  <c r="DI65" i="4"/>
  <c r="X65" i="4"/>
  <c r="AF65" i="4"/>
  <c r="BS65" i="4"/>
  <c r="EC65" i="4"/>
  <c r="AA65" i="4"/>
  <c r="CE65" i="4"/>
  <c r="DH65" i="4"/>
  <c r="DK65" i="4"/>
  <c r="CH65" i="4"/>
  <c r="BP65" i="4"/>
  <c r="B67" i="4"/>
  <c r="A55" i="47"/>
  <c r="M66" i="4"/>
  <c r="B55" i="5"/>
  <c r="N60" i="4"/>
  <c r="C49" i="5"/>
  <c r="C61" i="4"/>
  <c r="B49" i="47"/>
  <c r="C54" i="46"/>
  <c r="L53" i="46"/>
  <c r="DF120" i="4"/>
  <c r="K61" i="46" l="1"/>
  <c r="B62" i="46"/>
  <c r="T60" i="46"/>
  <c r="CK60" i="46"/>
  <c r="CD60" i="46"/>
  <c r="AK60" i="46"/>
  <c r="BC60" i="46"/>
  <c r="AA60" i="46"/>
  <c r="CN60" i="46"/>
  <c r="CO60" i="46"/>
  <c r="U60" i="46"/>
  <c r="CG60" i="46"/>
  <c r="BL60" i="46"/>
  <c r="BR60" i="46"/>
  <c r="X60" i="46"/>
  <c r="AV60" i="46"/>
  <c r="AX60" i="46"/>
  <c r="AW60" i="46"/>
  <c r="AU60" i="46"/>
  <c r="EA60" i="46"/>
  <c r="BU60" i="46"/>
  <c r="BI60" i="46"/>
  <c r="AL60" i="46"/>
  <c r="V60" i="46"/>
  <c r="DH60" i="46"/>
  <c r="DG60" i="46"/>
  <c r="DL60" i="46"/>
  <c r="Z60" i="46"/>
  <c r="BP60" i="46"/>
  <c r="BS60" i="46"/>
  <c r="CQ60" i="46"/>
  <c r="AR60" i="46"/>
  <c r="CF60" i="46"/>
  <c r="BO60" i="46"/>
  <c r="BT60" i="46"/>
  <c r="Q60" i="46"/>
  <c r="AF60" i="46"/>
  <c r="BB60" i="46"/>
  <c r="BA60" i="46"/>
  <c r="BX60" i="46"/>
  <c r="CR60" i="46"/>
  <c r="N60" i="46"/>
  <c r="M60" i="46"/>
  <c r="AT60" i="46"/>
  <c r="CC60" i="46"/>
  <c r="BV60" i="46"/>
  <c r="BQ60" i="46"/>
  <c r="AI60" i="46"/>
  <c r="DD60" i="46"/>
  <c r="DC60" i="46"/>
  <c r="DN60" i="46"/>
  <c r="DO60" i="46"/>
  <c r="CP60" i="46"/>
  <c r="DE60" i="46"/>
  <c r="AB60" i="46"/>
  <c r="AO60" i="46"/>
  <c r="BH60" i="46"/>
  <c r="BZ60" i="46"/>
  <c r="R60" i="46"/>
  <c r="BN60" i="46"/>
  <c r="BD60" i="46"/>
  <c r="BG60" i="46"/>
  <c r="P60" i="46"/>
  <c r="AN60" i="46"/>
  <c r="AE60" i="46"/>
  <c r="O60" i="46"/>
  <c r="CE60" i="46"/>
  <c r="BW60" i="46"/>
  <c r="CB60" i="46"/>
  <c r="W60" i="46"/>
  <c r="AH60" i="46"/>
  <c r="CI60" i="46"/>
  <c r="AC60" i="46"/>
  <c r="AY60" i="46"/>
  <c r="BE60" i="46"/>
  <c r="DM60" i="46"/>
  <c r="DJ60" i="46"/>
  <c r="DF60" i="46"/>
  <c r="CH60" i="46"/>
  <c r="AM60" i="46"/>
  <c r="AZ60" i="46"/>
  <c r="BM60" i="46"/>
  <c r="AD60" i="46"/>
  <c r="AP60" i="46"/>
  <c r="AQ60" i="46"/>
  <c r="AJ60" i="46"/>
  <c r="BY60" i="46"/>
  <c r="CA60" i="46"/>
  <c r="CM60" i="46"/>
  <c r="Y60" i="46"/>
  <c r="AG60" i="46"/>
  <c r="BJ60" i="46"/>
  <c r="BK60" i="46"/>
  <c r="CJ60" i="46"/>
  <c r="CL60" i="46"/>
  <c r="BF60" i="46"/>
  <c r="AS60" i="46"/>
  <c r="S60" i="46"/>
  <c r="DK60" i="46"/>
  <c r="DI60" i="46"/>
  <c r="N61" i="4"/>
  <c r="C50" i="5"/>
  <c r="B50" i="47"/>
  <c r="C62" i="4"/>
  <c r="B68" i="4"/>
  <c r="A56" i="47"/>
  <c r="M67" i="4"/>
  <c r="B56" i="5"/>
  <c r="DN66" i="4"/>
  <c r="AT66" i="4"/>
  <c r="AO66" i="4"/>
  <c r="AR66" i="4"/>
  <c r="AX66" i="4"/>
  <c r="AP66" i="4"/>
  <c r="W66" i="4"/>
  <c r="Y66" i="4"/>
  <c r="V66" i="4"/>
  <c r="CP66" i="4"/>
  <c r="CL66" i="4"/>
  <c r="DK66" i="4"/>
  <c r="BA66" i="4"/>
  <c r="CK66" i="4"/>
  <c r="BW66" i="4"/>
  <c r="BS66" i="4"/>
  <c r="BJ66" i="4"/>
  <c r="BR66" i="4"/>
  <c r="BU66" i="4"/>
  <c r="CA66" i="4"/>
  <c r="O66" i="4"/>
  <c r="BH66" i="4"/>
  <c r="BB66" i="4"/>
  <c r="BG66" i="4"/>
  <c r="CS66" i="4"/>
  <c r="CE66" i="4"/>
  <c r="AV66" i="4"/>
  <c r="AN66" i="4"/>
  <c r="AD66" i="4"/>
  <c r="AJ66" i="4"/>
  <c r="AB66" i="4"/>
  <c r="AQ66" i="4"/>
  <c r="S66" i="4"/>
  <c r="DR66" i="4"/>
  <c r="DP66" i="46" s="1"/>
  <c r="CQ66" i="4"/>
  <c r="DL66" i="4"/>
  <c r="BF66" i="4"/>
  <c r="BK66" i="4"/>
  <c r="CC66" i="4"/>
  <c r="CB66" i="4"/>
  <c r="BZ66" i="4"/>
  <c r="BO66" i="4"/>
  <c r="BD66" i="4"/>
  <c r="CD66" i="4"/>
  <c r="CH66" i="4"/>
  <c r="BC66" i="4"/>
  <c r="BQ66" i="4"/>
  <c r="BM66" i="4"/>
  <c r="AW66" i="4"/>
  <c r="AS66" i="4"/>
  <c r="AG66" i="4"/>
  <c r="AH66" i="4"/>
  <c r="AC66" i="4"/>
  <c r="Q66" i="4"/>
  <c r="AF66" i="4"/>
  <c r="AI66" i="4"/>
  <c r="CJ66" i="4"/>
  <c r="CM66" i="4"/>
  <c r="DP66" i="4"/>
  <c r="DO66" i="4"/>
  <c r="AY66" i="4"/>
  <c r="BP66" i="4"/>
  <c r="BT66" i="4"/>
  <c r="BY66" i="4"/>
  <c r="CG66" i="4"/>
  <c r="DJ66" i="4"/>
  <c r="AA66" i="4"/>
  <c r="R66" i="4"/>
  <c r="CT66" i="4"/>
  <c r="BX66" i="4"/>
  <c r="CF66" i="4"/>
  <c r="DM66" i="4"/>
  <c r="AL66" i="4"/>
  <c r="U66" i="4"/>
  <c r="DQ66" i="4"/>
  <c r="BL66" i="4"/>
  <c r="BV66" i="4"/>
  <c r="X66" i="4"/>
  <c r="AU66" i="4"/>
  <c r="AE66" i="4"/>
  <c r="BE66" i="4"/>
  <c r="BI66" i="4"/>
  <c r="DI66" i="4"/>
  <c r="EC66" i="4"/>
  <c r="AM66" i="4"/>
  <c r="Z66" i="4"/>
  <c r="CO66" i="4"/>
  <c r="CI66" i="4"/>
  <c r="DH66" i="4"/>
  <c r="BN66" i="4"/>
  <c r="AZ66" i="4"/>
  <c r="CN66" i="4"/>
  <c r="AK66" i="4"/>
  <c r="CR66" i="4"/>
  <c r="T66" i="4"/>
  <c r="P66" i="4"/>
  <c r="C55" i="46"/>
  <c r="L54" i="46"/>
  <c r="DF121" i="4"/>
  <c r="B63" i="46" l="1"/>
  <c r="K62" i="46"/>
  <c r="U61" i="46"/>
  <c r="CK61" i="46"/>
  <c r="CD61" i="46"/>
  <c r="AQ61" i="46"/>
  <c r="BI61" i="46"/>
  <c r="R61" i="46"/>
  <c r="BN61" i="46"/>
  <c r="BJ61" i="46"/>
  <c r="BR61" i="46"/>
  <c r="AD61" i="46"/>
  <c r="AF61" i="46"/>
  <c r="BF61" i="46"/>
  <c r="BM61" i="46"/>
  <c r="Q61" i="46"/>
  <c r="AV61" i="46"/>
  <c r="AS61" i="46"/>
  <c r="AY61" i="46"/>
  <c r="CL61" i="46"/>
  <c r="BQ61" i="46"/>
  <c r="AK61" i="46"/>
  <c r="CA61" i="46"/>
  <c r="T61" i="46"/>
  <c r="DN61" i="46"/>
  <c r="DM61" i="46"/>
  <c r="DL61" i="46"/>
  <c r="CI61" i="46"/>
  <c r="AZ61" i="46"/>
  <c r="M61" i="46"/>
  <c r="BW61" i="46"/>
  <c r="S61" i="46"/>
  <c r="BU61" i="46"/>
  <c r="Y61" i="46"/>
  <c r="BD61" i="46"/>
  <c r="CH61" i="46"/>
  <c r="X61" i="46"/>
  <c r="AM61" i="46"/>
  <c r="W61" i="46"/>
  <c r="DH61" i="46"/>
  <c r="DG61" i="46"/>
  <c r="Z61" i="46"/>
  <c r="BP61" i="46"/>
  <c r="BS61" i="46"/>
  <c r="N61" i="46"/>
  <c r="BA61" i="46"/>
  <c r="V61" i="46"/>
  <c r="AP61" i="46"/>
  <c r="AX61" i="46"/>
  <c r="BE61" i="46"/>
  <c r="P61" i="46"/>
  <c r="AG61" i="46"/>
  <c r="AU61" i="46"/>
  <c r="BC61" i="46"/>
  <c r="BX61" i="46"/>
  <c r="CN61" i="46"/>
  <c r="EA61" i="46"/>
  <c r="AJ61" i="46"/>
  <c r="BL61" i="46"/>
  <c r="BB61" i="46"/>
  <c r="AW61" i="46"/>
  <c r="CC61" i="46"/>
  <c r="DD61" i="46"/>
  <c r="DK61" i="46"/>
  <c r="DJ61" i="46"/>
  <c r="DO61" i="46"/>
  <c r="AH61" i="46"/>
  <c r="BT61" i="46"/>
  <c r="CJ61" i="46"/>
  <c r="CO61" i="46"/>
  <c r="CE61" i="46"/>
  <c r="CB61" i="46"/>
  <c r="AO61" i="46"/>
  <c r="BK61" i="46"/>
  <c r="CF61" i="46"/>
  <c r="DC61" i="46"/>
  <c r="AB61" i="46"/>
  <c r="AN61" i="46"/>
  <c r="BH61" i="46"/>
  <c r="CM61" i="46"/>
  <c r="AR61" i="46"/>
  <c r="AA61" i="46"/>
  <c r="CR61" i="46"/>
  <c r="AI61" i="46"/>
  <c r="AT61" i="46"/>
  <c r="BY61" i="46"/>
  <c r="CP61" i="46"/>
  <c r="AE61" i="46"/>
  <c r="AL61" i="46"/>
  <c r="CG61" i="46"/>
  <c r="BO61" i="46"/>
  <c r="BZ61" i="46"/>
  <c r="AC61" i="46"/>
  <c r="BV61" i="46"/>
  <c r="BG61" i="46"/>
  <c r="O61" i="46"/>
  <c r="CQ61" i="46"/>
  <c r="DI61" i="46"/>
  <c r="DF61" i="46"/>
  <c r="DE61" i="46"/>
  <c r="B51" i="47"/>
  <c r="C63" i="4"/>
  <c r="N62" i="4"/>
  <c r="C51" i="5"/>
  <c r="AV67" i="4"/>
  <c r="AT67" i="4"/>
  <c r="AF67" i="4"/>
  <c r="AK67" i="4"/>
  <c r="AH67" i="4"/>
  <c r="T67" i="4"/>
  <c r="V67" i="4"/>
  <c r="Q67" i="4"/>
  <c r="CO67" i="4"/>
  <c r="CM67" i="4"/>
  <c r="DP67" i="4"/>
  <c r="DO67" i="4"/>
  <c r="AY67" i="4"/>
  <c r="X67" i="4"/>
  <c r="CC67" i="4"/>
  <c r="BX67" i="4"/>
  <c r="BI67" i="4"/>
  <c r="CB67" i="4"/>
  <c r="BQ67" i="4"/>
  <c r="BG67" i="4"/>
  <c r="CH67" i="4"/>
  <c r="P67" i="4"/>
  <c r="DM67" i="4"/>
  <c r="AU67" i="4"/>
  <c r="AS67" i="4"/>
  <c r="AJ67" i="4"/>
  <c r="AR67" i="4"/>
  <c r="AX67" i="4"/>
  <c r="Z67" i="4"/>
  <c r="AI67" i="4"/>
  <c r="S67" i="4"/>
  <c r="CP67" i="4"/>
  <c r="CN67" i="4"/>
  <c r="DQ67" i="4"/>
  <c r="BE67" i="4"/>
  <c r="CI67" i="4"/>
  <c r="BB67" i="4"/>
  <c r="BM67" i="4"/>
  <c r="BO67" i="4"/>
  <c r="BD67" i="4"/>
  <c r="DH67" i="4"/>
  <c r="DJ67" i="4"/>
  <c r="CR67" i="4"/>
  <c r="CA67" i="4"/>
  <c r="R67" i="4"/>
  <c r="BS67" i="4"/>
  <c r="DN67" i="4"/>
  <c r="AN67" i="4"/>
  <c r="AW67" i="4"/>
  <c r="AQ67" i="4"/>
  <c r="AE67" i="4"/>
  <c r="AB67" i="4"/>
  <c r="W67" i="4"/>
  <c r="AC67" i="4"/>
  <c r="Y67" i="4"/>
  <c r="CJ67" i="4"/>
  <c r="CL67" i="4"/>
  <c r="DK67" i="4"/>
  <c r="BF67" i="4"/>
  <c r="CK67" i="4"/>
  <c r="BP67" i="4"/>
  <c r="CT67" i="4"/>
  <c r="DI67" i="4"/>
  <c r="O67" i="4"/>
  <c r="BV67" i="4"/>
  <c r="BJ67" i="4"/>
  <c r="BT67" i="4"/>
  <c r="CF67" i="4"/>
  <c r="BC67" i="4"/>
  <c r="BR67" i="4"/>
  <c r="AM67" i="4"/>
  <c r="AD67" i="4"/>
  <c r="DR67" i="4"/>
  <c r="DP67" i="46" s="1"/>
  <c r="BA67" i="4"/>
  <c r="BW67" i="4"/>
  <c r="BZ67" i="4"/>
  <c r="CS67" i="4"/>
  <c r="AO67" i="4"/>
  <c r="AL67" i="4"/>
  <c r="BK67" i="4"/>
  <c r="BY67" i="4"/>
  <c r="BU67" i="4"/>
  <c r="AG67" i="4"/>
  <c r="U67" i="4"/>
  <c r="CQ67" i="4"/>
  <c r="CG67" i="4"/>
  <c r="CD67" i="4"/>
  <c r="CE67" i="4"/>
  <c r="DL67" i="4"/>
  <c r="AA67" i="4"/>
  <c r="AP67" i="4"/>
  <c r="EC67" i="4"/>
  <c r="BL67" i="4"/>
  <c r="BN67" i="4"/>
  <c r="BH67" i="4"/>
  <c r="AZ67" i="4"/>
  <c r="B69" i="4"/>
  <c r="B57" i="5"/>
  <c r="A57" i="47"/>
  <c r="M68" i="4"/>
  <c r="L55" i="46"/>
  <c r="C56" i="46"/>
  <c r="DF122" i="4"/>
  <c r="AD62" i="46" l="1"/>
  <c r="BP62" i="46"/>
  <c r="BS62" i="46"/>
  <c r="N62" i="46"/>
  <c r="BA62" i="46"/>
  <c r="AC62" i="46"/>
  <c r="CK62" i="46"/>
  <c r="CR62" i="46"/>
  <c r="AX62" i="46"/>
  <c r="BR62" i="46"/>
  <c r="S62" i="46"/>
  <c r="CH62" i="46"/>
  <c r="AV62" i="46"/>
  <c r="BL62" i="46"/>
  <c r="CQ62" i="46"/>
  <c r="AW62" i="46"/>
  <c r="BB62" i="46"/>
  <c r="CJ62" i="46"/>
  <c r="AB62" i="46"/>
  <c r="BC62" i="46"/>
  <c r="CC62" i="46"/>
  <c r="DG62" i="46"/>
  <c r="DE62" i="46"/>
  <c r="DK62" i="46"/>
  <c r="P62" i="46"/>
  <c r="AP62" i="46"/>
  <c r="BH62" i="46"/>
  <c r="CM62" i="46"/>
  <c r="AR62" i="46"/>
  <c r="Q62" i="46"/>
  <c r="BN62" i="46"/>
  <c r="CA62" i="46"/>
  <c r="AK62" i="46"/>
  <c r="BG62" i="46"/>
  <c r="V62" i="46"/>
  <c r="BQ62" i="46"/>
  <c r="AH62" i="46"/>
  <c r="BD62" i="46"/>
  <c r="BZ62" i="46"/>
  <c r="AJ62" i="46"/>
  <c r="BV62" i="46"/>
  <c r="CN62" i="46"/>
  <c r="CF62" i="46"/>
  <c r="BJ62" i="46"/>
  <c r="AO62" i="46"/>
  <c r="DF62" i="46"/>
  <c r="DI62" i="46"/>
  <c r="DH62" i="46"/>
  <c r="T62" i="46"/>
  <c r="BX62" i="46"/>
  <c r="CL62" i="46"/>
  <c r="AZ62" i="46"/>
  <c r="BT62" i="46"/>
  <c r="M62" i="46"/>
  <c r="AA62" i="46"/>
  <c r="AN62" i="46"/>
  <c r="BO62" i="46"/>
  <c r="EA62" i="46"/>
  <c r="AY62" i="46"/>
  <c r="X62" i="46"/>
  <c r="CE62" i="46"/>
  <c r="CP62" i="46"/>
  <c r="AU62" i="46"/>
  <c r="BM62" i="46"/>
  <c r="U62" i="46"/>
  <c r="O62" i="46"/>
  <c r="AS62" i="46"/>
  <c r="BU62" i="46"/>
  <c r="BY62" i="46"/>
  <c r="AT62" i="46"/>
  <c r="DM62" i="46"/>
  <c r="DC62" i="46"/>
  <c r="DL62" i="46"/>
  <c r="Y62" i="46"/>
  <c r="CG62" i="46"/>
  <c r="CD62" i="46"/>
  <c r="AQ62" i="46"/>
  <c r="BI62" i="46"/>
  <c r="R62" i="46"/>
  <c r="CI62" i="46"/>
  <c r="AM62" i="46"/>
  <c r="BF62" i="46"/>
  <c r="CB62" i="46"/>
  <c r="AL62" i="46"/>
  <c r="W62" i="46"/>
  <c r="AF62" i="46"/>
  <c r="BW62" i="46"/>
  <c r="AI62" i="46"/>
  <c r="BE62" i="46"/>
  <c r="AG62" i="46"/>
  <c r="Z62" i="46"/>
  <c r="BK62" i="46"/>
  <c r="AE62" i="46"/>
  <c r="CO62" i="46"/>
  <c r="DD62" i="46"/>
  <c r="DJ62" i="46"/>
  <c r="DN62" i="46"/>
  <c r="DO62" i="46"/>
  <c r="K63" i="46"/>
  <c r="B64" i="46"/>
  <c r="B70" i="4"/>
  <c r="B58" i="5"/>
  <c r="A58" i="47"/>
  <c r="M69" i="4"/>
  <c r="DM68" i="4"/>
  <c r="AS68" i="4"/>
  <c r="AT68" i="4"/>
  <c r="AI68" i="4"/>
  <c r="AQ68" i="4"/>
  <c r="AK68" i="4"/>
  <c r="AL68" i="4"/>
  <c r="AR68" i="4"/>
  <c r="AD68" i="4"/>
  <c r="CP68" i="4"/>
  <c r="CN68" i="4"/>
  <c r="DQ68" i="4"/>
  <c r="BE68" i="4"/>
  <c r="CI68" i="4"/>
  <c r="CH68" i="4"/>
  <c r="BX68" i="4"/>
  <c r="BY68" i="4"/>
  <c r="DI68" i="4"/>
  <c r="CB68" i="4"/>
  <c r="CA68" i="4"/>
  <c r="BH68" i="4"/>
  <c r="R68" i="4"/>
  <c r="P68" i="4"/>
  <c r="AA68" i="4"/>
  <c r="DN68" i="4"/>
  <c r="AV68" i="4"/>
  <c r="AN68" i="4"/>
  <c r="AP68" i="4"/>
  <c r="AH68" i="4"/>
  <c r="AG68" i="4"/>
  <c r="V68" i="4"/>
  <c r="AB68" i="4"/>
  <c r="T68" i="4"/>
  <c r="CJ68" i="4"/>
  <c r="CL68" i="4"/>
  <c r="DL68" i="4"/>
  <c r="BF68" i="4"/>
  <c r="CK68" i="4"/>
  <c r="CF68" i="4"/>
  <c r="X68" i="4"/>
  <c r="BL68" i="4"/>
  <c r="CD68" i="4"/>
  <c r="BU68" i="4"/>
  <c r="BS68" i="4"/>
  <c r="CR68" i="4"/>
  <c r="CG68" i="4"/>
  <c r="DH68" i="4"/>
  <c r="CS68" i="4"/>
  <c r="BW68" i="4"/>
  <c r="CE68" i="4"/>
  <c r="AU68" i="4"/>
  <c r="AM68" i="4"/>
  <c r="AF68" i="4"/>
  <c r="AX68" i="4"/>
  <c r="U68" i="4"/>
  <c r="Y68" i="4"/>
  <c r="Z68" i="4"/>
  <c r="DR68" i="4"/>
  <c r="DP68" i="46" s="1"/>
  <c r="CQ68" i="4"/>
  <c r="DO68" i="4"/>
  <c r="BA68" i="4"/>
  <c r="BK68" i="4"/>
  <c r="BT68" i="4"/>
  <c r="BV68" i="4"/>
  <c r="BN68" i="4"/>
  <c r="CC68" i="4"/>
  <c r="BC68" i="4"/>
  <c r="BQ68" i="4"/>
  <c r="BJ68" i="4"/>
  <c r="AZ68" i="4"/>
  <c r="BO68" i="4"/>
  <c r="BP68" i="4"/>
  <c r="DJ68" i="4"/>
  <c r="AJ68" i="4"/>
  <c r="W68" i="4"/>
  <c r="DP68" i="4"/>
  <c r="O68" i="4"/>
  <c r="BD68" i="4"/>
  <c r="BR68" i="4"/>
  <c r="AW68" i="4"/>
  <c r="AC68" i="4"/>
  <c r="DK68" i="4"/>
  <c r="CT68" i="4"/>
  <c r="BG68" i="4"/>
  <c r="BM68" i="4"/>
  <c r="AO68" i="4"/>
  <c r="Q68" i="4"/>
  <c r="CO68" i="4"/>
  <c r="AY68" i="4"/>
  <c r="EC68" i="4"/>
  <c r="BI68" i="4"/>
  <c r="AE68" i="4"/>
  <c r="BZ68" i="4"/>
  <c r="S68" i="4"/>
  <c r="BB68" i="4"/>
  <c r="CM68" i="4"/>
  <c r="N63" i="4"/>
  <c r="C52" i="5"/>
  <c r="C64" i="4"/>
  <c r="B52" i="47"/>
  <c r="C57" i="46"/>
  <c r="L56" i="46"/>
  <c r="DF123" i="4"/>
  <c r="B65" i="46" l="1"/>
  <c r="K64" i="46"/>
  <c r="AV63" i="46"/>
  <c r="AW63" i="46"/>
  <c r="CE63" i="46"/>
  <c r="T63" i="46"/>
  <c r="BB63" i="46"/>
  <c r="CD63" i="46"/>
  <c r="DM63" i="46"/>
  <c r="CI63" i="46"/>
  <c r="AN63" i="46"/>
  <c r="BF63" i="46"/>
  <c r="BZ63" i="46"/>
  <c r="AJ63" i="46"/>
  <c r="P63" i="46"/>
  <c r="AF63" i="46"/>
  <c r="BW63" i="46"/>
  <c r="AI63" i="46"/>
  <c r="BC63" i="46"/>
  <c r="AC63" i="46"/>
  <c r="CF63" i="46"/>
  <c r="CN63" i="46"/>
  <c r="AS63" i="46"/>
  <c r="BI63" i="46"/>
  <c r="X63" i="46"/>
  <c r="BR63" i="46"/>
  <c r="AQ63" i="46"/>
  <c r="AP63" i="46"/>
  <c r="CB63" i="46"/>
  <c r="BH63" i="46"/>
  <c r="DJ63" i="46"/>
  <c r="DK63" i="46"/>
  <c r="DN63" i="46"/>
  <c r="Z63" i="46"/>
  <c r="CA63" i="46"/>
  <c r="BE63" i="46"/>
  <c r="U63" i="46"/>
  <c r="AH63" i="46"/>
  <c r="BD63" i="46"/>
  <c r="W63" i="46"/>
  <c r="BJ63" i="46"/>
  <c r="AR63" i="46"/>
  <c r="BP63" i="46"/>
  <c r="R63" i="46"/>
  <c r="DD63" i="46"/>
  <c r="DF63" i="46"/>
  <c r="BO63" i="46"/>
  <c r="CP63" i="46"/>
  <c r="AM63" i="46"/>
  <c r="AZ63" i="46"/>
  <c r="AL63" i="46"/>
  <c r="S63" i="46"/>
  <c r="CK63" i="46"/>
  <c r="CR63" i="46"/>
  <c r="AX63" i="46"/>
  <c r="BM63" i="46"/>
  <c r="CC63" i="46"/>
  <c r="BY63" i="46"/>
  <c r="AG63" i="46"/>
  <c r="BL63" i="46"/>
  <c r="CO63" i="46"/>
  <c r="AT63" i="46"/>
  <c r="Q63" i="46"/>
  <c r="CJ63" i="46"/>
  <c r="BU63" i="46"/>
  <c r="AE63" i="46"/>
  <c r="BA63" i="46"/>
  <c r="CG63" i="46"/>
  <c r="AA63" i="46"/>
  <c r="BG63" i="46"/>
  <c r="BS63" i="46"/>
  <c r="V63" i="46"/>
  <c r="Y63" i="46"/>
  <c r="DI63" i="46"/>
  <c r="DE63" i="46"/>
  <c r="DL63" i="46"/>
  <c r="AK63" i="46"/>
  <c r="BQ63" i="46"/>
  <c r="BV63" i="46"/>
  <c r="AO63" i="46"/>
  <c r="CM63" i="46"/>
  <c r="EA63" i="46"/>
  <c r="N63" i="46"/>
  <c r="DG63" i="46"/>
  <c r="DO63" i="46"/>
  <c r="AU63" i="46"/>
  <c r="BT63" i="46"/>
  <c r="AY63" i="46"/>
  <c r="DH63" i="46"/>
  <c r="BN63" i="46"/>
  <c r="O63" i="46"/>
  <c r="CL63" i="46"/>
  <c r="AB63" i="46"/>
  <c r="CQ63" i="46"/>
  <c r="AD63" i="46"/>
  <c r="BK63" i="46"/>
  <c r="BX63" i="46"/>
  <c r="M63" i="46"/>
  <c r="CH63" i="46"/>
  <c r="DC63" i="46"/>
  <c r="CE69" i="4"/>
  <c r="AS69" i="4"/>
  <c r="AU69" i="4"/>
  <c r="AX69" i="4"/>
  <c r="AK69" i="4"/>
  <c r="AJ69" i="4"/>
  <c r="AG69" i="4"/>
  <c r="Y69" i="4"/>
  <c r="DR69" i="4"/>
  <c r="DP69" i="46" s="1"/>
  <c r="CQ69" i="4"/>
  <c r="DK69" i="4"/>
  <c r="BA69" i="4"/>
  <c r="BK69" i="4"/>
  <c r="CF69" i="4"/>
  <c r="BP69" i="4"/>
  <c r="BB69" i="4"/>
  <c r="DH69" i="4"/>
  <c r="BY69" i="4"/>
  <c r="BO69" i="4"/>
  <c r="DI69" i="4"/>
  <c r="P69" i="4"/>
  <c r="CT69" i="4"/>
  <c r="X69" i="4"/>
  <c r="AV69" i="4"/>
  <c r="AO69" i="4"/>
  <c r="AD69" i="4"/>
  <c r="AE69" i="4"/>
  <c r="AF69" i="4"/>
  <c r="V69" i="4"/>
  <c r="AR69" i="4"/>
  <c r="U69" i="4"/>
  <c r="CO69" i="4"/>
  <c r="CM69" i="4"/>
  <c r="DP69" i="4"/>
  <c r="DL69" i="4"/>
  <c r="AY69" i="4"/>
  <c r="BH69" i="4"/>
  <c r="BL69" i="4"/>
  <c r="BZ69" i="4"/>
  <c r="BU69" i="4"/>
  <c r="BJ69" i="4"/>
  <c r="BC69" i="4"/>
  <c r="AZ69" i="4"/>
  <c r="BS69" i="4"/>
  <c r="CB69" i="4"/>
  <c r="CC69" i="4"/>
  <c r="DM69" i="4"/>
  <c r="AW69" i="4"/>
  <c r="AN69" i="4"/>
  <c r="AH69" i="4"/>
  <c r="AI69" i="4"/>
  <c r="AQ69" i="4"/>
  <c r="Z69" i="4"/>
  <c r="T69" i="4"/>
  <c r="AC69" i="4"/>
  <c r="CJ69" i="4"/>
  <c r="CN69" i="4"/>
  <c r="DQ69" i="4"/>
  <c r="BE69" i="4"/>
  <c r="CI69" i="4"/>
  <c r="AA69" i="4"/>
  <c r="CG69" i="4"/>
  <c r="EC69" i="4"/>
  <c r="BV69" i="4"/>
  <c r="CS69" i="4"/>
  <c r="BD69" i="4"/>
  <c r="BN69" i="4"/>
  <c r="BG69" i="4"/>
  <c r="BX69" i="4"/>
  <c r="BR69" i="4"/>
  <c r="CH69" i="4"/>
  <c r="AT69" i="4"/>
  <c r="AB69" i="4"/>
  <c r="BF69" i="4"/>
  <c r="CD69" i="4"/>
  <c r="BM69" i="4"/>
  <c r="O69" i="4"/>
  <c r="AM69" i="4"/>
  <c r="W69" i="4"/>
  <c r="CP69" i="4"/>
  <c r="CK69" i="4"/>
  <c r="BT69" i="4"/>
  <c r="CR69" i="4"/>
  <c r="BI69" i="4"/>
  <c r="AL69" i="4"/>
  <c r="S69" i="4"/>
  <c r="CL69" i="4"/>
  <c r="DJ69" i="4"/>
  <c r="R69" i="4"/>
  <c r="AP69" i="4"/>
  <c r="BQ69" i="4"/>
  <c r="Q69" i="4"/>
  <c r="CA69" i="4"/>
  <c r="DN69" i="4"/>
  <c r="BW69" i="4"/>
  <c r="DO69" i="4"/>
  <c r="C53" i="5"/>
  <c r="B53" i="47"/>
  <c r="N64" i="4"/>
  <c r="C65" i="4"/>
  <c r="B71" i="4"/>
  <c r="M70" i="4"/>
  <c r="A59" i="47"/>
  <c r="B59" i="5"/>
  <c r="C58" i="46"/>
  <c r="L57" i="46"/>
  <c r="DF124" i="4"/>
  <c r="Q64" i="46" l="1"/>
  <c r="CG64" i="46"/>
  <c r="CM64" i="46"/>
  <c r="AR64" i="46"/>
  <c r="BH64" i="46"/>
  <c r="R64" i="46"/>
  <c r="BX64" i="46"/>
  <c r="CL64" i="46"/>
  <c r="BG64" i="46"/>
  <c r="CA64" i="46"/>
  <c r="AK64" i="46"/>
  <c r="CH64" i="46"/>
  <c r="AM64" i="46"/>
  <c r="BE64" i="46"/>
  <c r="BW64" i="46"/>
  <c r="AI64" i="46"/>
  <c r="BU64" i="46"/>
  <c r="CO64" i="46"/>
  <c r="BN64" i="46"/>
  <c r="U64" i="46"/>
  <c r="CI64" i="46"/>
  <c r="DH64" i="46"/>
  <c r="DJ64" i="46"/>
  <c r="DK64" i="46"/>
  <c r="AA64" i="46"/>
  <c r="AF64" i="46"/>
  <c r="BT64" i="46"/>
  <c r="M64" i="46"/>
  <c r="AZ64" i="46"/>
  <c r="AC64" i="46"/>
  <c r="CK64" i="46"/>
  <c r="EA64" i="46"/>
  <c r="AY64" i="46"/>
  <c r="BO64" i="46"/>
  <c r="S64" i="46"/>
  <c r="CF64" i="46"/>
  <c r="CQ64" i="46"/>
  <c r="AW64" i="46"/>
  <c r="BL64" i="46"/>
  <c r="AD64" i="46"/>
  <c r="AE64" i="46"/>
  <c r="AT64" i="46"/>
  <c r="BV64" i="46"/>
  <c r="AV64" i="46"/>
  <c r="CN64" i="46"/>
  <c r="DI64" i="46"/>
  <c r="DC64" i="46"/>
  <c r="DE64" i="46"/>
  <c r="O64" i="46"/>
  <c r="DN64" i="46"/>
  <c r="T64" i="46"/>
  <c r="BY64" i="46"/>
  <c r="AH64" i="46"/>
  <c r="BI64" i="46"/>
  <c r="CD64" i="46"/>
  <c r="AQ64" i="46"/>
  <c r="X64" i="46"/>
  <c r="CJ64" i="46"/>
  <c r="CB64" i="46"/>
  <c r="AL64" i="46"/>
  <c r="BF64" i="46"/>
  <c r="V64" i="46"/>
  <c r="BP64" i="46"/>
  <c r="BZ64" i="46"/>
  <c r="AJ64" i="46"/>
  <c r="BD64" i="46"/>
  <c r="AN64" i="46"/>
  <c r="W64" i="46"/>
  <c r="BJ64" i="46"/>
  <c r="AS64" i="46"/>
  <c r="Z64" i="46"/>
  <c r="DG64" i="46"/>
  <c r="DL64" i="46"/>
  <c r="Y64" i="46"/>
  <c r="BQ64" i="46"/>
  <c r="AG64" i="46"/>
  <c r="BA64" i="46"/>
  <c r="BS64" i="46"/>
  <c r="N64" i="46"/>
  <c r="P64" i="46"/>
  <c r="AO64" i="46"/>
  <c r="BR64" i="46"/>
  <c r="CR64" i="46"/>
  <c r="AX64" i="46"/>
  <c r="AB64" i="46"/>
  <c r="AP64" i="46"/>
  <c r="BM64" i="46"/>
  <c r="CP64" i="46"/>
  <c r="AU64" i="46"/>
  <c r="BC64" i="46"/>
  <c r="CE64" i="46"/>
  <c r="CC64" i="46"/>
  <c r="BB64" i="46"/>
  <c r="BK64" i="46"/>
  <c r="DD64" i="46"/>
  <c r="DM64" i="46"/>
  <c r="DF64" i="46"/>
  <c r="DO64" i="46"/>
  <c r="K65" i="46"/>
  <c r="B66" i="46"/>
  <c r="C54" i="5"/>
  <c r="C66" i="4"/>
  <c r="B54" i="47"/>
  <c r="N65" i="4"/>
  <c r="DM70" i="4"/>
  <c r="AU70" i="4"/>
  <c r="AN70" i="4"/>
  <c r="AR70" i="4"/>
  <c r="AL70" i="4"/>
  <c r="AC70" i="4"/>
  <c r="Q70" i="4"/>
  <c r="W70" i="4"/>
  <c r="AJ70" i="4"/>
  <c r="CP70" i="4"/>
  <c r="CN70" i="4"/>
  <c r="DQ70" i="4"/>
  <c r="BE70" i="4"/>
  <c r="CI70" i="4"/>
  <c r="CS70" i="4"/>
  <c r="AA70" i="4"/>
  <c r="BR70" i="4"/>
  <c r="DI70" i="4"/>
  <c r="CG70" i="4"/>
  <c r="CH70" i="4"/>
  <c r="BC70" i="4"/>
  <c r="BO70" i="4"/>
  <c r="BV70" i="4"/>
  <c r="BS70" i="4"/>
  <c r="CF70" i="4"/>
  <c r="DN70" i="4"/>
  <c r="AT70" i="4"/>
  <c r="AS70" i="4"/>
  <c r="AO70" i="4"/>
  <c r="AX70" i="4"/>
  <c r="AI70" i="4"/>
  <c r="AE70" i="4"/>
  <c r="T70" i="4"/>
  <c r="V70" i="4"/>
  <c r="CO70" i="4"/>
  <c r="CL70" i="4"/>
  <c r="DK70" i="4"/>
  <c r="BA70" i="4"/>
  <c r="CK70" i="4"/>
  <c r="R70" i="4"/>
  <c r="BP70" i="4"/>
  <c r="BX70" i="4"/>
  <c r="BG70" i="4"/>
  <c r="DH70" i="4"/>
  <c r="CR70" i="4"/>
  <c r="AZ70" i="4"/>
  <c r="CD70" i="4"/>
  <c r="BM70" i="4"/>
  <c r="CB70" i="4"/>
  <c r="BZ70" i="4"/>
  <c r="CE70" i="4"/>
  <c r="AM70" i="4"/>
  <c r="AG70" i="4"/>
  <c r="AD70" i="4"/>
  <c r="AF70" i="4"/>
  <c r="AP70" i="4"/>
  <c r="U70" i="4"/>
  <c r="Y70" i="4"/>
  <c r="DR70" i="4"/>
  <c r="DP70" i="46" s="1"/>
  <c r="CQ70" i="4"/>
  <c r="DL70" i="4"/>
  <c r="BF70" i="4"/>
  <c r="BK70" i="4"/>
  <c r="BL70" i="4"/>
  <c r="P70" i="4"/>
  <c r="DJ70" i="4"/>
  <c r="BY70" i="4"/>
  <c r="BD70" i="4"/>
  <c r="BN70" i="4"/>
  <c r="X70" i="4"/>
  <c r="O70" i="4"/>
  <c r="BJ70" i="4"/>
  <c r="CA70" i="4"/>
  <c r="AK70" i="4"/>
  <c r="Z70" i="4"/>
  <c r="CM70" i="4"/>
  <c r="BU70" i="4"/>
  <c r="BH70" i="4"/>
  <c r="AH70" i="4"/>
  <c r="S70" i="4"/>
  <c r="DP70" i="4"/>
  <c r="CT70" i="4"/>
  <c r="BQ70" i="4"/>
  <c r="AW70" i="4"/>
  <c r="AQ70" i="4"/>
  <c r="DO70" i="4"/>
  <c r="BI70" i="4"/>
  <c r="BB70" i="4"/>
  <c r="BT70" i="4"/>
  <c r="AB70" i="4"/>
  <c r="BW70" i="4"/>
  <c r="CJ70" i="4"/>
  <c r="CC70" i="4"/>
  <c r="AY70" i="4"/>
  <c r="EC70" i="4"/>
  <c r="AV70" i="4"/>
  <c r="B72" i="4"/>
  <c r="M71" i="4"/>
  <c r="B60" i="5"/>
  <c r="A60" i="47"/>
  <c r="L58" i="46"/>
  <c r="C59" i="46"/>
  <c r="DF125" i="4"/>
  <c r="B67" i="46" l="1"/>
  <c r="K66" i="46"/>
  <c r="Z65" i="46"/>
  <c r="CG65" i="46"/>
  <c r="CQ65" i="46"/>
  <c r="AW65" i="46"/>
  <c r="BL65" i="46"/>
  <c r="S65" i="46"/>
  <c r="BX65" i="46"/>
  <c r="AP65" i="46"/>
  <c r="BC65" i="46"/>
  <c r="BU65" i="46"/>
  <c r="AE65" i="46"/>
  <c r="P65" i="46"/>
  <c r="AM65" i="46"/>
  <c r="BI65" i="46"/>
  <c r="CD65" i="46"/>
  <c r="AQ65" i="46"/>
  <c r="AL65" i="46"/>
  <c r="AH65" i="46"/>
  <c r="V65" i="46"/>
  <c r="AK65" i="46"/>
  <c r="CK65" i="46"/>
  <c r="DG65" i="46"/>
  <c r="BJ65" i="46"/>
  <c r="BA65" i="46"/>
  <c r="BF65" i="46"/>
  <c r="X65" i="46"/>
  <c r="DM65" i="46"/>
  <c r="DI65" i="46"/>
  <c r="BY65" i="46"/>
  <c r="CP65" i="46"/>
  <c r="CF65" i="46"/>
  <c r="O65" i="46"/>
  <c r="AC65" i="46"/>
  <c r="CM65" i="46"/>
  <c r="BH65" i="46"/>
  <c r="R65" i="46"/>
  <c r="BG65" i="46"/>
  <c r="DN65" i="46"/>
  <c r="DL65" i="46"/>
  <c r="AB65" i="46"/>
  <c r="AF65" i="46"/>
  <c r="BZ65" i="46"/>
  <c r="AJ65" i="46"/>
  <c r="BD65" i="46"/>
  <c r="Y65" i="46"/>
  <c r="CO65" i="46"/>
  <c r="AT65" i="46"/>
  <c r="T65" i="46"/>
  <c r="CI65" i="46"/>
  <c r="CL65" i="46"/>
  <c r="BS65" i="46"/>
  <c r="N65" i="46"/>
  <c r="AG65" i="46"/>
  <c r="BO65" i="46"/>
  <c r="DH65" i="46"/>
  <c r="CC65" i="46"/>
  <c r="AN65" i="46"/>
  <c r="BM65" i="46"/>
  <c r="AU65" i="46"/>
  <c r="BV65" i="46"/>
  <c r="BB65" i="46"/>
  <c r="CE65" i="46"/>
  <c r="AR65" i="46"/>
  <c r="BN65" i="46"/>
  <c r="CR65" i="46"/>
  <c r="AA65" i="46"/>
  <c r="DJ65" i="46"/>
  <c r="U65" i="46"/>
  <c r="BQ65" i="46"/>
  <c r="AV65" i="46"/>
  <c r="BE65" i="46"/>
  <c r="BW65" i="46"/>
  <c r="AI65" i="46"/>
  <c r="W65" i="46"/>
  <c r="AO65" i="46"/>
  <c r="BK65" i="46"/>
  <c r="CN65" i="46"/>
  <c r="AS65" i="46"/>
  <c r="Q65" i="46"/>
  <c r="BP65" i="46"/>
  <c r="BT65" i="46"/>
  <c r="M65" i="46"/>
  <c r="AZ65" i="46"/>
  <c r="CB65" i="46"/>
  <c r="CH65" i="46"/>
  <c r="AX65" i="46"/>
  <c r="CA65" i="46"/>
  <c r="AY65" i="46"/>
  <c r="DD65" i="46"/>
  <c r="DK65" i="46"/>
  <c r="DF65" i="46"/>
  <c r="DO65" i="46"/>
  <c r="DC65" i="46"/>
  <c r="DE65" i="46"/>
  <c r="CJ65" i="46"/>
  <c r="BR65" i="46"/>
  <c r="AD65" i="46"/>
  <c r="EA65" i="46"/>
  <c r="CE71" i="4"/>
  <c r="AN71" i="4"/>
  <c r="AO71" i="4"/>
  <c r="AG71" i="4"/>
  <c r="AD71" i="4"/>
  <c r="T71" i="4"/>
  <c r="AP71" i="4"/>
  <c r="Q71" i="4"/>
  <c r="DR71" i="4"/>
  <c r="DP71" i="46" s="1"/>
  <c r="CQ71" i="4"/>
  <c r="DL71" i="4"/>
  <c r="BA71" i="4"/>
  <c r="BK71" i="4"/>
  <c r="DJ71" i="4"/>
  <c r="BG71" i="4"/>
  <c r="R71" i="4"/>
  <c r="BX71" i="4"/>
  <c r="CA71" i="4"/>
  <c r="BS71" i="4"/>
  <c r="BI71" i="4"/>
  <c r="BR71" i="4"/>
  <c r="BD71" i="4"/>
  <c r="BQ71" i="4"/>
  <c r="AV71" i="4"/>
  <c r="AW71" i="4"/>
  <c r="AF71" i="4"/>
  <c r="AK71" i="4"/>
  <c r="AL71" i="4"/>
  <c r="Z71" i="4"/>
  <c r="AE71" i="4"/>
  <c r="AH71" i="4"/>
  <c r="CO71" i="4"/>
  <c r="CM71" i="4"/>
  <c r="DP71" i="4"/>
  <c r="DO71" i="4"/>
  <c r="AY71" i="4"/>
  <c r="BY71" i="4"/>
  <c r="CB71" i="4"/>
  <c r="BO71" i="4"/>
  <c r="BJ71" i="4"/>
  <c r="CS71" i="4"/>
  <c r="BV71" i="4"/>
  <c r="BW71" i="4"/>
  <c r="DI71" i="4"/>
  <c r="BM71" i="4"/>
  <c r="DM71" i="4"/>
  <c r="AU71" i="4"/>
  <c r="AS71" i="4"/>
  <c r="AJ71" i="4"/>
  <c r="AR71" i="4"/>
  <c r="AB71" i="4"/>
  <c r="W71" i="4"/>
  <c r="AC71" i="4"/>
  <c r="Y71" i="4"/>
  <c r="CP71" i="4"/>
  <c r="CN71" i="4"/>
  <c r="DQ71" i="4"/>
  <c r="BE71" i="4"/>
  <c r="CI71" i="4"/>
  <c r="EC71" i="4"/>
  <c r="CG71" i="4"/>
  <c r="CC71" i="4"/>
  <c r="BZ71" i="4"/>
  <c r="P71" i="4"/>
  <c r="CD71" i="4"/>
  <c r="BP71" i="4"/>
  <c r="CR71" i="4"/>
  <c r="O71" i="4"/>
  <c r="BB71" i="4"/>
  <c r="DN71" i="4"/>
  <c r="AI71" i="4"/>
  <c r="S71" i="4"/>
  <c r="DK71" i="4"/>
  <c r="AA71" i="4"/>
  <c r="X71" i="4"/>
  <c r="BC71" i="4"/>
  <c r="AT71" i="4"/>
  <c r="AX71" i="4"/>
  <c r="BF71" i="4"/>
  <c r="CH71" i="4"/>
  <c r="DH71" i="4"/>
  <c r="CF71" i="4"/>
  <c r="AM71" i="4"/>
  <c r="V71" i="4"/>
  <c r="CJ71" i="4"/>
  <c r="CK71" i="4"/>
  <c r="BU71" i="4"/>
  <c r="CT71" i="4"/>
  <c r="U71" i="4"/>
  <c r="BT71" i="4"/>
  <c r="CL71" i="4"/>
  <c r="BL71" i="4"/>
  <c r="AZ71" i="4"/>
  <c r="BN71" i="4"/>
  <c r="AQ71" i="4"/>
  <c r="BH71" i="4"/>
  <c r="B73" i="4"/>
  <c r="B61" i="5"/>
  <c r="A61" i="47"/>
  <c r="M72" i="4"/>
  <c r="B55" i="47"/>
  <c r="C55" i="5"/>
  <c r="C67" i="4"/>
  <c r="N66" i="4"/>
  <c r="C60" i="46"/>
  <c r="L59" i="46"/>
  <c r="DF126" i="4"/>
  <c r="R66" i="46" l="1"/>
  <c r="BY66" i="46"/>
  <c r="AM66" i="46"/>
  <c r="AY66" i="46"/>
  <c r="BS66" i="46"/>
  <c r="N66" i="46"/>
  <c r="W66" i="46"/>
  <c r="AP66" i="46"/>
  <c r="BM66" i="46"/>
  <c r="CR66" i="46"/>
  <c r="AX66" i="46"/>
  <c r="Z66" i="46"/>
  <c r="BN66" i="46"/>
  <c r="BV66" i="46"/>
  <c r="O66" i="46"/>
  <c r="BD66" i="46"/>
  <c r="BQ66" i="46"/>
  <c r="BJ66" i="46"/>
  <c r="M66" i="46"/>
  <c r="BI66" i="46"/>
  <c r="CI66" i="46"/>
  <c r="AN66" i="46"/>
  <c r="DI66" i="46"/>
  <c r="DM66" i="46"/>
  <c r="DL66" i="46"/>
  <c r="AC66" i="46"/>
  <c r="CJ66" i="46"/>
  <c r="CB66" i="46"/>
  <c r="AL66" i="46"/>
  <c r="BH66" i="46"/>
  <c r="T66" i="46"/>
  <c r="BX66" i="46"/>
  <c r="AV66" i="46"/>
  <c r="BE66" i="46"/>
  <c r="CA66" i="46"/>
  <c r="AK66" i="46"/>
  <c r="AB66" i="46"/>
  <c r="AG66" i="46"/>
  <c r="BK66" i="46"/>
  <c r="CP66" i="46"/>
  <c r="AU66" i="46"/>
  <c r="CL66" i="46"/>
  <c r="P66" i="46"/>
  <c r="BB66" i="46"/>
  <c r="CN66" i="46"/>
  <c r="BU66" i="46"/>
  <c r="DD66" i="46"/>
  <c r="DN66" i="46"/>
  <c r="DF66" i="46"/>
  <c r="DO66" i="46"/>
  <c r="Q66" i="46"/>
  <c r="CE66" i="46"/>
  <c r="BR66" i="46"/>
  <c r="EA66" i="46"/>
  <c r="AZ66" i="46"/>
  <c r="V66" i="46"/>
  <c r="CF66" i="46"/>
  <c r="CQ66" i="46"/>
  <c r="AW66" i="46"/>
  <c r="BO66" i="46"/>
  <c r="CC66" i="46"/>
  <c r="CH66" i="46"/>
  <c r="AH66" i="46"/>
  <c r="BC66" i="46"/>
  <c r="BW66" i="46"/>
  <c r="AI66" i="46"/>
  <c r="CM66" i="46"/>
  <c r="CK66" i="46"/>
  <c r="S66" i="46"/>
  <c r="AS66" i="46"/>
  <c r="AE66" i="46"/>
  <c r="DE66" i="46"/>
  <c r="DK66" i="46"/>
  <c r="DC66" i="46"/>
  <c r="AA66" i="46"/>
  <c r="AO66" i="46"/>
  <c r="BG66" i="46"/>
  <c r="CD66" i="46"/>
  <c r="AQ66" i="46"/>
  <c r="X66" i="46"/>
  <c r="BP66" i="46"/>
  <c r="BZ66" i="46"/>
  <c r="AJ66" i="46"/>
  <c r="BF66" i="46"/>
  <c r="U66" i="46"/>
  <c r="CG66" i="46"/>
  <c r="CO66" i="46"/>
  <c r="AT66" i="46"/>
  <c r="BL66" i="46"/>
  <c r="AD66" i="46"/>
  <c r="AR66" i="46"/>
  <c r="BT66" i="46"/>
  <c r="AF66" i="46"/>
  <c r="BA66" i="46"/>
  <c r="Y66" i="46"/>
  <c r="DH66" i="46"/>
  <c r="DG66" i="46"/>
  <c r="DJ66" i="46"/>
  <c r="B68" i="46"/>
  <c r="K67" i="46"/>
  <c r="AW72" i="4"/>
  <c r="AN72" i="4"/>
  <c r="AE72" i="4"/>
  <c r="AJ72" i="4"/>
  <c r="AC72" i="4"/>
  <c r="AK72" i="4"/>
  <c r="Y72" i="4"/>
  <c r="Q72" i="4"/>
  <c r="CO72" i="4"/>
  <c r="CM72" i="4"/>
  <c r="DP72" i="4"/>
  <c r="DK72" i="4"/>
  <c r="AY72" i="4"/>
  <c r="BH72" i="4"/>
  <c r="P72" i="4"/>
  <c r="BW72" i="4"/>
  <c r="BZ72" i="4"/>
  <c r="BD72" i="4"/>
  <c r="BJ72" i="4"/>
  <c r="CD72" i="4"/>
  <c r="BI72" i="4"/>
  <c r="BR72" i="4"/>
  <c r="DJ72" i="4"/>
  <c r="DM72" i="4"/>
  <c r="AS72" i="4"/>
  <c r="AU72" i="4"/>
  <c r="AI72" i="4"/>
  <c r="AQ72" i="4"/>
  <c r="AG72" i="4"/>
  <c r="AB72" i="4"/>
  <c r="S72" i="4"/>
  <c r="AX72" i="4"/>
  <c r="CJ72" i="4"/>
  <c r="CN72" i="4"/>
  <c r="DQ72" i="4"/>
  <c r="BE72" i="4"/>
  <c r="BK72" i="4"/>
  <c r="X72" i="4"/>
  <c r="BG72" i="4"/>
  <c r="BV72" i="4"/>
  <c r="O72" i="4"/>
  <c r="BL72" i="4"/>
  <c r="CH72" i="4"/>
  <c r="CB72" i="4"/>
  <c r="BU72" i="4"/>
  <c r="BQ72" i="4"/>
  <c r="CA72" i="4"/>
  <c r="DN72" i="4"/>
  <c r="AV72" i="4"/>
  <c r="AM72" i="4"/>
  <c r="AP72" i="4"/>
  <c r="AD72" i="4"/>
  <c r="AR72" i="4"/>
  <c r="AH72" i="4"/>
  <c r="Z72" i="4"/>
  <c r="T72" i="4"/>
  <c r="CP72" i="4"/>
  <c r="CL72" i="4"/>
  <c r="DL72" i="4"/>
  <c r="BF72" i="4"/>
  <c r="CK72" i="4"/>
  <c r="BX72" i="4"/>
  <c r="BP72" i="4"/>
  <c r="BT72" i="4"/>
  <c r="BO72" i="4"/>
  <c r="BS72" i="4"/>
  <c r="CF72" i="4"/>
  <c r="CR72" i="4"/>
  <c r="CG72" i="4"/>
  <c r="BY72" i="4"/>
  <c r="CC72" i="4"/>
  <c r="AT72" i="4"/>
  <c r="V72" i="4"/>
  <c r="CI72" i="4"/>
  <c r="BB72" i="4"/>
  <c r="BM72" i="4"/>
  <c r="AF72" i="4"/>
  <c r="W72" i="4"/>
  <c r="CQ72" i="4"/>
  <c r="AA72" i="4"/>
  <c r="DH72" i="4"/>
  <c r="CS72" i="4"/>
  <c r="CE72" i="4"/>
  <c r="AL72" i="4"/>
  <c r="DO72" i="4"/>
  <c r="BC72" i="4"/>
  <c r="CT72" i="4"/>
  <c r="R72" i="4"/>
  <c r="DR72" i="4"/>
  <c r="DP72" i="46" s="1"/>
  <c r="AO72" i="4"/>
  <c r="BA72" i="4"/>
  <c r="DI72" i="4"/>
  <c r="U72" i="4"/>
  <c r="BN72" i="4"/>
  <c r="AZ72" i="4"/>
  <c r="EC72" i="4"/>
  <c r="C56" i="5"/>
  <c r="B56" i="47"/>
  <c r="N67" i="4"/>
  <c r="C68" i="4"/>
  <c r="B74" i="4"/>
  <c r="A62" i="47"/>
  <c r="B62" i="5"/>
  <c r="M73" i="4"/>
  <c r="C61" i="46"/>
  <c r="L60" i="46"/>
  <c r="DF127" i="4"/>
  <c r="CC67" i="46" l="1"/>
  <c r="CI67" i="46"/>
  <c r="CL67" i="46"/>
  <c r="BF67" i="46"/>
  <c r="CB67" i="46"/>
  <c r="AL67" i="46"/>
  <c r="W67" i="46"/>
  <c r="AF67" i="46"/>
  <c r="BW67" i="46"/>
  <c r="AI67" i="46"/>
  <c r="BE67" i="46"/>
  <c r="V67" i="46"/>
  <c r="CF67" i="46"/>
  <c r="CN67" i="46"/>
  <c r="AS67" i="46"/>
  <c r="BK67" i="46"/>
  <c r="R67" i="46"/>
  <c r="N67" i="46"/>
  <c r="BH67" i="46"/>
  <c r="CE67" i="46"/>
  <c r="AQ67" i="46"/>
  <c r="AC67" i="46"/>
  <c r="DI67" i="46"/>
  <c r="DK67" i="46"/>
  <c r="DL67" i="46"/>
  <c r="U67" i="46"/>
  <c r="CG67" i="46"/>
  <c r="CR67" i="46"/>
  <c r="AX67" i="46"/>
  <c r="BR67" i="46"/>
  <c r="S67" i="46"/>
  <c r="BY67" i="46"/>
  <c r="AG67" i="46"/>
  <c r="BL67" i="46"/>
  <c r="CQ67" i="46"/>
  <c r="AW67" i="46"/>
  <c r="X67" i="46"/>
  <c r="CJ67" i="46"/>
  <c r="BU67" i="46"/>
  <c r="AE67" i="46"/>
  <c r="BC67" i="46"/>
  <c r="CH67" i="46"/>
  <c r="BA67" i="46"/>
  <c r="CM67" i="46"/>
  <c r="AZ67" i="46"/>
  <c r="BP67" i="46"/>
  <c r="DD67" i="46"/>
  <c r="DG67" i="46"/>
  <c r="DC67" i="46"/>
  <c r="DO67" i="46"/>
  <c r="AD67" i="46"/>
  <c r="BN67" i="46"/>
  <c r="CA67" i="46"/>
  <c r="AK67" i="46"/>
  <c r="BG67" i="46"/>
  <c r="Y67" i="46"/>
  <c r="BQ67" i="46"/>
  <c r="AH67" i="46"/>
  <c r="BD67" i="46"/>
  <c r="BZ67" i="46"/>
  <c r="AJ67" i="46"/>
  <c r="AA67" i="46"/>
  <c r="AN67" i="46"/>
  <c r="BJ67" i="46"/>
  <c r="CO67" i="46"/>
  <c r="AT67" i="46"/>
  <c r="AP67" i="46"/>
  <c r="Z67" i="46"/>
  <c r="AR67" i="46"/>
  <c r="BT67" i="46"/>
  <c r="BI67" i="46"/>
  <c r="DE67" i="46"/>
  <c r="DJ67" i="46"/>
  <c r="DN67" i="46"/>
  <c r="P67" i="46"/>
  <c r="AO67" i="46"/>
  <c r="BO67" i="46"/>
  <c r="EA67" i="46"/>
  <c r="AY67" i="46"/>
  <c r="Q67" i="46"/>
  <c r="CK67" i="46"/>
  <c r="CP67" i="46"/>
  <c r="AU67" i="46"/>
  <c r="BM67" i="46"/>
  <c r="T67" i="46"/>
  <c r="BX67" i="46"/>
  <c r="AM67" i="46"/>
  <c r="BB67" i="46"/>
  <c r="BV67" i="46"/>
  <c r="O67" i="46"/>
  <c r="BS67" i="46"/>
  <c r="AV67" i="46"/>
  <c r="AB67" i="46"/>
  <c r="M67" i="46"/>
  <c r="CD67" i="46"/>
  <c r="DH67" i="46"/>
  <c r="DM67" i="46"/>
  <c r="DF67" i="46"/>
  <c r="B69" i="46"/>
  <c r="K68" i="46"/>
  <c r="C69" i="4"/>
  <c r="N68" i="4"/>
  <c r="C57" i="5"/>
  <c r="B57" i="47"/>
  <c r="AV73" i="4"/>
  <c r="AU73" i="4"/>
  <c r="AH73" i="4"/>
  <c r="AI73" i="4"/>
  <c r="AJ73" i="4"/>
  <c r="Z73" i="4"/>
  <c r="AQ73" i="4"/>
  <c r="Q73" i="4"/>
  <c r="CO73" i="4"/>
  <c r="CM73" i="4"/>
  <c r="DP73" i="4"/>
  <c r="DL73" i="4"/>
  <c r="AY73" i="4"/>
  <c r="BC73" i="4"/>
  <c r="BX73" i="4"/>
  <c r="X73" i="4"/>
  <c r="BV73" i="4"/>
  <c r="CF73" i="4"/>
  <c r="R73" i="4"/>
  <c r="BS73" i="4"/>
  <c r="DH73" i="4"/>
  <c r="BI73" i="4"/>
  <c r="DM73" i="4"/>
  <c r="AW73" i="4"/>
  <c r="AO73" i="4"/>
  <c r="AL73" i="4"/>
  <c r="AP73" i="4"/>
  <c r="AB73" i="4"/>
  <c r="W73" i="4"/>
  <c r="T73" i="4"/>
  <c r="Y73" i="4"/>
  <c r="CJ73" i="4"/>
  <c r="CL73" i="4"/>
  <c r="DQ73" i="4"/>
  <c r="BE73" i="4"/>
  <c r="CI73" i="4"/>
  <c r="BL73" i="4"/>
  <c r="BT73" i="4"/>
  <c r="CD73" i="4"/>
  <c r="BM73" i="4"/>
  <c r="BG73" i="4"/>
  <c r="CC73" i="4"/>
  <c r="BY73" i="4"/>
  <c r="BO73" i="4"/>
  <c r="CA73" i="4"/>
  <c r="P73" i="4"/>
  <c r="DN73" i="4"/>
  <c r="AT73" i="4"/>
  <c r="AN73" i="4"/>
  <c r="AX73" i="4"/>
  <c r="AG73" i="4"/>
  <c r="AF73" i="4"/>
  <c r="AM73" i="4"/>
  <c r="AC73" i="4"/>
  <c r="S73" i="4"/>
  <c r="CP73" i="4"/>
  <c r="CQ73" i="4"/>
  <c r="DO73" i="4"/>
  <c r="BF73" i="4"/>
  <c r="CK73" i="4"/>
  <c r="BJ73" i="4"/>
  <c r="DI73" i="4"/>
  <c r="CB73" i="4"/>
  <c r="BD73" i="4"/>
  <c r="CH73" i="4"/>
  <c r="BU73" i="4"/>
  <c r="BZ73" i="4"/>
  <c r="EC73" i="4"/>
  <c r="CG73" i="4"/>
  <c r="BP73" i="4"/>
  <c r="CE73" i="4"/>
  <c r="AR73" i="4"/>
  <c r="DK73" i="4"/>
  <c r="CS73" i="4"/>
  <c r="CR73" i="4"/>
  <c r="BB73" i="4"/>
  <c r="AS73" i="4"/>
  <c r="V73" i="4"/>
  <c r="DR73" i="4"/>
  <c r="DP73" i="46" s="1"/>
  <c r="BA73" i="4"/>
  <c r="CT73" i="4"/>
  <c r="AA73" i="4"/>
  <c r="DJ73" i="4"/>
  <c r="AD73" i="4"/>
  <c r="AK73" i="4"/>
  <c r="BK73" i="4"/>
  <c r="BR73" i="4"/>
  <c r="BQ73" i="4"/>
  <c r="CN73" i="4"/>
  <c r="AE73" i="4"/>
  <c r="BW73" i="4"/>
  <c r="U73" i="4"/>
  <c r="BN73" i="4"/>
  <c r="O73" i="4"/>
  <c r="AZ73" i="4"/>
  <c r="BH73" i="4"/>
  <c r="B75" i="4"/>
  <c r="A63" i="47"/>
  <c r="M74" i="4"/>
  <c r="B63" i="5"/>
  <c r="C62" i="46"/>
  <c r="L61" i="46"/>
  <c r="DF128" i="4"/>
  <c r="R68" i="46" l="1"/>
  <c r="CK68" i="46"/>
  <c r="CP68" i="46"/>
  <c r="AU68" i="46"/>
  <c r="BM68" i="46"/>
  <c r="CC68" i="46"/>
  <c r="CH68" i="46"/>
  <c r="AM68" i="46"/>
  <c r="BB68" i="46"/>
  <c r="BV68" i="46"/>
  <c r="O68" i="46"/>
  <c r="AC68" i="46"/>
  <c r="AF68" i="46"/>
  <c r="BS68" i="46"/>
  <c r="N68" i="46"/>
  <c r="BA68" i="46"/>
  <c r="CE68" i="46"/>
  <c r="AA68" i="46"/>
  <c r="BG68" i="46"/>
  <c r="BO68" i="46"/>
  <c r="Z68" i="46"/>
  <c r="AD68" i="46"/>
  <c r="DK68" i="46"/>
  <c r="DL68" i="46"/>
  <c r="Q68" i="46"/>
  <c r="BP68" i="46"/>
  <c r="BW68" i="46"/>
  <c r="AI68" i="46"/>
  <c r="BE68" i="46"/>
  <c r="U68" i="46"/>
  <c r="CG68" i="46"/>
  <c r="CN68" i="46"/>
  <c r="AS68" i="46"/>
  <c r="BK68" i="46"/>
  <c r="S68" i="46"/>
  <c r="BY68" i="46"/>
  <c r="AP68" i="46"/>
  <c r="BH68" i="46"/>
  <c r="CM68" i="46"/>
  <c r="AR68" i="46"/>
  <c r="CR68" i="46"/>
  <c r="CF68" i="46"/>
  <c r="T68" i="46"/>
  <c r="EA68" i="46"/>
  <c r="CL68" i="46"/>
  <c r="DD68" i="46"/>
  <c r="DF68" i="46"/>
  <c r="DC68" i="46"/>
  <c r="DO68" i="46"/>
  <c r="Y68" i="46"/>
  <c r="AV68" i="46"/>
  <c r="BL68" i="46"/>
  <c r="CQ68" i="46"/>
  <c r="AW68" i="46"/>
  <c r="X68" i="46"/>
  <c r="BN68" i="46"/>
  <c r="BU68" i="46"/>
  <c r="AE68" i="46"/>
  <c r="BC68" i="46"/>
  <c r="V68" i="46"/>
  <c r="BQ68" i="46"/>
  <c r="AH68" i="46"/>
  <c r="AZ68" i="46"/>
  <c r="BT68" i="46"/>
  <c r="M68" i="46"/>
  <c r="AX68" i="46"/>
  <c r="CA68" i="46"/>
  <c r="BX68" i="46"/>
  <c r="AY68" i="46"/>
  <c r="AL68" i="46"/>
  <c r="DI68" i="46"/>
  <c r="DG68" i="46"/>
  <c r="DE68" i="46"/>
  <c r="CI68" i="46"/>
  <c r="AN68" i="46"/>
  <c r="BD68" i="46"/>
  <c r="BZ68" i="46"/>
  <c r="AJ68" i="46"/>
  <c r="P68" i="46"/>
  <c r="AG68" i="46"/>
  <c r="BJ68" i="46"/>
  <c r="CO68" i="46"/>
  <c r="AT68" i="46"/>
  <c r="AB68" i="46"/>
  <c r="CJ68" i="46"/>
  <c r="CD68" i="46"/>
  <c r="AQ68" i="46"/>
  <c r="BI68" i="46"/>
  <c r="W68" i="46"/>
  <c r="BR68" i="46"/>
  <c r="AK68" i="46"/>
  <c r="AO68" i="46"/>
  <c r="CB68" i="46"/>
  <c r="BF68" i="46"/>
  <c r="DN68" i="46"/>
  <c r="DM68" i="46"/>
  <c r="DJ68" i="46"/>
  <c r="DH68" i="46"/>
  <c r="K69" i="46"/>
  <c r="B70" i="46"/>
  <c r="DM74" i="4"/>
  <c r="AU74" i="4"/>
  <c r="AM74" i="4"/>
  <c r="AK74" i="4"/>
  <c r="AL74" i="4"/>
  <c r="AE74" i="4"/>
  <c r="Q74" i="4"/>
  <c r="AF74" i="4"/>
  <c r="S74" i="4"/>
  <c r="CO74" i="4"/>
  <c r="CN74" i="4"/>
  <c r="DQ74" i="4"/>
  <c r="BE74" i="4"/>
  <c r="CI74" i="4"/>
  <c r="CA74" i="4"/>
  <c r="CD74" i="4"/>
  <c r="DH74" i="4"/>
  <c r="CR74" i="4"/>
  <c r="BG74" i="4"/>
  <c r="BL74" i="4"/>
  <c r="EC74" i="4"/>
  <c r="BI74" i="4"/>
  <c r="BJ74" i="4"/>
  <c r="BQ74" i="4"/>
  <c r="DN74" i="4"/>
  <c r="AT74" i="4"/>
  <c r="AO74" i="4"/>
  <c r="AR74" i="4"/>
  <c r="AX74" i="4"/>
  <c r="AP74" i="4"/>
  <c r="U74" i="4"/>
  <c r="AQ74" i="4"/>
  <c r="V74" i="4"/>
  <c r="CP74" i="4"/>
  <c r="CL74" i="4"/>
  <c r="DK74" i="4"/>
  <c r="BA74" i="4"/>
  <c r="CK74" i="4"/>
  <c r="DJ74" i="4"/>
  <c r="BO74" i="4"/>
  <c r="CS74" i="4"/>
  <c r="BZ74" i="4"/>
  <c r="BS74" i="4"/>
  <c r="P74" i="4"/>
  <c r="BM74" i="4"/>
  <c r="CG74" i="4"/>
  <c r="O74" i="4"/>
  <c r="BY74" i="4"/>
  <c r="CE74" i="4"/>
  <c r="AV74" i="4"/>
  <c r="AN74" i="4"/>
  <c r="AD74" i="4"/>
  <c r="AJ74" i="4"/>
  <c r="AI74" i="4"/>
  <c r="Z74" i="4"/>
  <c r="T74" i="4"/>
  <c r="DR74" i="4"/>
  <c r="DP74" i="46" s="1"/>
  <c r="CQ74" i="4"/>
  <c r="DL74" i="4"/>
  <c r="BF74" i="4"/>
  <c r="BK74" i="4"/>
  <c r="BX74" i="4"/>
  <c r="DI74" i="4"/>
  <c r="CC74" i="4"/>
  <c r="X74" i="4"/>
  <c r="CB74" i="4"/>
  <c r="BW74" i="4"/>
  <c r="BP74" i="4"/>
  <c r="BD74" i="4"/>
  <c r="CF74" i="4"/>
  <c r="CT74" i="4"/>
  <c r="AG74" i="4"/>
  <c r="W74" i="4"/>
  <c r="CM74" i="4"/>
  <c r="AA74" i="4"/>
  <c r="BB74" i="4"/>
  <c r="AH74" i="4"/>
  <c r="Y74" i="4"/>
  <c r="DP74" i="4"/>
  <c r="BT74" i="4"/>
  <c r="BC74" i="4"/>
  <c r="AW74" i="4"/>
  <c r="AC74" i="4"/>
  <c r="DO74" i="4"/>
  <c r="BV74" i="4"/>
  <c r="BU74" i="4"/>
  <c r="R74" i="4"/>
  <c r="AS74" i="4"/>
  <c r="AY74" i="4"/>
  <c r="BR74" i="4"/>
  <c r="AB74" i="4"/>
  <c r="CH74" i="4"/>
  <c r="BN74" i="4"/>
  <c r="BH74" i="4"/>
  <c r="CJ74" i="4"/>
  <c r="AZ74" i="4"/>
  <c r="B76" i="4"/>
  <c r="B64" i="5"/>
  <c r="M75" i="4"/>
  <c r="A64" i="47"/>
  <c r="N69" i="4"/>
  <c r="C70" i="4"/>
  <c r="C58" i="5"/>
  <c r="B58" i="47"/>
  <c r="L62" i="46"/>
  <c r="C63" i="46"/>
  <c r="DF129" i="4"/>
  <c r="B71" i="46" l="1"/>
  <c r="K70" i="46"/>
  <c r="S69" i="46"/>
  <c r="BY69" i="46"/>
  <c r="AV69" i="46"/>
  <c r="BJ69" i="46"/>
  <c r="CM69" i="46"/>
  <c r="AR69" i="46"/>
  <c r="AA69" i="46"/>
  <c r="CG69" i="46"/>
  <c r="CD69" i="46"/>
  <c r="AQ69" i="46"/>
  <c r="BG69" i="46"/>
  <c r="V69" i="46"/>
  <c r="CE69" i="46"/>
  <c r="CR69" i="46"/>
  <c r="AX69" i="46"/>
  <c r="BM69" i="46"/>
  <c r="R69" i="46"/>
  <c r="BC69" i="46"/>
  <c r="BL69" i="46"/>
  <c r="CL69" i="46"/>
  <c r="CF69" i="46"/>
  <c r="AU69" i="46"/>
  <c r="DC69" i="46"/>
  <c r="DJ69" i="46"/>
  <c r="DL69" i="46"/>
  <c r="Y69" i="46"/>
  <c r="BU69" i="46"/>
  <c r="Q69" i="46"/>
  <c r="AZ69" i="46"/>
  <c r="CI69" i="46"/>
  <c r="AI69" i="46"/>
  <c r="DM69" i="46"/>
  <c r="AD69" i="46"/>
  <c r="BQ69" i="46"/>
  <c r="AG69" i="46"/>
  <c r="BB69" i="46"/>
  <c r="BT69" i="46"/>
  <c r="M69" i="46"/>
  <c r="W69" i="46"/>
  <c r="AO69" i="46"/>
  <c r="BS69" i="46"/>
  <c r="N69" i="46"/>
  <c r="AY69" i="46"/>
  <c r="X69" i="46"/>
  <c r="BN69" i="46"/>
  <c r="CA69" i="46"/>
  <c r="AK69" i="46"/>
  <c r="BE69" i="46"/>
  <c r="BP69" i="46"/>
  <c r="Z69" i="46"/>
  <c r="CO69" i="46"/>
  <c r="BD69" i="46"/>
  <c r="BK69" i="46"/>
  <c r="DD69" i="46"/>
  <c r="DN69" i="46"/>
  <c r="DI69" i="46"/>
  <c r="DO69" i="46"/>
  <c r="AE69" i="46"/>
  <c r="EA69" i="46"/>
  <c r="CC69" i="46"/>
  <c r="BF69" i="46"/>
  <c r="BZ69" i="46"/>
  <c r="AP69" i="46"/>
  <c r="O69" i="46"/>
  <c r="DH69" i="46"/>
  <c r="P69" i="46"/>
  <c r="CK69" i="46"/>
  <c r="CN69" i="46"/>
  <c r="AS69" i="46"/>
  <c r="BI69" i="46"/>
  <c r="T69" i="46"/>
  <c r="BX69" i="46"/>
  <c r="AN69" i="46"/>
  <c r="BH69" i="46"/>
  <c r="CB69" i="46"/>
  <c r="AL69" i="46"/>
  <c r="U69" i="46"/>
  <c r="AM69" i="46"/>
  <c r="BO69" i="46"/>
  <c r="CQ69" i="46"/>
  <c r="AW69" i="46"/>
  <c r="BW69" i="46"/>
  <c r="CH69" i="46"/>
  <c r="AT69" i="46"/>
  <c r="BV69" i="46"/>
  <c r="AC69" i="46"/>
  <c r="DE69" i="46"/>
  <c r="DF69" i="46"/>
  <c r="DG69" i="46"/>
  <c r="AF69" i="46"/>
  <c r="BA69" i="46"/>
  <c r="CJ69" i="46"/>
  <c r="BR69" i="46"/>
  <c r="AH69" i="46"/>
  <c r="AJ69" i="46"/>
  <c r="AB69" i="46"/>
  <c r="CP69" i="46"/>
  <c r="DK69" i="46"/>
  <c r="B59" i="47"/>
  <c r="C59" i="5"/>
  <c r="C71" i="4"/>
  <c r="N70" i="4"/>
  <c r="CE75" i="4"/>
  <c r="AM75" i="4"/>
  <c r="AF75" i="4"/>
  <c r="AG75" i="4"/>
  <c r="AP75" i="4"/>
  <c r="AL75" i="4"/>
  <c r="AV75" i="4"/>
  <c r="AW75" i="4"/>
  <c r="AJ75" i="4"/>
  <c r="AK75" i="4"/>
  <c r="AH75" i="4"/>
  <c r="T75" i="4"/>
  <c r="AC75" i="4"/>
  <c r="AI75" i="4"/>
  <c r="CO75" i="4"/>
  <c r="CM75" i="4"/>
  <c r="DP75" i="4"/>
  <c r="DO75" i="4"/>
  <c r="AY75" i="4"/>
  <c r="DI75" i="4"/>
  <c r="BV75" i="4"/>
  <c r="BW75" i="4"/>
  <c r="BR75" i="4"/>
  <c r="BQ75" i="4"/>
  <c r="BG75" i="4"/>
  <c r="O75" i="4"/>
  <c r="BZ75" i="4"/>
  <c r="BD75" i="4"/>
  <c r="DM75" i="4"/>
  <c r="AT75" i="4"/>
  <c r="AR75" i="4"/>
  <c r="Z75" i="4"/>
  <c r="Q75" i="4"/>
  <c r="CJ75" i="4"/>
  <c r="CL75" i="4"/>
  <c r="DL75" i="4"/>
  <c r="CI75" i="4"/>
  <c r="R75" i="4"/>
  <c r="BP75" i="4"/>
  <c r="EC75" i="4"/>
  <c r="DJ75" i="4"/>
  <c r="CC75" i="4"/>
  <c r="CA75" i="4"/>
  <c r="BI75" i="4"/>
  <c r="DN75" i="4"/>
  <c r="AO75" i="4"/>
  <c r="AE75" i="4"/>
  <c r="W75" i="4"/>
  <c r="V75" i="4"/>
  <c r="CP75" i="4"/>
  <c r="CQ75" i="4"/>
  <c r="BE75" i="4"/>
  <c r="CK75" i="4"/>
  <c r="CS75" i="4"/>
  <c r="BM75" i="4"/>
  <c r="BY75" i="4"/>
  <c r="CH75" i="4"/>
  <c r="CF75" i="4"/>
  <c r="CR75" i="4"/>
  <c r="BL75" i="4"/>
  <c r="AU75" i="4"/>
  <c r="AQ75" i="4"/>
  <c r="AX75" i="4"/>
  <c r="AD75" i="4"/>
  <c r="Y75" i="4"/>
  <c r="DQ75" i="4"/>
  <c r="BF75" i="4"/>
  <c r="BK75" i="4"/>
  <c r="BX75" i="4"/>
  <c r="BU75" i="4"/>
  <c r="BS75" i="4"/>
  <c r="DH75" i="4"/>
  <c r="BB75" i="4"/>
  <c r="CG75" i="4"/>
  <c r="BC75" i="4"/>
  <c r="BO75" i="4"/>
  <c r="U75" i="4"/>
  <c r="BA75" i="4"/>
  <c r="CB75" i="4"/>
  <c r="AA75" i="4"/>
  <c r="AN75" i="4"/>
  <c r="S75" i="4"/>
  <c r="CT75" i="4"/>
  <c r="BT75" i="4"/>
  <c r="AS75" i="4"/>
  <c r="DR75" i="4"/>
  <c r="DP75" i="46" s="1"/>
  <c r="CN75" i="4"/>
  <c r="CD75" i="4"/>
  <c r="BJ75" i="4"/>
  <c r="DK75" i="4"/>
  <c r="P75" i="4"/>
  <c r="BH75" i="4"/>
  <c r="AB75" i="4"/>
  <c r="AZ75" i="4"/>
  <c r="X75" i="4"/>
  <c r="BN75" i="4"/>
  <c r="B77" i="4"/>
  <c r="B65" i="5"/>
  <c r="M76" i="4"/>
  <c r="A65" i="47"/>
  <c r="L63" i="46"/>
  <c r="C64" i="46"/>
  <c r="DF130" i="4"/>
  <c r="X70" i="46" l="1"/>
  <c r="BP70" i="46"/>
  <c r="BT70" i="46"/>
  <c r="M70" i="46"/>
  <c r="AZ70" i="46"/>
  <c r="Z70" i="46"/>
  <c r="CE70" i="46"/>
  <c r="EA70" i="46"/>
  <c r="AD70" i="46"/>
  <c r="BQ70" i="46"/>
  <c r="CL70" i="46"/>
  <c r="BE70" i="46"/>
  <c r="BW70" i="46"/>
  <c r="AI70" i="46"/>
  <c r="AT70" i="46"/>
  <c r="Y70" i="46"/>
  <c r="CA70" i="46"/>
  <c r="CF70" i="46"/>
  <c r="BU70" i="46"/>
  <c r="AP70" i="46"/>
  <c r="AX70" i="46"/>
  <c r="DE70" i="46"/>
  <c r="DC70" i="46"/>
  <c r="DM70" i="46"/>
  <c r="U70" i="46"/>
  <c r="AO70" i="46"/>
  <c r="BI70" i="46"/>
  <c r="CD70" i="46"/>
  <c r="AQ70" i="46"/>
  <c r="AB70" i="46"/>
  <c r="BN70" i="46"/>
  <c r="CB70" i="46"/>
  <c r="W70" i="46"/>
  <c r="CG70" i="46"/>
  <c r="CQ70" i="46"/>
  <c r="AW70" i="46"/>
  <c r="BL70" i="46"/>
  <c r="Q70" i="46"/>
  <c r="CN70" i="46"/>
  <c r="CJ70" i="46"/>
  <c r="BF70" i="46"/>
  <c r="CO70" i="46"/>
  <c r="BB70" i="46"/>
  <c r="CR70" i="46"/>
  <c r="BX70" i="46"/>
  <c r="DH70" i="46"/>
  <c r="DN70" i="46"/>
  <c r="DK70" i="46"/>
  <c r="BH70" i="46"/>
  <c r="BM70" i="46"/>
  <c r="AL70" i="46"/>
  <c r="DG70" i="46"/>
  <c r="CC70" i="46"/>
  <c r="CI70" i="46"/>
  <c r="AM70" i="46"/>
  <c r="BA70" i="46"/>
  <c r="BS70" i="46"/>
  <c r="N70" i="46"/>
  <c r="AC70" i="46"/>
  <c r="AN70" i="46"/>
  <c r="BR70" i="46"/>
  <c r="P70" i="46"/>
  <c r="AF70" i="46"/>
  <c r="BZ70" i="46"/>
  <c r="AJ70" i="46"/>
  <c r="BD70" i="46"/>
  <c r="AH70" i="46"/>
  <c r="BJ70" i="46"/>
  <c r="BG70" i="46"/>
  <c r="AK70" i="46"/>
  <c r="BC70" i="46"/>
  <c r="AE70" i="46"/>
  <c r="BO70" i="46"/>
  <c r="AY70" i="46"/>
  <c r="DF70" i="46"/>
  <c r="DJ70" i="46"/>
  <c r="DL70" i="46"/>
  <c r="V70" i="46"/>
  <c r="CM70" i="46"/>
  <c r="T70" i="46"/>
  <c r="AV70" i="46"/>
  <c r="BY70" i="46"/>
  <c r="CP70" i="46"/>
  <c r="AS70" i="46"/>
  <c r="AA70" i="46"/>
  <c r="R70" i="46"/>
  <c r="DD70" i="46"/>
  <c r="DO70" i="46"/>
  <c r="CK70" i="46"/>
  <c r="AR70" i="46"/>
  <c r="CH70" i="46"/>
  <c r="S70" i="46"/>
  <c r="AG70" i="46"/>
  <c r="AU70" i="46"/>
  <c r="BK70" i="46"/>
  <c r="O70" i="46"/>
  <c r="BV70" i="46"/>
  <c r="DI70" i="46"/>
  <c r="B72" i="46"/>
  <c r="K71" i="46"/>
  <c r="B78" i="4"/>
  <c r="A66" i="47"/>
  <c r="M77" i="4"/>
  <c r="B66" i="5"/>
  <c r="N71" i="4"/>
  <c r="C72" i="4"/>
  <c r="B60" i="47"/>
  <c r="C60" i="5"/>
  <c r="DM76" i="4"/>
  <c r="AS76" i="4"/>
  <c r="AT76" i="4"/>
  <c r="AP76" i="4"/>
  <c r="AM76" i="4"/>
  <c r="AK76" i="4"/>
  <c r="AL76" i="4"/>
  <c r="S76" i="4"/>
  <c r="W76" i="4"/>
  <c r="CP76" i="4"/>
  <c r="DN76" i="4"/>
  <c r="AU76" i="4"/>
  <c r="AI76" i="4"/>
  <c r="AH76" i="4"/>
  <c r="U76" i="4"/>
  <c r="Y76" i="4"/>
  <c r="T76" i="4"/>
  <c r="DR76" i="4"/>
  <c r="DP76" i="46" s="1"/>
  <c r="CN76" i="4"/>
  <c r="DQ76" i="4"/>
  <c r="BE76" i="4"/>
  <c r="CI76" i="4"/>
  <c r="BU76" i="4"/>
  <c r="CR76" i="4"/>
  <c r="CB76" i="4"/>
  <c r="CD76" i="4"/>
  <c r="CA76" i="4"/>
  <c r="BC76" i="4"/>
  <c r="BO76" i="4"/>
  <c r="BQ76" i="4"/>
  <c r="DJ76" i="4"/>
  <c r="BX76" i="4"/>
  <c r="BV76" i="4"/>
  <c r="CE76" i="4"/>
  <c r="AO76" i="4"/>
  <c r="AF76" i="4"/>
  <c r="AX76" i="4"/>
  <c r="Q76" i="4"/>
  <c r="AG76" i="4"/>
  <c r="CO76" i="4"/>
  <c r="CL76" i="4"/>
  <c r="DL76" i="4"/>
  <c r="BF76" i="4"/>
  <c r="CK76" i="4"/>
  <c r="R76" i="4"/>
  <c r="BR76" i="4"/>
  <c r="CT76" i="4"/>
  <c r="BG76" i="4"/>
  <c r="AZ76" i="4"/>
  <c r="CF76" i="4"/>
  <c r="CH76" i="4"/>
  <c r="CS76" i="4"/>
  <c r="EC76" i="4"/>
  <c r="P76" i="4"/>
  <c r="BP76" i="4"/>
  <c r="AW76" i="4"/>
  <c r="AN76" i="4"/>
  <c r="AJ76" i="4"/>
  <c r="AC76" i="4"/>
  <c r="AD76" i="4"/>
  <c r="AB76" i="4"/>
  <c r="CJ76" i="4"/>
  <c r="CQ76" i="4"/>
  <c r="DO76" i="4"/>
  <c r="BA76" i="4"/>
  <c r="BK76" i="4"/>
  <c r="O76" i="4"/>
  <c r="BB76" i="4"/>
  <c r="DI76" i="4"/>
  <c r="BM76" i="4"/>
  <c r="BS76" i="4"/>
  <c r="BY76" i="4"/>
  <c r="BW76" i="4"/>
  <c r="BL76" i="4"/>
  <c r="CG76" i="4"/>
  <c r="BZ76" i="4"/>
  <c r="AQ76" i="4"/>
  <c r="AY76" i="4"/>
  <c r="BT76" i="4"/>
  <c r="AA76" i="4"/>
  <c r="X76" i="4"/>
  <c r="AR76" i="4"/>
  <c r="CM76" i="4"/>
  <c r="BI76" i="4"/>
  <c r="DH76" i="4"/>
  <c r="AV76" i="4"/>
  <c r="V76" i="4"/>
  <c r="DP76" i="4"/>
  <c r="BN76" i="4"/>
  <c r="BJ76" i="4"/>
  <c r="AE76" i="4"/>
  <c r="BD76" i="4"/>
  <c r="DK76" i="4"/>
  <c r="BH76" i="4"/>
  <c r="Z76" i="4"/>
  <c r="CC76" i="4"/>
  <c r="L64" i="46"/>
  <c r="C65" i="46"/>
  <c r="DF131" i="4"/>
  <c r="T71" i="46" l="1"/>
  <c r="CI71" i="46"/>
  <c r="AH71" i="46"/>
  <c r="BG71" i="46"/>
  <c r="CA71" i="46"/>
  <c r="AK71" i="46"/>
  <c r="W71" i="46"/>
  <c r="AP71" i="46"/>
  <c r="BK71" i="46"/>
  <c r="CN71" i="46"/>
  <c r="AS71" i="46"/>
  <c r="BP71" i="46"/>
  <c r="AR71" i="46"/>
  <c r="R71" i="46"/>
  <c r="AF71" i="46"/>
  <c r="AJ71" i="46"/>
  <c r="V71" i="46"/>
  <c r="AG71" i="46"/>
  <c r="BS71" i="46"/>
  <c r="CQ71" i="46"/>
  <c r="BM71" i="46"/>
  <c r="CP71" i="46"/>
  <c r="DN71" i="46"/>
  <c r="DC71" i="46"/>
  <c r="DL71" i="46"/>
  <c r="Z71" i="46"/>
  <c r="CG71" i="46"/>
  <c r="EA71" i="46"/>
  <c r="AY71" i="46"/>
  <c r="BO71" i="46"/>
  <c r="S71" i="46"/>
  <c r="BX71" i="46"/>
  <c r="AM71" i="46"/>
  <c r="BC71" i="46"/>
  <c r="BU71" i="46"/>
  <c r="AE71" i="46"/>
  <c r="CL71" i="46"/>
  <c r="CD71" i="46"/>
  <c r="P71" i="46"/>
  <c r="AV71" i="46"/>
  <c r="BW71" i="46"/>
  <c r="U71" i="46"/>
  <c r="BT71" i="46"/>
  <c r="AZ71" i="46"/>
  <c r="BL71" i="46"/>
  <c r="AU71" i="46"/>
  <c r="DD71" i="46"/>
  <c r="DF71" i="46"/>
  <c r="DM71" i="46"/>
  <c r="DO71" i="46"/>
  <c r="AB71" i="46"/>
  <c r="BN71" i="46"/>
  <c r="CB71" i="46"/>
  <c r="AL71" i="46"/>
  <c r="BF71" i="46"/>
  <c r="Q71" i="46"/>
  <c r="CJ71" i="46"/>
  <c r="CO71" i="46"/>
  <c r="AT71" i="46"/>
  <c r="BJ71" i="46"/>
  <c r="CC71" i="46"/>
  <c r="CM71" i="46"/>
  <c r="BH71" i="46"/>
  <c r="BY71" i="46"/>
  <c r="BZ71" i="46"/>
  <c r="BD71" i="46"/>
  <c r="CH71" i="46"/>
  <c r="BA71" i="46"/>
  <c r="N71" i="46"/>
  <c r="AD71" i="46"/>
  <c r="Y71" i="46"/>
  <c r="DE71" i="46"/>
  <c r="DK71" i="46"/>
  <c r="DJ71" i="46"/>
  <c r="AC71" i="46"/>
  <c r="AO71" i="46"/>
  <c r="BR71" i="46"/>
  <c r="CR71" i="46"/>
  <c r="AX71" i="46"/>
  <c r="AA71" i="46"/>
  <c r="CE71" i="46"/>
  <c r="BV71" i="46"/>
  <c r="O71" i="46"/>
  <c r="BB71" i="46"/>
  <c r="X71" i="46"/>
  <c r="BI71" i="46"/>
  <c r="AQ71" i="46"/>
  <c r="BQ71" i="46"/>
  <c r="BE71" i="46"/>
  <c r="AI71" i="46"/>
  <c r="CF71" i="46"/>
  <c r="M71" i="46"/>
  <c r="CK71" i="46"/>
  <c r="AN71" i="46"/>
  <c r="AW71" i="46"/>
  <c r="DI71" i="46"/>
  <c r="DG71" i="46"/>
  <c r="DH71" i="46"/>
  <c r="B73" i="46"/>
  <c r="K72" i="46"/>
  <c r="N72" i="4"/>
  <c r="B61" i="47"/>
  <c r="C73" i="4"/>
  <c r="C61" i="5"/>
  <c r="B79" i="4"/>
  <c r="A67" i="47"/>
  <c r="B67" i="5"/>
  <c r="M78" i="4"/>
  <c r="CE77" i="4"/>
  <c r="AS77" i="4"/>
  <c r="AM77" i="4"/>
  <c r="AX77" i="4"/>
  <c r="AK77" i="4"/>
  <c r="V77" i="4"/>
  <c r="T77" i="4"/>
  <c r="AC77" i="4"/>
  <c r="DR77" i="4"/>
  <c r="DP77" i="46" s="1"/>
  <c r="CQ77" i="4"/>
  <c r="DK77" i="4"/>
  <c r="BA77" i="4"/>
  <c r="BK77" i="4"/>
  <c r="BX77" i="4"/>
  <c r="CS77" i="4"/>
  <c r="BG77" i="4"/>
  <c r="BD77" i="4"/>
  <c r="CT77" i="4"/>
  <c r="EC77" i="4"/>
  <c r="BL77" i="4"/>
  <c r="BT77" i="4"/>
  <c r="CD77" i="4"/>
  <c r="BY77" i="4"/>
  <c r="CR77" i="4"/>
  <c r="AV77" i="4"/>
  <c r="AO77" i="4"/>
  <c r="AD77" i="4"/>
  <c r="AE77" i="4"/>
  <c r="AF77" i="4"/>
  <c r="Z77" i="4"/>
  <c r="AG77" i="4"/>
  <c r="Q77" i="4"/>
  <c r="CO77" i="4"/>
  <c r="CM77" i="4"/>
  <c r="DP77" i="4"/>
  <c r="DL77" i="4"/>
  <c r="AY77" i="4"/>
  <c r="BM77" i="4"/>
  <c r="BO77" i="4"/>
  <c r="BI77" i="4"/>
  <c r="CB77" i="4"/>
  <c r="CH77" i="4"/>
  <c r="BP77" i="4"/>
  <c r="CG77" i="4"/>
  <c r="BS77" i="4"/>
  <c r="BC77" i="4"/>
  <c r="CF77" i="4"/>
  <c r="DM77" i="4"/>
  <c r="AW77" i="4"/>
  <c r="AN77" i="4"/>
  <c r="AH77" i="4"/>
  <c r="AI77" i="4"/>
  <c r="AQ77" i="4"/>
  <c r="W77" i="4"/>
  <c r="AR77" i="4"/>
  <c r="U77" i="4"/>
  <c r="CP77" i="4"/>
  <c r="CN77" i="4"/>
  <c r="DQ77" i="4"/>
  <c r="BE77" i="4"/>
  <c r="CI77" i="4"/>
  <c r="BU77" i="4"/>
  <c r="BW77" i="4"/>
  <c r="BR77" i="4"/>
  <c r="BB77" i="4"/>
  <c r="CC77" i="4"/>
  <c r="X77" i="4"/>
  <c r="R77" i="4"/>
  <c r="DH77" i="4"/>
  <c r="BQ77" i="4"/>
  <c r="BN77" i="4"/>
  <c r="AL77" i="4"/>
  <c r="S77" i="4"/>
  <c r="CL77" i="4"/>
  <c r="O77" i="4"/>
  <c r="BZ77" i="4"/>
  <c r="P77" i="4"/>
  <c r="DN77" i="4"/>
  <c r="AP77" i="4"/>
  <c r="Y77" i="4"/>
  <c r="DO77" i="4"/>
  <c r="DJ77" i="4"/>
  <c r="BV77" i="4"/>
  <c r="CA77" i="4"/>
  <c r="AT77" i="4"/>
  <c r="AB77" i="4"/>
  <c r="BF77" i="4"/>
  <c r="BH77" i="4"/>
  <c r="AA77" i="4"/>
  <c r="DI77" i="4"/>
  <c r="AU77" i="4"/>
  <c r="CK77" i="4"/>
  <c r="AZ77" i="4"/>
  <c r="AJ77" i="4"/>
  <c r="BJ77" i="4"/>
  <c r="CJ77" i="4"/>
  <c r="C66" i="46"/>
  <c r="L65" i="46"/>
  <c r="DF132" i="4"/>
  <c r="AD72" i="46" l="1"/>
  <c r="CG72" i="46"/>
  <c r="CA72" i="46"/>
  <c r="AK72" i="46"/>
  <c r="Q72" i="46"/>
  <c r="CF72" i="46"/>
  <c r="CN72" i="46"/>
  <c r="AS72" i="46"/>
  <c r="Z72" i="46"/>
  <c r="BH72" i="46"/>
  <c r="BG72" i="46"/>
  <c r="W72" i="46"/>
  <c r="BD72" i="46"/>
  <c r="BE72" i="46"/>
  <c r="Y72" i="46"/>
  <c r="AV72" i="46"/>
  <c r="BV72" i="46"/>
  <c r="O72" i="46"/>
  <c r="BI72" i="46"/>
  <c r="CH72" i="46"/>
  <c r="CJ72" i="46"/>
  <c r="DE72" i="46"/>
  <c r="DC72" i="46"/>
  <c r="DI72" i="46"/>
  <c r="P72" i="46"/>
  <c r="AO72" i="46"/>
  <c r="BO72" i="46"/>
  <c r="EA72" i="46"/>
  <c r="AC72" i="46"/>
  <c r="BN72" i="46"/>
  <c r="BU72" i="46"/>
  <c r="AE72" i="46"/>
  <c r="CE72" i="46"/>
  <c r="AQ72" i="46"/>
  <c r="AY72" i="46"/>
  <c r="BP72" i="46"/>
  <c r="AI72" i="46"/>
  <c r="AW72" i="46"/>
  <c r="BY72" i="46"/>
  <c r="BS72" i="46"/>
  <c r="BK72" i="46"/>
  <c r="V72" i="46"/>
  <c r="U72" i="46"/>
  <c r="CQ72" i="46"/>
  <c r="CP72" i="46"/>
  <c r="DG72" i="46"/>
  <c r="DN72" i="46"/>
  <c r="DM72" i="46"/>
  <c r="T72" i="46"/>
  <c r="BX72" i="46"/>
  <c r="AH72" i="46"/>
  <c r="BF72" i="46"/>
  <c r="CB72" i="46"/>
  <c r="AA72" i="46"/>
  <c r="AG72" i="46"/>
  <c r="BJ72" i="46"/>
  <c r="CO72" i="46"/>
  <c r="AP72" i="46"/>
  <c r="CM72" i="46"/>
  <c r="AL72" i="46"/>
  <c r="CL72" i="46"/>
  <c r="BZ72" i="46"/>
  <c r="AJ72" i="46"/>
  <c r="BQ72" i="46"/>
  <c r="AZ72" i="46"/>
  <c r="BC72" i="46"/>
  <c r="AN72" i="46"/>
  <c r="AU72" i="46"/>
  <c r="AR72" i="46"/>
  <c r="BT72" i="46"/>
  <c r="DF72" i="46"/>
  <c r="DK72" i="46"/>
  <c r="DL72" i="46"/>
  <c r="AB72" i="46"/>
  <c r="CK72" i="46"/>
  <c r="CR72" i="46"/>
  <c r="AX72" i="46"/>
  <c r="R72" i="46"/>
  <c r="CI72" i="46"/>
  <c r="AM72" i="46"/>
  <c r="BB72" i="46"/>
  <c r="X72" i="46"/>
  <c r="CD72" i="46"/>
  <c r="BR72" i="46"/>
  <c r="CC72" i="46"/>
  <c r="BW72" i="46"/>
  <c r="BM72" i="46"/>
  <c r="S72" i="46"/>
  <c r="AF72" i="46"/>
  <c r="N72" i="46"/>
  <c r="AT72" i="46"/>
  <c r="BL72" i="46"/>
  <c r="BA72" i="46"/>
  <c r="M72" i="46"/>
  <c r="DD72" i="46"/>
  <c r="DH72" i="46"/>
  <c r="DJ72" i="46"/>
  <c r="DO72" i="46"/>
  <c r="B74" i="46"/>
  <c r="K73" i="46"/>
  <c r="DM78" i="4"/>
  <c r="AU78" i="4"/>
  <c r="AO78" i="4"/>
  <c r="AR78" i="4"/>
  <c r="AX78" i="4"/>
  <c r="AC78" i="4"/>
  <c r="Q78" i="4"/>
  <c r="T78" i="4"/>
  <c r="U78" i="4"/>
  <c r="CJ78" i="4"/>
  <c r="CN78" i="4"/>
  <c r="DQ78" i="4"/>
  <c r="BE78" i="4"/>
  <c r="CI78" i="4"/>
  <c r="CH78" i="4"/>
  <c r="BU78" i="4"/>
  <c r="DH78" i="4"/>
  <c r="DI78" i="4"/>
  <c r="AA78" i="4"/>
  <c r="CF78" i="4"/>
  <c r="R78" i="4"/>
  <c r="AZ78" i="4"/>
  <c r="BO78" i="4"/>
  <c r="CA78" i="4"/>
  <c r="DN78" i="4"/>
  <c r="AT78" i="4"/>
  <c r="AN78" i="4"/>
  <c r="AD78" i="4"/>
  <c r="AV78" i="4"/>
  <c r="AI78" i="4"/>
  <c r="Z78" i="4"/>
  <c r="Y78" i="4"/>
  <c r="V78" i="4"/>
  <c r="CP78" i="4"/>
  <c r="CL78" i="4"/>
  <c r="DK78" i="4"/>
  <c r="BA78" i="4"/>
  <c r="CK78" i="4"/>
  <c r="X78" i="4"/>
  <c r="BP78" i="4"/>
  <c r="BX78" i="4"/>
  <c r="BH78" i="4"/>
  <c r="BZ78" i="4"/>
  <c r="BI78" i="4"/>
  <c r="CS78" i="4"/>
  <c r="CD78" i="4"/>
  <c r="BC78" i="4"/>
  <c r="BD78" i="4"/>
  <c r="P78" i="4"/>
  <c r="CE78" i="4"/>
  <c r="AM78" i="4"/>
  <c r="AG78" i="4"/>
  <c r="AH78" i="4"/>
  <c r="AF78" i="4"/>
  <c r="AE78" i="4"/>
  <c r="W78" i="4"/>
  <c r="S78" i="4"/>
  <c r="DR78" i="4"/>
  <c r="DP78" i="46" s="1"/>
  <c r="CQ78" i="4"/>
  <c r="DL78" i="4"/>
  <c r="BF78" i="4"/>
  <c r="BK78" i="4"/>
  <c r="BR78" i="4"/>
  <c r="BT78" i="4"/>
  <c r="BQ78" i="4"/>
  <c r="CR78" i="4"/>
  <c r="BS78" i="4"/>
  <c r="BM78" i="4"/>
  <c r="BV78" i="4"/>
  <c r="BY78" i="4"/>
  <c r="BJ78" i="4"/>
  <c r="CB78" i="4"/>
  <c r="BW78" i="4"/>
  <c r="AW78" i="4"/>
  <c r="AQ78" i="4"/>
  <c r="DO78" i="4"/>
  <c r="BL78" i="4"/>
  <c r="CG78" i="4"/>
  <c r="CC78" i="4"/>
  <c r="AS78" i="4"/>
  <c r="AB78" i="4"/>
  <c r="CO78" i="4"/>
  <c r="AY78" i="4"/>
  <c r="O78" i="4"/>
  <c r="BN78" i="4"/>
  <c r="AK78" i="4"/>
  <c r="AJ78" i="4"/>
  <c r="CM78" i="4"/>
  <c r="EC78" i="4"/>
  <c r="DJ78" i="4"/>
  <c r="DP78" i="4"/>
  <c r="BB78" i="4"/>
  <c r="AP78" i="4"/>
  <c r="BG78" i="4"/>
  <c r="AL78" i="4"/>
  <c r="CT78" i="4"/>
  <c r="B62" i="47"/>
  <c r="N73" i="4"/>
  <c r="C74" i="4"/>
  <c r="C62" i="5"/>
  <c r="B80" i="4"/>
  <c r="M79" i="4"/>
  <c r="A68" i="47"/>
  <c r="B68" i="5"/>
  <c r="C67" i="46"/>
  <c r="L66" i="46"/>
  <c r="DF133" i="4"/>
  <c r="CC73" i="46" l="1"/>
  <c r="CH73" i="46"/>
  <c r="AV73" i="46"/>
  <c r="AZ73" i="46"/>
  <c r="BT73" i="46"/>
  <c r="M73" i="46"/>
  <c r="P73" i="46"/>
  <c r="AH73" i="46"/>
  <c r="BO73" i="46"/>
  <c r="EA73" i="46"/>
  <c r="AY73" i="46"/>
  <c r="AC73" i="46"/>
  <c r="CE73" i="46"/>
  <c r="CP73" i="46"/>
  <c r="AU73" i="46"/>
  <c r="BM73" i="46"/>
  <c r="V73" i="46"/>
  <c r="AT73" i="46"/>
  <c r="BV73" i="46"/>
  <c r="CN73" i="46"/>
  <c r="BX73" i="46"/>
  <c r="BC73" i="46"/>
  <c r="DI73" i="46"/>
  <c r="DM73" i="46"/>
  <c r="DL73" i="46"/>
  <c r="Q73" i="46"/>
  <c r="CG73" i="46"/>
  <c r="CD73" i="46"/>
  <c r="AQ73" i="46"/>
  <c r="BI73" i="46"/>
  <c r="T73" i="46"/>
  <c r="CI73" i="46"/>
  <c r="AP73" i="46"/>
  <c r="BF73" i="46"/>
  <c r="CB73" i="46"/>
  <c r="AL73" i="46"/>
  <c r="AD73" i="46"/>
  <c r="AF73" i="46"/>
  <c r="BW73" i="46"/>
  <c r="AI73" i="46"/>
  <c r="BE73" i="46"/>
  <c r="AG73" i="46"/>
  <c r="U73" i="46"/>
  <c r="O73" i="46"/>
  <c r="AS73" i="46"/>
  <c r="AE73" i="46"/>
  <c r="DD73" i="46"/>
  <c r="DF73" i="46"/>
  <c r="DE73" i="46"/>
  <c r="DO73" i="46"/>
  <c r="AA73" i="46"/>
  <c r="BP73" i="46"/>
  <c r="BS73" i="46"/>
  <c r="N73" i="46"/>
  <c r="BA73" i="46"/>
  <c r="X73" i="46"/>
  <c r="CF73" i="46"/>
  <c r="CR73" i="46"/>
  <c r="AX73" i="46"/>
  <c r="BR73" i="46"/>
  <c r="R73" i="46"/>
  <c r="BY73" i="46"/>
  <c r="AN73" i="46"/>
  <c r="BL73" i="46"/>
  <c r="CQ73" i="46"/>
  <c r="AW73" i="46"/>
  <c r="BJ73" i="46"/>
  <c r="CJ73" i="46"/>
  <c r="Y73" i="46"/>
  <c r="BK73" i="46"/>
  <c r="S73" i="46"/>
  <c r="DK73" i="46"/>
  <c r="DH73" i="46"/>
  <c r="DG73" i="46"/>
  <c r="Z73" i="46"/>
  <c r="AM73" i="46"/>
  <c r="BH73" i="46"/>
  <c r="CM73" i="46"/>
  <c r="AR73" i="46"/>
  <c r="W73" i="46"/>
  <c r="BN73" i="46"/>
  <c r="CA73" i="46"/>
  <c r="AK73" i="46"/>
  <c r="BG73" i="46"/>
  <c r="AB73" i="46"/>
  <c r="BQ73" i="46"/>
  <c r="CL73" i="46"/>
  <c r="BD73" i="46"/>
  <c r="BZ73" i="46"/>
  <c r="AJ73" i="46"/>
  <c r="CO73" i="46"/>
  <c r="BB73" i="46"/>
  <c r="CK73" i="46"/>
  <c r="BU73" i="46"/>
  <c r="AO73" i="46"/>
  <c r="DN73" i="46"/>
  <c r="DC73" i="46"/>
  <c r="DJ73" i="46"/>
  <c r="B75" i="46"/>
  <c r="K74" i="46"/>
  <c r="CE79" i="4"/>
  <c r="AN79" i="4"/>
  <c r="AO79" i="4"/>
  <c r="AG79" i="4"/>
  <c r="AD79" i="4"/>
  <c r="T79" i="4"/>
  <c r="V79" i="4"/>
  <c r="U79" i="4"/>
  <c r="DR79" i="4"/>
  <c r="DP79" i="46" s="1"/>
  <c r="CQ79" i="4"/>
  <c r="DL79" i="4"/>
  <c r="BA79" i="4"/>
  <c r="BK79" i="4"/>
  <c r="BI79" i="4"/>
  <c r="BQ79" i="4"/>
  <c r="BR79" i="4"/>
  <c r="BL79" i="4"/>
  <c r="AZ79" i="4"/>
  <c r="BC79" i="4"/>
  <c r="CT79" i="4"/>
  <c r="CC79" i="4"/>
  <c r="CS79" i="4"/>
  <c r="CB79" i="4"/>
  <c r="BW79" i="4"/>
  <c r="AV79" i="4"/>
  <c r="AW79" i="4"/>
  <c r="AF79" i="4"/>
  <c r="AK79" i="4"/>
  <c r="AL79" i="4"/>
  <c r="Z79" i="4"/>
  <c r="AE79" i="4"/>
  <c r="Q79" i="4"/>
  <c r="CJ79" i="4"/>
  <c r="CM79" i="4"/>
  <c r="DP79" i="4"/>
  <c r="DO79" i="4"/>
  <c r="AY79" i="4"/>
  <c r="BD79" i="4"/>
  <c r="CR79" i="4"/>
  <c r="CD79" i="4"/>
  <c r="BX79" i="4"/>
  <c r="CH79" i="4"/>
  <c r="DI79" i="4"/>
  <c r="AA79" i="4"/>
  <c r="BZ79" i="4"/>
  <c r="BG79" i="4"/>
  <c r="BM79" i="4"/>
  <c r="DM79" i="4"/>
  <c r="AU79" i="4"/>
  <c r="AS79" i="4"/>
  <c r="AJ79" i="4"/>
  <c r="AR79" i="4"/>
  <c r="AB79" i="4"/>
  <c r="W79" i="4"/>
  <c r="AP79" i="4"/>
  <c r="Y79" i="4"/>
  <c r="CP79" i="4"/>
  <c r="CN79" i="4"/>
  <c r="DQ79" i="4"/>
  <c r="BE79" i="4"/>
  <c r="CI79" i="4"/>
  <c r="R79" i="4"/>
  <c r="BU79" i="4"/>
  <c r="CG79" i="4"/>
  <c r="BP79" i="4"/>
  <c r="BJ79" i="4"/>
  <c r="BO79" i="4"/>
  <c r="BH79" i="4"/>
  <c r="X79" i="4"/>
  <c r="O79" i="4"/>
  <c r="CA79" i="4"/>
  <c r="AM79" i="4"/>
  <c r="AX79" i="4"/>
  <c r="CO79" i="4"/>
  <c r="CK79" i="4"/>
  <c r="BV79" i="4"/>
  <c r="CF79" i="4"/>
  <c r="AQ79" i="4"/>
  <c r="AC79" i="4"/>
  <c r="CL79" i="4"/>
  <c r="DH79" i="4"/>
  <c r="EC79" i="4"/>
  <c r="BT79" i="4"/>
  <c r="DN79" i="4"/>
  <c r="AI79" i="4"/>
  <c r="S79" i="4"/>
  <c r="DK79" i="4"/>
  <c r="BN79" i="4"/>
  <c r="BS79" i="4"/>
  <c r="BB79" i="4"/>
  <c r="AT79" i="4"/>
  <c r="BF79" i="4"/>
  <c r="P79" i="4"/>
  <c r="AH79" i="4"/>
  <c r="DJ79" i="4"/>
  <c r="BY79" i="4"/>
  <c r="B81" i="4"/>
  <c r="A69" i="47"/>
  <c r="M80" i="4"/>
  <c r="B69" i="5"/>
  <c r="C75" i="4"/>
  <c r="N74" i="4"/>
  <c r="C63" i="5"/>
  <c r="B63" i="47"/>
  <c r="L67" i="46"/>
  <c r="C68" i="46"/>
  <c r="DF134" i="4"/>
  <c r="R74" i="46" l="1"/>
  <c r="BY74" i="46"/>
  <c r="AN74" i="46"/>
  <c r="BH74" i="46"/>
  <c r="CM74" i="46"/>
  <c r="AR74" i="46"/>
  <c r="CF74" i="46"/>
  <c r="CA74" i="46"/>
  <c r="AK74" i="46"/>
  <c r="BG74" i="46"/>
  <c r="Q74" i="46"/>
  <c r="CJ74" i="46"/>
  <c r="AU74" i="46"/>
  <c r="BM74" i="46"/>
  <c r="BK74" i="46"/>
  <c r="AG74" i="46"/>
  <c r="V74" i="46"/>
  <c r="DI74" i="46"/>
  <c r="AB74" i="46"/>
  <c r="BQ74" i="46"/>
  <c r="AH74" i="46"/>
  <c r="AZ74" i="46"/>
  <c r="BT74" i="46"/>
  <c r="M74" i="46"/>
  <c r="AC74" i="46"/>
  <c r="AP74" i="46"/>
  <c r="BO74" i="46"/>
  <c r="EA74" i="46"/>
  <c r="AY74" i="46"/>
  <c r="Z74" i="46"/>
  <c r="BP74" i="46"/>
  <c r="BW74" i="46"/>
  <c r="AI74" i="46"/>
  <c r="BE74" i="46"/>
  <c r="CK74" i="46"/>
  <c r="S74" i="46"/>
  <c r="BC74" i="46"/>
  <c r="BJ74" i="46"/>
  <c r="BV74" i="46"/>
  <c r="DD74" i="46"/>
  <c r="DC74" i="46"/>
  <c r="DN74" i="46"/>
  <c r="DO74" i="46"/>
  <c r="AA74" i="46"/>
  <c r="CG74" i="46"/>
  <c r="AQ74" i="46"/>
  <c r="T74" i="46"/>
  <c r="BX74" i="46"/>
  <c r="CB74" i="46"/>
  <c r="AO74" i="46"/>
  <c r="BL74" i="46"/>
  <c r="CN74" i="46"/>
  <c r="BN74" i="46"/>
  <c r="CL74" i="46"/>
  <c r="DF74" i="46"/>
  <c r="BI74" i="46"/>
  <c r="AM74" i="46"/>
  <c r="AL74" i="46"/>
  <c r="CQ74" i="46"/>
  <c r="X74" i="46"/>
  <c r="DE74" i="46"/>
  <c r="W74" i="46"/>
  <c r="AF74" i="46"/>
  <c r="BS74" i="46"/>
  <c r="N74" i="46"/>
  <c r="BA74" i="46"/>
  <c r="U74" i="46"/>
  <c r="CE74" i="46"/>
  <c r="CR74" i="46"/>
  <c r="AX74" i="46"/>
  <c r="BR74" i="46"/>
  <c r="CC74" i="46"/>
  <c r="CH74" i="46"/>
  <c r="AV74" i="46"/>
  <c r="BD74" i="46"/>
  <c r="BZ74" i="46"/>
  <c r="AJ74" i="46"/>
  <c r="AS74" i="46"/>
  <c r="BU74" i="46"/>
  <c r="CI74" i="46"/>
  <c r="AT74" i="46"/>
  <c r="O74" i="46"/>
  <c r="DJ74" i="46"/>
  <c r="DH74" i="46"/>
  <c r="DK74" i="46"/>
  <c r="P74" i="46"/>
  <c r="CP74" i="46"/>
  <c r="AD74" i="46"/>
  <c r="AE74" i="46"/>
  <c r="BB74" i="46"/>
  <c r="DM74" i="46"/>
  <c r="DL74" i="46"/>
  <c r="CD74" i="46"/>
  <c r="BF74" i="46"/>
  <c r="Y74" i="46"/>
  <c r="AW74" i="46"/>
  <c r="CO74" i="46"/>
  <c r="DG74" i="46"/>
  <c r="B76" i="46"/>
  <c r="K75" i="46"/>
  <c r="DM80" i="4"/>
  <c r="AS80" i="4"/>
  <c r="AM80" i="4"/>
  <c r="AP80" i="4"/>
  <c r="AD80" i="4"/>
  <c r="AR80" i="4"/>
  <c r="AB80" i="4"/>
  <c r="S80" i="4"/>
  <c r="AH80" i="4"/>
  <c r="CP80" i="4"/>
  <c r="CN80" i="4"/>
  <c r="DQ80" i="4"/>
  <c r="BE80" i="4"/>
  <c r="CI80" i="4"/>
  <c r="CD80" i="4"/>
  <c r="CH80" i="4"/>
  <c r="BZ80" i="4"/>
  <c r="CA80" i="4"/>
  <c r="O80" i="4"/>
  <c r="BT80" i="4"/>
  <c r="BM80" i="4"/>
  <c r="BR80" i="4"/>
  <c r="AZ80" i="4"/>
  <c r="BY80" i="4"/>
  <c r="DN80" i="4"/>
  <c r="AV80" i="4"/>
  <c r="AT80" i="4"/>
  <c r="AF80" i="4"/>
  <c r="AL80" i="4"/>
  <c r="AK80" i="4"/>
  <c r="AX80" i="4"/>
  <c r="Z80" i="4"/>
  <c r="T80" i="4"/>
  <c r="CJ80" i="4"/>
  <c r="CL80" i="4"/>
  <c r="DL80" i="4"/>
  <c r="BF80" i="4"/>
  <c r="CK80" i="4"/>
  <c r="BD80" i="4"/>
  <c r="BI80" i="4"/>
  <c r="CR80" i="4"/>
  <c r="BC80" i="4"/>
  <c r="BN80" i="4"/>
  <c r="EC80" i="4"/>
  <c r="CB80" i="4"/>
  <c r="BL80" i="4"/>
  <c r="CS80" i="4"/>
  <c r="BU80" i="4"/>
  <c r="BO80" i="4"/>
  <c r="CE80" i="4"/>
  <c r="AO80" i="4"/>
  <c r="AE80" i="4"/>
  <c r="AJ80" i="4"/>
  <c r="AC80" i="4"/>
  <c r="U80" i="4"/>
  <c r="V80" i="4"/>
  <c r="W80" i="4"/>
  <c r="DR80" i="4"/>
  <c r="DP80" i="46" s="1"/>
  <c r="CQ80" i="4"/>
  <c r="DO80" i="4"/>
  <c r="BA80" i="4"/>
  <c r="BK80" i="4"/>
  <c r="DH80" i="4"/>
  <c r="BB80" i="4"/>
  <c r="BW80" i="4"/>
  <c r="BQ80" i="4"/>
  <c r="AA80" i="4"/>
  <c r="BX80" i="4"/>
  <c r="DI80" i="4"/>
  <c r="CF80" i="4"/>
  <c r="CG80" i="4"/>
  <c r="CC80" i="4"/>
  <c r="R80" i="4"/>
  <c r="AQ80" i="4"/>
  <c r="Q80" i="4"/>
  <c r="DP80" i="4"/>
  <c r="P80" i="4"/>
  <c r="BG80" i="4"/>
  <c r="BH80" i="4"/>
  <c r="AW80" i="4"/>
  <c r="AG80" i="4"/>
  <c r="DK80" i="4"/>
  <c r="BV80" i="4"/>
  <c r="DJ80" i="4"/>
  <c r="BP80" i="4"/>
  <c r="AN80" i="4"/>
  <c r="AU80" i="4"/>
  <c r="CO80" i="4"/>
  <c r="AY80" i="4"/>
  <c r="BJ80" i="4"/>
  <c r="BS80" i="4"/>
  <c r="AI80" i="4"/>
  <c r="CT80" i="4"/>
  <c r="Y80" i="4"/>
  <c r="X80" i="4"/>
  <c r="CM80" i="4"/>
  <c r="C76" i="4"/>
  <c r="B64" i="47"/>
  <c r="C64" i="5"/>
  <c r="N75" i="4"/>
  <c r="B82" i="4"/>
  <c r="A70" i="47"/>
  <c r="M81" i="4"/>
  <c r="B70" i="5"/>
  <c r="C69" i="46"/>
  <c r="L68" i="46"/>
  <c r="DF135" i="4"/>
  <c r="AP75" i="46" l="1"/>
  <c r="AM75" i="46"/>
  <c r="DJ75" i="46"/>
  <c r="Y75" i="46"/>
  <c r="CJ75" i="46"/>
  <c r="CQ75" i="46"/>
  <c r="BS75" i="46"/>
  <c r="N75" i="46"/>
  <c r="CC75" i="46"/>
  <c r="CI75" i="46"/>
  <c r="AH75" i="46"/>
  <c r="CA75" i="46"/>
  <c r="AK75" i="46"/>
  <c r="AT75" i="46"/>
  <c r="AB75" i="46"/>
  <c r="AN75" i="46"/>
  <c r="CP75" i="46"/>
  <c r="AU75" i="46"/>
  <c r="BG75" i="46"/>
  <c r="CN75" i="46"/>
  <c r="BQ75" i="46"/>
  <c r="M75" i="46"/>
  <c r="BJ75" i="46"/>
  <c r="BB75" i="46"/>
  <c r="DD75" i="46"/>
  <c r="DC75" i="46"/>
  <c r="DI75" i="46"/>
  <c r="DO75" i="46"/>
  <c r="V75" i="46"/>
  <c r="EA75" i="46"/>
  <c r="O75" i="46"/>
  <c r="BV75" i="46"/>
  <c r="AW75" i="46"/>
  <c r="CF75" i="46"/>
  <c r="BL75" i="46"/>
  <c r="P75" i="46"/>
  <c r="BU75" i="46"/>
  <c r="BR75" i="46"/>
  <c r="DK75" i="46"/>
  <c r="DN75" i="46"/>
  <c r="R75" i="46"/>
  <c r="BX75" i="46"/>
  <c r="AG75" i="46"/>
  <c r="CD75" i="46"/>
  <c r="AQ75" i="46"/>
  <c r="AY75" i="46"/>
  <c r="CR75" i="46"/>
  <c r="AX75" i="46"/>
  <c r="U75" i="46"/>
  <c r="BN75" i="46"/>
  <c r="BD75" i="46"/>
  <c r="Z75" i="46"/>
  <c r="BY75" i="46"/>
  <c r="DE75" i="46"/>
  <c r="AD75" i="46"/>
  <c r="CE75" i="46"/>
  <c r="BZ75" i="46"/>
  <c r="BH75" i="46"/>
  <c r="BA75" i="46"/>
  <c r="Q75" i="46"/>
  <c r="CG75" i="46"/>
  <c r="CO75" i="46"/>
  <c r="BO75" i="46"/>
  <c r="BM75" i="46"/>
  <c r="S75" i="46"/>
  <c r="CH75" i="46"/>
  <c r="AV75" i="46"/>
  <c r="BW75" i="46"/>
  <c r="AI75" i="46"/>
  <c r="AL75" i="46"/>
  <c r="AS75" i="46"/>
  <c r="CL75" i="46"/>
  <c r="AA75" i="46"/>
  <c r="BE75" i="46"/>
  <c r="T75" i="46"/>
  <c r="DH75" i="46"/>
  <c r="DM75" i="46"/>
  <c r="DG75" i="46"/>
  <c r="AO75" i="46"/>
  <c r="AZ75" i="46"/>
  <c r="BP75" i="46"/>
  <c r="BF75" i="46"/>
  <c r="X75" i="46"/>
  <c r="CM75" i="46"/>
  <c r="BI75" i="46"/>
  <c r="CK75" i="46"/>
  <c r="AF75" i="46"/>
  <c r="DF75" i="46"/>
  <c r="BK75" i="46"/>
  <c r="AR75" i="46"/>
  <c r="AE75" i="46"/>
  <c r="AJ75" i="46"/>
  <c r="DL75" i="46"/>
  <c r="AC75" i="46"/>
  <c r="BC75" i="46"/>
  <c r="W75" i="46"/>
  <c r="BT75" i="46"/>
  <c r="CB75" i="46"/>
  <c r="B77" i="46"/>
  <c r="K76" i="46"/>
  <c r="CE81" i="4"/>
  <c r="AS81" i="4"/>
  <c r="AD81" i="4"/>
  <c r="AN81" i="4"/>
  <c r="AG81" i="4"/>
  <c r="AQ81" i="4"/>
  <c r="AK81" i="4"/>
  <c r="AC81" i="4"/>
  <c r="DR81" i="4"/>
  <c r="DP81" i="46" s="1"/>
  <c r="CQ81" i="4"/>
  <c r="DK81" i="4"/>
  <c r="BA81" i="4"/>
  <c r="BK81" i="4"/>
  <c r="AA81" i="4"/>
  <c r="CF81" i="4"/>
  <c r="AZ81" i="4"/>
  <c r="BI81" i="4"/>
  <c r="CG81" i="4"/>
  <c r="BR81" i="4"/>
  <c r="BW81" i="4"/>
  <c r="BJ81" i="4"/>
  <c r="BP81" i="4"/>
  <c r="BT81" i="4"/>
  <c r="AV81" i="4"/>
  <c r="AU81" i="4"/>
  <c r="AH81" i="4"/>
  <c r="AE81" i="4"/>
  <c r="AR81" i="4"/>
  <c r="V81" i="4"/>
  <c r="AF81" i="4"/>
  <c r="U81" i="4"/>
  <c r="CO81" i="4"/>
  <c r="CM81" i="4"/>
  <c r="DP81" i="4"/>
  <c r="DL81" i="4"/>
  <c r="AY81" i="4"/>
  <c r="X81" i="4"/>
  <c r="CC81" i="4"/>
  <c r="DJ81" i="4"/>
  <c r="BU81" i="4"/>
  <c r="BH81" i="4"/>
  <c r="BV81" i="4"/>
  <c r="BZ81" i="4"/>
  <c r="EC81" i="4"/>
  <c r="CA81" i="4"/>
  <c r="BS81" i="4"/>
  <c r="DM81" i="4"/>
  <c r="AW81" i="4"/>
  <c r="AO81" i="4"/>
  <c r="AL81" i="4"/>
  <c r="AI81" i="4"/>
  <c r="AJ81" i="4"/>
  <c r="Z81" i="4"/>
  <c r="T81" i="4"/>
  <c r="S81" i="4"/>
  <c r="CP81" i="4"/>
  <c r="CN81" i="4"/>
  <c r="DQ81" i="4"/>
  <c r="BE81" i="4"/>
  <c r="CI81" i="4"/>
  <c r="BB81" i="4"/>
  <c r="BD81" i="4"/>
  <c r="BC81" i="4"/>
  <c r="BM81" i="4"/>
  <c r="O81" i="4"/>
  <c r="R81" i="4"/>
  <c r="BY81" i="4"/>
  <c r="DI81" i="4"/>
  <c r="CB81" i="4"/>
  <c r="CR81" i="4"/>
  <c r="BX81" i="4"/>
  <c r="AT81" i="4"/>
  <c r="AB81" i="4"/>
  <c r="BF81" i="4"/>
  <c r="CS81" i="4"/>
  <c r="CH81" i="4"/>
  <c r="P81" i="4"/>
  <c r="AM81" i="4"/>
  <c r="W81" i="4"/>
  <c r="CJ81" i="4"/>
  <c r="CK81" i="4"/>
  <c r="CD81" i="4"/>
  <c r="DH81" i="4"/>
  <c r="BO81" i="4"/>
  <c r="AX81" i="4"/>
  <c r="Y81" i="4"/>
  <c r="CL81" i="4"/>
  <c r="CT81" i="4"/>
  <c r="BN81" i="4"/>
  <c r="AP81" i="4"/>
  <c r="BQ81" i="4"/>
  <c r="Q81" i="4"/>
  <c r="BG81" i="4"/>
  <c r="DO81" i="4"/>
  <c r="BL81" i="4"/>
  <c r="DN81" i="4"/>
  <c r="B83" i="4"/>
  <c r="A71" i="47"/>
  <c r="B71" i="5"/>
  <c r="M82" i="4"/>
  <c r="N76" i="4"/>
  <c r="C65" i="5"/>
  <c r="C77" i="4"/>
  <c r="B65" i="47"/>
  <c r="C70" i="46"/>
  <c r="L69" i="46"/>
  <c r="DF136" i="4"/>
  <c r="AD76" i="46" l="1"/>
  <c r="BN76" i="46"/>
  <c r="BU76" i="46"/>
  <c r="AE76" i="46"/>
  <c r="BC76" i="46"/>
  <c r="AC76" i="46"/>
  <c r="BQ76" i="46"/>
  <c r="CL76" i="46"/>
  <c r="AZ76" i="46"/>
  <c r="BT76" i="46"/>
  <c r="M76" i="46"/>
  <c r="AA76" i="46"/>
  <c r="AO76" i="46"/>
  <c r="BO76" i="46"/>
  <c r="EA76" i="46"/>
  <c r="AY76" i="46"/>
  <c r="CP76" i="46"/>
  <c r="BP76" i="46"/>
  <c r="U76" i="46"/>
  <c r="CQ76" i="46"/>
  <c r="Z76" i="46"/>
  <c r="DN76" i="46"/>
  <c r="DM76" i="46"/>
  <c r="DG76" i="46"/>
  <c r="AJ76" i="46"/>
  <c r="DL76" i="46"/>
  <c r="P76" i="46"/>
  <c r="AN76" i="46"/>
  <c r="BJ76" i="46"/>
  <c r="CO76" i="46"/>
  <c r="AT76" i="46"/>
  <c r="Q76" i="46"/>
  <c r="CG76" i="46"/>
  <c r="CD76" i="46"/>
  <c r="AQ76" i="46"/>
  <c r="BI76" i="46"/>
  <c r="T76" i="46"/>
  <c r="BX76" i="46"/>
  <c r="AM76" i="46"/>
  <c r="BF76" i="46"/>
  <c r="CB76" i="46"/>
  <c r="AL76" i="46"/>
  <c r="AU76" i="46"/>
  <c r="BW76" i="46"/>
  <c r="CH76" i="46"/>
  <c r="AW76" i="46"/>
  <c r="AH76" i="46"/>
  <c r="DK76" i="46"/>
  <c r="DH76" i="46"/>
  <c r="DE76" i="46"/>
  <c r="CE76" i="46"/>
  <c r="AB76" i="46"/>
  <c r="BD76" i="46"/>
  <c r="DJ76" i="46"/>
  <c r="R76" i="46"/>
  <c r="CI76" i="46"/>
  <c r="AV76" i="46"/>
  <c r="BB76" i="46"/>
  <c r="BV76" i="46"/>
  <c r="O76" i="46"/>
  <c r="W76" i="46"/>
  <c r="AF76" i="46"/>
  <c r="BS76" i="46"/>
  <c r="N76" i="46"/>
  <c r="BA76" i="46"/>
  <c r="V76" i="46"/>
  <c r="CR76" i="46"/>
  <c r="AX76" i="46"/>
  <c r="BR76" i="46"/>
  <c r="BM76" i="46"/>
  <c r="AI76" i="46"/>
  <c r="DI76" i="46"/>
  <c r="Y76" i="46"/>
  <c r="CK76" i="46"/>
  <c r="CN76" i="46"/>
  <c r="AS76" i="46"/>
  <c r="BK76" i="46"/>
  <c r="S76" i="46"/>
  <c r="BY76" i="46"/>
  <c r="AP76" i="46"/>
  <c r="BH76" i="46"/>
  <c r="CM76" i="46"/>
  <c r="AR76" i="46"/>
  <c r="X76" i="46"/>
  <c r="CJ76" i="46"/>
  <c r="CA76" i="46"/>
  <c r="AK76" i="46"/>
  <c r="BG76" i="46"/>
  <c r="CF76" i="46"/>
  <c r="CC76" i="46"/>
  <c r="BE76" i="46"/>
  <c r="BL76" i="46"/>
  <c r="BZ76" i="46"/>
  <c r="DD76" i="46"/>
  <c r="DC76" i="46"/>
  <c r="DF76" i="46"/>
  <c r="DO76" i="46"/>
  <c r="AG76" i="46"/>
  <c r="B78" i="46"/>
  <c r="K77" i="46"/>
  <c r="B84" i="4"/>
  <c r="B72" i="5"/>
  <c r="A72" i="47"/>
  <c r="M83" i="4"/>
  <c r="DM82" i="4"/>
  <c r="AU82" i="4"/>
  <c r="AM82" i="4"/>
  <c r="AK82" i="4"/>
  <c r="AL82" i="4"/>
  <c r="AE82" i="4"/>
  <c r="AI82" i="4"/>
  <c r="AF82" i="4"/>
  <c r="AQ82" i="4"/>
  <c r="CJ82" i="4"/>
  <c r="CN82" i="4"/>
  <c r="DQ82" i="4"/>
  <c r="BE82" i="4"/>
  <c r="CI82" i="4"/>
  <c r="EC82" i="4"/>
  <c r="BX82" i="4"/>
  <c r="DH82" i="4"/>
  <c r="DJ82" i="4"/>
  <c r="BI82" i="4"/>
  <c r="BB82" i="4"/>
  <c r="BH82" i="4"/>
  <c r="O82" i="4"/>
  <c r="CG82" i="4"/>
  <c r="CF82" i="4"/>
  <c r="DN82" i="4"/>
  <c r="AT82" i="4"/>
  <c r="AO82" i="4"/>
  <c r="AR82" i="4"/>
  <c r="AX82" i="4"/>
  <c r="AP82" i="4"/>
  <c r="U82" i="4"/>
  <c r="T82" i="4"/>
  <c r="V82" i="4"/>
  <c r="CP82" i="4"/>
  <c r="CL82" i="4"/>
  <c r="DK82" i="4"/>
  <c r="BA82" i="4"/>
  <c r="CK82" i="4"/>
  <c r="AZ82" i="4"/>
  <c r="BY82" i="4"/>
  <c r="BR82" i="4"/>
  <c r="CA82" i="4"/>
  <c r="BM82" i="4"/>
  <c r="BW82" i="4"/>
  <c r="BD82" i="4"/>
  <c r="BL82" i="4"/>
  <c r="BQ82" i="4"/>
  <c r="BC82" i="4"/>
  <c r="BT82" i="4"/>
  <c r="CE82" i="4"/>
  <c r="AV82" i="4"/>
  <c r="AN82" i="4"/>
  <c r="AD82" i="4"/>
  <c r="AJ82" i="4"/>
  <c r="AB82" i="4"/>
  <c r="Z82" i="4"/>
  <c r="Y82" i="4"/>
  <c r="DR82" i="4"/>
  <c r="DP82" i="46" s="1"/>
  <c r="CQ82" i="4"/>
  <c r="DL82" i="4"/>
  <c r="BF82" i="4"/>
  <c r="BK82" i="4"/>
  <c r="CC82" i="4"/>
  <c r="X82" i="4"/>
  <c r="CB82" i="4"/>
  <c r="BN82" i="4"/>
  <c r="AA82" i="4"/>
  <c r="CD82" i="4"/>
  <c r="P82" i="4"/>
  <c r="BV82" i="4"/>
  <c r="BG82" i="4"/>
  <c r="CT82" i="4"/>
  <c r="CS82" i="4"/>
  <c r="AG82" i="4"/>
  <c r="W82" i="4"/>
  <c r="CM82" i="4"/>
  <c r="BU82" i="4"/>
  <c r="BJ82" i="4"/>
  <c r="AH82" i="4"/>
  <c r="S82" i="4"/>
  <c r="DP82" i="4"/>
  <c r="BP82" i="4"/>
  <c r="CR82" i="4"/>
  <c r="BS82" i="4"/>
  <c r="AW82" i="4"/>
  <c r="AC82" i="4"/>
  <c r="DO82" i="4"/>
  <c r="BZ82" i="4"/>
  <c r="BO82" i="4"/>
  <c r="CH82" i="4"/>
  <c r="Q82" i="4"/>
  <c r="R82" i="4"/>
  <c r="CO82" i="4"/>
  <c r="DI82" i="4"/>
  <c r="AS82" i="4"/>
  <c r="AY82" i="4"/>
  <c r="B66" i="47"/>
  <c r="N77" i="4"/>
  <c r="C66" i="5"/>
  <c r="C78" i="4"/>
  <c r="L70" i="46"/>
  <c r="C71" i="46"/>
  <c r="DF137" i="4"/>
  <c r="S77" i="46" l="1"/>
  <c r="BX77" i="46"/>
  <c r="AG77" i="46"/>
  <c r="BB77" i="46"/>
  <c r="BV77" i="46"/>
  <c r="O77" i="46"/>
  <c r="AB77" i="46"/>
  <c r="W77" i="46"/>
  <c r="AM77" i="46"/>
  <c r="BO77" i="46"/>
  <c r="EA77" i="46"/>
  <c r="AY77" i="46"/>
  <c r="CF77" i="46"/>
  <c r="N77" i="46"/>
  <c r="AC77" i="46"/>
  <c r="BL77" i="46"/>
  <c r="AW77" i="46"/>
  <c r="CD77" i="46"/>
  <c r="BI77" i="46"/>
  <c r="BE77" i="46"/>
  <c r="AA77" i="46"/>
  <c r="BZ77" i="46"/>
  <c r="DM77" i="46"/>
  <c r="DE77" i="46"/>
  <c r="DL77" i="46"/>
  <c r="V77" i="46"/>
  <c r="CJ77" i="46"/>
  <c r="AS77" i="46"/>
  <c r="BK77" i="46"/>
  <c r="R77" i="46"/>
  <c r="CL77" i="46"/>
  <c r="BF77" i="46"/>
  <c r="AL77" i="46"/>
  <c r="BT77" i="46"/>
  <c r="AU77" i="46"/>
  <c r="BH77" i="46"/>
  <c r="AR77" i="46"/>
  <c r="BY77" i="46"/>
  <c r="DD77" i="46"/>
  <c r="DF77" i="46"/>
  <c r="CN77" i="46"/>
  <c r="CC77" i="46"/>
  <c r="CH77" i="46"/>
  <c r="CB77" i="46"/>
  <c r="AN77" i="46"/>
  <c r="CK77" i="46"/>
  <c r="Q77" i="46"/>
  <c r="AV77" i="46"/>
  <c r="DN77" i="46"/>
  <c r="DO77" i="46"/>
  <c r="CM77" i="46"/>
  <c r="DK77" i="46"/>
  <c r="X77" i="46"/>
  <c r="CG77" i="46"/>
  <c r="BU77" i="46"/>
  <c r="AE77" i="46"/>
  <c r="BC77" i="46"/>
  <c r="U77" i="46"/>
  <c r="Y77" i="46"/>
  <c r="CE77" i="46"/>
  <c r="CR77" i="46"/>
  <c r="AX77" i="46"/>
  <c r="BR77" i="46"/>
  <c r="T77" i="46"/>
  <c r="BS77" i="46"/>
  <c r="BA77" i="46"/>
  <c r="AP77" i="46"/>
  <c r="CQ77" i="46"/>
  <c r="BN77" i="46"/>
  <c r="AQ77" i="46"/>
  <c r="AF77" i="46"/>
  <c r="BD77" i="46"/>
  <c r="AI77" i="46"/>
  <c r="DH77" i="46"/>
  <c r="DJ77" i="46"/>
  <c r="DG77" i="46"/>
  <c r="AH77" i="46"/>
  <c r="DI77" i="46"/>
  <c r="P77" i="46"/>
  <c r="AO77" i="46"/>
  <c r="BJ77" i="46"/>
  <c r="CO77" i="46"/>
  <c r="AT77" i="46"/>
  <c r="Z77" i="46"/>
  <c r="AD77" i="46"/>
  <c r="BP77" i="46"/>
  <c r="CA77" i="46"/>
  <c r="AK77" i="46"/>
  <c r="BG77" i="46"/>
  <c r="CI77" i="46"/>
  <c r="AZ77" i="46"/>
  <c r="M77" i="46"/>
  <c r="CP77" i="46"/>
  <c r="BM77" i="46"/>
  <c r="BW77" i="46"/>
  <c r="AJ77" i="46"/>
  <c r="BQ77" i="46"/>
  <c r="DC77" i="46"/>
  <c r="B79" i="46"/>
  <c r="K78" i="46"/>
  <c r="C67" i="5"/>
  <c r="C79" i="4"/>
  <c r="N78" i="4"/>
  <c r="B67" i="47"/>
  <c r="B85" i="4"/>
  <c r="B73" i="5"/>
  <c r="A73" i="47"/>
  <c r="M84" i="4"/>
  <c r="CE83" i="4"/>
  <c r="AM83" i="4"/>
  <c r="AJ83" i="4"/>
  <c r="AR83" i="4"/>
  <c r="AO83" i="4"/>
  <c r="AD83" i="4"/>
  <c r="AI83" i="4"/>
  <c r="AL83" i="4"/>
  <c r="DR83" i="4"/>
  <c r="DP83" i="46" s="1"/>
  <c r="CQ83" i="4"/>
  <c r="DL83" i="4"/>
  <c r="BA83" i="4"/>
  <c r="BK83" i="4"/>
  <c r="CH83" i="4"/>
  <c r="BJ83" i="4"/>
  <c r="BG83" i="4"/>
  <c r="CS83" i="4"/>
  <c r="CG83" i="4"/>
  <c r="EC83" i="4"/>
  <c r="BC83" i="4"/>
  <c r="BP83" i="4"/>
  <c r="CF83" i="4"/>
  <c r="BM83" i="4"/>
  <c r="AV83" i="4"/>
  <c r="AT83" i="4"/>
  <c r="AQ83" i="4"/>
  <c r="AE83" i="4"/>
  <c r="AH83" i="4"/>
  <c r="T83" i="4"/>
  <c r="AC83" i="4"/>
  <c r="V83" i="4"/>
  <c r="CJ83" i="4"/>
  <c r="CM83" i="4"/>
  <c r="DP83" i="4"/>
  <c r="DO83" i="4"/>
  <c r="AY83" i="4"/>
  <c r="CR83" i="4"/>
  <c r="R83" i="4"/>
  <c r="O83" i="4"/>
  <c r="CT83" i="4"/>
  <c r="BR83" i="4"/>
  <c r="BZ83" i="4"/>
  <c r="CC83" i="4"/>
  <c r="BW83" i="4"/>
  <c r="DJ83" i="4"/>
  <c r="CB83" i="4"/>
  <c r="DM83" i="4"/>
  <c r="AU83" i="4"/>
  <c r="AS83" i="4"/>
  <c r="AG83" i="4"/>
  <c r="AP83" i="4"/>
  <c r="AX83" i="4"/>
  <c r="Z83" i="4"/>
  <c r="U83" i="4"/>
  <c r="S83" i="4"/>
  <c r="CO83" i="4"/>
  <c r="CN83" i="4"/>
  <c r="DQ83" i="4"/>
  <c r="BE83" i="4"/>
  <c r="CI83" i="4"/>
  <c r="BI83" i="4"/>
  <c r="AZ83" i="4"/>
  <c r="X83" i="4"/>
  <c r="BQ83" i="4"/>
  <c r="BH83" i="4"/>
  <c r="BS83" i="4"/>
  <c r="DI83" i="4"/>
  <c r="BB83" i="4"/>
  <c r="BN83" i="4"/>
  <c r="CA83" i="4"/>
  <c r="BU83" i="4"/>
  <c r="DN83" i="4"/>
  <c r="AW83" i="4"/>
  <c r="Y83" i="4"/>
  <c r="DK83" i="4"/>
  <c r="P83" i="4"/>
  <c r="BO83" i="4"/>
  <c r="AA83" i="4"/>
  <c r="AN83" i="4"/>
  <c r="AB83" i="4"/>
  <c r="BF83" i="4"/>
  <c r="BT83" i="4"/>
  <c r="CD83" i="4"/>
  <c r="BV83" i="4"/>
  <c r="AF83" i="4"/>
  <c r="W83" i="4"/>
  <c r="CP83" i="4"/>
  <c r="CK83" i="4"/>
  <c r="BD83" i="4"/>
  <c r="BX83" i="4"/>
  <c r="DH83" i="4"/>
  <c r="Q83" i="4"/>
  <c r="BL83" i="4"/>
  <c r="CL83" i="4"/>
  <c r="AK83" i="4"/>
  <c r="BY83" i="4"/>
  <c r="C72" i="46"/>
  <c r="L71" i="46"/>
  <c r="DF138" i="4"/>
  <c r="Z78" i="46" l="1"/>
  <c r="BP78" i="46"/>
  <c r="AB78" i="46"/>
  <c r="AP78" i="46"/>
  <c r="BL78" i="46"/>
  <c r="CO78" i="46"/>
  <c r="AT78" i="46"/>
  <c r="Q78" i="46"/>
  <c r="CE78" i="46"/>
  <c r="EA78" i="46"/>
  <c r="AZ78" i="46"/>
  <c r="BR78" i="46"/>
  <c r="Y78" i="46"/>
  <c r="AN78" i="46"/>
  <c r="CM78" i="46"/>
  <c r="P78" i="46"/>
  <c r="BF78" i="46"/>
  <c r="AJ78" i="46"/>
  <c r="AM78" i="46"/>
  <c r="BT78" i="46"/>
  <c r="AX78" i="46"/>
  <c r="CR78" i="46"/>
  <c r="AW78" i="46"/>
  <c r="DG78" i="46"/>
  <c r="DI78" i="46"/>
  <c r="DF78" i="46"/>
  <c r="CB78" i="46"/>
  <c r="R78" i="46"/>
  <c r="CC78" i="46"/>
  <c r="CH78" i="46"/>
  <c r="CL78" i="46"/>
  <c r="BD78" i="46"/>
  <c r="BV78" i="46"/>
  <c r="O78" i="46"/>
  <c r="W78" i="46"/>
  <c r="AF78" i="46"/>
  <c r="CD78" i="46"/>
  <c r="AQ78" i="46"/>
  <c r="BG78" i="46"/>
  <c r="AA78" i="46"/>
  <c r="CN78" i="46"/>
  <c r="BI78" i="46"/>
  <c r="CF78" i="46"/>
  <c r="AK78" i="46"/>
  <c r="T78" i="46"/>
  <c r="BU78" i="46"/>
  <c r="BA78" i="46"/>
  <c r="BX78" i="46"/>
  <c r="BM78" i="46"/>
  <c r="AO78" i="46"/>
  <c r="DC78" i="46"/>
  <c r="DH78" i="46"/>
  <c r="DL78" i="46"/>
  <c r="U78" i="46"/>
  <c r="CK78" i="46"/>
  <c r="CP78" i="46"/>
  <c r="AU78" i="46"/>
  <c r="BK78" i="46"/>
  <c r="S78" i="46"/>
  <c r="BY78" i="46"/>
  <c r="AG78" i="46"/>
  <c r="BS78" i="46"/>
  <c r="N78" i="46"/>
  <c r="AY78" i="46"/>
  <c r="CI78" i="46"/>
  <c r="BJ78" i="46"/>
  <c r="AR78" i="46"/>
  <c r="AV78" i="46"/>
  <c r="BZ78" i="46"/>
  <c r="AD78" i="46"/>
  <c r="BB78" i="46"/>
  <c r="M78" i="46"/>
  <c r="CQ78" i="46"/>
  <c r="BO78" i="46"/>
  <c r="DD78" i="46"/>
  <c r="DM78" i="46"/>
  <c r="DK78" i="46"/>
  <c r="DO78" i="46"/>
  <c r="BW78" i="46"/>
  <c r="AI78" i="46"/>
  <c r="BC78" i="46"/>
  <c r="AC78" i="46"/>
  <c r="BQ78" i="46"/>
  <c r="AH78" i="46"/>
  <c r="BH78" i="46"/>
  <c r="AL78" i="46"/>
  <c r="CG78" i="46"/>
  <c r="AS78" i="46"/>
  <c r="V78" i="46"/>
  <c r="CA78" i="46"/>
  <c r="BE78" i="46"/>
  <c r="BN78" i="46"/>
  <c r="AE78" i="46"/>
  <c r="X78" i="46"/>
  <c r="CJ78" i="46"/>
  <c r="DE78" i="46"/>
  <c r="DJ78" i="46"/>
  <c r="DN78" i="46"/>
  <c r="K79" i="46"/>
  <c r="B80" i="46"/>
  <c r="DM84" i="4"/>
  <c r="AS84" i="4"/>
  <c r="AT84" i="4"/>
  <c r="AI84" i="4"/>
  <c r="AQ84" i="4"/>
  <c r="AK84" i="4"/>
  <c r="AD84" i="4"/>
  <c r="S84" i="4"/>
  <c r="W84" i="4"/>
  <c r="CP84" i="4"/>
  <c r="CN84" i="4"/>
  <c r="DQ84" i="4"/>
  <c r="BE84" i="4"/>
  <c r="CI84" i="4"/>
  <c r="BW84" i="4"/>
  <c r="BV84" i="4"/>
  <c r="BO84" i="4"/>
  <c r="X84" i="4"/>
  <c r="CC84" i="4"/>
  <c r="BM84" i="4"/>
  <c r="EC84" i="4"/>
  <c r="CS84" i="4"/>
  <c r="DH84" i="4"/>
  <c r="DI84" i="4"/>
  <c r="DN84" i="4"/>
  <c r="AV84" i="4"/>
  <c r="AN84" i="4"/>
  <c r="AP84" i="4"/>
  <c r="AH84" i="4"/>
  <c r="AG84" i="4"/>
  <c r="AL84" i="4"/>
  <c r="AR84" i="4"/>
  <c r="T84" i="4"/>
  <c r="CJ84" i="4"/>
  <c r="CL84" i="4"/>
  <c r="DL84" i="4"/>
  <c r="BF84" i="4"/>
  <c r="CK84" i="4"/>
  <c r="BT84" i="4"/>
  <c r="BC84" i="4"/>
  <c r="AA84" i="4"/>
  <c r="BJ84" i="4"/>
  <c r="AZ84" i="4"/>
  <c r="BG84" i="4"/>
  <c r="BX84" i="4"/>
  <c r="P84" i="4"/>
  <c r="BI84" i="4"/>
  <c r="CH84" i="4"/>
  <c r="BY84" i="4"/>
  <c r="CE84" i="4"/>
  <c r="AU84" i="4"/>
  <c r="AM84" i="4"/>
  <c r="AF84" i="4"/>
  <c r="AX84" i="4"/>
  <c r="U84" i="4"/>
  <c r="V84" i="4"/>
  <c r="AB84" i="4"/>
  <c r="DR84" i="4"/>
  <c r="DP84" i="46" s="1"/>
  <c r="CQ84" i="4"/>
  <c r="DO84" i="4"/>
  <c r="BA84" i="4"/>
  <c r="BK84" i="4"/>
  <c r="BZ84" i="4"/>
  <c r="CG84" i="4"/>
  <c r="BR84" i="4"/>
  <c r="CB84" i="4"/>
  <c r="CA84" i="4"/>
  <c r="BS84" i="4"/>
  <c r="CD84" i="4"/>
  <c r="BN84" i="4"/>
  <c r="CT84" i="4"/>
  <c r="CF84" i="4"/>
  <c r="BP84" i="4"/>
  <c r="AO84" i="4"/>
  <c r="Q84" i="4"/>
  <c r="CO84" i="4"/>
  <c r="AY84" i="4"/>
  <c r="BU84" i="4"/>
  <c r="BB84" i="4"/>
  <c r="AE84" i="4"/>
  <c r="Y84" i="4"/>
  <c r="CM84" i="4"/>
  <c r="BD84" i="4"/>
  <c r="BQ84" i="4"/>
  <c r="AJ84" i="4"/>
  <c r="Z84" i="4"/>
  <c r="DP84" i="4"/>
  <c r="O84" i="4"/>
  <c r="BH84" i="4"/>
  <c r="BL84" i="4"/>
  <c r="CR84" i="4"/>
  <c r="AW84" i="4"/>
  <c r="DK84" i="4"/>
  <c r="DJ84" i="4"/>
  <c r="AC84" i="4"/>
  <c r="R84" i="4"/>
  <c r="B68" i="47"/>
  <c r="N79" i="4"/>
  <c r="C68" i="5"/>
  <c r="C80" i="4"/>
  <c r="B86" i="4"/>
  <c r="B74" i="5"/>
  <c r="M85" i="4"/>
  <c r="A74" i="47"/>
  <c r="L72" i="46"/>
  <c r="C73" i="46"/>
  <c r="DF139" i="4"/>
  <c r="K80" i="46" l="1"/>
  <c r="B81" i="46"/>
  <c r="X79" i="46"/>
  <c r="CE79" i="46"/>
  <c r="BV79" i="46"/>
  <c r="O79" i="46"/>
  <c r="BB79" i="46"/>
  <c r="Y79" i="46"/>
  <c r="CF79" i="46"/>
  <c r="EA79" i="46"/>
  <c r="AY79" i="46"/>
  <c r="BO79" i="46"/>
  <c r="CC79" i="46"/>
  <c r="CM79" i="46"/>
  <c r="BH79" i="46"/>
  <c r="BY79" i="46"/>
  <c r="BZ79" i="46"/>
  <c r="BD79" i="46"/>
  <c r="CH79" i="46"/>
  <c r="BA79" i="46"/>
  <c r="N79" i="46"/>
  <c r="BL79" i="46"/>
  <c r="AU79" i="46"/>
  <c r="DH79" i="46"/>
  <c r="DJ79" i="46"/>
  <c r="DE79" i="46"/>
  <c r="AE79" i="46"/>
  <c r="CR79" i="46"/>
  <c r="BN79" i="46"/>
  <c r="AF79" i="46"/>
  <c r="U79" i="46"/>
  <c r="BS79" i="46"/>
  <c r="AA79" i="46"/>
  <c r="DL79" i="46"/>
  <c r="CJ79" i="46"/>
  <c r="T79" i="46"/>
  <c r="AG79" i="46"/>
  <c r="AK79" i="46"/>
  <c r="Q79" i="46"/>
  <c r="AB79" i="46"/>
  <c r="BM79" i="46"/>
  <c r="DO79" i="46"/>
  <c r="W79" i="46"/>
  <c r="AO79" i="46"/>
  <c r="BK79" i="46"/>
  <c r="CN79" i="46"/>
  <c r="AS79" i="46"/>
  <c r="AD79" i="46"/>
  <c r="BP79" i="46"/>
  <c r="CB79" i="46"/>
  <c r="AL79" i="46"/>
  <c r="BF79" i="46"/>
  <c r="Z79" i="46"/>
  <c r="BI79" i="46"/>
  <c r="AQ79" i="46"/>
  <c r="BQ79" i="46"/>
  <c r="BE79" i="46"/>
  <c r="AI79" i="46"/>
  <c r="CG79" i="46"/>
  <c r="M79" i="46"/>
  <c r="CP79" i="46"/>
  <c r="AC79" i="46"/>
  <c r="AW79" i="46"/>
  <c r="DI79" i="46"/>
  <c r="DC79" i="46"/>
  <c r="DF79" i="46"/>
  <c r="BC79" i="46"/>
  <c r="AM79" i="46"/>
  <c r="AX79" i="46"/>
  <c r="AR79" i="46"/>
  <c r="AJ79" i="46"/>
  <c r="AP79" i="46"/>
  <c r="CK79" i="46"/>
  <c r="DG79" i="46"/>
  <c r="DM79" i="46"/>
  <c r="CA79" i="46"/>
  <c r="BT79" i="46"/>
  <c r="DK79" i="46"/>
  <c r="S79" i="46"/>
  <c r="BX79" i="46"/>
  <c r="AV79" i="46"/>
  <c r="BU79" i="46"/>
  <c r="P79" i="46"/>
  <c r="BR79" i="46"/>
  <c r="R79" i="46"/>
  <c r="AN79" i="46"/>
  <c r="V79" i="46"/>
  <c r="CO79" i="46"/>
  <c r="AT79" i="46"/>
  <c r="CI79" i="46"/>
  <c r="BG79" i="46"/>
  <c r="CD79" i="46"/>
  <c r="BW79" i="46"/>
  <c r="AZ79" i="46"/>
  <c r="DN79" i="46"/>
  <c r="BJ79" i="46"/>
  <c r="CL79" i="46"/>
  <c r="AH79" i="46"/>
  <c r="CQ79" i="46"/>
  <c r="DD79" i="46"/>
  <c r="CE85" i="4"/>
  <c r="AS85" i="4"/>
  <c r="AD85" i="4"/>
  <c r="AE85" i="4"/>
  <c r="AF85" i="4"/>
  <c r="V85" i="4"/>
  <c r="AR85" i="4"/>
  <c r="AC85" i="4"/>
  <c r="DR85" i="4"/>
  <c r="DP85" i="46" s="1"/>
  <c r="CQ85" i="4"/>
  <c r="DK85" i="4"/>
  <c r="BA85" i="4"/>
  <c r="BK85" i="4"/>
  <c r="BU85" i="4"/>
  <c r="CA85" i="4"/>
  <c r="R85" i="4"/>
  <c r="CB85" i="4"/>
  <c r="AZ85" i="4"/>
  <c r="BJ85" i="4"/>
  <c r="BG85" i="4"/>
  <c r="EC85" i="4"/>
  <c r="BV85" i="4"/>
  <c r="BX85" i="4"/>
  <c r="AV85" i="4"/>
  <c r="AO85" i="4"/>
  <c r="AH85" i="4"/>
  <c r="AI85" i="4"/>
  <c r="AQ85" i="4"/>
  <c r="Z85" i="4"/>
  <c r="AU85" i="4"/>
  <c r="Y85" i="4"/>
  <c r="CO85" i="4"/>
  <c r="CM85" i="4"/>
  <c r="DP85" i="4"/>
  <c r="DL85" i="4"/>
  <c r="AY85" i="4"/>
  <c r="CD85" i="4"/>
  <c r="CT85" i="4"/>
  <c r="BC85" i="4"/>
  <c r="BR85" i="4"/>
  <c r="CH85" i="4"/>
  <c r="DJ85" i="4"/>
  <c r="BQ85" i="4"/>
  <c r="BW85" i="4"/>
  <c r="BS85" i="4"/>
  <c r="P85" i="4"/>
  <c r="DM85" i="4"/>
  <c r="AW85" i="4"/>
  <c r="AN85" i="4"/>
  <c r="AL85" i="4"/>
  <c r="AP85" i="4"/>
  <c r="AB85" i="4"/>
  <c r="W85" i="4"/>
  <c r="AG85" i="4"/>
  <c r="Q85" i="4"/>
  <c r="CP85" i="4"/>
  <c r="CN85" i="4"/>
  <c r="DQ85" i="4"/>
  <c r="BE85" i="4"/>
  <c r="CI85" i="4"/>
  <c r="BI85" i="4"/>
  <c r="CR85" i="4"/>
  <c r="DH85" i="4"/>
  <c r="CF85" i="4"/>
  <c r="BB85" i="4"/>
  <c r="CS85" i="4"/>
  <c r="CG85" i="4"/>
  <c r="BZ85" i="4"/>
  <c r="AA85" i="4"/>
  <c r="BO85" i="4"/>
  <c r="BT85" i="4"/>
  <c r="AX85" i="4"/>
  <c r="S85" i="4"/>
  <c r="CL85" i="4"/>
  <c r="O85" i="4"/>
  <c r="CC85" i="4"/>
  <c r="DN85" i="4"/>
  <c r="AK85" i="4"/>
  <c r="U85" i="4"/>
  <c r="DO85" i="4"/>
  <c r="BM85" i="4"/>
  <c r="DI85" i="4"/>
  <c r="BP85" i="4"/>
  <c r="AT85" i="4"/>
  <c r="AJ85" i="4"/>
  <c r="BF85" i="4"/>
  <c r="BD85" i="4"/>
  <c r="BY85" i="4"/>
  <c r="BL85" i="4"/>
  <c r="CJ85" i="4"/>
  <c r="BH85" i="4"/>
  <c r="CK85" i="4"/>
  <c r="AM85" i="4"/>
  <c r="X85" i="4"/>
  <c r="BN85" i="4"/>
  <c r="T85" i="4"/>
  <c r="B69" i="47"/>
  <c r="N80" i="4"/>
  <c r="C69" i="5"/>
  <c r="C81" i="4"/>
  <c r="B87" i="4"/>
  <c r="A75" i="47"/>
  <c r="B75" i="5"/>
  <c r="M86" i="4"/>
  <c r="C74" i="46"/>
  <c r="L73" i="46"/>
  <c r="DF140" i="4"/>
  <c r="K81" i="46" l="1"/>
  <c r="B82" i="46"/>
  <c r="AD80" i="46"/>
  <c r="BN80" i="46"/>
  <c r="CB80" i="46"/>
  <c r="AL80" i="46"/>
  <c r="BF80" i="46"/>
  <c r="V80" i="46"/>
  <c r="CE80" i="46"/>
  <c r="CO80" i="46"/>
  <c r="AT80" i="46"/>
  <c r="BJ80" i="46"/>
  <c r="AC80" i="46"/>
  <c r="CQ80" i="46"/>
  <c r="BL80" i="46"/>
  <c r="BP80" i="46"/>
  <c r="AR80" i="46"/>
  <c r="T80" i="46"/>
  <c r="AF80" i="46"/>
  <c r="AJ80" i="46"/>
  <c r="CK80" i="46"/>
  <c r="BT80" i="46"/>
  <c r="N80" i="46"/>
  <c r="DN80" i="46"/>
  <c r="DK80" i="46"/>
  <c r="DH80" i="46"/>
  <c r="W80" i="46"/>
  <c r="BW80" i="46"/>
  <c r="DM80" i="46"/>
  <c r="DI80" i="46"/>
  <c r="DC80" i="46"/>
  <c r="P80" i="46"/>
  <c r="AP80" i="46"/>
  <c r="BR80" i="46"/>
  <c r="CR80" i="46"/>
  <c r="AX80" i="46"/>
  <c r="X80" i="46"/>
  <c r="CJ80" i="46"/>
  <c r="BV80" i="46"/>
  <c r="O80" i="46"/>
  <c r="BB80" i="46"/>
  <c r="BM80" i="46"/>
  <c r="AU80" i="46"/>
  <c r="CL80" i="46"/>
  <c r="CD80" i="46"/>
  <c r="AM80" i="46"/>
  <c r="AZ80" i="46"/>
  <c r="DJ80" i="46"/>
  <c r="R80" i="46"/>
  <c r="CI80" i="46"/>
  <c r="AN80" i="46"/>
  <c r="BG80" i="46"/>
  <c r="CA80" i="46"/>
  <c r="AK80" i="46"/>
  <c r="AA80" i="46"/>
  <c r="AO80" i="46"/>
  <c r="BK80" i="46"/>
  <c r="CN80" i="46"/>
  <c r="AS80" i="46"/>
  <c r="CG80" i="46"/>
  <c r="AW80" i="46"/>
  <c r="CC80" i="46"/>
  <c r="CM80" i="46"/>
  <c r="BH80" i="46"/>
  <c r="BY80" i="46"/>
  <c r="BZ80" i="46"/>
  <c r="BD80" i="46"/>
  <c r="U80" i="46"/>
  <c r="AB80" i="46"/>
  <c r="CH80" i="46"/>
  <c r="DL80" i="46"/>
  <c r="Y80" i="46"/>
  <c r="CF80" i="46"/>
  <c r="EA80" i="46"/>
  <c r="AY80" i="46"/>
  <c r="BO80" i="46"/>
  <c r="S80" i="46"/>
  <c r="BX80" i="46"/>
  <c r="AH80" i="46"/>
  <c r="BC80" i="46"/>
  <c r="BU80" i="46"/>
  <c r="AE80" i="46"/>
  <c r="AV80" i="46"/>
  <c r="CP80" i="46"/>
  <c r="Z80" i="46"/>
  <c r="BI80" i="46"/>
  <c r="AQ80" i="46"/>
  <c r="BQ80" i="46"/>
  <c r="BE80" i="46"/>
  <c r="AI80" i="46"/>
  <c r="AG80" i="46"/>
  <c r="BA80" i="46"/>
  <c r="DD80" i="46"/>
  <c r="DF80" i="46"/>
  <c r="DG80" i="46"/>
  <c r="DO80" i="46"/>
  <c r="Q80" i="46"/>
  <c r="BS80" i="46"/>
  <c r="M80" i="46"/>
  <c r="DE80" i="46"/>
  <c r="B70" i="47"/>
  <c r="C70" i="5"/>
  <c r="N81" i="4"/>
  <c r="C82" i="4"/>
  <c r="B88" i="4"/>
  <c r="A76" i="47"/>
  <c r="M87" i="4"/>
  <c r="B76" i="5"/>
  <c r="DM86" i="4"/>
  <c r="AU86" i="4"/>
  <c r="AS86" i="4"/>
  <c r="AR86" i="4"/>
  <c r="AX86" i="4"/>
  <c r="AI86" i="4"/>
  <c r="AE86" i="4"/>
  <c r="T86" i="4"/>
  <c r="U86" i="4"/>
  <c r="CJ86" i="4"/>
  <c r="CN86" i="4"/>
  <c r="DQ86" i="4"/>
  <c r="BE86" i="4"/>
  <c r="CI86" i="4"/>
  <c r="BQ86" i="4"/>
  <c r="BL86" i="4"/>
  <c r="CF86" i="4"/>
  <c r="CB86" i="4"/>
  <c r="CD86" i="4"/>
  <c r="BU86" i="4"/>
  <c r="BV86" i="4"/>
  <c r="CR86" i="4"/>
  <c r="BY86" i="4"/>
  <c r="CT86" i="4"/>
  <c r="O86" i="4"/>
  <c r="DN86" i="4"/>
  <c r="AT86" i="4"/>
  <c r="AN86" i="4"/>
  <c r="AD86" i="4"/>
  <c r="AF86" i="4"/>
  <c r="AP86" i="4"/>
  <c r="Z86" i="4"/>
  <c r="Y86" i="4"/>
  <c r="V86" i="4"/>
  <c r="CP86" i="4"/>
  <c r="CL86" i="4"/>
  <c r="DK86" i="4"/>
  <c r="BA86" i="4"/>
  <c r="CK86" i="4"/>
  <c r="BC86" i="4"/>
  <c r="AZ86" i="4"/>
  <c r="BN86" i="4"/>
  <c r="BZ86" i="4"/>
  <c r="BO86" i="4"/>
  <c r="BG86" i="4"/>
  <c r="BM86" i="4"/>
  <c r="BS86" i="4"/>
  <c r="BJ86" i="4"/>
  <c r="BI86" i="4"/>
  <c r="DH86" i="4"/>
  <c r="CE86" i="4"/>
  <c r="AM86" i="4"/>
  <c r="AG86" i="4"/>
  <c r="AH86" i="4"/>
  <c r="AQ86" i="4"/>
  <c r="AB86" i="4"/>
  <c r="W86" i="4"/>
  <c r="S86" i="4"/>
  <c r="DR86" i="4"/>
  <c r="DP86" i="46" s="1"/>
  <c r="CQ86" i="4"/>
  <c r="DL86" i="4"/>
  <c r="BF86" i="4"/>
  <c r="BK86" i="4"/>
  <c r="CG86" i="4"/>
  <c r="BT86" i="4"/>
  <c r="BP86" i="4"/>
  <c r="BX86" i="4"/>
  <c r="DI86" i="4"/>
  <c r="BD86" i="4"/>
  <c r="CS86" i="4"/>
  <c r="BH86" i="4"/>
  <c r="EC86" i="4"/>
  <c r="BR86" i="4"/>
  <c r="AW86" i="4"/>
  <c r="AC86" i="4"/>
  <c r="DO86" i="4"/>
  <c r="R86" i="4"/>
  <c r="CC86" i="4"/>
  <c r="CA86" i="4"/>
  <c r="AV86" i="4"/>
  <c r="Q86" i="4"/>
  <c r="CO86" i="4"/>
  <c r="AY86" i="4"/>
  <c r="BB86" i="4"/>
  <c r="DJ86" i="4"/>
  <c r="P86" i="4"/>
  <c r="AK86" i="4"/>
  <c r="AJ86" i="4"/>
  <c r="CM86" i="4"/>
  <c r="AA86" i="4"/>
  <c r="CH86" i="4"/>
  <c r="AL86" i="4"/>
  <c r="BW86" i="4"/>
  <c r="DP86" i="4"/>
  <c r="X86" i="4"/>
  <c r="AO86" i="4"/>
  <c r="C75" i="46"/>
  <c r="L74" i="46"/>
  <c r="DF141" i="4"/>
  <c r="K82" i="46" l="1"/>
  <c r="B83" i="46"/>
  <c r="Q81" i="46"/>
  <c r="BP81" i="46"/>
  <c r="BT81" i="46"/>
  <c r="M81" i="46"/>
  <c r="AZ81" i="46"/>
  <c r="U81" i="46"/>
  <c r="BQ81" i="46"/>
  <c r="CL81" i="46"/>
  <c r="BE81" i="46"/>
  <c r="BW81" i="46"/>
  <c r="AI81" i="46"/>
  <c r="AV81" i="46"/>
  <c r="CA81" i="46"/>
  <c r="AD81" i="46"/>
  <c r="BC81" i="46"/>
  <c r="AE81" i="46"/>
  <c r="CG81" i="46"/>
  <c r="AY81" i="46"/>
  <c r="Y81" i="46"/>
  <c r="CN81" i="46"/>
  <c r="BK81" i="46"/>
  <c r="DC81" i="46"/>
  <c r="DJ81" i="46"/>
  <c r="DN81" i="46"/>
  <c r="W81" i="46"/>
  <c r="DK81" i="46"/>
  <c r="DO81" i="46"/>
  <c r="AA81" i="46"/>
  <c r="AN81" i="46"/>
  <c r="BI81" i="46"/>
  <c r="CD81" i="46"/>
  <c r="AQ81" i="46"/>
  <c r="Z81" i="46"/>
  <c r="CK81" i="46"/>
  <c r="CQ81" i="46"/>
  <c r="AW81" i="46"/>
  <c r="BL81" i="46"/>
  <c r="V81" i="46"/>
  <c r="CB81" i="46"/>
  <c r="BF81" i="46"/>
  <c r="CJ81" i="46"/>
  <c r="O81" i="46"/>
  <c r="R81" i="46"/>
  <c r="AM81" i="46"/>
  <c r="CR81" i="46"/>
  <c r="AG81" i="46"/>
  <c r="CI81" i="46"/>
  <c r="AS81" i="46"/>
  <c r="DG81" i="46"/>
  <c r="DF81" i="46"/>
  <c r="DM81" i="46"/>
  <c r="BY81" i="46"/>
  <c r="BA81" i="46"/>
  <c r="N81" i="46"/>
  <c r="AF81" i="46"/>
  <c r="AJ81" i="46"/>
  <c r="BD81" i="46"/>
  <c r="BG81" i="46"/>
  <c r="AO81" i="46"/>
  <c r="BU81" i="46"/>
  <c r="EA81" i="46"/>
  <c r="AT81" i="46"/>
  <c r="CE81" i="46"/>
  <c r="DI81" i="46"/>
  <c r="DL81" i="46"/>
  <c r="BN81" i="46"/>
  <c r="BR81" i="46"/>
  <c r="BJ81" i="46"/>
  <c r="DH81" i="46"/>
  <c r="T81" i="46"/>
  <c r="AH81" i="46"/>
  <c r="BS81" i="46"/>
  <c r="AB81" i="46"/>
  <c r="BZ81" i="46"/>
  <c r="P81" i="46"/>
  <c r="AK81" i="46"/>
  <c r="X81" i="46"/>
  <c r="BO81" i="46"/>
  <c r="CO81" i="46"/>
  <c r="DE81" i="46"/>
  <c r="AC81" i="46"/>
  <c r="CF81" i="46"/>
  <c r="CM81" i="46"/>
  <c r="AR81" i="46"/>
  <c r="BH81" i="46"/>
  <c r="CC81" i="46"/>
  <c r="CH81" i="46"/>
  <c r="AP81" i="46"/>
  <c r="BM81" i="46"/>
  <c r="CP81" i="46"/>
  <c r="AU81" i="46"/>
  <c r="AL81" i="46"/>
  <c r="S81" i="46"/>
  <c r="BV81" i="46"/>
  <c r="BB81" i="46"/>
  <c r="BX81" i="46"/>
  <c r="AX81" i="46"/>
  <c r="DD81" i="46"/>
  <c r="B71" i="47"/>
  <c r="C83" i="4"/>
  <c r="N82" i="4"/>
  <c r="C71" i="5"/>
  <c r="CE87" i="4"/>
  <c r="AN87" i="4"/>
  <c r="AO87" i="4"/>
  <c r="AG87" i="4"/>
  <c r="AD87" i="4"/>
  <c r="T87" i="4"/>
  <c r="V87" i="4"/>
  <c r="Q87" i="4"/>
  <c r="DR87" i="4"/>
  <c r="DP87" i="46" s="1"/>
  <c r="CQ87" i="4"/>
  <c r="DL87" i="4"/>
  <c r="BA87" i="4"/>
  <c r="BK87" i="4"/>
  <c r="BM87" i="4"/>
  <c r="CT87" i="4"/>
  <c r="DJ87" i="4"/>
  <c r="P87" i="4"/>
  <c r="BO87" i="4"/>
  <c r="BY87" i="4"/>
  <c r="BD87" i="4"/>
  <c r="R87" i="4"/>
  <c r="BG87" i="4"/>
  <c r="EC87" i="4"/>
  <c r="AV87" i="4"/>
  <c r="AW87" i="4"/>
  <c r="AF87" i="4"/>
  <c r="AK87" i="4"/>
  <c r="AL87" i="4"/>
  <c r="Z87" i="4"/>
  <c r="AE87" i="4"/>
  <c r="AP87" i="4"/>
  <c r="CJ87" i="4"/>
  <c r="CM87" i="4"/>
  <c r="DP87" i="4"/>
  <c r="DO87" i="4"/>
  <c r="AY87" i="4"/>
  <c r="O87" i="4"/>
  <c r="CR87" i="4"/>
  <c r="BJ87" i="4"/>
  <c r="BZ87" i="4"/>
  <c r="BI87" i="4"/>
  <c r="CG87" i="4"/>
  <c r="AA87" i="4"/>
  <c r="BH87" i="4"/>
  <c r="BP87" i="4"/>
  <c r="BX87" i="4"/>
  <c r="DM87" i="4"/>
  <c r="AU87" i="4"/>
  <c r="AS87" i="4"/>
  <c r="AJ87" i="4"/>
  <c r="AR87" i="4"/>
  <c r="AB87" i="4"/>
  <c r="W87" i="4"/>
  <c r="AC87" i="4"/>
  <c r="Y87" i="4"/>
  <c r="CP87" i="4"/>
  <c r="CN87" i="4"/>
  <c r="DQ87" i="4"/>
  <c r="BE87" i="4"/>
  <c r="CI87" i="4"/>
  <c r="X87" i="4"/>
  <c r="BQ87" i="4"/>
  <c r="BW87" i="4"/>
  <c r="BL87" i="4"/>
  <c r="DI87" i="4"/>
  <c r="BR87" i="4"/>
  <c r="CH87" i="4"/>
  <c r="BT87" i="4"/>
  <c r="AZ87" i="4"/>
  <c r="BS87" i="4"/>
  <c r="CD87" i="4"/>
  <c r="AM87" i="4"/>
  <c r="AH87" i="4"/>
  <c r="CO87" i="4"/>
  <c r="CK87" i="4"/>
  <c r="BB87" i="4"/>
  <c r="CF87" i="4"/>
  <c r="BU87" i="4"/>
  <c r="AQ87" i="4"/>
  <c r="U87" i="4"/>
  <c r="CL87" i="4"/>
  <c r="CA87" i="4"/>
  <c r="BC87" i="4"/>
  <c r="DN87" i="4"/>
  <c r="AI87" i="4"/>
  <c r="S87" i="4"/>
  <c r="DK87" i="4"/>
  <c r="CC87" i="4"/>
  <c r="DH87" i="4"/>
  <c r="BN87" i="4"/>
  <c r="AT87" i="4"/>
  <c r="BF87" i="4"/>
  <c r="CS87" i="4"/>
  <c r="AX87" i="4"/>
  <c r="BV87" i="4"/>
  <c r="CB87" i="4"/>
  <c r="B89" i="4"/>
  <c r="M88" i="4"/>
  <c r="B77" i="5"/>
  <c r="A77" i="47"/>
  <c r="C76" i="46"/>
  <c r="L75" i="46"/>
  <c r="DF142" i="4"/>
  <c r="K83" i="46" l="1"/>
  <c r="B84" i="46"/>
  <c r="AA82" i="46"/>
  <c r="AP82" i="46"/>
  <c r="BM82" i="46"/>
  <c r="CR82" i="46"/>
  <c r="AX82" i="46"/>
  <c r="X82" i="46"/>
  <c r="CG82" i="46"/>
  <c r="BT82" i="46"/>
  <c r="M82" i="46"/>
  <c r="BB82" i="46"/>
  <c r="W82" i="46"/>
  <c r="BK82" i="46"/>
  <c r="AU82" i="46"/>
  <c r="AH82" i="46"/>
  <c r="CD82" i="46"/>
  <c r="Q82" i="46"/>
  <c r="AV82" i="46"/>
  <c r="BW82" i="46"/>
  <c r="EA82" i="46"/>
  <c r="AG82" i="46"/>
  <c r="AB82" i="46"/>
  <c r="DF82" i="46"/>
  <c r="DJ82" i="46"/>
  <c r="DE82" i="46"/>
  <c r="BN82" i="46"/>
  <c r="BZ82" i="46"/>
  <c r="AJ82" i="46"/>
  <c r="V82" i="46"/>
  <c r="CM82" i="46"/>
  <c r="AR82" i="46"/>
  <c r="BJ82" i="46"/>
  <c r="BL82" i="46"/>
  <c r="BP82" i="46"/>
  <c r="AF82" i="46"/>
  <c r="CH82" i="46"/>
  <c r="DH82" i="46"/>
  <c r="DM82" i="46"/>
  <c r="S82" i="46"/>
  <c r="CI82" i="46"/>
  <c r="CL82" i="46"/>
  <c r="BE82" i="46"/>
  <c r="CA82" i="46"/>
  <c r="AK82" i="46"/>
  <c r="P82" i="46"/>
  <c r="AO82" i="46"/>
  <c r="BI82" i="46"/>
  <c r="CN82" i="46"/>
  <c r="AS82" i="46"/>
  <c r="CK82" i="46"/>
  <c r="AT82" i="46"/>
  <c r="CC82" i="46"/>
  <c r="CB82" i="46"/>
  <c r="BH82" i="46"/>
  <c r="BY82" i="46"/>
  <c r="BV82" i="46"/>
  <c r="BD82" i="46"/>
  <c r="CE82" i="46"/>
  <c r="BR82" i="46"/>
  <c r="N82" i="46"/>
  <c r="DG82" i="46"/>
  <c r="DK82" i="46"/>
  <c r="DL82" i="46"/>
  <c r="CJ82" i="46"/>
  <c r="CO82" i="46"/>
  <c r="AL82" i="46"/>
  <c r="O82" i="46"/>
  <c r="U82" i="46"/>
  <c r="DN82" i="46"/>
  <c r="Y82" i="46"/>
  <c r="CF82" i="46"/>
  <c r="CQ82" i="46"/>
  <c r="AW82" i="46"/>
  <c r="BO82" i="46"/>
  <c r="R82" i="46"/>
  <c r="BX82" i="46"/>
  <c r="AM82" i="46"/>
  <c r="BA82" i="46"/>
  <c r="BU82" i="46"/>
  <c r="AE82" i="46"/>
  <c r="AN82" i="46"/>
  <c r="CP82" i="46"/>
  <c r="Z82" i="46"/>
  <c r="BG82" i="46"/>
  <c r="AQ82" i="46"/>
  <c r="BQ82" i="46"/>
  <c r="BC82" i="46"/>
  <c r="AI82" i="46"/>
  <c r="BS82" i="46"/>
  <c r="AZ82" i="46"/>
  <c r="DD82" i="46"/>
  <c r="DC82" i="46"/>
  <c r="DI82" i="46"/>
  <c r="DO82" i="46"/>
  <c r="AD82" i="46"/>
  <c r="BF82" i="46"/>
  <c r="AC82" i="46"/>
  <c r="T82" i="46"/>
  <c r="AY82" i="46"/>
  <c r="B90" i="4"/>
  <c r="A78" i="47"/>
  <c r="B78" i="5"/>
  <c r="M89" i="4"/>
  <c r="DM88" i="4"/>
  <c r="AS88" i="4"/>
  <c r="AU88" i="4"/>
  <c r="AI88" i="4"/>
  <c r="AQ88" i="4"/>
  <c r="AG88" i="4"/>
  <c r="AX88" i="4"/>
  <c r="S88" i="4"/>
  <c r="Q88" i="4"/>
  <c r="CO88" i="4"/>
  <c r="CM88" i="4"/>
  <c r="DP88" i="4"/>
  <c r="DK88" i="4"/>
  <c r="AY88" i="4"/>
  <c r="BN88" i="4"/>
  <c r="CB88" i="4"/>
  <c r="BD88" i="4"/>
  <c r="BJ88" i="4"/>
  <c r="DI88" i="4"/>
  <c r="EC88" i="4"/>
  <c r="AZ88" i="4"/>
  <c r="BZ88" i="4"/>
  <c r="BR88" i="4"/>
  <c r="CG88" i="4"/>
  <c r="DN88" i="4"/>
  <c r="AV88" i="4"/>
  <c r="AM88" i="4"/>
  <c r="AP88" i="4"/>
  <c r="AD88" i="4"/>
  <c r="AR88" i="4"/>
  <c r="AH88" i="4"/>
  <c r="AK88" i="4"/>
  <c r="T88" i="4"/>
  <c r="CP88" i="4"/>
  <c r="CQ88" i="4"/>
  <c r="DQ88" i="4"/>
  <c r="BE88" i="4"/>
  <c r="CI88" i="4"/>
  <c r="X88" i="4"/>
  <c r="CC88" i="4"/>
  <c r="BU88" i="4"/>
  <c r="BC88" i="4"/>
  <c r="BO88" i="4"/>
  <c r="AA88" i="4"/>
  <c r="P88" i="4"/>
  <c r="BX88" i="4"/>
  <c r="BP88" i="4"/>
  <c r="BI88" i="4"/>
  <c r="CR88" i="4"/>
  <c r="CE88" i="4"/>
  <c r="AO88" i="4"/>
  <c r="AT88" i="4"/>
  <c r="AF88" i="4"/>
  <c r="AL88" i="4"/>
  <c r="U88" i="4"/>
  <c r="V88" i="4"/>
  <c r="Z88" i="4"/>
  <c r="DR88" i="4"/>
  <c r="DP88" i="46" s="1"/>
  <c r="CJ88" i="4"/>
  <c r="CL88" i="4"/>
  <c r="DL88" i="4"/>
  <c r="BF88" i="4"/>
  <c r="CK88" i="4"/>
  <c r="BW88" i="4"/>
  <c r="CT88" i="4"/>
  <c r="BH88" i="4"/>
  <c r="BS88" i="4"/>
  <c r="CF88" i="4"/>
  <c r="BG88" i="4"/>
  <c r="CS88" i="4"/>
  <c r="CD88" i="4"/>
  <c r="BY88" i="4"/>
  <c r="BT88" i="4"/>
  <c r="BB88" i="4"/>
  <c r="AJ88" i="4"/>
  <c r="W88" i="4"/>
  <c r="CN88" i="4"/>
  <c r="BQ88" i="4"/>
  <c r="CH88" i="4"/>
  <c r="AW88" i="4"/>
  <c r="AC88" i="4"/>
  <c r="DO88" i="4"/>
  <c r="CA88" i="4"/>
  <c r="BV88" i="4"/>
  <c r="BL88" i="4"/>
  <c r="AN88" i="4"/>
  <c r="AB88" i="4"/>
  <c r="DS88" i="4"/>
  <c r="BA88" i="4"/>
  <c r="DH88" i="4"/>
  <c r="DJ88" i="4"/>
  <c r="O88" i="4"/>
  <c r="Y88" i="4"/>
  <c r="R88" i="4"/>
  <c r="AE88" i="4"/>
  <c r="BK88" i="4"/>
  <c r="BM88" i="4"/>
  <c r="N83" i="4"/>
  <c r="B72" i="47"/>
  <c r="C84" i="4"/>
  <c r="C72" i="5"/>
  <c r="L76" i="46"/>
  <c r="C77" i="46"/>
  <c r="DF143" i="4"/>
  <c r="B85" i="46" l="1"/>
  <c r="K84" i="46"/>
  <c r="AE83" i="46"/>
  <c r="CA83" i="46"/>
  <c r="V83" i="46"/>
  <c r="CF83" i="46"/>
  <c r="CP83" i="46"/>
  <c r="AU83" i="46"/>
  <c r="Y83" i="46"/>
  <c r="CG83" i="46"/>
  <c r="EA83" i="46"/>
  <c r="AZ83" i="46"/>
  <c r="U83" i="46"/>
  <c r="AN83" i="46"/>
  <c r="BV83" i="46"/>
  <c r="O83" i="46"/>
  <c r="AM83" i="46"/>
  <c r="CQ83" i="46"/>
  <c r="AR83" i="46"/>
  <c r="BP83" i="46"/>
  <c r="AS83" i="46"/>
  <c r="AY83" i="46"/>
  <c r="AJ83" i="46"/>
  <c r="BM83" i="46"/>
  <c r="BE83" i="46"/>
  <c r="DD83" i="46"/>
  <c r="DF83" i="46"/>
  <c r="DM83" i="46"/>
  <c r="DO83" i="46"/>
  <c r="BL83" i="46"/>
  <c r="AO83" i="46"/>
  <c r="N83" i="46"/>
  <c r="BC83" i="46"/>
  <c r="BO83" i="46"/>
  <c r="BI83" i="46"/>
  <c r="BR83" i="46"/>
  <c r="AF83" i="46"/>
  <c r="BY83" i="46"/>
  <c r="DE83" i="46"/>
  <c r="BX83" i="46"/>
  <c r="S83" i="46"/>
  <c r="BH83" i="46"/>
  <c r="CJ83" i="46"/>
  <c r="CE83" i="46"/>
  <c r="BA83" i="46"/>
  <c r="BG83" i="46"/>
  <c r="BF83" i="46"/>
  <c r="DC83" i="46"/>
  <c r="DL83" i="46"/>
  <c r="X83" i="46"/>
  <c r="CK83" i="46"/>
  <c r="BW83" i="46"/>
  <c r="AI83" i="46"/>
  <c r="AD83" i="46"/>
  <c r="BN83" i="46"/>
  <c r="CD83" i="46"/>
  <c r="AQ83" i="46"/>
  <c r="AB83" i="46"/>
  <c r="BU83" i="46"/>
  <c r="BK83" i="46"/>
  <c r="AC83" i="46"/>
  <c r="CR83" i="46"/>
  <c r="BT83" i="46"/>
  <c r="M83" i="46"/>
  <c r="AH83" i="46"/>
  <c r="CM83" i="46"/>
  <c r="AL83" i="46"/>
  <c r="R83" i="46"/>
  <c r="Q83" i="46"/>
  <c r="AW83" i="46"/>
  <c r="DH83" i="46"/>
  <c r="DI83" i="46"/>
  <c r="DJ83" i="46"/>
  <c r="CO83" i="46"/>
  <c r="BS83" i="46"/>
  <c r="BB83" i="46"/>
  <c r="AA83" i="46"/>
  <c r="CC83" i="46"/>
  <c r="BQ83" i="46"/>
  <c r="CL83" i="46"/>
  <c r="DG83" i="46"/>
  <c r="T83" i="46"/>
  <c r="BD83" i="46"/>
  <c r="AV83" i="46"/>
  <c r="AT83" i="46"/>
  <c r="Z83" i="46"/>
  <c r="BZ83" i="46"/>
  <c r="DK83" i="46"/>
  <c r="W83" i="46"/>
  <c r="AP83" i="46"/>
  <c r="P83" i="46"/>
  <c r="CI83" i="46"/>
  <c r="CN83" i="46"/>
  <c r="DN83" i="46"/>
  <c r="AG83" i="46"/>
  <c r="CH83" i="46"/>
  <c r="CB83" i="46"/>
  <c r="AX83" i="46"/>
  <c r="BJ83" i="46"/>
  <c r="AK83" i="46"/>
  <c r="C85" i="4"/>
  <c r="N84" i="4"/>
  <c r="C73" i="5"/>
  <c r="B73" i="47"/>
  <c r="DQ88" i="46"/>
  <c r="B91" i="4"/>
  <c r="A79" i="47"/>
  <c r="M90" i="4"/>
  <c r="B79" i="5"/>
  <c r="DN89" i="4"/>
  <c r="AT89" i="4"/>
  <c r="AN89" i="4"/>
  <c r="AL89" i="4"/>
  <c r="AP89" i="4"/>
  <c r="AB89" i="4"/>
  <c r="W89" i="4"/>
  <c r="AC89" i="4"/>
  <c r="S89" i="4"/>
  <c r="CP89" i="4"/>
  <c r="CN89" i="4"/>
  <c r="DQ89" i="4"/>
  <c r="BE89" i="4"/>
  <c r="CI89" i="4"/>
  <c r="BL89" i="4"/>
  <c r="BI89" i="4"/>
  <c r="CD89" i="4"/>
  <c r="BH89" i="4"/>
  <c r="BM89" i="4"/>
  <c r="BP89" i="4"/>
  <c r="BU89" i="4"/>
  <c r="CA89" i="4"/>
  <c r="BX89" i="4"/>
  <c r="BG89" i="4"/>
  <c r="CE89" i="4"/>
  <c r="AS89" i="4"/>
  <c r="AM89" i="4"/>
  <c r="AX89" i="4"/>
  <c r="AG89" i="4"/>
  <c r="AF89" i="4"/>
  <c r="AQ89" i="4"/>
  <c r="U89" i="4"/>
  <c r="DR89" i="4"/>
  <c r="DP89" i="46" s="1"/>
  <c r="CJ89" i="4"/>
  <c r="CL89" i="4"/>
  <c r="DO89" i="4"/>
  <c r="BF89" i="4"/>
  <c r="CK89" i="4"/>
  <c r="BC89" i="4"/>
  <c r="EC89" i="4"/>
  <c r="BZ89" i="4"/>
  <c r="BB89" i="4"/>
  <c r="AZ89" i="4"/>
  <c r="CF89" i="4"/>
  <c r="O89" i="4"/>
  <c r="BV89" i="4"/>
  <c r="BO89" i="4"/>
  <c r="DI89" i="4"/>
  <c r="DH89" i="4"/>
  <c r="AV89" i="4"/>
  <c r="AU89" i="4"/>
  <c r="AD89" i="4"/>
  <c r="AE89" i="4"/>
  <c r="AR89" i="4"/>
  <c r="V89" i="4"/>
  <c r="AK89" i="4"/>
  <c r="Q89" i="4"/>
  <c r="DS89" i="4"/>
  <c r="DQ89" i="46" s="1"/>
  <c r="CQ89" i="4"/>
  <c r="DK89" i="4"/>
  <c r="BA89" i="4"/>
  <c r="BK89" i="4"/>
  <c r="CR89" i="4"/>
  <c r="BW89" i="4"/>
  <c r="CB89" i="4"/>
  <c r="BQ89" i="4"/>
  <c r="CC89" i="4"/>
  <c r="R89" i="4"/>
  <c r="CG89" i="4"/>
  <c r="BY89" i="4"/>
  <c r="BD89" i="4"/>
  <c r="BJ89" i="4"/>
  <c r="BS89" i="4"/>
  <c r="AW89" i="4"/>
  <c r="AJ89" i="4"/>
  <c r="DL89" i="4"/>
  <c r="CS89" i="4"/>
  <c r="BN89" i="4"/>
  <c r="CH89" i="4"/>
  <c r="AO89" i="4"/>
  <c r="Z89" i="4"/>
  <c r="CO89" i="4"/>
  <c r="AY89" i="4"/>
  <c r="BR89" i="4"/>
  <c r="CT89" i="4"/>
  <c r="AH89" i="4"/>
  <c r="T89" i="4"/>
  <c r="CM89" i="4"/>
  <c r="AA89" i="4"/>
  <c r="X89" i="4"/>
  <c r="DM89" i="4"/>
  <c r="DP89" i="4"/>
  <c r="BT89" i="4"/>
  <c r="Y89" i="4"/>
  <c r="AI89" i="4"/>
  <c r="P89" i="4"/>
  <c r="DJ89" i="4"/>
  <c r="L77" i="46"/>
  <c r="C78" i="46"/>
  <c r="DF144" i="4"/>
  <c r="AD84" i="46" l="1"/>
  <c r="BN84" i="46"/>
  <c r="BT84" i="46"/>
  <c r="M84" i="46"/>
  <c r="BB84" i="46"/>
  <c r="AC84" i="46"/>
  <c r="BQ84" i="46"/>
  <c r="AH84" i="46"/>
  <c r="AY84" i="46"/>
  <c r="BS84" i="46"/>
  <c r="N84" i="46"/>
  <c r="AA84" i="46"/>
  <c r="AO84" i="46"/>
  <c r="BM84" i="46"/>
  <c r="CR84" i="46"/>
  <c r="AX84" i="46"/>
  <c r="BV84" i="46"/>
  <c r="CH84" i="46"/>
  <c r="AU84" i="46"/>
  <c r="BW84" i="46"/>
  <c r="AT84" i="46"/>
  <c r="DE84" i="46"/>
  <c r="DC84" i="46"/>
  <c r="DN84" i="46"/>
  <c r="P84" i="46"/>
  <c r="AG84" i="46"/>
  <c r="BI84" i="46"/>
  <c r="CN84" i="46"/>
  <c r="AS84" i="46"/>
  <c r="Q84" i="46"/>
  <c r="CE84" i="46"/>
  <c r="CB84" i="46"/>
  <c r="AL84" i="46"/>
  <c r="BH84" i="46"/>
  <c r="T84" i="46"/>
  <c r="BX84" i="46"/>
  <c r="CL84" i="46"/>
  <c r="BE84" i="46"/>
  <c r="CA84" i="46"/>
  <c r="AK84" i="46"/>
  <c r="O84" i="46"/>
  <c r="AN84" i="46"/>
  <c r="Z84" i="46"/>
  <c r="AI84" i="46"/>
  <c r="CG84" i="46"/>
  <c r="DI84" i="46"/>
  <c r="DF84" i="46"/>
  <c r="DG84" i="46"/>
  <c r="R84" i="46"/>
  <c r="CI84" i="46"/>
  <c r="AM84" i="46"/>
  <c r="BA84" i="46"/>
  <c r="BU84" i="46"/>
  <c r="AE84" i="46"/>
  <c r="W84" i="46"/>
  <c r="AF84" i="46"/>
  <c r="BR84" i="46"/>
  <c r="EA84" i="46"/>
  <c r="AZ84" i="46"/>
  <c r="V84" i="46"/>
  <c r="CF84" i="46"/>
  <c r="CQ84" i="46"/>
  <c r="AW84" i="46"/>
  <c r="BO84" i="46"/>
  <c r="CC84" i="46"/>
  <c r="BD84" i="46"/>
  <c r="BK84" i="46"/>
  <c r="AP84" i="46"/>
  <c r="AB84" i="46"/>
  <c r="BL84" i="46"/>
  <c r="DM84" i="46"/>
  <c r="DK84" i="46"/>
  <c r="DL84" i="46"/>
  <c r="Y84" i="46"/>
  <c r="CJ84" i="46"/>
  <c r="CM84" i="46"/>
  <c r="AR84" i="46"/>
  <c r="BJ84" i="46"/>
  <c r="S84" i="46"/>
  <c r="BY84" i="46"/>
  <c r="AV84" i="46"/>
  <c r="BG84" i="46"/>
  <c r="CD84" i="46"/>
  <c r="AQ84" i="46"/>
  <c r="X84" i="46"/>
  <c r="CK84" i="46"/>
  <c r="BZ84" i="46"/>
  <c r="AJ84" i="46"/>
  <c r="BF84" i="46"/>
  <c r="BP84" i="46"/>
  <c r="U84" i="46"/>
  <c r="CP84" i="46"/>
  <c r="BC84" i="46"/>
  <c r="CO84" i="46"/>
  <c r="DD84" i="46"/>
  <c r="DH84" i="46"/>
  <c r="DJ84" i="46"/>
  <c r="DO84" i="46"/>
  <c r="B86" i="46"/>
  <c r="K85" i="46"/>
  <c r="B92" i="4"/>
  <c r="A80" i="47"/>
  <c r="B80" i="5"/>
  <c r="M91" i="4"/>
  <c r="CE90" i="4"/>
  <c r="AV90" i="4"/>
  <c r="AN90" i="4"/>
  <c r="AD90" i="4"/>
  <c r="AJ90" i="4"/>
  <c r="AI90" i="4"/>
  <c r="Z90" i="4"/>
  <c r="Y90" i="4"/>
  <c r="DR90" i="4"/>
  <c r="DP90" i="46" s="1"/>
  <c r="CP90" i="4"/>
  <c r="CQ90" i="4"/>
  <c r="DK90" i="4"/>
  <c r="BA90" i="4"/>
  <c r="CK90" i="4"/>
  <c r="CB90" i="4"/>
  <c r="CC90" i="4"/>
  <c r="CH90" i="4"/>
  <c r="X90" i="4"/>
  <c r="BU90" i="4"/>
  <c r="BH90" i="4"/>
  <c r="DH90" i="4"/>
  <c r="BT90" i="4"/>
  <c r="BO90" i="4"/>
  <c r="CR90" i="4"/>
  <c r="BX90" i="4"/>
  <c r="AW90" i="4"/>
  <c r="AS90" i="4"/>
  <c r="AG90" i="4"/>
  <c r="AH90" i="4"/>
  <c r="AC90" i="4"/>
  <c r="AB90" i="4"/>
  <c r="W90" i="4"/>
  <c r="S90" i="4"/>
  <c r="DS90" i="4"/>
  <c r="DQ90" i="46" s="1"/>
  <c r="CN90" i="4"/>
  <c r="DL90" i="4"/>
  <c r="BF90" i="4"/>
  <c r="BK90" i="4"/>
  <c r="AA90" i="4"/>
  <c r="BP90" i="4"/>
  <c r="BI90" i="4"/>
  <c r="BL90" i="4"/>
  <c r="CG90" i="4"/>
  <c r="P90" i="4"/>
  <c r="BD90" i="4"/>
  <c r="DI90" i="4"/>
  <c r="BB90" i="4"/>
  <c r="AZ90" i="4"/>
  <c r="BS90" i="4"/>
  <c r="DM90" i="4"/>
  <c r="AU90" i="4"/>
  <c r="AM90" i="4"/>
  <c r="AK90" i="4"/>
  <c r="AL90" i="4"/>
  <c r="AE90" i="4"/>
  <c r="Q90" i="4"/>
  <c r="AQ90" i="4"/>
  <c r="AF90" i="4"/>
  <c r="CO90" i="4"/>
  <c r="CM90" i="4"/>
  <c r="DP90" i="4"/>
  <c r="DO90" i="4"/>
  <c r="AY90" i="4"/>
  <c r="BZ90" i="4"/>
  <c r="O90" i="4"/>
  <c r="BC90" i="4"/>
  <c r="BJ90" i="4"/>
  <c r="CF90" i="4"/>
  <c r="CA90" i="4"/>
  <c r="BR90" i="4"/>
  <c r="BY90" i="4"/>
  <c r="BQ90" i="4"/>
  <c r="CT90" i="4"/>
  <c r="AO90" i="4"/>
  <c r="U90" i="4"/>
  <c r="CJ90" i="4"/>
  <c r="CI90" i="4"/>
  <c r="DJ90" i="4"/>
  <c r="BV90" i="4"/>
  <c r="AR90" i="4"/>
  <c r="T90" i="4"/>
  <c r="CL90" i="4"/>
  <c r="BN90" i="4"/>
  <c r="CD90" i="4"/>
  <c r="DN90" i="4"/>
  <c r="AX90" i="4"/>
  <c r="V90" i="4"/>
  <c r="DQ90" i="4"/>
  <c r="BG90" i="4"/>
  <c r="BW90" i="4"/>
  <c r="R90" i="4"/>
  <c r="AT90" i="4"/>
  <c r="BE90" i="4"/>
  <c r="BM90" i="4"/>
  <c r="AP90" i="4"/>
  <c r="CS90" i="4"/>
  <c r="EC90" i="4"/>
  <c r="C86" i="4"/>
  <c r="B74" i="47"/>
  <c r="C74" i="5"/>
  <c r="N85" i="4"/>
  <c r="L78" i="46"/>
  <c r="C79" i="46"/>
  <c r="DF145" i="4"/>
  <c r="X85" i="46" l="1"/>
  <c r="CK85" i="46"/>
  <c r="CD85" i="46"/>
  <c r="AQ85" i="46"/>
  <c r="BG85" i="46"/>
  <c r="U85" i="46"/>
  <c r="CF85" i="46"/>
  <c r="CR85" i="46"/>
  <c r="AX85" i="46"/>
  <c r="BM85" i="46"/>
  <c r="R85" i="46"/>
  <c r="CH85" i="46"/>
  <c r="CL85" i="46"/>
  <c r="BD85" i="46"/>
  <c r="BV85" i="46"/>
  <c r="O85" i="46"/>
  <c r="CM85" i="46"/>
  <c r="AG85" i="46"/>
  <c r="AA85" i="46"/>
  <c r="BI85" i="46"/>
  <c r="BA85" i="46"/>
  <c r="DI85" i="46"/>
  <c r="DG85" i="46"/>
  <c r="DH85" i="46"/>
  <c r="Y85" i="46"/>
  <c r="BK85" i="46"/>
  <c r="BB85" i="46"/>
  <c r="BU85" i="46"/>
  <c r="S85" i="46"/>
  <c r="DM85" i="46"/>
  <c r="P85" i="46"/>
  <c r="AO85" i="46"/>
  <c r="BS85" i="46"/>
  <c r="N85" i="46"/>
  <c r="AY85" i="46"/>
  <c r="Z85" i="46"/>
  <c r="BN85" i="46"/>
  <c r="CA85" i="46"/>
  <c r="AK85" i="46"/>
  <c r="BE85" i="46"/>
  <c r="CE85" i="46"/>
  <c r="CP85" i="46"/>
  <c r="AU85" i="46"/>
  <c r="AC85" i="46"/>
  <c r="AR85" i="46"/>
  <c r="CG85" i="46"/>
  <c r="DC85" i="46"/>
  <c r="DL85" i="46"/>
  <c r="DK85" i="46"/>
  <c r="T85" i="46"/>
  <c r="BX85" i="46"/>
  <c r="AN85" i="46"/>
  <c r="BH85" i="46"/>
  <c r="CB85" i="46"/>
  <c r="AL85" i="46"/>
  <c r="AB85" i="46"/>
  <c r="AM85" i="46"/>
  <c r="BO85" i="46"/>
  <c r="CQ85" i="46"/>
  <c r="AW85" i="46"/>
  <c r="AD85" i="46"/>
  <c r="BP85" i="46"/>
  <c r="BW85" i="46"/>
  <c r="AI85" i="46"/>
  <c r="BC85" i="46"/>
  <c r="AV85" i="46"/>
  <c r="Q85" i="46"/>
  <c r="BT85" i="46"/>
  <c r="CN85" i="46"/>
  <c r="BY85" i="46"/>
  <c r="AF85" i="46"/>
  <c r="DN85" i="46"/>
  <c r="DJ85" i="46"/>
  <c r="DF85" i="46"/>
  <c r="DE85" i="46"/>
  <c r="V85" i="46"/>
  <c r="CJ85" i="46"/>
  <c r="EA85" i="46"/>
  <c r="AZ85" i="46"/>
  <c r="BR85" i="46"/>
  <c r="CC85" i="46"/>
  <c r="CI85" i="46"/>
  <c r="AH85" i="46"/>
  <c r="BF85" i="46"/>
  <c r="BZ85" i="46"/>
  <c r="AJ85" i="46"/>
  <c r="W85" i="46"/>
  <c r="AP85" i="46"/>
  <c r="BL85" i="46"/>
  <c r="CO85" i="46"/>
  <c r="AT85" i="46"/>
  <c r="BJ85" i="46"/>
  <c r="BQ85" i="46"/>
  <c r="M85" i="46"/>
  <c r="AS85" i="46"/>
  <c r="AE85" i="46"/>
  <c r="DD85" i="46"/>
  <c r="DO85" i="46"/>
  <c r="B87" i="46"/>
  <c r="K86" i="46"/>
  <c r="B75" i="47"/>
  <c r="C75" i="5"/>
  <c r="N86" i="4"/>
  <c r="C87" i="4"/>
  <c r="B93" i="4"/>
  <c r="A81" i="47"/>
  <c r="M92" i="4"/>
  <c r="B81" i="5"/>
  <c r="AV91" i="4"/>
  <c r="AW91" i="4"/>
  <c r="AF91" i="4"/>
  <c r="AK91" i="4"/>
  <c r="AH91" i="4"/>
  <c r="T91" i="4"/>
  <c r="AC91" i="4"/>
  <c r="V91" i="4"/>
  <c r="DS91" i="4"/>
  <c r="DQ91" i="46" s="1"/>
  <c r="CL91" i="4"/>
  <c r="DL91" i="4"/>
  <c r="BA91" i="4"/>
  <c r="BK91" i="4"/>
  <c r="DJ91" i="4"/>
  <c r="BP91" i="4"/>
  <c r="BT91" i="4"/>
  <c r="BV91" i="4"/>
  <c r="BC91" i="4"/>
  <c r="O91" i="4"/>
  <c r="CF91" i="4"/>
  <c r="DH91" i="4"/>
  <c r="BD91" i="4"/>
  <c r="BJ91" i="4"/>
  <c r="DM91" i="4"/>
  <c r="AU91" i="4"/>
  <c r="AS91" i="4"/>
  <c r="AJ91" i="4"/>
  <c r="AR91" i="4"/>
  <c r="AX91" i="4"/>
  <c r="Z91" i="4"/>
  <c r="U91" i="4"/>
  <c r="Y91" i="4"/>
  <c r="CJ91" i="4"/>
  <c r="CM91" i="4"/>
  <c r="DP91" i="4"/>
  <c r="DO91" i="4"/>
  <c r="AY91" i="4"/>
  <c r="BM91" i="4"/>
  <c r="BR91" i="4"/>
  <c r="AA91" i="4"/>
  <c r="BS91" i="4"/>
  <c r="CD91" i="4"/>
  <c r="BY91" i="4"/>
  <c r="BZ91" i="4"/>
  <c r="BH91" i="4"/>
  <c r="CS91" i="4"/>
  <c r="AZ91" i="4"/>
  <c r="DN91" i="4"/>
  <c r="AN91" i="4"/>
  <c r="AO91" i="4"/>
  <c r="AQ91" i="4"/>
  <c r="AE91" i="4"/>
  <c r="AB91" i="4"/>
  <c r="W91" i="4"/>
  <c r="Q91" i="4"/>
  <c r="S91" i="4"/>
  <c r="CO91" i="4"/>
  <c r="CN91" i="4"/>
  <c r="DQ91" i="4"/>
  <c r="BE91" i="4"/>
  <c r="CI91" i="4"/>
  <c r="CG91" i="4"/>
  <c r="BI91" i="4"/>
  <c r="BX91" i="4"/>
  <c r="CA91" i="4"/>
  <c r="CH91" i="4"/>
  <c r="BN91" i="4"/>
  <c r="R91" i="4"/>
  <c r="BL91" i="4"/>
  <c r="BB91" i="4"/>
  <c r="BG91" i="4"/>
  <c r="BW91" i="4"/>
  <c r="AG91" i="4"/>
  <c r="AD91" i="4"/>
  <c r="CQ91" i="4"/>
  <c r="EC91" i="4"/>
  <c r="P91" i="4"/>
  <c r="CE91" i="4"/>
  <c r="AP91" i="4"/>
  <c r="DK91" i="4"/>
  <c r="BU91" i="4"/>
  <c r="BO91" i="4"/>
  <c r="BQ91" i="4"/>
  <c r="AM91" i="4"/>
  <c r="AL91" i="4"/>
  <c r="DR91" i="4"/>
  <c r="DP91" i="46" s="1"/>
  <c r="BF91" i="4"/>
  <c r="CC91" i="4"/>
  <c r="CR91" i="4"/>
  <c r="CT91" i="4"/>
  <c r="AT91" i="4"/>
  <c r="CK91" i="4"/>
  <c r="X91" i="4"/>
  <c r="CP91" i="4"/>
  <c r="AI91" i="4"/>
  <c r="DI91" i="4"/>
  <c r="CB91" i="4"/>
  <c r="L79" i="46"/>
  <c r="C80" i="46"/>
  <c r="DF146" i="4"/>
  <c r="CC86" i="46" l="1"/>
  <c r="CI86" i="46"/>
  <c r="AG86" i="46"/>
  <c r="BC86" i="46"/>
  <c r="BW86" i="46"/>
  <c r="AI86" i="46"/>
  <c r="AA86" i="46"/>
  <c r="AM86" i="46"/>
  <c r="BI86" i="46"/>
  <c r="CN86" i="46"/>
  <c r="AS86" i="46"/>
  <c r="Q86" i="46"/>
  <c r="CG86" i="46"/>
  <c r="CB86" i="46"/>
  <c r="AL86" i="46"/>
  <c r="BH86" i="46"/>
  <c r="P86" i="46"/>
  <c r="BF86" i="46"/>
  <c r="BM86" i="46"/>
  <c r="AN86" i="46"/>
  <c r="CQ86" i="46"/>
  <c r="X86" i="46"/>
  <c r="DG86" i="46"/>
  <c r="DJ86" i="46"/>
  <c r="DL86" i="46"/>
  <c r="U86" i="46"/>
  <c r="CE86" i="46"/>
  <c r="CO86" i="46"/>
  <c r="AT86" i="46"/>
  <c r="BL86" i="46"/>
  <c r="T86" i="46"/>
  <c r="CH86" i="46"/>
  <c r="AH86" i="46"/>
  <c r="BA86" i="46"/>
  <c r="BU86" i="46"/>
  <c r="AE86" i="46"/>
  <c r="W86" i="46"/>
  <c r="AF86" i="46"/>
  <c r="BR86" i="46"/>
  <c r="EA86" i="46"/>
  <c r="AZ86" i="46"/>
  <c r="CF86" i="46"/>
  <c r="S86" i="46"/>
  <c r="CR86" i="46"/>
  <c r="BE86" i="46"/>
  <c r="AW86" i="46"/>
  <c r="DD86" i="46"/>
  <c r="DN86" i="46"/>
  <c r="DI86" i="46"/>
  <c r="DO86" i="46"/>
  <c r="Z86" i="46"/>
  <c r="BP86" i="46"/>
  <c r="BV86" i="46"/>
  <c r="O86" i="46"/>
  <c r="BD86" i="46"/>
  <c r="Y86" i="46"/>
  <c r="CK86" i="46"/>
  <c r="CM86" i="46"/>
  <c r="AR86" i="46"/>
  <c r="BJ86" i="46"/>
  <c r="R86" i="46"/>
  <c r="BY86" i="46"/>
  <c r="AV86" i="46"/>
  <c r="BG86" i="46"/>
  <c r="CD86" i="46"/>
  <c r="AQ86" i="46"/>
  <c r="BZ86" i="46"/>
  <c r="BX86" i="46"/>
  <c r="AX86" i="46"/>
  <c r="CA86" i="46"/>
  <c r="CJ86" i="46"/>
  <c r="DE86" i="46"/>
  <c r="DF86" i="46"/>
  <c r="DC86" i="46"/>
  <c r="AB86" i="46"/>
  <c r="AO86" i="46"/>
  <c r="BK86" i="46"/>
  <c r="CP86" i="46"/>
  <c r="AU86" i="46"/>
  <c r="AD86" i="46"/>
  <c r="BN86" i="46"/>
  <c r="BT86" i="46"/>
  <c r="M86" i="46"/>
  <c r="BB86" i="46"/>
  <c r="AC86" i="46"/>
  <c r="BQ86" i="46"/>
  <c r="CL86" i="46"/>
  <c r="AY86" i="46"/>
  <c r="BS86" i="46"/>
  <c r="N86" i="46"/>
  <c r="AJ86" i="46"/>
  <c r="AP86" i="46"/>
  <c r="V86" i="46"/>
  <c r="AK86" i="46"/>
  <c r="BO86" i="46"/>
  <c r="DH86" i="46"/>
  <c r="DM86" i="46"/>
  <c r="DK86" i="46"/>
  <c r="K87" i="46"/>
  <c r="B88" i="46"/>
  <c r="C76" i="5"/>
  <c r="B76" i="47"/>
  <c r="N87" i="4"/>
  <c r="C88" i="4"/>
  <c r="DM92" i="4"/>
  <c r="AS92" i="4"/>
  <c r="AT92" i="4"/>
  <c r="AM92" i="4"/>
  <c r="AQ92" i="4"/>
  <c r="AP92" i="4"/>
  <c r="AD92" i="4"/>
  <c r="S92" i="4"/>
  <c r="AL92" i="4"/>
  <c r="CO92" i="4"/>
  <c r="CM92" i="4"/>
  <c r="DP92" i="4"/>
  <c r="DK92" i="4"/>
  <c r="AY92" i="4"/>
  <c r="DI92" i="4"/>
  <c r="CA92" i="4"/>
  <c r="BL92" i="4"/>
  <c r="CC92" i="4"/>
  <c r="AA92" i="4"/>
  <c r="CF92" i="4"/>
  <c r="BS92" i="4"/>
  <c r="CS92" i="4"/>
  <c r="BT92" i="4"/>
  <c r="P92" i="4"/>
  <c r="DN92" i="4"/>
  <c r="AV92" i="4"/>
  <c r="AN92" i="4"/>
  <c r="AF92" i="4"/>
  <c r="AC92" i="4"/>
  <c r="U92" i="4"/>
  <c r="AX92" i="4"/>
  <c r="AB92" i="4"/>
  <c r="T92" i="4"/>
  <c r="CP92" i="4"/>
  <c r="CQ92" i="4"/>
  <c r="DQ92" i="4"/>
  <c r="BE92" i="4"/>
  <c r="CI92" i="4"/>
  <c r="DH92" i="4"/>
  <c r="CG92" i="4"/>
  <c r="BW92" i="4"/>
  <c r="BR92" i="4"/>
  <c r="BQ92" i="4"/>
  <c r="BH92" i="4"/>
  <c r="BB92" i="4"/>
  <c r="DJ92" i="4"/>
  <c r="AZ92" i="4"/>
  <c r="BD92" i="4"/>
  <c r="BX92" i="4"/>
  <c r="CE92" i="4"/>
  <c r="AU92" i="4"/>
  <c r="AE92" i="4"/>
  <c r="AJ92" i="4"/>
  <c r="AK92" i="4"/>
  <c r="AG92" i="4"/>
  <c r="V92" i="4"/>
  <c r="Z92" i="4"/>
  <c r="DR92" i="4"/>
  <c r="DP92" i="46" s="1"/>
  <c r="CJ92" i="4"/>
  <c r="CL92" i="4"/>
  <c r="DL92" i="4"/>
  <c r="BF92" i="4"/>
  <c r="CK92" i="4"/>
  <c r="BJ92" i="4"/>
  <c r="BO92" i="4"/>
  <c r="BC92" i="4"/>
  <c r="CR92" i="4"/>
  <c r="EC92" i="4"/>
  <c r="BZ92" i="4"/>
  <c r="R92" i="4"/>
  <c r="BY92" i="4"/>
  <c r="BM92" i="4"/>
  <c r="BV92" i="4"/>
  <c r="CH92" i="4"/>
  <c r="AW92" i="4"/>
  <c r="AR92" i="4"/>
  <c r="DO92" i="4"/>
  <c r="BP92" i="4"/>
  <c r="BI92" i="4"/>
  <c r="CB92" i="4"/>
  <c r="AO92" i="4"/>
  <c r="Q92" i="4"/>
  <c r="DS92" i="4"/>
  <c r="BA92" i="4"/>
  <c r="BG92" i="4"/>
  <c r="X92" i="4"/>
  <c r="BN92" i="4"/>
  <c r="AI92" i="4"/>
  <c r="Y92" i="4"/>
  <c r="BK92" i="4"/>
  <c r="O92" i="4"/>
  <c r="CD92" i="4"/>
  <c r="AH92" i="4"/>
  <c r="BU92" i="4"/>
  <c r="W92" i="4"/>
  <c r="CT92" i="4"/>
  <c r="CN92" i="4"/>
  <c r="B94" i="4"/>
  <c r="A82" i="47"/>
  <c r="M93" i="4"/>
  <c r="B82" i="5"/>
  <c r="L80" i="46"/>
  <c r="C81" i="46"/>
  <c r="DF147" i="4"/>
  <c r="B89" i="46" l="1"/>
  <c r="K88" i="46"/>
  <c r="Q87" i="46"/>
  <c r="CK87" i="46"/>
  <c r="CD87" i="46"/>
  <c r="AQ87" i="46"/>
  <c r="BI87" i="46"/>
  <c r="R87" i="46"/>
  <c r="BX87" i="46"/>
  <c r="AM87" i="46"/>
  <c r="BF87" i="46"/>
  <c r="CB87" i="46"/>
  <c r="AL87" i="46"/>
  <c r="AB87" i="46"/>
  <c r="AO87" i="46"/>
  <c r="BL87" i="46"/>
  <c r="CQ87" i="46"/>
  <c r="AW87" i="46"/>
  <c r="AG87" i="46"/>
  <c r="AD87" i="46"/>
  <c r="O87" i="46"/>
  <c r="AS87" i="46"/>
  <c r="T87" i="46"/>
  <c r="DE87" i="46"/>
  <c r="DF87" i="46"/>
  <c r="DH87" i="46"/>
  <c r="AY87" i="46"/>
  <c r="BP87" i="46"/>
  <c r="BE87" i="46"/>
  <c r="BV87" i="46"/>
  <c r="AE87" i="46"/>
  <c r="DO87" i="46"/>
  <c r="AA87" i="46"/>
  <c r="AF87" i="46"/>
  <c r="BS87" i="46"/>
  <c r="N87" i="46"/>
  <c r="BA87" i="46"/>
  <c r="V87" i="46"/>
  <c r="CJ87" i="46"/>
  <c r="CR87" i="46"/>
  <c r="AX87" i="46"/>
  <c r="BR87" i="46"/>
  <c r="CC87" i="46"/>
  <c r="CH87" i="46"/>
  <c r="CL87" i="46"/>
  <c r="BD87" i="46"/>
  <c r="BZ87" i="46"/>
  <c r="AJ87" i="46"/>
  <c r="BJ87" i="46"/>
  <c r="AV87" i="46"/>
  <c r="P87" i="46"/>
  <c r="BK87" i="46"/>
  <c r="BN87" i="46"/>
  <c r="DM87" i="46"/>
  <c r="DI87" i="46"/>
  <c r="DN87" i="46"/>
  <c r="AI87" i="46"/>
  <c r="DC87" i="46"/>
  <c r="S87" i="46"/>
  <c r="BY87" i="46"/>
  <c r="AN87" i="46"/>
  <c r="BH87" i="46"/>
  <c r="CM87" i="46"/>
  <c r="AR87" i="46"/>
  <c r="X87" i="46"/>
  <c r="CE87" i="46"/>
  <c r="CA87" i="46"/>
  <c r="AK87" i="46"/>
  <c r="BG87" i="46"/>
  <c r="U87" i="46"/>
  <c r="CF87" i="46"/>
  <c r="CP87" i="46"/>
  <c r="AU87" i="46"/>
  <c r="BM87" i="46"/>
  <c r="Y87" i="46"/>
  <c r="CO87" i="46"/>
  <c r="BB87" i="46"/>
  <c r="CG87" i="46"/>
  <c r="BU87" i="46"/>
  <c r="BC87" i="46"/>
  <c r="DK87" i="46"/>
  <c r="DG87" i="46"/>
  <c r="DL87" i="46"/>
  <c r="AC87" i="46"/>
  <c r="BQ87" i="46"/>
  <c r="AZ87" i="46"/>
  <c r="BT87" i="46"/>
  <c r="M87" i="46"/>
  <c r="W87" i="46"/>
  <c r="AP87" i="46"/>
  <c r="EA87" i="46"/>
  <c r="BW87" i="46"/>
  <c r="CI87" i="46"/>
  <c r="CN87" i="46"/>
  <c r="DD87" i="46"/>
  <c r="AH87" i="46"/>
  <c r="BO87" i="46"/>
  <c r="Z87" i="46"/>
  <c r="AT87" i="46"/>
  <c r="DJ87" i="46"/>
  <c r="B77" i="47"/>
  <c r="C89" i="4"/>
  <c r="N88" i="4"/>
  <c r="C77" i="5"/>
  <c r="DQ92" i="46"/>
  <c r="DN93" i="4"/>
  <c r="AT93" i="4"/>
  <c r="AU93" i="4"/>
  <c r="AP93" i="4"/>
  <c r="AB93" i="4"/>
  <c r="Z93" i="4"/>
  <c r="AG93" i="4"/>
  <c r="S93" i="4"/>
  <c r="Y93" i="4"/>
  <c r="CP93" i="4"/>
  <c r="CN93" i="4"/>
  <c r="DQ93" i="4"/>
  <c r="BE93" i="4"/>
  <c r="CI93" i="4"/>
  <c r="CS93" i="4"/>
  <c r="BM93" i="4"/>
  <c r="AZ93" i="4"/>
  <c r="BC93" i="4"/>
  <c r="DI93" i="4"/>
  <c r="CR93" i="4"/>
  <c r="BY93" i="4"/>
  <c r="CG93" i="4"/>
  <c r="AA93" i="4"/>
  <c r="BS93" i="4"/>
  <c r="CE93" i="4"/>
  <c r="AS93" i="4"/>
  <c r="AM93" i="4"/>
  <c r="AF93" i="4"/>
  <c r="AH93" i="4"/>
  <c r="W93" i="4"/>
  <c r="AK93" i="4"/>
  <c r="U93" i="4"/>
  <c r="DR93" i="4"/>
  <c r="DP93" i="46" s="1"/>
  <c r="CJ93" i="4"/>
  <c r="CL93" i="4"/>
  <c r="DO93" i="4"/>
  <c r="BF93" i="4"/>
  <c r="CK93" i="4"/>
  <c r="CB93" i="4"/>
  <c r="X93" i="4"/>
  <c r="BJ93" i="4"/>
  <c r="CD93" i="4"/>
  <c r="R93" i="4"/>
  <c r="BX93" i="4"/>
  <c r="BL93" i="4"/>
  <c r="BV93" i="4"/>
  <c r="CC93" i="4"/>
  <c r="BZ93" i="4"/>
  <c r="P93" i="4"/>
  <c r="AV93" i="4"/>
  <c r="AO93" i="4"/>
  <c r="AE93" i="4"/>
  <c r="AJ93" i="4"/>
  <c r="AX93" i="4"/>
  <c r="AL93" i="4"/>
  <c r="AD93" i="4"/>
  <c r="AC93" i="4"/>
  <c r="DS93" i="4"/>
  <c r="DQ93" i="46" s="1"/>
  <c r="CQ93" i="4"/>
  <c r="DK93" i="4"/>
  <c r="BA93" i="4"/>
  <c r="BK93" i="4"/>
  <c r="BH93" i="4"/>
  <c r="EC93" i="4"/>
  <c r="BI93" i="4"/>
  <c r="BT93" i="4"/>
  <c r="BN93" i="4"/>
  <c r="BU93" i="4"/>
  <c r="CF93" i="4"/>
  <c r="BO93" i="4"/>
  <c r="CH93" i="4"/>
  <c r="O93" i="4"/>
  <c r="BD93" i="4"/>
  <c r="AN93" i="4"/>
  <c r="T93" i="4"/>
  <c r="CO93" i="4"/>
  <c r="AY93" i="4"/>
  <c r="BB93" i="4"/>
  <c r="CT93" i="4"/>
  <c r="AI93" i="4"/>
  <c r="AR93" i="4"/>
  <c r="CM93" i="4"/>
  <c r="BQ93" i="4"/>
  <c r="BP93" i="4"/>
  <c r="DM93" i="4"/>
  <c r="AQ93" i="4"/>
  <c r="Q93" i="4"/>
  <c r="DP93" i="4"/>
  <c r="DJ93" i="4"/>
  <c r="DH93" i="4"/>
  <c r="BW93" i="4"/>
  <c r="V93" i="4"/>
  <c r="CA93" i="4"/>
  <c r="BG93" i="4"/>
  <c r="BR93" i="4"/>
  <c r="AW93" i="4"/>
  <c r="DL93" i="4"/>
  <c r="B95" i="4"/>
  <c r="M94" i="4"/>
  <c r="B83" i="5"/>
  <c r="A83" i="47"/>
  <c r="C82" i="46"/>
  <c r="L81" i="46"/>
  <c r="DF148" i="4"/>
  <c r="AB88" i="46" l="1"/>
  <c r="AN88" i="46"/>
  <c r="BJ88" i="46"/>
  <c r="CM88" i="46"/>
  <c r="AR88" i="46"/>
  <c r="AD88" i="46"/>
  <c r="BN88" i="46"/>
  <c r="CD88" i="46"/>
  <c r="AQ88" i="46"/>
  <c r="BG88" i="46"/>
  <c r="AC88" i="46"/>
  <c r="BQ88" i="46"/>
  <c r="AM88" i="46"/>
  <c r="BF88" i="46"/>
  <c r="BZ88" i="46"/>
  <c r="AJ88" i="46"/>
  <c r="BV88" i="46"/>
  <c r="CP88" i="46"/>
  <c r="BX88" i="46"/>
  <c r="BC88" i="46"/>
  <c r="AH88" i="46"/>
  <c r="DJ88" i="46"/>
  <c r="DK88" i="46"/>
  <c r="DF88" i="46"/>
  <c r="CC88" i="46"/>
  <c r="CH88" i="46"/>
  <c r="CL88" i="46"/>
  <c r="BB88" i="46"/>
  <c r="BT88" i="46"/>
  <c r="M88" i="46"/>
  <c r="P88" i="46"/>
  <c r="AG88" i="46"/>
  <c r="BS88" i="46"/>
  <c r="N88" i="46"/>
  <c r="AY88" i="46"/>
  <c r="Q88" i="46"/>
  <c r="CG88" i="46"/>
  <c r="CR88" i="46"/>
  <c r="AX88" i="46"/>
  <c r="BM88" i="46"/>
  <c r="X88" i="46"/>
  <c r="O88" i="46"/>
  <c r="AU88" i="46"/>
  <c r="AO88" i="46"/>
  <c r="BL88" i="46"/>
  <c r="AT88" i="46"/>
  <c r="DI88" i="46"/>
  <c r="DE88" i="46"/>
  <c r="DL88" i="46"/>
  <c r="BW88" i="46"/>
  <c r="DH88" i="46"/>
  <c r="U88" i="46"/>
  <c r="CF88" i="46"/>
  <c r="CN88" i="46"/>
  <c r="AS88" i="46"/>
  <c r="BI88" i="46"/>
  <c r="T88" i="46"/>
  <c r="CI88" i="46"/>
  <c r="AV88" i="46"/>
  <c r="BH88" i="46"/>
  <c r="CB88" i="46"/>
  <c r="AL88" i="46"/>
  <c r="W88" i="46"/>
  <c r="AF88" i="46"/>
  <c r="CA88" i="46"/>
  <c r="AK88" i="46"/>
  <c r="BE88" i="46"/>
  <c r="CE88" i="46"/>
  <c r="AA88" i="46"/>
  <c r="BK88" i="46"/>
  <c r="CO88" i="46"/>
  <c r="DD88" i="46"/>
  <c r="DC88" i="46"/>
  <c r="DO88" i="46"/>
  <c r="Z88" i="46"/>
  <c r="BP88" i="46"/>
  <c r="BU88" i="46"/>
  <c r="AE88" i="46"/>
  <c r="BA88" i="46"/>
  <c r="Y88" i="46"/>
  <c r="CK88" i="46"/>
  <c r="EA88" i="46"/>
  <c r="AZ88" i="46"/>
  <c r="BR88" i="46"/>
  <c r="R88" i="46"/>
  <c r="BY88" i="46"/>
  <c r="AP88" i="46"/>
  <c r="BO88" i="46"/>
  <c r="CQ88" i="46"/>
  <c r="AW88" i="46"/>
  <c r="BD88" i="46"/>
  <c r="CJ88" i="46"/>
  <c r="S88" i="46"/>
  <c r="AI88" i="46"/>
  <c r="V88" i="46"/>
  <c r="DG88" i="46"/>
  <c r="DN88" i="46"/>
  <c r="DM88" i="46"/>
  <c r="B90" i="46"/>
  <c r="K89" i="46"/>
  <c r="B96" i="4"/>
  <c r="A84" i="47"/>
  <c r="B84" i="5"/>
  <c r="M95" i="4"/>
  <c r="B78" i="47"/>
  <c r="C78" i="5"/>
  <c r="N89" i="4"/>
  <c r="C90" i="4"/>
  <c r="CE94" i="4"/>
  <c r="AM94" i="4"/>
  <c r="AD94" i="4"/>
  <c r="AC94" i="4"/>
  <c r="AK94" i="4"/>
  <c r="Z94" i="4"/>
  <c r="AQ94" i="4"/>
  <c r="AG94" i="4"/>
  <c r="DR94" i="4"/>
  <c r="DP94" i="46" s="1"/>
  <c r="CP94" i="4"/>
  <c r="CQ94" i="4"/>
  <c r="DK94" i="4"/>
  <c r="BA94" i="4"/>
  <c r="CK94" i="4"/>
  <c r="BW94" i="4"/>
  <c r="BP94" i="4"/>
  <c r="CF94" i="4"/>
  <c r="CT94" i="4"/>
  <c r="CC94" i="4"/>
  <c r="O94" i="4"/>
  <c r="BO94" i="4"/>
  <c r="CB94" i="4"/>
  <c r="BS94" i="4"/>
  <c r="BX94" i="4"/>
  <c r="BY94" i="4"/>
  <c r="AW94" i="4"/>
  <c r="AS94" i="4"/>
  <c r="AH94" i="4"/>
  <c r="AE94" i="4"/>
  <c r="AB94" i="4"/>
  <c r="W94" i="4"/>
  <c r="T94" i="4"/>
  <c r="U94" i="4"/>
  <c r="DS94" i="4"/>
  <c r="DQ94" i="46" s="1"/>
  <c r="CN94" i="4"/>
  <c r="DL94" i="4"/>
  <c r="BF94" i="4"/>
  <c r="BK94" i="4"/>
  <c r="DH94" i="4"/>
  <c r="DI94" i="4"/>
  <c r="BG94" i="4"/>
  <c r="BD94" i="4"/>
  <c r="DJ94" i="4"/>
  <c r="CS94" i="4"/>
  <c r="BM94" i="4"/>
  <c r="P94" i="4"/>
  <c r="BI94" i="4"/>
  <c r="BH94" i="4"/>
  <c r="R94" i="4"/>
  <c r="DM94" i="4"/>
  <c r="AU94" i="4"/>
  <c r="AV94" i="4"/>
  <c r="AL94" i="4"/>
  <c r="AI94" i="4"/>
  <c r="Q94" i="4"/>
  <c r="AJ94" i="4"/>
  <c r="Y94" i="4"/>
  <c r="AN94" i="4"/>
  <c r="CO94" i="4"/>
  <c r="CM94" i="4"/>
  <c r="DP94" i="4"/>
  <c r="DO94" i="4"/>
  <c r="AY94" i="4"/>
  <c r="CH94" i="4"/>
  <c r="BB94" i="4"/>
  <c r="BL94" i="4"/>
  <c r="BQ94" i="4"/>
  <c r="BT94" i="4"/>
  <c r="AA94" i="4"/>
  <c r="BZ94" i="4"/>
  <c r="EC94" i="4"/>
  <c r="CD94" i="4"/>
  <c r="X94" i="4"/>
  <c r="AX94" i="4"/>
  <c r="S94" i="4"/>
  <c r="CL94" i="4"/>
  <c r="CG94" i="4"/>
  <c r="BV94" i="4"/>
  <c r="DN94" i="4"/>
  <c r="AP94" i="4"/>
  <c r="V94" i="4"/>
  <c r="DQ94" i="4"/>
  <c r="BC94" i="4"/>
  <c r="CR94" i="4"/>
  <c r="BR94" i="4"/>
  <c r="AT94" i="4"/>
  <c r="AR94" i="4"/>
  <c r="BE94" i="4"/>
  <c r="AZ94" i="4"/>
  <c r="BU94" i="4"/>
  <c r="CA94" i="4"/>
  <c r="AF94" i="4"/>
  <c r="BJ94" i="4"/>
  <c r="CJ94" i="4"/>
  <c r="AO94" i="4"/>
  <c r="CI94" i="4"/>
  <c r="BN94" i="4"/>
  <c r="L82" i="46"/>
  <c r="C83" i="46"/>
  <c r="DF149" i="4"/>
  <c r="S89" i="46" l="1"/>
  <c r="BY89" i="46"/>
  <c r="AH89" i="46"/>
  <c r="BK89" i="46"/>
  <c r="CP89" i="46"/>
  <c r="AU89" i="46"/>
  <c r="X89" i="46"/>
  <c r="CK89" i="46"/>
  <c r="BT89" i="46"/>
  <c r="M89" i="46"/>
  <c r="BB89" i="46"/>
  <c r="U89" i="46"/>
  <c r="CG89" i="46"/>
  <c r="CB89" i="46"/>
  <c r="AL89" i="46"/>
  <c r="BH89" i="46"/>
  <c r="R89" i="46"/>
  <c r="BF89" i="46"/>
  <c r="BM89" i="46"/>
  <c r="CL89" i="46"/>
  <c r="AW89" i="46"/>
  <c r="CQ89" i="46"/>
  <c r="DJ89" i="46"/>
  <c r="DK89" i="46"/>
  <c r="DL89" i="46"/>
  <c r="AC89" i="46"/>
  <c r="BQ89" i="46"/>
  <c r="AV89" i="46"/>
  <c r="BC89" i="46"/>
  <c r="BW89" i="46"/>
  <c r="AI89" i="46"/>
  <c r="P89" i="46"/>
  <c r="AO89" i="46"/>
  <c r="BI89" i="46"/>
  <c r="CN89" i="46"/>
  <c r="AS89" i="46"/>
  <c r="Z89" i="46"/>
  <c r="BP89" i="46"/>
  <c r="BR89" i="46"/>
  <c r="EA89" i="46"/>
  <c r="AZ89" i="46"/>
  <c r="BN89" i="46"/>
  <c r="Y89" i="46"/>
  <c r="CR89" i="46"/>
  <c r="BE89" i="46"/>
  <c r="CF89" i="46"/>
  <c r="DD89" i="46"/>
  <c r="DE89" i="46"/>
  <c r="DG89" i="46"/>
  <c r="DO89" i="46"/>
  <c r="CJ89" i="46"/>
  <c r="AG89" i="46"/>
  <c r="N89" i="46"/>
  <c r="AN89" i="46"/>
  <c r="W89" i="46"/>
  <c r="DM89" i="46"/>
  <c r="DN89" i="46"/>
  <c r="Q89" i="46"/>
  <c r="CE89" i="46"/>
  <c r="CO89" i="46"/>
  <c r="AT89" i="46"/>
  <c r="BL89" i="46"/>
  <c r="T89" i="46"/>
  <c r="BX89" i="46"/>
  <c r="AP89" i="46"/>
  <c r="BA89" i="46"/>
  <c r="BU89" i="46"/>
  <c r="AE89" i="46"/>
  <c r="AB89" i="46"/>
  <c r="AM89" i="46"/>
  <c r="BG89" i="46"/>
  <c r="CD89" i="46"/>
  <c r="AQ89" i="46"/>
  <c r="BZ89" i="46"/>
  <c r="CI89" i="46"/>
  <c r="AX89" i="46"/>
  <c r="CA89" i="46"/>
  <c r="BO89" i="46"/>
  <c r="DH89" i="46"/>
  <c r="DI89" i="46"/>
  <c r="DC89" i="46"/>
  <c r="AR89" i="46"/>
  <c r="CH89" i="46"/>
  <c r="BS89" i="46"/>
  <c r="AJ89" i="46"/>
  <c r="AK89" i="46"/>
  <c r="DF89" i="46"/>
  <c r="AA89" i="46"/>
  <c r="AF89" i="46"/>
  <c r="BV89" i="46"/>
  <c r="O89" i="46"/>
  <c r="BD89" i="46"/>
  <c r="V89" i="46"/>
  <c r="CM89" i="46"/>
  <c r="BJ89" i="46"/>
  <c r="CC89" i="46"/>
  <c r="AY89" i="46"/>
  <c r="AD89" i="46"/>
  <c r="B91" i="46"/>
  <c r="K90" i="46"/>
  <c r="AV95" i="4"/>
  <c r="AW95" i="4"/>
  <c r="AG95" i="4"/>
  <c r="AH95" i="4"/>
  <c r="AF95" i="4"/>
  <c r="W95" i="4"/>
  <c r="AI95" i="4"/>
  <c r="AE95" i="4"/>
  <c r="DS95" i="4"/>
  <c r="DQ95" i="46" s="1"/>
  <c r="CL95" i="4"/>
  <c r="DL95" i="4"/>
  <c r="BA95" i="4"/>
  <c r="BK95" i="4"/>
  <c r="BL95" i="4"/>
  <c r="EC95" i="4"/>
  <c r="BR95" i="4"/>
  <c r="BD95" i="4"/>
  <c r="DJ95" i="4"/>
  <c r="CF95" i="4"/>
  <c r="CB95" i="4"/>
  <c r="BW95" i="4"/>
  <c r="DH95" i="4"/>
  <c r="O95" i="4"/>
  <c r="BM95" i="4"/>
  <c r="DM95" i="4"/>
  <c r="AU95" i="4"/>
  <c r="AS95" i="4"/>
  <c r="AK95" i="4"/>
  <c r="AL95" i="4"/>
  <c r="AQ95" i="4"/>
  <c r="AJ95" i="4"/>
  <c r="AC95" i="4"/>
  <c r="Y95" i="4"/>
  <c r="CJ95" i="4"/>
  <c r="CM95" i="4"/>
  <c r="DP95" i="4"/>
  <c r="DO95" i="4"/>
  <c r="AY95" i="4"/>
  <c r="CG95" i="4"/>
  <c r="P95" i="4"/>
  <c r="BI95" i="4"/>
  <c r="BY95" i="4"/>
  <c r="BJ95" i="4"/>
  <c r="R95" i="4"/>
  <c r="X95" i="4"/>
  <c r="BZ95" i="4"/>
  <c r="BO95" i="4"/>
  <c r="BS95" i="4"/>
  <c r="DN95" i="4"/>
  <c r="AT95" i="4"/>
  <c r="AM95" i="4"/>
  <c r="AR95" i="4"/>
  <c r="AX95" i="4"/>
  <c r="T95" i="4"/>
  <c r="V95" i="4"/>
  <c r="U95" i="4"/>
  <c r="S95" i="4"/>
  <c r="CP95" i="4"/>
  <c r="CN95" i="4"/>
  <c r="DQ95" i="4"/>
  <c r="BE95" i="4"/>
  <c r="CI95" i="4"/>
  <c r="CH95" i="4"/>
  <c r="CT95" i="4"/>
  <c r="BV95" i="4"/>
  <c r="AA95" i="4"/>
  <c r="CS95" i="4"/>
  <c r="BX95" i="4"/>
  <c r="BP95" i="4"/>
  <c r="BT95" i="4"/>
  <c r="BH95" i="4"/>
  <c r="DI95" i="4"/>
  <c r="CE95" i="4"/>
  <c r="AB95" i="4"/>
  <c r="DK95" i="4"/>
  <c r="BG95" i="4"/>
  <c r="CD95" i="4"/>
  <c r="BQ95" i="4"/>
  <c r="AN95" i="4"/>
  <c r="Z95" i="4"/>
  <c r="DR95" i="4"/>
  <c r="DP95" i="46" s="1"/>
  <c r="BF95" i="4"/>
  <c r="BU95" i="4"/>
  <c r="BC95" i="4"/>
  <c r="BB95" i="4"/>
  <c r="AO95" i="4"/>
  <c r="AP95" i="4"/>
  <c r="CO95" i="4"/>
  <c r="CK95" i="4"/>
  <c r="CC95" i="4"/>
  <c r="AZ95" i="4"/>
  <c r="Q95" i="4"/>
  <c r="CR95" i="4"/>
  <c r="CQ95" i="4"/>
  <c r="CA95" i="4"/>
  <c r="AD95" i="4"/>
  <c r="BN95" i="4"/>
  <c r="C91" i="4"/>
  <c r="N90" i="4"/>
  <c r="C79" i="5"/>
  <c r="B79" i="47"/>
  <c r="B97" i="4"/>
  <c r="B85" i="5"/>
  <c r="M96" i="4"/>
  <c r="A85" i="47"/>
  <c r="C84" i="46"/>
  <c r="L83" i="46"/>
  <c r="DF150" i="4"/>
  <c r="X90" i="46" l="1"/>
  <c r="CF90" i="46"/>
  <c r="BU90" i="46"/>
  <c r="AE90" i="46"/>
  <c r="BC90" i="46"/>
  <c r="U90" i="46"/>
  <c r="CE90" i="46"/>
  <c r="CD90" i="46"/>
  <c r="AQ90" i="46"/>
  <c r="BI90" i="46"/>
  <c r="S90" i="46"/>
  <c r="CI90" i="46"/>
  <c r="AH90" i="46"/>
  <c r="BF90" i="46"/>
  <c r="CB90" i="46"/>
  <c r="AL90" i="46"/>
  <c r="BD90" i="46"/>
  <c r="CG90" i="46"/>
  <c r="R90" i="46"/>
  <c r="AI90" i="46"/>
  <c r="AN90" i="46"/>
  <c r="DF90" i="46"/>
  <c r="DK90" i="46"/>
  <c r="DG90" i="46"/>
  <c r="CH90" i="46"/>
  <c r="M90" i="46"/>
  <c r="AM90" i="46"/>
  <c r="AY90" i="46"/>
  <c r="W90" i="46"/>
  <c r="BW90" i="46"/>
  <c r="DM90" i="46"/>
  <c r="DO90" i="46"/>
  <c r="P90" i="46"/>
  <c r="AP90" i="46"/>
  <c r="BJ90" i="46"/>
  <c r="CO90" i="46"/>
  <c r="AT90" i="46"/>
  <c r="Z90" i="46"/>
  <c r="BP90" i="46"/>
  <c r="BS90" i="46"/>
  <c r="N90" i="46"/>
  <c r="BA90" i="46"/>
  <c r="Y90" i="46"/>
  <c r="CK90" i="46"/>
  <c r="CR90" i="46"/>
  <c r="AX90" i="46"/>
  <c r="BR90" i="46"/>
  <c r="Q90" i="46"/>
  <c r="BZ90" i="46"/>
  <c r="CP90" i="46"/>
  <c r="BY90" i="46"/>
  <c r="BE90" i="46"/>
  <c r="AW90" i="46"/>
  <c r="DH90" i="46"/>
  <c r="DJ90" i="46"/>
  <c r="DN90" i="46"/>
  <c r="V90" i="46"/>
  <c r="CJ90" i="46"/>
  <c r="CN90" i="46"/>
  <c r="BK90" i="46"/>
  <c r="CC90" i="46"/>
  <c r="AG90" i="46"/>
  <c r="AZ90" i="46"/>
  <c r="AA90" i="46"/>
  <c r="BO90" i="46"/>
  <c r="AV90" i="46"/>
  <c r="BM90" i="46"/>
  <c r="AC90" i="46"/>
  <c r="DI90" i="46"/>
  <c r="T90" i="46"/>
  <c r="BX90" i="46"/>
  <c r="CL90" i="46"/>
  <c r="BB90" i="46"/>
  <c r="BV90" i="46"/>
  <c r="O90" i="46"/>
  <c r="AB90" i="46"/>
  <c r="AO90" i="46"/>
  <c r="BH90" i="46"/>
  <c r="CM90" i="46"/>
  <c r="AR90" i="46"/>
  <c r="AD90" i="46"/>
  <c r="BN90" i="46"/>
  <c r="CA90" i="46"/>
  <c r="AK90" i="46"/>
  <c r="BG90" i="46"/>
  <c r="BQ90" i="46"/>
  <c r="AJ90" i="46"/>
  <c r="AU90" i="46"/>
  <c r="AF90" i="46"/>
  <c r="CQ90" i="46"/>
  <c r="BL90" i="46"/>
  <c r="DE90" i="46"/>
  <c r="DC90" i="46"/>
  <c r="DL90" i="46"/>
  <c r="AS90" i="46"/>
  <c r="BT90" i="46"/>
  <c r="EA90" i="46"/>
  <c r="DD90" i="46"/>
  <c r="K91" i="46"/>
  <c r="B92" i="46"/>
  <c r="DM96" i="4"/>
  <c r="AS96" i="4"/>
  <c r="AM96" i="4"/>
  <c r="AJ96" i="4"/>
  <c r="AK96" i="4"/>
  <c r="AP96" i="4"/>
  <c r="AL96" i="4"/>
  <c r="AE96" i="4"/>
  <c r="AH96" i="4"/>
  <c r="CO96" i="4"/>
  <c r="CM96" i="4"/>
  <c r="DP96" i="4"/>
  <c r="DK96" i="4"/>
  <c r="AY96" i="4"/>
  <c r="BG96" i="4"/>
  <c r="BZ96" i="4"/>
  <c r="CD96" i="4"/>
  <c r="DI96" i="4"/>
  <c r="BV96" i="4"/>
  <c r="R96" i="4"/>
  <c r="X96" i="4"/>
  <c r="CR96" i="4"/>
  <c r="BI96" i="4"/>
  <c r="BC96" i="4"/>
  <c r="DN96" i="4"/>
  <c r="AV96" i="4"/>
  <c r="AU96" i="4"/>
  <c r="AQ96" i="4"/>
  <c r="AR96" i="4"/>
  <c r="AB96" i="4"/>
  <c r="V96" i="4"/>
  <c r="Z96" i="4"/>
  <c r="T96" i="4"/>
  <c r="CP96" i="4"/>
  <c r="CQ96" i="4"/>
  <c r="DQ96" i="4"/>
  <c r="BE96" i="4"/>
  <c r="CI96" i="4"/>
  <c r="CB96" i="4"/>
  <c r="CS96" i="4"/>
  <c r="CH96" i="4"/>
  <c r="BW96" i="4"/>
  <c r="DH96" i="4"/>
  <c r="BM96" i="4"/>
  <c r="BU96" i="4"/>
  <c r="BR96" i="4"/>
  <c r="BD96" i="4"/>
  <c r="EC96" i="4"/>
  <c r="BY96" i="4"/>
  <c r="CE96" i="4"/>
  <c r="AO96" i="4"/>
  <c r="AT96" i="4"/>
  <c r="AC96" i="4"/>
  <c r="AI96" i="4"/>
  <c r="AX96" i="4"/>
  <c r="Y96" i="4"/>
  <c r="W96" i="4"/>
  <c r="DS96" i="4"/>
  <c r="DQ96" i="46" s="1"/>
  <c r="CJ96" i="4"/>
  <c r="CL96" i="4"/>
  <c r="DL96" i="4"/>
  <c r="BF96" i="4"/>
  <c r="CK96" i="4"/>
  <c r="CG96" i="4"/>
  <c r="BN96" i="4"/>
  <c r="CA96" i="4"/>
  <c r="BP96" i="4"/>
  <c r="BB96" i="4"/>
  <c r="BO96" i="4"/>
  <c r="P96" i="4"/>
  <c r="CT96" i="4"/>
  <c r="BQ96" i="4"/>
  <c r="BH96" i="4"/>
  <c r="BS96" i="4"/>
  <c r="AN96" i="4"/>
  <c r="AD96" i="4"/>
  <c r="DR96" i="4"/>
  <c r="DP96" i="46" s="1"/>
  <c r="BA96" i="4"/>
  <c r="AZ96" i="4"/>
  <c r="CF96" i="4"/>
  <c r="BJ96" i="4"/>
  <c r="AF96" i="4"/>
  <c r="S96" i="4"/>
  <c r="BK96" i="4"/>
  <c r="CC96" i="4"/>
  <c r="BT96" i="4"/>
  <c r="AG96" i="4"/>
  <c r="Q96" i="4"/>
  <c r="CN96" i="4"/>
  <c r="DJ96" i="4"/>
  <c r="AA96" i="4"/>
  <c r="BL96" i="4"/>
  <c r="AW96" i="4"/>
  <c r="O96" i="4"/>
  <c r="DO96" i="4"/>
  <c r="BX96" i="4"/>
  <c r="U96" i="4"/>
  <c r="C80" i="5"/>
  <c r="B80" i="47"/>
  <c r="N91" i="4"/>
  <c r="C92" i="4"/>
  <c r="B98" i="4"/>
  <c r="B86" i="5"/>
  <c r="M97" i="4"/>
  <c r="A86" i="47"/>
  <c r="L84" i="46"/>
  <c r="C85" i="46"/>
  <c r="DF151" i="4"/>
  <c r="K92" i="46" l="1"/>
  <c r="B93" i="46"/>
  <c r="W91" i="46"/>
  <c r="AO91" i="46"/>
  <c r="BS91" i="46"/>
  <c r="N91" i="46"/>
  <c r="AY91" i="46"/>
  <c r="Z91" i="46"/>
  <c r="BP91" i="46"/>
  <c r="CA91" i="46"/>
  <c r="AK91" i="46"/>
  <c r="BE91" i="46"/>
  <c r="Y91" i="46"/>
  <c r="CG91" i="46"/>
  <c r="CP91" i="46"/>
  <c r="AU91" i="46"/>
  <c r="BK91" i="46"/>
  <c r="T91" i="46"/>
  <c r="AE91" i="46"/>
  <c r="BJ91" i="46"/>
  <c r="BQ91" i="46"/>
  <c r="M91" i="46"/>
  <c r="CN91" i="46"/>
  <c r="DK91" i="46"/>
  <c r="DF91" i="46"/>
  <c r="DC91" i="46"/>
  <c r="BG91" i="46"/>
  <c r="Q91" i="46"/>
  <c r="S91" i="46"/>
  <c r="BX91" i="46"/>
  <c r="AM91" i="46"/>
  <c r="BH91" i="46"/>
  <c r="CB91" i="46"/>
  <c r="AL91" i="46"/>
  <c r="AB91" i="46"/>
  <c r="AN91" i="46"/>
  <c r="BO91" i="46"/>
  <c r="CQ91" i="46"/>
  <c r="AW91" i="46"/>
  <c r="AD91" i="46"/>
  <c r="BN91" i="46"/>
  <c r="BW91" i="46"/>
  <c r="AI91" i="46"/>
  <c r="BC91" i="46"/>
  <c r="BY91" i="46"/>
  <c r="BA91" i="46"/>
  <c r="CM91" i="46"/>
  <c r="AV91" i="46"/>
  <c r="CK91" i="46"/>
  <c r="AS91" i="46"/>
  <c r="DI91" i="46"/>
  <c r="DJ91" i="46"/>
  <c r="DL91" i="46"/>
  <c r="CD91" i="46"/>
  <c r="CF91" i="46"/>
  <c r="BM91" i="46"/>
  <c r="CI91" i="46"/>
  <c r="BD91" i="46"/>
  <c r="O91" i="46"/>
  <c r="AG91" i="46"/>
  <c r="AA91" i="46"/>
  <c r="DE91" i="46"/>
  <c r="V91" i="46"/>
  <c r="CJ91" i="46"/>
  <c r="EA91" i="46"/>
  <c r="AZ91" i="46"/>
  <c r="BR91" i="46"/>
  <c r="CC91" i="46"/>
  <c r="CH91" i="46"/>
  <c r="AH91" i="46"/>
  <c r="BF91" i="46"/>
  <c r="BZ91" i="46"/>
  <c r="AJ91" i="46"/>
  <c r="P91" i="46"/>
  <c r="AP91" i="46"/>
  <c r="BL91" i="46"/>
  <c r="CO91" i="46"/>
  <c r="AT91" i="46"/>
  <c r="AF91" i="46"/>
  <c r="AC91" i="46"/>
  <c r="AR91" i="46"/>
  <c r="BB91" i="46"/>
  <c r="BI91" i="46"/>
  <c r="DD91" i="46"/>
  <c r="DG91" i="46"/>
  <c r="DN91" i="46"/>
  <c r="DO91" i="46"/>
  <c r="X91" i="46"/>
  <c r="CE91" i="46"/>
  <c r="AQ91" i="46"/>
  <c r="U91" i="46"/>
  <c r="CR91" i="46"/>
  <c r="AX91" i="46"/>
  <c r="R91" i="46"/>
  <c r="CL91" i="46"/>
  <c r="BV91" i="46"/>
  <c r="BU91" i="46"/>
  <c r="BT91" i="46"/>
  <c r="DH91" i="46"/>
  <c r="DM91" i="46"/>
  <c r="B99" i="4"/>
  <c r="B87" i="5"/>
  <c r="M98" i="4"/>
  <c r="A87" i="47"/>
  <c r="C81" i="5"/>
  <c r="N92" i="4"/>
  <c r="C93" i="4"/>
  <c r="B81" i="47"/>
  <c r="DN97" i="4"/>
  <c r="AT97" i="4"/>
  <c r="AM97" i="4"/>
  <c r="AP97" i="4"/>
  <c r="AB97" i="4"/>
  <c r="Z97" i="4"/>
  <c r="AR97" i="4"/>
  <c r="Y97" i="4"/>
  <c r="Q97" i="4"/>
  <c r="CP97" i="4"/>
  <c r="CN97" i="4"/>
  <c r="DQ97" i="4"/>
  <c r="BE97" i="4"/>
  <c r="CI97" i="4"/>
  <c r="CB97" i="4"/>
  <c r="BC97" i="4"/>
  <c r="CT97" i="4"/>
  <c r="EC97" i="4"/>
  <c r="BP97" i="4"/>
  <c r="BN97" i="4"/>
  <c r="CF97" i="4"/>
  <c r="R97" i="4"/>
  <c r="BB97" i="4"/>
  <c r="BR97" i="4"/>
  <c r="CE97" i="4"/>
  <c r="AS97" i="4"/>
  <c r="AN97" i="4"/>
  <c r="AF97" i="4"/>
  <c r="AD97" i="4"/>
  <c r="W97" i="4"/>
  <c r="AH97" i="4"/>
  <c r="AC97" i="4"/>
  <c r="DS97" i="4"/>
  <c r="DQ97" i="46" s="1"/>
  <c r="CJ97" i="4"/>
  <c r="CL97" i="4"/>
  <c r="DO97" i="4"/>
  <c r="BF97" i="4"/>
  <c r="CK97" i="4"/>
  <c r="BZ97" i="4"/>
  <c r="BX97" i="4"/>
  <c r="BD97" i="4"/>
  <c r="BV97" i="4"/>
  <c r="X97" i="4"/>
  <c r="O97" i="4"/>
  <c r="BT97" i="4"/>
  <c r="BO97" i="4"/>
  <c r="CG97" i="4"/>
  <c r="BS97" i="4"/>
  <c r="DH97" i="4"/>
  <c r="AV97" i="4"/>
  <c r="AU97" i="4"/>
  <c r="AE97" i="4"/>
  <c r="AJ97" i="4"/>
  <c r="AL97" i="4"/>
  <c r="AX97" i="4"/>
  <c r="T97" i="4"/>
  <c r="U97" i="4"/>
  <c r="DR97" i="4"/>
  <c r="DP97" i="46" s="1"/>
  <c r="CQ97" i="4"/>
  <c r="DK97" i="4"/>
  <c r="BA97" i="4"/>
  <c r="BK97" i="4"/>
  <c r="CC97" i="4"/>
  <c r="AA97" i="4"/>
  <c r="P97" i="4"/>
  <c r="CD97" i="4"/>
  <c r="BW97" i="4"/>
  <c r="BM97" i="4"/>
  <c r="CR97" i="4"/>
  <c r="DI97" i="4"/>
  <c r="CS97" i="4"/>
  <c r="BU97" i="4"/>
  <c r="CA97" i="4"/>
  <c r="AI97" i="4"/>
  <c r="AK97" i="4"/>
  <c r="CM97" i="4"/>
  <c r="BQ97" i="4"/>
  <c r="BL97" i="4"/>
  <c r="DM97" i="4"/>
  <c r="AQ97" i="4"/>
  <c r="S97" i="4"/>
  <c r="DP97" i="4"/>
  <c r="DJ97" i="4"/>
  <c r="BY97" i="4"/>
  <c r="BH97" i="4"/>
  <c r="AW97" i="4"/>
  <c r="V97" i="4"/>
  <c r="DL97" i="4"/>
  <c r="CH97" i="4"/>
  <c r="AZ97" i="4"/>
  <c r="BG97" i="4"/>
  <c r="CO97" i="4"/>
  <c r="AY97" i="4"/>
  <c r="AO97" i="4"/>
  <c r="BI97" i="4"/>
  <c r="BJ97" i="4"/>
  <c r="AG97" i="4"/>
  <c r="L85" i="46"/>
  <c r="C86" i="46"/>
  <c r="DF152" i="4"/>
  <c r="K93" i="46" l="1"/>
  <c r="B94" i="46"/>
  <c r="U92" i="46"/>
  <c r="CK92" i="46"/>
  <c r="CO92" i="46"/>
  <c r="AT92" i="46"/>
  <c r="BL92" i="46"/>
  <c r="S92" i="46"/>
  <c r="CI92" i="46"/>
  <c r="AV92" i="46"/>
  <c r="BA92" i="46"/>
  <c r="BU92" i="46"/>
  <c r="AE92" i="46"/>
  <c r="W92" i="46"/>
  <c r="AF92" i="46"/>
  <c r="BR92" i="46"/>
  <c r="EA92" i="46"/>
  <c r="AZ92" i="46"/>
  <c r="CJ92" i="46"/>
  <c r="AA92" i="46"/>
  <c r="BF92" i="46"/>
  <c r="BM92" i="46"/>
  <c r="AP92" i="46"/>
  <c r="DD92" i="46"/>
  <c r="DJ92" i="46"/>
  <c r="DG92" i="46"/>
  <c r="DO92" i="46"/>
  <c r="AG92" i="46"/>
  <c r="CP92" i="46"/>
  <c r="AD92" i="46"/>
  <c r="BT92" i="46"/>
  <c r="BB92" i="46"/>
  <c r="BQ92" i="46"/>
  <c r="BS92" i="46"/>
  <c r="AW92" i="46"/>
  <c r="BX92" i="46"/>
  <c r="BE92" i="46"/>
  <c r="DE92" i="46"/>
  <c r="AM92" i="46"/>
  <c r="AI92" i="46"/>
  <c r="AS92" i="46"/>
  <c r="CE92" i="46"/>
  <c r="AL92" i="46"/>
  <c r="BH92" i="46"/>
  <c r="AJ92" i="46"/>
  <c r="CA92" i="46"/>
  <c r="DL92" i="46"/>
  <c r="Z92" i="46"/>
  <c r="BP92" i="46"/>
  <c r="BV92" i="46"/>
  <c r="O92" i="46"/>
  <c r="BD92" i="46"/>
  <c r="Y92" i="46"/>
  <c r="CG92" i="46"/>
  <c r="CM92" i="46"/>
  <c r="AR92" i="46"/>
  <c r="BJ92" i="46"/>
  <c r="R92" i="46"/>
  <c r="BY92" i="46"/>
  <c r="AH92" i="46"/>
  <c r="BG92" i="46"/>
  <c r="CD92" i="46"/>
  <c r="AQ92" i="46"/>
  <c r="CQ92" i="46"/>
  <c r="CF92" i="46"/>
  <c r="T92" i="46"/>
  <c r="CR92" i="46"/>
  <c r="AK92" i="46"/>
  <c r="DC92" i="46"/>
  <c r="DM92" i="46"/>
  <c r="DN92" i="46"/>
  <c r="BK92" i="46"/>
  <c r="AU92" i="46"/>
  <c r="BN92" i="46"/>
  <c r="M92" i="46"/>
  <c r="AC92" i="46"/>
  <c r="AY92" i="46"/>
  <c r="N92" i="46"/>
  <c r="BZ92" i="46"/>
  <c r="AX92" i="46"/>
  <c r="DF92" i="46"/>
  <c r="AB92" i="46"/>
  <c r="CL92" i="46"/>
  <c r="DH92" i="46"/>
  <c r="CH92" i="46"/>
  <c r="BC92" i="46"/>
  <c r="P92" i="46"/>
  <c r="BI92" i="46"/>
  <c r="Q92" i="46"/>
  <c r="CB92" i="46"/>
  <c r="X92" i="46"/>
  <c r="AO92" i="46"/>
  <c r="DK92" i="46"/>
  <c r="CC92" i="46"/>
  <c r="BW92" i="46"/>
  <c r="AN92" i="46"/>
  <c r="CN92" i="46"/>
  <c r="BO92" i="46"/>
  <c r="V92" i="46"/>
  <c r="DI92" i="46"/>
  <c r="C94" i="4"/>
  <c r="C82" i="5"/>
  <c r="B82" i="47"/>
  <c r="N93" i="4"/>
  <c r="CE98" i="4"/>
  <c r="AV98" i="4"/>
  <c r="AN98" i="4"/>
  <c r="AX98" i="4"/>
  <c r="AP98" i="4"/>
  <c r="Q98" i="4"/>
  <c r="AF98" i="4"/>
  <c r="S98" i="4"/>
  <c r="DR98" i="4"/>
  <c r="DP98" i="46" s="1"/>
  <c r="CP98" i="4"/>
  <c r="CQ98" i="4"/>
  <c r="DK98" i="4"/>
  <c r="BA98" i="4"/>
  <c r="CK98" i="4"/>
  <c r="AA98" i="4"/>
  <c r="CS98" i="4"/>
  <c r="BX98" i="4"/>
  <c r="EC98" i="4"/>
  <c r="CB98" i="4"/>
  <c r="DI98" i="4"/>
  <c r="BZ98" i="4"/>
  <c r="CC98" i="4"/>
  <c r="CH98" i="4"/>
  <c r="BO98" i="4"/>
  <c r="CG98" i="4"/>
  <c r="AW98" i="4"/>
  <c r="AS98" i="4"/>
  <c r="AD98" i="4"/>
  <c r="AC98" i="4"/>
  <c r="AG98" i="4"/>
  <c r="U98" i="4"/>
  <c r="AJ98" i="4"/>
  <c r="AK98" i="4"/>
  <c r="DS98" i="4"/>
  <c r="DQ98" i="46" s="1"/>
  <c r="CN98" i="4"/>
  <c r="DL98" i="4"/>
  <c r="BF98" i="4"/>
  <c r="BK98" i="4"/>
  <c r="CT98" i="4"/>
  <c r="BQ98" i="4"/>
  <c r="BY98" i="4"/>
  <c r="BJ98" i="4"/>
  <c r="BU98" i="4"/>
  <c r="CR98" i="4"/>
  <c r="BW98" i="4"/>
  <c r="DJ98" i="4"/>
  <c r="BB98" i="4"/>
  <c r="X98" i="4"/>
  <c r="BV98" i="4"/>
  <c r="DM98" i="4"/>
  <c r="AU98" i="4"/>
  <c r="AM98" i="4"/>
  <c r="AH98" i="4"/>
  <c r="AE98" i="4"/>
  <c r="AR98" i="4"/>
  <c r="Z98" i="4"/>
  <c r="T98" i="4"/>
  <c r="AQ98" i="4"/>
  <c r="CO98" i="4"/>
  <c r="CM98" i="4"/>
  <c r="DP98" i="4"/>
  <c r="DO98" i="4"/>
  <c r="AY98" i="4"/>
  <c r="BI98" i="4"/>
  <c r="BH98" i="4"/>
  <c r="BM98" i="4"/>
  <c r="BL98" i="4"/>
  <c r="BS98" i="4"/>
  <c r="CA98" i="4"/>
  <c r="P98" i="4"/>
  <c r="BR98" i="4"/>
  <c r="BT98" i="4"/>
  <c r="BN98" i="4"/>
  <c r="DN98" i="4"/>
  <c r="AI98" i="4"/>
  <c r="V98" i="4"/>
  <c r="DQ98" i="4"/>
  <c r="BP98" i="4"/>
  <c r="AZ98" i="4"/>
  <c r="R98" i="4"/>
  <c r="AT98" i="4"/>
  <c r="AB98" i="4"/>
  <c r="BE98" i="4"/>
  <c r="CF98" i="4"/>
  <c r="O98" i="4"/>
  <c r="BG98" i="4"/>
  <c r="AO98" i="4"/>
  <c r="W98" i="4"/>
  <c r="CJ98" i="4"/>
  <c r="CI98" i="4"/>
  <c r="BC98" i="4"/>
  <c r="BD98" i="4"/>
  <c r="AL98" i="4"/>
  <c r="DH98" i="4"/>
  <c r="CL98" i="4"/>
  <c r="Y98" i="4"/>
  <c r="CD98" i="4"/>
  <c r="B100" i="4"/>
  <c r="M99" i="4"/>
  <c r="B88" i="5"/>
  <c r="A88" i="47"/>
  <c r="C87" i="46"/>
  <c r="L86" i="46"/>
  <c r="DF153" i="4"/>
  <c r="B95" i="46" l="1"/>
  <c r="K94" i="46"/>
  <c r="V93" i="46"/>
  <c r="AB93" i="46"/>
  <c r="W93" i="46"/>
  <c r="CG93" i="46"/>
  <c r="CA93" i="46"/>
  <c r="AK93" i="46"/>
  <c r="BG93" i="46"/>
  <c r="BY93" i="46"/>
  <c r="CN93" i="46"/>
  <c r="N93" i="46"/>
  <c r="AJ93" i="46"/>
  <c r="AM93" i="46"/>
  <c r="BB93" i="46"/>
  <c r="BI93" i="46"/>
  <c r="CH93" i="46"/>
  <c r="CL93" i="46"/>
  <c r="AI93" i="46"/>
  <c r="AT93" i="46"/>
  <c r="AU93" i="46"/>
  <c r="AE93" i="46"/>
  <c r="CC93" i="46"/>
  <c r="DD93" i="46"/>
  <c r="DN93" i="46"/>
  <c r="DM93" i="46"/>
  <c r="DO93" i="46"/>
  <c r="AF93" i="46"/>
  <c r="AP93" i="46"/>
  <c r="X93" i="46"/>
  <c r="AC93" i="46"/>
  <c r="AA93" i="46"/>
  <c r="AO93" i="46"/>
  <c r="BO93" i="46"/>
  <c r="EA93" i="46"/>
  <c r="AY93" i="46"/>
  <c r="CF93" i="46"/>
  <c r="BS93" i="46"/>
  <c r="BZ93" i="46"/>
  <c r="Q93" i="46"/>
  <c r="AH93" i="46"/>
  <c r="AQ93" i="46"/>
  <c r="AW93" i="46"/>
  <c r="BQ93" i="46"/>
  <c r="BW93" i="46"/>
  <c r="CO93" i="46"/>
  <c r="M93" i="46"/>
  <c r="BC93" i="46"/>
  <c r="AR93" i="46"/>
  <c r="BH93" i="46"/>
  <c r="DE93" i="46"/>
  <c r="DJ93" i="46"/>
  <c r="DK93" i="46"/>
  <c r="BF93" i="46"/>
  <c r="BK93" i="46"/>
  <c r="CQ93" i="46"/>
  <c r="BN93" i="46"/>
  <c r="BJ93" i="46"/>
  <c r="P93" i="46"/>
  <c r="BU93" i="46"/>
  <c r="DI93" i="46"/>
  <c r="DF93" i="46"/>
  <c r="T93" i="46"/>
  <c r="S93" i="46"/>
  <c r="BX93" i="46"/>
  <c r="AG93" i="46"/>
  <c r="CB93" i="46"/>
  <c r="AL93" i="46"/>
  <c r="BD93" i="46"/>
  <c r="CI93" i="46"/>
  <c r="CD93" i="46"/>
  <c r="O93" i="46"/>
  <c r="BT93" i="46"/>
  <c r="BM93" i="46"/>
  <c r="DH93" i="46"/>
  <c r="R93" i="46"/>
  <c r="Z93" i="46"/>
  <c r="AD93" i="46"/>
  <c r="CJ93" i="46"/>
  <c r="CR93" i="46"/>
  <c r="AX93" i="46"/>
  <c r="BR93" i="46"/>
  <c r="U93" i="46"/>
  <c r="AV93" i="46"/>
  <c r="AS93" i="46"/>
  <c r="BA93" i="46"/>
  <c r="CK93" i="46"/>
  <c r="BL93" i="46"/>
  <c r="BV93" i="46"/>
  <c r="Y93" i="46"/>
  <c r="AN93" i="46"/>
  <c r="AZ93" i="46"/>
  <c r="BE93" i="46"/>
  <c r="BP93" i="46"/>
  <c r="CP93" i="46"/>
  <c r="CM93" i="46"/>
  <c r="CE93" i="46"/>
  <c r="DC93" i="46"/>
  <c r="DG93" i="46"/>
  <c r="DL93" i="46"/>
  <c r="AV99" i="4"/>
  <c r="AT99" i="4"/>
  <c r="AG99" i="4"/>
  <c r="AH99" i="4"/>
  <c r="AJ99" i="4"/>
  <c r="AF99" i="4"/>
  <c r="AC99" i="4"/>
  <c r="V99" i="4"/>
  <c r="DS99" i="4"/>
  <c r="DQ99" i="46" s="1"/>
  <c r="CL99" i="4"/>
  <c r="DL99" i="4"/>
  <c r="BA99" i="4"/>
  <c r="BK99" i="4"/>
  <c r="DH99" i="4"/>
  <c r="R99" i="4"/>
  <c r="P99" i="4"/>
  <c r="BW99" i="4"/>
  <c r="CR99" i="4"/>
  <c r="BQ99" i="4"/>
  <c r="CS99" i="4"/>
  <c r="DJ99" i="4"/>
  <c r="EC99" i="4"/>
  <c r="BB99" i="4"/>
  <c r="DM99" i="4"/>
  <c r="AU99" i="4"/>
  <c r="AS99" i="4"/>
  <c r="AK99" i="4"/>
  <c r="AL99" i="4"/>
  <c r="DN99" i="4"/>
  <c r="AN99" i="4"/>
  <c r="AW99" i="4"/>
  <c r="AR99" i="4"/>
  <c r="AX99" i="4"/>
  <c r="Z99" i="4"/>
  <c r="AE99" i="4"/>
  <c r="Q99" i="4"/>
  <c r="Y99" i="4"/>
  <c r="CO99" i="4"/>
  <c r="CN99" i="4"/>
  <c r="DQ99" i="4"/>
  <c r="BE99" i="4"/>
  <c r="CI99" i="4"/>
  <c r="BY99" i="4"/>
  <c r="BV99" i="4"/>
  <c r="BN99" i="4"/>
  <c r="BC99" i="4"/>
  <c r="BZ99" i="4"/>
  <c r="BU99" i="4"/>
  <c r="CC99" i="4"/>
  <c r="BJ99" i="4"/>
  <c r="CH99" i="4"/>
  <c r="BH99" i="4"/>
  <c r="CF99" i="4"/>
  <c r="AM99" i="4"/>
  <c r="T99" i="4"/>
  <c r="U99" i="4"/>
  <c r="CM99" i="4"/>
  <c r="DO99" i="4"/>
  <c r="X99" i="4"/>
  <c r="BI99" i="4"/>
  <c r="BT99" i="4"/>
  <c r="CG99" i="4"/>
  <c r="BO99" i="4"/>
  <c r="AO99" i="4"/>
  <c r="W99" i="4"/>
  <c r="AQ99" i="4"/>
  <c r="DR99" i="4"/>
  <c r="DP99" i="46" s="1"/>
  <c r="CQ99" i="4"/>
  <c r="BF99" i="4"/>
  <c r="BP99" i="4"/>
  <c r="AZ99" i="4"/>
  <c r="CD99" i="4"/>
  <c r="BG99" i="4"/>
  <c r="BD99" i="4"/>
  <c r="AD99" i="4"/>
  <c r="AI99" i="4"/>
  <c r="S99" i="4"/>
  <c r="CJ99" i="4"/>
  <c r="DP99" i="4"/>
  <c r="AY99" i="4"/>
  <c r="BM99" i="4"/>
  <c r="BR99" i="4"/>
  <c r="CT99" i="4"/>
  <c r="CA99" i="4"/>
  <c r="DI99" i="4"/>
  <c r="DK99" i="4"/>
  <c r="BS99" i="4"/>
  <c r="O99" i="4"/>
  <c r="BX99" i="4"/>
  <c r="CE99" i="4"/>
  <c r="CP99" i="4"/>
  <c r="CK99" i="4"/>
  <c r="CB99" i="4"/>
  <c r="AA99" i="4"/>
  <c r="AB99" i="4"/>
  <c r="AP99" i="4"/>
  <c r="BL99" i="4"/>
  <c r="B101" i="4"/>
  <c r="A89" i="47"/>
  <c r="M100" i="4"/>
  <c r="B89" i="5"/>
  <c r="C95" i="4"/>
  <c r="C83" i="5"/>
  <c r="N94" i="4"/>
  <c r="B83" i="47"/>
  <c r="L87" i="46"/>
  <c r="C88" i="46"/>
  <c r="DF155" i="4"/>
  <c r="DF157" i="4" s="1"/>
  <c r="U94" i="46" l="1"/>
  <c r="AD94" i="46"/>
  <c r="AP94" i="46"/>
  <c r="BJ94" i="46"/>
  <c r="CM94" i="46"/>
  <c r="AR94" i="46"/>
  <c r="AC94" i="46"/>
  <c r="AG94" i="46"/>
  <c r="BS94" i="46"/>
  <c r="N94" i="46"/>
  <c r="AY94" i="46"/>
  <c r="Y94" i="46"/>
  <c r="AN94" i="46"/>
  <c r="BO94" i="46"/>
  <c r="CQ94" i="46"/>
  <c r="AW94" i="46"/>
  <c r="AV94" i="46"/>
  <c r="W94" i="46"/>
  <c r="O94" i="46"/>
  <c r="BK94" i="46"/>
  <c r="BW94" i="46"/>
  <c r="DJ94" i="46"/>
  <c r="DE94" i="46"/>
  <c r="DH94" i="46"/>
  <c r="CF94" i="46"/>
  <c r="BC94" i="46"/>
  <c r="CC94" i="46"/>
  <c r="CI94" i="46"/>
  <c r="AA94" i="46"/>
  <c r="CL94" i="46"/>
  <c r="BB94" i="46"/>
  <c r="BT94" i="46"/>
  <c r="M94" i="46"/>
  <c r="BY94" i="46"/>
  <c r="AM94" i="46"/>
  <c r="BH94" i="46"/>
  <c r="CB94" i="46"/>
  <c r="AL94" i="46"/>
  <c r="BX94" i="46"/>
  <c r="AH94" i="46"/>
  <c r="BF94" i="46"/>
  <c r="BZ94" i="46"/>
  <c r="AJ94" i="46"/>
  <c r="BL94" i="46"/>
  <c r="BQ94" i="46"/>
  <c r="CG94" i="46"/>
  <c r="AO94" i="46"/>
  <c r="AI94" i="46"/>
  <c r="DN94" i="46"/>
  <c r="DC94" i="46"/>
  <c r="DL94" i="46"/>
  <c r="S94" i="46"/>
  <c r="BM94" i="46"/>
  <c r="CO94" i="46"/>
  <c r="CP94" i="46"/>
  <c r="DK94" i="46"/>
  <c r="DO94" i="46"/>
  <c r="DM94" i="46"/>
  <c r="DG94" i="46"/>
  <c r="V94" i="46"/>
  <c r="CK94" i="46"/>
  <c r="CJ94" i="46"/>
  <c r="CN94" i="46"/>
  <c r="AS94" i="46"/>
  <c r="BI94" i="46"/>
  <c r="R94" i="46"/>
  <c r="CE94" i="46"/>
  <c r="EA94" i="46"/>
  <c r="AZ94" i="46"/>
  <c r="BR94" i="46"/>
  <c r="CR94" i="46"/>
  <c r="AX94" i="46"/>
  <c r="P94" i="46"/>
  <c r="BD94" i="46"/>
  <c r="DD94" i="46"/>
  <c r="DF94" i="46"/>
  <c r="AU94" i="46"/>
  <c r="X94" i="46"/>
  <c r="T94" i="46"/>
  <c r="BP94" i="46"/>
  <c r="BU94" i="46"/>
  <c r="AE94" i="46"/>
  <c r="BA94" i="46"/>
  <c r="Q94" i="46"/>
  <c r="BN94" i="46"/>
  <c r="CD94" i="46"/>
  <c r="AQ94" i="46"/>
  <c r="BG94" i="46"/>
  <c r="AB94" i="46"/>
  <c r="AF94" i="46"/>
  <c r="CA94" i="46"/>
  <c r="AK94" i="46"/>
  <c r="BE94" i="46"/>
  <c r="CH94" i="46"/>
  <c r="AT94" i="46"/>
  <c r="BV94" i="46"/>
  <c r="Z94" i="46"/>
  <c r="DI94" i="46"/>
  <c r="B96" i="46"/>
  <c r="K95" i="46"/>
  <c r="C84" i="5"/>
  <c r="C96" i="4"/>
  <c r="B84" i="47"/>
  <c r="N95" i="4"/>
  <c r="B102" i="4"/>
  <c r="M101" i="4"/>
  <c r="A90" i="47"/>
  <c r="B90" i="5"/>
  <c r="DM100" i="4"/>
  <c r="AS100" i="4"/>
  <c r="AT100" i="4"/>
  <c r="AJ100" i="4"/>
  <c r="AK100" i="4"/>
  <c r="U100" i="4"/>
  <c r="AH100" i="4"/>
  <c r="S100" i="4"/>
  <c r="AD100" i="4"/>
  <c r="CO100" i="4"/>
  <c r="CM100" i="4"/>
  <c r="DP100" i="4"/>
  <c r="DK100" i="4"/>
  <c r="AY100" i="4"/>
  <c r="CD100" i="4"/>
  <c r="BZ100" i="4"/>
  <c r="BQ100" i="4"/>
  <c r="BI100" i="4"/>
  <c r="BB100" i="4"/>
  <c r="AZ100" i="4"/>
  <c r="CH100" i="4"/>
  <c r="BC100" i="4"/>
  <c r="BH100" i="4"/>
  <c r="BD100" i="4"/>
  <c r="CE100" i="4"/>
  <c r="AU100" i="4"/>
  <c r="AM100" i="4"/>
  <c r="AC100" i="4"/>
  <c r="AE100" i="4"/>
  <c r="Q100" i="4"/>
  <c r="V100" i="4"/>
  <c r="Z100" i="4"/>
  <c r="DS100" i="4"/>
  <c r="DQ100" i="46" s="1"/>
  <c r="CJ100" i="4"/>
  <c r="CL100" i="4"/>
  <c r="DL100" i="4"/>
  <c r="BF100" i="4"/>
  <c r="CK100" i="4"/>
  <c r="X100" i="4"/>
  <c r="BX100" i="4"/>
  <c r="CR100" i="4"/>
  <c r="BG100" i="4"/>
  <c r="DH100" i="4"/>
  <c r="BL100" i="4"/>
  <c r="P100" i="4"/>
  <c r="O100" i="4"/>
  <c r="CC100" i="4"/>
  <c r="BW100" i="4"/>
  <c r="CB100" i="4"/>
  <c r="DN100" i="4"/>
  <c r="AN100" i="4"/>
  <c r="AR100" i="4"/>
  <c r="AX100" i="4"/>
  <c r="T100" i="4"/>
  <c r="CP100" i="4"/>
  <c r="DQ100" i="4"/>
  <c r="CI100" i="4"/>
  <c r="BO100" i="4"/>
  <c r="DJ100" i="4"/>
  <c r="R100" i="4"/>
  <c r="DI100" i="4"/>
  <c r="BR100" i="4"/>
  <c r="CF100" i="4"/>
  <c r="AW100" i="4"/>
  <c r="AF100" i="4"/>
  <c r="AP100" i="4"/>
  <c r="Y100" i="4"/>
  <c r="DO100" i="4"/>
  <c r="BK100" i="4"/>
  <c r="BV100" i="4"/>
  <c r="CS100" i="4"/>
  <c r="BY100" i="4"/>
  <c r="BS100" i="4"/>
  <c r="BP100" i="4"/>
  <c r="AV100" i="4"/>
  <c r="AQ100" i="4"/>
  <c r="AI100" i="4"/>
  <c r="AB100" i="4"/>
  <c r="CQ100" i="4"/>
  <c r="BE100" i="4"/>
  <c r="CG100" i="4"/>
  <c r="CT100" i="4"/>
  <c r="BN100" i="4"/>
  <c r="BT100" i="4"/>
  <c r="EC100" i="4"/>
  <c r="AO100" i="4"/>
  <c r="DR100" i="4"/>
  <c r="DP100" i="46" s="1"/>
  <c r="BA100" i="4"/>
  <c r="BM100" i="4"/>
  <c r="AA100" i="4"/>
  <c r="AL100" i="4"/>
  <c r="AG100" i="4"/>
  <c r="BJ100" i="4"/>
  <c r="CA100" i="4"/>
  <c r="W100" i="4"/>
  <c r="BU100" i="4"/>
  <c r="CN100" i="4"/>
  <c r="L88" i="46"/>
  <c r="C89" i="46"/>
  <c r="AA95" i="46" l="1"/>
  <c r="AF95" i="46"/>
  <c r="BR95" i="46"/>
  <c r="EA95" i="46"/>
  <c r="AZ95" i="46"/>
  <c r="Q95" i="46"/>
  <c r="CJ95" i="46"/>
  <c r="CQ95" i="46"/>
  <c r="AW95" i="46"/>
  <c r="BO95" i="46"/>
  <c r="CC95" i="46"/>
  <c r="CH95" i="46"/>
  <c r="CL95" i="46"/>
  <c r="BC95" i="46"/>
  <c r="BW95" i="46"/>
  <c r="AI95" i="46"/>
  <c r="AR95" i="46"/>
  <c r="BT95" i="46"/>
  <c r="CI95" i="46"/>
  <c r="AS95" i="46"/>
  <c r="BA95" i="46"/>
  <c r="DM95" i="46"/>
  <c r="DI95" i="46"/>
  <c r="DH95" i="46"/>
  <c r="R95" i="46"/>
  <c r="BY95" i="46"/>
  <c r="AM95" i="46"/>
  <c r="BG95" i="46"/>
  <c r="CD95" i="46"/>
  <c r="AQ95" i="46"/>
  <c r="Y95" i="46"/>
  <c r="CG95" i="46"/>
  <c r="BZ95" i="46"/>
  <c r="AJ95" i="46"/>
  <c r="BF95" i="46"/>
  <c r="V95" i="46"/>
  <c r="CF95" i="46"/>
  <c r="CO95" i="46"/>
  <c r="AT95" i="46"/>
  <c r="BL95" i="46"/>
  <c r="AC95" i="46"/>
  <c r="BJ95" i="46"/>
  <c r="M95" i="46"/>
  <c r="AG95" i="46"/>
  <c r="AB95" i="46"/>
  <c r="BU95" i="46"/>
  <c r="DJ95" i="46"/>
  <c r="DF95" i="46"/>
  <c r="DL95" i="46"/>
  <c r="DO95" i="46"/>
  <c r="AD95" i="46"/>
  <c r="BQ95" i="46"/>
  <c r="AN95" i="46"/>
  <c r="AY95" i="46"/>
  <c r="BS95" i="46"/>
  <c r="N95" i="46"/>
  <c r="P95" i="46"/>
  <c r="AO95" i="46"/>
  <c r="BM95" i="46"/>
  <c r="CR95" i="46"/>
  <c r="AX95" i="46"/>
  <c r="X95" i="46"/>
  <c r="BN95" i="46"/>
  <c r="BV95" i="46"/>
  <c r="O95" i="46"/>
  <c r="BD95" i="46"/>
  <c r="CE95" i="46"/>
  <c r="T95" i="46"/>
  <c r="BB95" i="46"/>
  <c r="BI95" i="46"/>
  <c r="AH95" i="46"/>
  <c r="DD95" i="46"/>
  <c r="DN95" i="46"/>
  <c r="DK95" i="46"/>
  <c r="W95" i="46"/>
  <c r="CK95" i="46"/>
  <c r="CB95" i="46"/>
  <c r="AL95" i="46"/>
  <c r="BH95" i="46"/>
  <c r="S95" i="46"/>
  <c r="BX95" i="46"/>
  <c r="AV95" i="46"/>
  <c r="BE95" i="46"/>
  <c r="CA95" i="46"/>
  <c r="AK95" i="46"/>
  <c r="U95" i="46"/>
  <c r="AP95" i="46"/>
  <c r="BK95" i="46"/>
  <c r="CP95" i="46"/>
  <c r="AU95" i="46"/>
  <c r="CM95" i="46"/>
  <c r="BP95" i="46"/>
  <c r="Z95" i="46"/>
  <c r="CN95" i="46"/>
  <c r="AE95" i="46"/>
  <c r="DG95" i="46"/>
  <c r="DE95" i="46"/>
  <c r="DC95" i="46"/>
  <c r="K96" i="46"/>
  <c r="B97" i="46"/>
  <c r="AV101" i="4"/>
  <c r="AO101" i="4"/>
  <c r="AE101" i="4"/>
  <c r="AJ101" i="4"/>
  <c r="AX101" i="4"/>
  <c r="AL101" i="4"/>
  <c r="AD101" i="4"/>
  <c r="U101" i="4"/>
  <c r="DR101" i="4"/>
  <c r="DP101" i="46" s="1"/>
  <c r="CQ101" i="4"/>
  <c r="DK101" i="4"/>
  <c r="BA101" i="4"/>
  <c r="BK101" i="4"/>
  <c r="BY101" i="4"/>
  <c r="BZ101" i="4"/>
  <c r="CS101" i="4"/>
  <c r="BS101" i="4"/>
  <c r="BI101" i="4"/>
  <c r="BV101" i="4"/>
  <c r="R101" i="4"/>
  <c r="AA101" i="4"/>
  <c r="CR101" i="4"/>
  <c r="BC101" i="4"/>
  <c r="BU101" i="4"/>
  <c r="DM101" i="4"/>
  <c r="AW101" i="4"/>
  <c r="AN101" i="4"/>
  <c r="AI101" i="4"/>
  <c r="AQ101" i="4"/>
  <c r="V101" i="4"/>
  <c r="T101" i="4"/>
  <c r="AG101" i="4"/>
  <c r="AC101" i="4"/>
  <c r="CO101" i="4"/>
  <c r="CM101" i="4"/>
  <c r="DP101" i="4"/>
  <c r="DL101" i="4"/>
  <c r="AY101" i="4"/>
  <c r="BP101" i="4"/>
  <c r="BT101" i="4"/>
  <c r="AZ101" i="4"/>
  <c r="BQ101" i="4"/>
  <c r="BR101" i="4"/>
  <c r="X101" i="4"/>
  <c r="DH101" i="4"/>
  <c r="BG101" i="4"/>
  <c r="BM101" i="4"/>
  <c r="CT101" i="4"/>
  <c r="DN101" i="4"/>
  <c r="AT101" i="4"/>
  <c r="AM101" i="4"/>
  <c r="AP101" i="4"/>
  <c r="AB101" i="4"/>
  <c r="Z101" i="4"/>
  <c r="AR101" i="4"/>
  <c r="S101" i="4"/>
  <c r="Q101" i="4"/>
  <c r="CP101" i="4"/>
  <c r="CN101" i="4"/>
  <c r="DQ101" i="4"/>
  <c r="BE101" i="4"/>
  <c r="CI101" i="4"/>
  <c r="P101" i="4"/>
  <c r="BX101" i="4"/>
  <c r="BO101" i="4"/>
  <c r="CD101" i="4"/>
  <c r="CA101" i="4"/>
  <c r="CC101" i="4"/>
  <c r="CB101" i="4"/>
  <c r="BL101" i="4"/>
  <c r="DI101" i="4"/>
  <c r="O101" i="4"/>
  <c r="AS101" i="4"/>
  <c r="W101" i="4"/>
  <c r="DS101" i="4"/>
  <c r="DQ101" i="46" s="1"/>
  <c r="BF101" i="4"/>
  <c r="CG101" i="4"/>
  <c r="EC101" i="4"/>
  <c r="BB101" i="4"/>
  <c r="Y101" i="4"/>
  <c r="BW101" i="4"/>
  <c r="AU101" i="4"/>
  <c r="AK101" i="4"/>
  <c r="CJ101" i="4"/>
  <c r="CK101" i="4"/>
  <c r="BN101" i="4"/>
  <c r="BJ101" i="4"/>
  <c r="AF101" i="4"/>
  <c r="CL101" i="4"/>
  <c r="BH101" i="4"/>
  <c r="CH101" i="4"/>
  <c r="AH101" i="4"/>
  <c r="DJ101" i="4"/>
  <c r="CF101" i="4"/>
  <c r="CE101" i="4"/>
  <c r="DO101" i="4"/>
  <c r="BD101" i="4"/>
  <c r="N96" i="4"/>
  <c r="C85" i="5"/>
  <c r="C97" i="4"/>
  <c r="B85" i="47"/>
  <c r="B103" i="4"/>
  <c r="A91" i="47"/>
  <c r="M102" i="4"/>
  <c r="B91" i="5"/>
  <c r="L89" i="46"/>
  <c r="C90" i="46"/>
  <c r="K97" i="46" l="1"/>
  <c r="B98" i="46"/>
  <c r="V96" i="46"/>
  <c r="CE96" i="46"/>
  <c r="CR96" i="46"/>
  <c r="AX96" i="46"/>
  <c r="BM96" i="46"/>
  <c r="T96" i="46"/>
  <c r="CI96" i="46"/>
  <c r="BV96" i="46"/>
  <c r="O96" i="46"/>
  <c r="Y96" i="46"/>
  <c r="BU96" i="46"/>
  <c r="BA96" i="46"/>
  <c r="CB96" i="46"/>
  <c r="CD96" i="46"/>
  <c r="DM96" i="46"/>
  <c r="DH96" i="46"/>
  <c r="BP96" i="46"/>
  <c r="CA96" i="46"/>
  <c r="BE96" i="46"/>
  <c r="CK96" i="46"/>
  <c r="AU96" i="46"/>
  <c r="BY96" i="46"/>
  <c r="BJ96" i="46"/>
  <c r="AR96" i="46"/>
  <c r="Q96" i="46"/>
  <c r="AQ96" i="46"/>
  <c r="DI96" i="46"/>
  <c r="U96" i="46"/>
  <c r="AP96" i="46"/>
  <c r="BO96" i="46"/>
  <c r="CQ96" i="46"/>
  <c r="AW96" i="46"/>
  <c r="AB96" i="46"/>
  <c r="BN96" i="46"/>
  <c r="BW96" i="46"/>
  <c r="AI96" i="46"/>
  <c r="BC96" i="46"/>
  <c r="AD96" i="46"/>
  <c r="BQ96" i="46"/>
  <c r="AV96" i="46"/>
  <c r="BB96" i="46"/>
  <c r="BT96" i="46"/>
  <c r="M96" i="46"/>
  <c r="BS96" i="46"/>
  <c r="CL96" i="46"/>
  <c r="AA96" i="46"/>
  <c r="BR96" i="46"/>
  <c r="BG96" i="46"/>
  <c r="DC96" i="46"/>
  <c r="DE96" i="46"/>
  <c r="DK96" i="46"/>
  <c r="BD96" i="46"/>
  <c r="AF96" i="46"/>
  <c r="AE96" i="46"/>
  <c r="AY96" i="46"/>
  <c r="EA96" i="46"/>
  <c r="DD96" i="46"/>
  <c r="X96" i="46"/>
  <c r="AK96" i="46"/>
  <c r="Z96" i="46"/>
  <c r="CP96" i="46"/>
  <c r="BK96" i="46"/>
  <c r="AH96" i="46"/>
  <c r="CM96" i="46"/>
  <c r="AO96" i="46"/>
  <c r="AL96" i="46"/>
  <c r="AZ96" i="46"/>
  <c r="DF96" i="46"/>
  <c r="CC96" i="46"/>
  <c r="CH96" i="46"/>
  <c r="AG96" i="46"/>
  <c r="BF96" i="46"/>
  <c r="BZ96" i="46"/>
  <c r="AJ96" i="46"/>
  <c r="AC96" i="46"/>
  <c r="AN96" i="46"/>
  <c r="BL96" i="46"/>
  <c r="CO96" i="46"/>
  <c r="AT96" i="46"/>
  <c r="P96" i="46"/>
  <c r="CF96" i="46"/>
  <c r="CN96" i="46"/>
  <c r="AS96" i="46"/>
  <c r="BI96" i="46"/>
  <c r="S96" i="46"/>
  <c r="N96" i="46"/>
  <c r="BH96" i="46"/>
  <c r="CJ96" i="46"/>
  <c r="W96" i="46"/>
  <c r="CG96" i="46"/>
  <c r="DN96" i="46"/>
  <c r="DJ96" i="46"/>
  <c r="DL96" i="46"/>
  <c r="AM96" i="46"/>
  <c r="BX96" i="46"/>
  <c r="DO96" i="46"/>
  <c r="R96" i="46"/>
  <c r="DG96" i="46"/>
  <c r="DM102" i="4"/>
  <c r="AU102" i="4"/>
  <c r="AN102" i="4"/>
  <c r="AH102" i="4"/>
  <c r="AE102" i="4"/>
  <c r="AB102" i="4"/>
  <c r="W102" i="4"/>
  <c r="Y102" i="4"/>
  <c r="AJ102" i="4"/>
  <c r="CO102" i="4"/>
  <c r="CM102" i="4"/>
  <c r="DP102" i="4"/>
  <c r="DO102" i="4"/>
  <c r="AY102" i="4"/>
  <c r="O102" i="4"/>
  <c r="CT102" i="4"/>
  <c r="X102" i="4"/>
  <c r="BM102" i="4"/>
  <c r="BZ102" i="4"/>
  <c r="BI102" i="4"/>
  <c r="AA102" i="4"/>
  <c r="BV102" i="4"/>
  <c r="CR102" i="4"/>
  <c r="AZ102" i="4"/>
  <c r="DN102" i="4"/>
  <c r="AT102" i="4"/>
  <c r="AO102" i="4"/>
  <c r="AL102" i="4"/>
  <c r="AI102" i="4"/>
  <c r="Q102" i="4"/>
  <c r="AF102" i="4"/>
  <c r="S102" i="4"/>
  <c r="V102" i="4"/>
  <c r="CJ102" i="4"/>
  <c r="CL102" i="4"/>
  <c r="DQ102" i="4"/>
  <c r="BE102" i="4"/>
  <c r="CI102" i="4"/>
  <c r="BD102" i="4"/>
  <c r="BR102" i="4"/>
  <c r="BS102" i="4"/>
  <c r="BC102" i="4"/>
  <c r="BY102" i="4"/>
  <c r="BQ102" i="4"/>
  <c r="CS102" i="4"/>
  <c r="CA102" i="4"/>
  <c r="BN102" i="4"/>
  <c r="BO102" i="4"/>
  <c r="BB102" i="4"/>
  <c r="CE102" i="4"/>
  <c r="AM102" i="4"/>
  <c r="AS102" i="4"/>
  <c r="AX102" i="4"/>
  <c r="AP102" i="4"/>
  <c r="AR102" i="4"/>
  <c r="AQ102" i="4"/>
  <c r="AG102" i="4"/>
  <c r="DR102" i="4"/>
  <c r="DP102" i="46" s="1"/>
  <c r="CP102" i="4"/>
  <c r="CQ102" i="4"/>
  <c r="DK102" i="4"/>
  <c r="BA102" i="4"/>
  <c r="CK102" i="4"/>
  <c r="P102" i="4"/>
  <c r="BT102" i="4"/>
  <c r="CF102" i="4"/>
  <c r="BG102" i="4"/>
  <c r="EC102" i="4"/>
  <c r="CH102" i="4"/>
  <c r="BU102" i="4"/>
  <c r="CB102" i="4"/>
  <c r="BJ102" i="4"/>
  <c r="DJ102" i="4"/>
  <c r="CD102" i="4"/>
  <c r="AD102" i="4"/>
  <c r="T102" i="4"/>
  <c r="BK102" i="4"/>
  <c r="DI102" i="4"/>
  <c r="CC102" i="4"/>
  <c r="AW102" i="4"/>
  <c r="DL102" i="4"/>
  <c r="CG102" i="4"/>
  <c r="DH102" i="4"/>
  <c r="AC102" i="4"/>
  <c r="U102" i="4"/>
  <c r="CN102" i="4"/>
  <c r="BP102" i="4"/>
  <c r="BH102" i="4"/>
  <c r="AK102" i="4"/>
  <c r="BW102" i="4"/>
  <c r="Z102" i="4"/>
  <c r="R102" i="4"/>
  <c r="DS102" i="4"/>
  <c r="DQ102" i="46" s="1"/>
  <c r="BX102" i="4"/>
  <c r="AV102" i="4"/>
  <c r="BF102" i="4"/>
  <c r="BL102" i="4"/>
  <c r="C86" i="5"/>
  <c r="N97" i="4"/>
  <c r="C98" i="4"/>
  <c r="B86" i="47"/>
  <c r="B104" i="4"/>
  <c r="A92" i="47"/>
  <c r="M103" i="4"/>
  <c r="B92" i="5"/>
  <c r="C91" i="46"/>
  <c r="L90" i="46"/>
  <c r="B99" i="46" l="1"/>
  <c r="K98" i="46"/>
  <c r="AD97" i="46"/>
  <c r="BQ97" i="46"/>
  <c r="AG97" i="46"/>
  <c r="BC97" i="46"/>
  <c r="BW97" i="46"/>
  <c r="AI97" i="46"/>
  <c r="AA97" i="46"/>
  <c r="AO97" i="46"/>
  <c r="BI97" i="46"/>
  <c r="CN97" i="46"/>
  <c r="AS97" i="46"/>
  <c r="X97" i="46"/>
  <c r="BP97" i="46"/>
  <c r="BR97" i="46"/>
  <c r="EA97" i="46"/>
  <c r="AZ97" i="46"/>
  <c r="AP97" i="46"/>
  <c r="AC97" i="46"/>
  <c r="BO97" i="46"/>
  <c r="AJ97" i="46"/>
  <c r="CH97" i="46"/>
  <c r="DD97" i="46"/>
  <c r="DE97" i="46"/>
  <c r="DM97" i="46"/>
  <c r="DO97" i="46"/>
  <c r="BE97" i="46"/>
  <c r="DG97" i="46"/>
  <c r="P97" i="46"/>
  <c r="O97" i="46"/>
  <c r="Q97" i="46"/>
  <c r="CJ97" i="46"/>
  <c r="BJ97" i="46"/>
  <c r="CC97" i="46"/>
  <c r="AY97" i="46"/>
  <c r="N97" i="46"/>
  <c r="BN97" i="46"/>
  <c r="DC97" i="46"/>
  <c r="DI97" i="46"/>
  <c r="AB97" i="46"/>
  <c r="AW97" i="46"/>
  <c r="DF97" i="46"/>
  <c r="DL97" i="46"/>
  <c r="W97" i="46"/>
  <c r="CG97" i="46"/>
  <c r="CO97" i="46"/>
  <c r="AT97" i="46"/>
  <c r="BL97" i="46"/>
  <c r="R97" i="46"/>
  <c r="BX97" i="46"/>
  <c r="CL97" i="46"/>
  <c r="BA97" i="46"/>
  <c r="BU97" i="46"/>
  <c r="AE97" i="46"/>
  <c r="U97" i="46"/>
  <c r="AM97" i="46"/>
  <c r="BG97" i="46"/>
  <c r="CD97" i="46"/>
  <c r="AQ97" i="46"/>
  <c r="CF97" i="46"/>
  <c r="S97" i="46"/>
  <c r="BF97" i="46"/>
  <c r="Z97" i="46"/>
  <c r="DH97" i="46"/>
  <c r="DK97" i="46"/>
  <c r="BV97" i="46"/>
  <c r="CM97" i="46"/>
  <c r="CI97" i="46"/>
  <c r="BS97" i="46"/>
  <c r="CA97" i="46"/>
  <c r="CR97" i="46"/>
  <c r="DN97" i="46"/>
  <c r="BM97" i="46"/>
  <c r="AF97" i="46"/>
  <c r="BD97" i="46"/>
  <c r="AR97" i="46"/>
  <c r="AV97" i="46"/>
  <c r="CQ97" i="46"/>
  <c r="AH97" i="46"/>
  <c r="BZ97" i="46"/>
  <c r="T97" i="46"/>
  <c r="BY97" i="46"/>
  <c r="AN97" i="46"/>
  <c r="BK97" i="46"/>
  <c r="CP97" i="46"/>
  <c r="AU97" i="46"/>
  <c r="Y97" i="46"/>
  <c r="CK97" i="46"/>
  <c r="BT97" i="46"/>
  <c r="M97" i="46"/>
  <c r="BB97" i="46"/>
  <c r="V97" i="46"/>
  <c r="CE97" i="46"/>
  <c r="CB97" i="46"/>
  <c r="AL97" i="46"/>
  <c r="BH97" i="46"/>
  <c r="AK97" i="46"/>
  <c r="AX97" i="46"/>
  <c r="DJ97" i="46"/>
  <c r="C99" i="4"/>
  <c r="N98" i="4"/>
  <c r="B87" i="47"/>
  <c r="C87" i="5"/>
  <c r="DN103" i="4"/>
  <c r="AT103" i="4"/>
  <c r="AM103" i="4"/>
  <c r="AR103" i="4"/>
  <c r="AX103" i="4"/>
  <c r="T103" i="4"/>
  <c r="AE103" i="4"/>
  <c r="Q103" i="4"/>
  <c r="S103" i="4"/>
  <c r="CO103" i="4"/>
  <c r="CN103" i="4"/>
  <c r="DQ103" i="4"/>
  <c r="BE103" i="4"/>
  <c r="CI103" i="4"/>
  <c r="DH103" i="4"/>
  <c r="BW103" i="4"/>
  <c r="O103" i="4"/>
  <c r="X103" i="4"/>
  <c r="CG103" i="4"/>
  <c r="BZ103" i="4"/>
  <c r="P103" i="4"/>
  <c r="DI103" i="4"/>
  <c r="DJ103" i="4"/>
  <c r="BY103" i="4"/>
  <c r="BX103" i="4"/>
  <c r="CE103" i="4"/>
  <c r="AN103" i="4"/>
  <c r="AO103" i="4"/>
  <c r="AD103" i="4"/>
  <c r="AB103" i="4"/>
  <c r="Z103" i="4"/>
  <c r="AI103" i="4"/>
  <c r="AJ103" i="4"/>
  <c r="DR103" i="4"/>
  <c r="DP103" i="46" s="1"/>
  <c r="CP103" i="4"/>
  <c r="CQ103" i="4"/>
  <c r="DK103" i="4"/>
  <c r="BF103" i="4"/>
  <c r="CK103" i="4"/>
  <c r="BM103" i="4"/>
  <c r="BB103" i="4"/>
  <c r="AZ103" i="4"/>
  <c r="CB103" i="4"/>
  <c r="AA103" i="4"/>
  <c r="CA103" i="4"/>
  <c r="EC103" i="4"/>
  <c r="BC103" i="4"/>
  <c r="BO103" i="4"/>
  <c r="CR103" i="4"/>
  <c r="CT103" i="4"/>
  <c r="AV103" i="4"/>
  <c r="AW103" i="4"/>
  <c r="AG103" i="4"/>
  <c r="AH103" i="4"/>
  <c r="AF103" i="4"/>
  <c r="W103" i="4"/>
  <c r="AC103" i="4"/>
  <c r="AP103" i="4"/>
  <c r="DS103" i="4"/>
  <c r="DQ103" i="46" s="1"/>
  <c r="CL103" i="4"/>
  <c r="DL103" i="4"/>
  <c r="BA103" i="4"/>
  <c r="BK103" i="4"/>
  <c r="CF103" i="4"/>
  <c r="BN103" i="4"/>
  <c r="BS103" i="4"/>
  <c r="BJ103" i="4"/>
  <c r="BI103" i="4"/>
  <c r="CS103" i="4"/>
  <c r="BH103" i="4"/>
  <c r="R103" i="4"/>
  <c r="BR103" i="4"/>
  <c r="CC103" i="4"/>
  <c r="DM103" i="4"/>
  <c r="AL103" i="4"/>
  <c r="Y103" i="4"/>
  <c r="DP103" i="4"/>
  <c r="BV103" i="4"/>
  <c r="BL103" i="4"/>
  <c r="AS103" i="4"/>
  <c r="CJ103" i="4"/>
  <c r="BQ103" i="4"/>
  <c r="AU103" i="4"/>
  <c r="AQ103" i="4"/>
  <c r="DO103" i="4"/>
  <c r="BD103" i="4"/>
  <c r="BP103" i="4"/>
  <c r="BG103" i="4"/>
  <c r="V103" i="4"/>
  <c r="AY103" i="4"/>
  <c r="CD103" i="4"/>
  <c r="BU103" i="4"/>
  <c r="U103" i="4"/>
  <c r="BT103" i="4"/>
  <c r="CM103" i="4"/>
  <c r="AK103" i="4"/>
  <c r="CH103" i="4"/>
  <c r="B105" i="4"/>
  <c r="A93" i="47"/>
  <c r="B93" i="5"/>
  <c r="M104" i="4"/>
  <c r="L91" i="46"/>
  <c r="C92" i="46"/>
  <c r="AC98" i="46" l="1"/>
  <c r="AP98" i="46"/>
  <c r="BO98" i="46"/>
  <c r="CQ98" i="46"/>
  <c r="AW98" i="46"/>
  <c r="P98" i="46"/>
  <c r="BP98" i="46"/>
  <c r="BW98" i="46"/>
  <c r="AI98" i="46"/>
  <c r="BC98" i="46"/>
  <c r="Q98" i="46"/>
  <c r="BQ98" i="46"/>
  <c r="CL98" i="46"/>
  <c r="BB98" i="46"/>
  <c r="BT98" i="46"/>
  <c r="M98" i="46"/>
  <c r="AQ98" i="46"/>
  <c r="AO98" i="46"/>
  <c r="X98" i="46"/>
  <c r="AL98" i="46"/>
  <c r="BR98" i="46"/>
  <c r="DI98" i="46"/>
  <c r="DM98" i="46"/>
  <c r="DH98" i="46"/>
  <c r="AJ98" i="46"/>
  <c r="AT98" i="46"/>
  <c r="CE98" i="46"/>
  <c r="AS98" i="46"/>
  <c r="AD98" i="46"/>
  <c r="BG98" i="46"/>
  <c r="AM98" i="46"/>
  <c r="U98" i="46"/>
  <c r="DN98" i="46"/>
  <c r="DL98" i="46"/>
  <c r="O98" i="46"/>
  <c r="BA98" i="46"/>
  <c r="N98" i="46"/>
  <c r="DD98" i="46"/>
  <c r="DO98" i="46"/>
  <c r="DC98" i="46"/>
  <c r="CC98" i="46"/>
  <c r="CH98" i="46"/>
  <c r="AH98" i="46"/>
  <c r="BF98" i="46"/>
  <c r="BZ98" i="46"/>
  <c r="Y98" i="46"/>
  <c r="AG98" i="46"/>
  <c r="BL98" i="46"/>
  <c r="CO98" i="46"/>
  <c r="AA98" i="46"/>
  <c r="CN98" i="46"/>
  <c r="BI98" i="46"/>
  <c r="BS98" i="46"/>
  <c r="EA98" i="46"/>
  <c r="DK98" i="46"/>
  <c r="AF98" i="46"/>
  <c r="CG98" i="46"/>
  <c r="BH98" i="46"/>
  <c r="DF98" i="46"/>
  <c r="V98" i="46"/>
  <c r="CF98" i="46"/>
  <c r="CR98" i="46"/>
  <c r="AX98" i="46"/>
  <c r="BM98" i="46"/>
  <c r="S98" i="46"/>
  <c r="CI98" i="46"/>
  <c r="AV98" i="46"/>
  <c r="BD98" i="46"/>
  <c r="BV98" i="46"/>
  <c r="W98" i="46"/>
  <c r="BU98" i="46"/>
  <c r="AE98" i="46"/>
  <c r="R98" i="46"/>
  <c r="CJ98" i="46"/>
  <c r="DJ98" i="46"/>
  <c r="AB98" i="46"/>
  <c r="BN98" i="46"/>
  <c r="CA98" i="46"/>
  <c r="AK98" i="46"/>
  <c r="BE98" i="46"/>
  <c r="Z98" i="46"/>
  <c r="CK98" i="46"/>
  <c r="CP98" i="46"/>
  <c r="AU98" i="46"/>
  <c r="BK98" i="46"/>
  <c r="T98" i="46"/>
  <c r="BY98" i="46"/>
  <c r="AN98" i="46"/>
  <c r="BJ98" i="46"/>
  <c r="CM98" i="46"/>
  <c r="AR98" i="46"/>
  <c r="CD98" i="46"/>
  <c r="BX98" i="46"/>
  <c r="AY98" i="46"/>
  <c r="CB98" i="46"/>
  <c r="AZ98" i="46"/>
  <c r="DE98" i="46"/>
  <c r="DG98" i="46"/>
  <c r="K99" i="46"/>
  <c r="B100" i="46"/>
  <c r="B106" i="4"/>
  <c r="M105" i="4"/>
  <c r="B94" i="5"/>
  <c r="A94" i="47"/>
  <c r="CE104" i="4"/>
  <c r="AO104" i="4"/>
  <c r="AT104" i="4"/>
  <c r="AC104" i="4"/>
  <c r="AI104" i="4"/>
  <c r="AH104" i="4"/>
  <c r="Y104" i="4"/>
  <c r="W104" i="4"/>
  <c r="DS104" i="4"/>
  <c r="DQ104" i="46" s="1"/>
  <c r="CJ104" i="4"/>
  <c r="CL104" i="4"/>
  <c r="DL104" i="4"/>
  <c r="BF104" i="4"/>
  <c r="CK104" i="4"/>
  <c r="CS104" i="4"/>
  <c r="DI104" i="4"/>
  <c r="DH104" i="4"/>
  <c r="BY104" i="4"/>
  <c r="BI104" i="4"/>
  <c r="X104" i="4"/>
  <c r="BL104" i="4"/>
  <c r="BZ104" i="4"/>
  <c r="DJ104" i="4"/>
  <c r="BO104" i="4"/>
  <c r="BM104" i="4"/>
  <c r="AW104" i="4"/>
  <c r="AN104" i="4"/>
  <c r="AF104" i="4"/>
  <c r="AG104" i="4"/>
  <c r="U104" i="4"/>
  <c r="AD104" i="4"/>
  <c r="S104" i="4"/>
  <c r="Q104" i="4"/>
  <c r="DR104" i="4"/>
  <c r="DP104" i="46" s="1"/>
  <c r="CN104" i="4"/>
  <c r="DO104" i="4"/>
  <c r="BA104" i="4"/>
  <c r="BK104" i="4"/>
  <c r="BU104" i="4"/>
  <c r="BJ104" i="4"/>
  <c r="BR104" i="4"/>
  <c r="BB104" i="4"/>
  <c r="BT104" i="4"/>
  <c r="CC104" i="4"/>
  <c r="BX104" i="4"/>
  <c r="P104" i="4"/>
  <c r="CF104" i="4"/>
  <c r="CH104" i="4"/>
  <c r="DM104" i="4"/>
  <c r="AS104" i="4"/>
  <c r="AU104" i="4"/>
  <c r="AJ104" i="4"/>
  <c r="AK104" i="4"/>
  <c r="AE104" i="4"/>
  <c r="AL104" i="4"/>
  <c r="AP104" i="4"/>
  <c r="AX104" i="4"/>
  <c r="CO104" i="4"/>
  <c r="CM104" i="4"/>
  <c r="DP104" i="4"/>
  <c r="DK104" i="4"/>
  <c r="AY104" i="4"/>
  <c r="BG104" i="4"/>
  <c r="BS104" i="4"/>
  <c r="BD104" i="4"/>
  <c r="CR104" i="4"/>
  <c r="CT104" i="4"/>
  <c r="CG104" i="4"/>
  <c r="CD104" i="4"/>
  <c r="CA104" i="4"/>
  <c r="BV104" i="4"/>
  <c r="BC104" i="4"/>
  <c r="AV104" i="4"/>
  <c r="AB104" i="4"/>
  <c r="BE104" i="4"/>
  <c r="BP104" i="4"/>
  <c r="AZ104" i="4"/>
  <c r="R104" i="4"/>
  <c r="Z104" i="4"/>
  <c r="CQ104" i="4"/>
  <c r="BH104" i="4"/>
  <c r="AM104" i="4"/>
  <c r="V104" i="4"/>
  <c r="CP104" i="4"/>
  <c r="CI104" i="4"/>
  <c r="CB104" i="4"/>
  <c r="AA104" i="4"/>
  <c r="O104" i="4"/>
  <c r="AQ104" i="4"/>
  <c r="BQ104" i="4"/>
  <c r="T104" i="4"/>
  <c r="EC104" i="4"/>
  <c r="DN104" i="4"/>
  <c r="DQ104" i="4"/>
  <c r="BN104" i="4"/>
  <c r="AR104" i="4"/>
  <c r="BW104" i="4"/>
  <c r="C100" i="4"/>
  <c r="C88" i="5"/>
  <c r="N99" i="4"/>
  <c r="B88" i="47"/>
  <c r="L92" i="46"/>
  <c r="C93" i="46"/>
  <c r="AB99" i="46" l="1"/>
  <c r="BQ99" i="46"/>
  <c r="AH99" i="46"/>
  <c r="BE99" i="46"/>
  <c r="BW99" i="46"/>
  <c r="AI99" i="46"/>
  <c r="AC99" i="46"/>
  <c r="AN99" i="46"/>
  <c r="BK99" i="46"/>
  <c r="CN99" i="46"/>
  <c r="AS99" i="46"/>
  <c r="Z99" i="46"/>
  <c r="BP99" i="46"/>
  <c r="BT99" i="46"/>
  <c r="M99" i="46"/>
  <c r="AZ99" i="46"/>
  <c r="CH99" i="46"/>
  <c r="AX99" i="46"/>
  <c r="CA99" i="46"/>
  <c r="EA99" i="46"/>
  <c r="S99" i="46"/>
  <c r="DD99" i="46"/>
  <c r="DK99" i="46"/>
  <c r="DM99" i="46"/>
  <c r="DO99" i="46"/>
  <c r="BS99" i="46"/>
  <c r="CL99" i="46"/>
  <c r="BO99" i="46"/>
  <c r="DN99" i="46"/>
  <c r="DJ99" i="46"/>
  <c r="AM99" i="46"/>
  <c r="CP99" i="46"/>
  <c r="P99" i="46"/>
  <c r="BV99" i="46"/>
  <c r="BB99" i="46"/>
  <c r="CK99" i="46"/>
  <c r="AR99" i="46"/>
  <c r="X99" i="46"/>
  <c r="BG99" i="46"/>
  <c r="CB99" i="46"/>
  <c r="DF99" i="46"/>
  <c r="DL99" i="46"/>
  <c r="AA99" i="46"/>
  <c r="CF99" i="46"/>
  <c r="CQ99" i="46"/>
  <c r="AW99" i="46"/>
  <c r="BL99" i="46"/>
  <c r="R99" i="46"/>
  <c r="BX99" i="46"/>
  <c r="AG99" i="46"/>
  <c r="BC99" i="46"/>
  <c r="BU99" i="46"/>
  <c r="AE99" i="46"/>
  <c r="Y99" i="46"/>
  <c r="AP99" i="46"/>
  <c r="BI99" i="46"/>
  <c r="CD99" i="46"/>
  <c r="AQ99" i="46"/>
  <c r="AO99" i="46"/>
  <c r="V99" i="46"/>
  <c r="AK99" i="46"/>
  <c r="AY99" i="46"/>
  <c r="BF99" i="46"/>
  <c r="DC99" i="46"/>
  <c r="DE99" i="46"/>
  <c r="DI99" i="46"/>
  <c r="BA99" i="46"/>
  <c r="T99" i="46"/>
  <c r="BY99" i="46"/>
  <c r="W99" i="46"/>
  <c r="AF99" i="46"/>
  <c r="BZ99" i="46"/>
  <c r="AJ99" i="46"/>
  <c r="BD99" i="46"/>
  <c r="U99" i="46"/>
  <c r="CJ99" i="46"/>
  <c r="CO99" i="46"/>
  <c r="AT99" i="46"/>
  <c r="BJ99" i="46"/>
  <c r="CC99" i="46"/>
  <c r="CI99" i="46"/>
  <c r="AV99" i="46"/>
  <c r="N99" i="46"/>
  <c r="BR99" i="46"/>
  <c r="AD99" i="46"/>
  <c r="AL99" i="46"/>
  <c r="DH99" i="46"/>
  <c r="BM99" i="46"/>
  <c r="AU99" i="46"/>
  <c r="CE99" i="46"/>
  <c r="O99" i="46"/>
  <c r="Q99" i="46"/>
  <c r="CM99" i="46"/>
  <c r="BH99" i="46"/>
  <c r="CR99" i="46"/>
  <c r="CG99" i="46"/>
  <c r="BN99" i="46"/>
  <c r="DG99" i="46"/>
  <c r="B101" i="46"/>
  <c r="K100" i="46"/>
  <c r="AV105" i="4"/>
  <c r="AU105" i="4"/>
  <c r="AI105" i="4"/>
  <c r="AJ105" i="4"/>
  <c r="AL105" i="4"/>
  <c r="AH105" i="4"/>
  <c r="AX105" i="4"/>
  <c r="Q105" i="4"/>
  <c r="DR105" i="4"/>
  <c r="DP105" i="46" s="1"/>
  <c r="CQ105" i="4"/>
  <c r="DK105" i="4"/>
  <c r="BA105" i="4"/>
  <c r="BK105" i="4"/>
  <c r="BU105" i="4"/>
  <c r="BJ105" i="4"/>
  <c r="P105" i="4"/>
  <c r="CG105" i="4"/>
  <c r="AZ105" i="4"/>
  <c r="DI105" i="4"/>
  <c r="BW105" i="4"/>
  <c r="BZ105" i="4"/>
  <c r="CD105" i="4"/>
  <c r="R105" i="4"/>
  <c r="BP105" i="4"/>
  <c r="DM105" i="4"/>
  <c r="AW105" i="4"/>
  <c r="AO105" i="4"/>
  <c r="AP105" i="4"/>
  <c r="AQ105" i="4"/>
  <c r="V105" i="4"/>
  <c r="AK105" i="4"/>
  <c r="T105" i="4"/>
  <c r="Y105" i="4"/>
  <c r="CO105" i="4"/>
  <c r="CM105" i="4"/>
  <c r="DP105" i="4"/>
  <c r="DL105" i="4"/>
  <c r="AY105" i="4"/>
  <c r="BL105" i="4"/>
  <c r="CC105" i="4"/>
  <c r="BQ105" i="4"/>
  <c r="BR105" i="4"/>
  <c r="AA105" i="4"/>
  <c r="BN105" i="4"/>
  <c r="CA105" i="4"/>
  <c r="CH105" i="4"/>
  <c r="CT105" i="4"/>
  <c r="BG105" i="4"/>
  <c r="DN105" i="4"/>
  <c r="AT105" i="4"/>
  <c r="AN105" i="4"/>
  <c r="AM105" i="4"/>
  <c r="AB105" i="4"/>
  <c r="Z105" i="4"/>
  <c r="AG105" i="4"/>
  <c r="AC105" i="4"/>
  <c r="S105" i="4"/>
  <c r="CP105" i="4"/>
  <c r="CN105" i="4"/>
  <c r="DQ105" i="4"/>
  <c r="BE105" i="4"/>
  <c r="CI105" i="4"/>
  <c r="BB105" i="4"/>
  <c r="BM105" i="4"/>
  <c r="BY105" i="4"/>
  <c r="EC105" i="4"/>
  <c r="BH105" i="4"/>
  <c r="BO105" i="4"/>
  <c r="AE105" i="4"/>
  <c r="AR105" i="4"/>
  <c r="CJ105" i="4"/>
  <c r="CK105" i="4"/>
  <c r="BI105" i="4"/>
  <c r="CB105" i="4"/>
  <c r="BV105" i="4"/>
  <c r="AD105" i="4"/>
  <c r="X105" i="4"/>
  <c r="AF105" i="4"/>
  <c r="U105" i="4"/>
  <c r="CL105" i="4"/>
  <c r="CR105" i="4"/>
  <c r="BS105" i="4"/>
  <c r="O105" i="4"/>
  <c r="BC105" i="4"/>
  <c r="CE105" i="4"/>
  <c r="DO105" i="4"/>
  <c r="BT105" i="4"/>
  <c r="CS105" i="4"/>
  <c r="CF105" i="4"/>
  <c r="DS105" i="4"/>
  <c r="DQ105" i="46" s="1"/>
  <c r="DH105" i="4"/>
  <c r="DJ105" i="4"/>
  <c r="AS105" i="4"/>
  <c r="BF105" i="4"/>
  <c r="BD105" i="4"/>
  <c r="W105" i="4"/>
  <c r="BX105" i="4"/>
  <c r="C101" i="4"/>
  <c r="B89" i="47"/>
  <c r="N100" i="4"/>
  <c r="C89" i="5"/>
  <c r="B107" i="4"/>
  <c r="A95" i="47"/>
  <c r="B95" i="5"/>
  <c r="M106" i="4"/>
  <c r="L93" i="46"/>
  <c r="C94" i="46"/>
  <c r="W100" i="46" l="1"/>
  <c r="AN100" i="46"/>
  <c r="BG100" i="46"/>
  <c r="CD100" i="46"/>
  <c r="AQ100" i="46"/>
  <c r="AD100" i="46"/>
  <c r="BP100" i="46"/>
  <c r="BZ100" i="46"/>
  <c r="AJ100" i="46"/>
  <c r="BF100" i="46"/>
  <c r="AB100" i="46"/>
  <c r="BQ100" i="46"/>
  <c r="AM100" i="46"/>
  <c r="BC100" i="46"/>
  <c r="BW100" i="46"/>
  <c r="AI100" i="46"/>
  <c r="BU100" i="46"/>
  <c r="CM100" i="46"/>
  <c r="BX100" i="46"/>
  <c r="BB100" i="46"/>
  <c r="P100" i="46"/>
  <c r="DK100" i="46"/>
  <c r="DN100" i="46"/>
  <c r="DG100" i="46"/>
  <c r="CC100" i="46"/>
  <c r="CI100" i="46"/>
  <c r="AY100" i="46"/>
  <c r="BS100" i="46"/>
  <c r="N100" i="46"/>
  <c r="AC100" i="46"/>
  <c r="AV100" i="46"/>
  <c r="BM100" i="46"/>
  <c r="AX100" i="46"/>
  <c r="U100" i="46"/>
  <c r="CG100" i="46"/>
  <c r="CO100" i="46"/>
  <c r="BL100" i="46"/>
  <c r="Z100" i="46"/>
  <c r="AE100" i="46"/>
  <c r="AO100" i="46"/>
  <c r="BI100" i="46"/>
  <c r="DJ100" i="46"/>
  <c r="DM100" i="46"/>
  <c r="BH100" i="46"/>
  <c r="CA100" i="46"/>
  <c r="AF100" i="46"/>
  <c r="BD100" i="46"/>
  <c r="AA100" i="46"/>
  <c r="BJ100" i="46"/>
  <c r="AS100" i="46"/>
  <c r="DE100" i="46"/>
  <c r="Y100" i="46"/>
  <c r="BN100" i="46"/>
  <c r="BR100" i="46"/>
  <c r="EA100" i="46"/>
  <c r="AZ100" i="46"/>
  <c r="X100" i="46"/>
  <c r="CE100" i="46"/>
  <c r="CQ100" i="46"/>
  <c r="AW100" i="46"/>
  <c r="BO100" i="46"/>
  <c r="R100" i="46"/>
  <c r="BY100" i="46"/>
  <c r="CL100" i="46"/>
  <c r="BK100" i="46"/>
  <c r="CP100" i="46"/>
  <c r="AU100" i="46"/>
  <c r="BA100" i="46"/>
  <c r="CK100" i="46"/>
  <c r="T100" i="46"/>
  <c r="M100" i="46"/>
  <c r="CN100" i="46"/>
  <c r="DF100" i="46"/>
  <c r="DC100" i="46"/>
  <c r="DI100" i="46"/>
  <c r="AG100" i="46"/>
  <c r="CR100" i="46"/>
  <c r="AT100" i="46"/>
  <c r="AR100" i="46"/>
  <c r="AP100" i="46"/>
  <c r="DL100" i="46"/>
  <c r="Q100" i="46"/>
  <c r="CF100" i="46"/>
  <c r="CB100" i="46"/>
  <c r="AL100" i="46"/>
  <c r="S100" i="46"/>
  <c r="CH100" i="46"/>
  <c r="AH100" i="46"/>
  <c r="BE100" i="46"/>
  <c r="AK100" i="46"/>
  <c r="V100" i="46"/>
  <c r="BV100" i="46"/>
  <c r="O100" i="46"/>
  <c r="CJ100" i="46"/>
  <c r="BT100" i="46"/>
  <c r="DD100" i="46"/>
  <c r="DH100" i="46"/>
  <c r="DO100" i="46"/>
  <c r="B102" i="46"/>
  <c r="K101" i="46"/>
  <c r="C90" i="5"/>
  <c r="N101" i="4"/>
  <c r="C102" i="4"/>
  <c r="B90" i="47"/>
  <c r="B108" i="4"/>
  <c r="B96" i="5"/>
  <c r="A96" i="47"/>
  <c r="M107" i="4"/>
  <c r="DM106" i="4"/>
  <c r="AU106" i="4"/>
  <c r="AM106" i="4"/>
  <c r="AH106" i="4"/>
  <c r="AE106" i="4"/>
  <c r="AR106" i="4"/>
  <c r="U106" i="4"/>
  <c r="AJ106" i="4"/>
  <c r="AF106" i="4"/>
  <c r="CO106" i="4"/>
  <c r="CM106" i="4"/>
  <c r="DP106" i="4"/>
  <c r="DO106" i="4"/>
  <c r="AY106" i="4"/>
  <c r="BS106" i="4"/>
  <c r="BC106" i="4"/>
  <c r="CG106" i="4"/>
  <c r="X106" i="4"/>
  <c r="BD106" i="4"/>
  <c r="DJ106" i="4"/>
  <c r="BU106" i="4"/>
  <c r="BI106" i="4"/>
  <c r="O106" i="4"/>
  <c r="CD106" i="4"/>
  <c r="DN106" i="4"/>
  <c r="AT106" i="4"/>
  <c r="AO106" i="4"/>
  <c r="AL106" i="4"/>
  <c r="AI106" i="4"/>
  <c r="AB106" i="4"/>
  <c r="Z106" i="4"/>
  <c r="T106" i="4"/>
  <c r="V106" i="4"/>
  <c r="CJ106" i="4"/>
  <c r="CL106" i="4"/>
  <c r="DQ106" i="4"/>
  <c r="BE106" i="4"/>
  <c r="CI106" i="4"/>
  <c r="CA106" i="4"/>
  <c r="CR106" i="4"/>
  <c r="BL106" i="4"/>
  <c r="BH106" i="4"/>
  <c r="BT106" i="4"/>
  <c r="CB106" i="4"/>
  <c r="DH106" i="4"/>
  <c r="BG106" i="4"/>
  <c r="AA106" i="4"/>
  <c r="BR106" i="4"/>
  <c r="BX106" i="4"/>
  <c r="AV106" i="4"/>
  <c r="AX106" i="4"/>
  <c r="Q106" i="4"/>
  <c r="Y106" i="4"/>
  <c r="DR106" i="4"/>
  <c r="DP106" i="46" s="1"/>
  <c r="CQ106" i="4"/>
  <c r="BA106" i="4"/>
  <c r="BQ106" i="4"/>
  <c r="BB106" i="4"/>
  <c r="R106" i="4"/>
  <c r="BP106" i="4"/>
  <c r="CF106" i="4"/>
  <c r="AP106" i="4"/>
  <c r="DK106" i="4"/>
  <c r="BV106" i="4"/>
  <c r="BZ106" i="4"/>
  <c r="BY106" i="4"/>
  <c r="AS106" i="4"/>
  <c r="AC106" i="4"/>
  <c r="AK106" i="4"/>
  <c r="S106" i="4"/>
  <c r="DS106" i="4"/>
  <c r="DQ106" i="46" s="1"/>
  <c r="CN106" i="4"/>
  <c r="BF106" i="4"/>
  <c r="BO106" i="4"/>
  <c r="P106" i="4"/>
  <c r="CH106" i="4"/>
  <c r="DI106" i="4"/>
  <c r="CT106" i="4"/>
  <c r="CE106" i="4"/>
  <c r="AN106" i="4"/>
  <c r="W106" i="4"/>
  <c r="CP106" i="4"/>
  <c r="CK106" i="4"/>
  <c r="CC106" i="4"/>
  <c r="BN106" i="4"/>
  <c r="CS106" i="4"/>
  <c r="AW106" i="4"/>
  <c r="DL106" i="4"/>
  <c r="BJ106" i="4"/>
  <c r="EC106" i="4"/>
  <c r="AD106" i="4"/>
  <c r="BK106" i="4"/>
  <c r="AZ106" i="4"/>
  <c r="AG106" i="4"/>
  <c r="BM106" i="4"/>
  <c r="AQ106" i="4"/>
  <c r="BW106" i="4"/>
  <c r="L94" i="46"/>
  <c r="C95" i="46"/>
  <c r="Z101" i="46" l="1"/>
  <c r="AF101" i="46"/>
  <c r="CA101" i="46"/>
  <c r="AK101" i="46"/>
  <c r="BE101" i="46"/>
  <c r="AB101" i="46"/>
  <c r="CJ101" i="46"/>
  <c r="CP101" i="46"/>
  <c r="AU101" i="46"/>
  <c r="BK101" i="46"/>
  <c r="CC101" i="46"/>
  <c r="CI101" i="46"/>
  <c r="BT101" i="46"/>
  <c r="AQ101" i="46"/>
  <c r="Y101" i="46"/>
  <c r="AD101" i="46"/>
  <c r="S101" i="46"/>
  <c r="BY101" i="46"/>
  <c r="AG101" i="46"/>
  <c r="BO101" i="46"/>
  <c r="CQ101" i="46"/>
  <c r="AW101" i="46"/>
  <c r="V101" i="46"/>
  <c r="CG101" i="46"/>
  <c r="BW101" i="46"/>
  <c r="AI101" i="46"/>
  <c r="BC101" i="46"/>
  <c r="Q101" i="46"/>
  <c r="CE101" i="46"/>
  <c r="CN101" i="46"/>
  <c r="AS101" i="46"/>
  <c r="BI101" i="46"/>
  <c r="R101" i="46"/>
  <c r="BG101" i="46"/>
  <c r="BS101" i="46"/>
  <c r="CL101" i="46"/>
  <c r="AZ101" i="46"/>
  <c r="EA101" i="46"/>
  <c r="DE101" i="46"/>
  <c r="DF101" i="46"/>
  <c r="DL101" i="46"/>
  <c r="W101" i="46"/>
  <c r="BQ101" i="46"/>
  <c r="AN101" i="46"/>
  <c r="BF101" i="46"/>
  <c r="BZ101" i="46"/>
  <c r="U101" i="46"/>
  <c r="AO101" i="46"/>
  <c r="BL101" i="46"/>
  <c r="CO101" i="46"/>
  <c r="AT101" i="46"/>
  <c r="BP101" i="46"/>
  <c r="BU101" i="46"/>
  <c r="AE101" i="46"/>
  <c r="BN101" i="46"/>
  <c r="X101" i="46"/>
  <c r="N101" i="46"/>
  <c r="CF101" i="46"/>
  <c r="DG101" i="46"/>
  <c r="DM101" i="46"/>
  <c r="CR101" i="46"/>
  <c r="BX101" i="46"/>
  <c r="BV101" i="46"/>
  <c r="AA101" i="46"/>
  <c r="CM101" i="46"/>
  <c r="CD101" i="46"/>
  <c r="AY101" i="46"/>
  <c r="DH101" i="46"/>
  <c r="DK101" i="46"/>
  <c r="M101" i="46"/>
  <c r="DJ101" i="46"/>
  <c r="AJ101" i="46"/>
  <c r="P101" i="46"/>
  <c r="BA101" i="46"/>
  <c r="BH101" i="46"/>
  <c r="DD101" i="46"/>
  <c r="DO101" i="46"/>
  <c r="BM101" i="46"/>
  <c r="BJ101" i="46"/>
  <c r="BR101" i="46"/>
  <c r="AH101" i="46"/>
  <c r="AP101" i="46"/>
  <c r="AL101" i="46"/>
  <c r="DI101" i="46"/>
  <c r="AC101" i="46"/>
  <c r="CK101" i="46"/>
  <c r="AX101" i="46"/>
  <c r="T101" i="46"/>
  <c r="AV101" i="46"/>
  <c r="BD101" i="46"/>
  <c r="O101" i="46"/>
  <c r="AM101" i="46"/>
  <c r="AR101" i="46"/>
  <c r="CH101" i="46"/>
  <c r="CB101" i="46"/>
  <c r="DC101" i="46"/>
  <c r="BB101" i="46"/>
  <c r="DN101" i="46"/>
  <c r="K102" i="46"/>
  <c r="B103" i="46"/>
  <c r="B109" i="4"/>
  <c r="A97" i="47"/>
  <c r="B97" i="5"/>
  <c r="M108" i="4"/>
  <c r="DN107" i="4"/>
  <c r="AN107" i="4"/>
  <c r="AO107" i="4"/>
  <c r="AS107" i="4"/>
  <c r="AX107" i="4"/>
  <c r="Z107" i="4"/>
  <c r="AP107" i="4"/>
  <c r="AF107" i="4"/>
  <c r="S107" i="4"/>
  <c r="CP107" i="4"/>
  <c r="CN107" i="4"/>
  <c r="DQ107" i="4"/>
  <c r="BE107" i="4"/>
  <c r="CI107" i="4"/>
  <c r="AA107" i="4"/>
  <c r="CT107" i="4"/>
  <c r="BB107" i="4"/>
  <c r="BP107" i="4"/>
  <c r="DH107" i="4"/>
  <c r="BL107" i="4"/>
  <c r="CS107" i="4"/>
  <c r="BH107" i="4"/>
  <c r="CF107" i="4"/>
  <c r="BR107" i="4"/>
  <c r="DJ107" i="4"/>
  <c r="CE107" i="4"/>
  <c r="AM107" i="4"/>
  <c r="AG107" i="4"/>
  <c r="AD107" i="4"/>
  <c r="AB107" i="4"/>
  <c r="W107" i="4"/>
  <c r="AC107" i="4"/>
  <c r="V107" i="4"/>
  <c r="DR107" i="4"/>
  <c r="DP107" i="46" s="1"/>
  <c r="CO107" i="4"/>
  <c r="CQ107" i="4"/>
  <c r="DK107" i="4"/>
  <c r="BF107" i="4"/>
  <c r="CK107" i="4"/>
  <c r="BJ107" i="4"/>
  <c r="P107" i="4"/>
  <c r="BN107" i="4"/>
  <c r="CC107" i="4"/>
  <c r="CA107" i="4"/>
  <c r="BZ107" i="4"/>
  <c r="BW107" i="4"/>
  <c r="CB107" i="4"/>
  <c r="BI107" i="4"/>
  <c r="CH107" i="4"/>
  <c r="R107" i="4"/>
  <c r="AV107" i="4"/>
  <c r="AK107" i="4"/>
  <c r="AJ107" i="4"/>
  <c r="U107" i="4"/>
  <c r="DL107" i="4"/>
  <c r="BK107" i="4"/>
  <c r="BM107" i="4"/>
  <c r="BT107" i="4"/>
  <c r="BX107" i="4"/>
  <c r="BV107" i="4"/>
  <c r="DI107" i="4"/>
  <c r="AW107" i="4"/>
  <c r="AQ107" i="4"/>
  <c r="DS107" i="4"/>
  <c r="DQ107" i="46" s="1"/>
  <c r="BA107" i="4"/>
  <c r="AZ107" i="4"/>
  <c r="AU107" i="4"/>
  <c r="AR107" i="4"/>
  <c r="T107" i="4"/>
  <c r="Q107" i="4"/>
  <c r="CM107" i="4"/>
  <c r="DO107" i="4"/>
  <c r="BU107" i="4"/>
  <c r="BG107" i="4"/>
  <c r="BY107" i="4"/>
  <c r="CG107" i="4"/>
  <c r="CD107" i="4"/>
  <c r="AH107" i="4"/>
  <c r="AI107" i="4"/>
  <c r="CL107" i="4"/>
  <c r="X107" i="4"/>
  <c r="EC107" i="4"/>
  <c r="BD107" i="4"/>
  <c r="BQ107" i="4"/>
  <c r="AT107" i="4"/>
  <c r="CJ107" i="4"/>
  <c r="AY107" i="4"/>
  <c r="BC107" i="4"/>
  <c r="BS107" i="4"/>
  <c r="AL107" i="4"/>
  <c r="BO107" i="4"/>
  <c r="AE107" i="4"/>
  <c r="CR107" i="4"/>
  <c r="DM107" i="4"/>
  <c r="Y107" i="4"/>
  <c r="DP107" i="4"/>
  <c r="O107" i="4"/>
  <c r="B91" i="47"/>
  <c r="N102" i="4"/>
  <c r="C103" i="4"/>
  <c r="C91" i="5"/>
  <c r="C96" i="46"/>
  <c r="L95" i="46"/>
  <c r="K103" i="46" l="1"/>
  <c r="B104" i="46"/>
  <c r="CC102" i="46"/>
  <c r="CI102" i="46"/>
  <c r="AM102" i="46"/>
  <c r="BA102" i="46"/>
  <c r="BS102" i="46"/>
  <c r="N102" i="46"/>
  <c r="V102" i="46"/>
  <c r="AN102" i="46"/>
  <c r="BR102" i="46"/>
  <c r="CR102" i="46"/>
  <c r="AX102" i="46"/>
  <c r="P102" i="46"/>
  <c r="CE102" i="46"/>
  <c r="CQ102" i="46"/>
  <c r="AW102" i="46"/>
  <c r="BL102" i="46"/>
  <c r="U102" i="46"/>
  <c r="AS102" i="46"/>
  <c r="BU102" i="46"/>
  <c r="CO102" i="46"/>
  <c r="O102" i="46"/>
  <c r="BV102" i="46"/>
  <c r="DI102" i="46"/>
  <c r="DC102" i="46"/>
  <c r="DL102" i="46"/>
  <c r="Q102" i="46"/>
  <c r="CF102" i="46"/>
  <c r="CM102" i="46"/>
  <c r="AR102" i="46"/>
  <c r="BH102" i="46"/>
  <c r="T102" i="46"/>
  <c r="CH102" i="46"/>
  <c r="CL102" i="46"/>
  <c r="BG102" i="46"/>
  <c r="CA102" i="46"/>
  <c r="AK102" i="46"/>
  <c r="Z102" i="46"/>
  <c r="AF102" i="46"/>
  <c r="BZ102" i="46"/>
  <c r="AJ102" i="46"/>
  <c r="BD102" i="46"/>
  <c r="AH102" i="46"/>
  <c r="W102" i="46"/>
  <c r="AE102" i="46"/>
  <c r="AT102" i="46"/>
  <c r="S102" i="46"/>
  <c r="DD102" i="46"/>
  <c r="DG102" i="46"/>
  <c r="DM102" i="46"/>
  <c r="DO102" i="46"/>
  <c r="Y102" i="46"/>
  <c r="BN102" i="46"/>
  <c r="BT102" i="46"/>
  <c r="M102" i="46"/>
  <c r="AZ102" i="46"/>
  <c r="X102" i="46"/>
  <c r="CG102" i="46"/>
  <c r="EA102" i="46"/>
  <c r="AY102" i="46"/>
  <c r="BO102" i="46"/>
  <c r="R102" i="46"/>
  <c r="BY102" i="46"/>
  <c r="AG102" i="46"/>
  <c r="BM102" i="46"/>
  <c r="CP102" i="46"/>
  <c r="AU102" i="46"/>
  <c r="BK102" i="46"/>
  <c r="CJ102" i="46"/>
  <c r="AD102" i="46"/>
  <c r="BJ102" i="46"/>
  <c r="AP102" i="46"/>
  <c r="DF102" i="46"/>
  <c r="DN102" i="46"/>
  <c r="DJ102" i="46"/>
  <c r="AA102" i="46"/>
  <c r="AO102" i="46"/>
  <c r="BI102" i="46"/>
  <c r="CD102" i="46"/>
  <c r="AQ102" i="46"/>
  <c r="AC102" i="46"/>
  <c r="BP102" i="46"/>
  <c r="CB102" i="46"/>
  <c r="AL102" i="46"/>
  <c r="BF102" i="46"/>
  <c r="AB102" i="46"/>
  <c r="BQ102" i="46"/>
  <c r="AV102" i="46"/>
  <c r="BE102" i="46"/>
  <c r="BW102" i="46"/>
  <c r="AI102" i="46"/>
  <c r="CN102" i="46"/>
  <c r="BC102" i="46"/>
  <c r="CK102" i="46"/>
  <c r="BX102" i="46"/>
  <c r="BB102" i="46"/>
  <c r="DE102" i="46"/>
  <c r="DK102" i="46"/>
  <c r="DH102" i="46"/>
  <c r="N103" i="4"/>
  <c r="C104" i="4"/>
  <c r="C92" i="5"/>
  <c r="B92" i="47"/>
  <c r="CE108" i="4"/>
  <c r="AU108" i="4"/>
  <c r="AF108" i="4"/>
  <c r="AG108" i="4"/>
  <c r="AE108" i="4"/>
  <c r="AD108" i="4"/>
  <c r="Y108" i="4"/>
  <c r="Z108" i="4"/>
  <c r="DS108" i="4"/>
  <c r="DQ108" i="46" s="1"/>
  <c r="CJ108" i="4"/>
  <c r="CL108" i="4"/>
  <c r="DL108" i="4"/>
  <c r="BF108" i="4"/>
  <c r="CK108" i="4"/>
  <c r="P108" i="4"/>
  <c r="DJ108" i="4"/>
  <c r="DI108" i="4"/>
  <c r="BO108" i="4"/>
  <c r="CD108" i="4"/>
  <c r="CH108" i="4"/>
  <c r="CA108" i="4"/>
  <c r="BY108" i="4"/>
  <c r="BD108" i="4"/>
  <c r="AA108" i="4"/>
  <c r="CC108" i="4"/>
  <c r="AW108" i="4"/>
  <c r="AO108" i="4"/>
  <c r="AJ108" i="4"/>
  <c r="AK108" i="4"/>
  <c r="AP108" i="4"/>
  <c r="AH108" i="4"/>
  <c r="S108" i="4"/>
  <c r="W108" i="4"/>
  <c r="DR108" i="4"/>
  <c r="DP108" i="46" s="1"/>
  <c r="CN108" i="4"/>
  <c r="DO108" i="4"/>
  <c r="BA108" i="4"/>
  <c r="BK108" i="4"/>
  <c r="BU108" i="4"/>
  <c r="BJ108" i="4"/>
  <c r="CS108" i="4"/>
  <c r="O108" i="4"/>
  <c r="AZ108" i="4"/>
  <c r="BZ108" i="4"/>
  <c r="CG108" i="4"/>
  <c r="BP108" i="4"/>
  <c r="DH108" i="4"/>
  <c r="BM108" i="4"/>
  <c r="BL108" i="4"/>
  <c r="DM108" i="4"/>
  <c r="AT108" i="4"/>
  <c r="AR108" i="4"/>
  <c r="AX108" i="4"/>
  <c r="AL108" i="4"/>
  <c r="CO108" i="4"/>
  <c r="DP108" i="4"/>
  <c r="AY108" i="4"/>
  <c r="CT108" i="4"/>
  <c r="BR108" i="4"/>
  <c r="BH108" i="4"/>
  <c r="BQ108" i="4"/>
  <c r="BX108" i="4"/>
  <c r="AQ108" i="4"/>
  <c r="DK108" i="4"/>
  <c r="BN108" i="4"/>
  <c r="EC108" i="4"/>
  <c r="DN108" i="4"/>
  <c r="AN108" i="4"/>
  <c r="AM108" i="4"/>
  <c r="V108" i="4"/>
  <c r="T108" i="4"/>
  <c r="CP108" i="4"/>
  <c r="DQ108" i="4"/>
  <c r="CI108" i="4"/>
  <c r="BV108" i="4"/>
  <c r="BI108" i="4"/>
  <c r="BG108" i="4"/>
  <c r="CF108" i="4"/>
  <c r="BC108" i="4"/>
  <c r="AS108" i="4"/>
  <c r="U108" i="4"/>
  <c r="AI108" i="4"/>
  <c r="CM108" i="4"/>
  <c r="BW108" i="4"/>
  <c r="X108" i="4"/>
  <c r="CR108" i="4"/>
  <c r="AC108" i="4"/>
  <c r="BT108" i="4"/>
  <c r="Q108" i="4"/>
  <c r="R108" i="4"/>
  <c r="AB108" i="4"/>
  <c r="CQ108" i="4"/>
  <c r="BB108" i="4"/>
  <c r="AV108" i="4"/>
  <c r="BE108" i="4"/>
  <c r="CB108" i="4"/>
  <c r="BS108" i="4"/>
  <c r="B110" i="4"/>
  <c r="M109" i="4"/>
  <c r="A98" i="47"/>
  <c r="B98" i="5"/>
  <c r="C97" i="46"/>
  <c r="L96" i="46"/>
  <c r="B105" i="46" l="1"/>
  <c r="K104" i="46"/>
  <c r="Z103" i="46"/>
  <c r="AF103" i="46"/>
  <c r="BV103" i="46"/>
  <c r="O103" i="46"/>
  <c r="BD103" i="46"/>
  <c r="U103" i="46"/>
  <c r="CJ103" i="46"/>
  <c r="CM103" i="46"/>
  <c r="AR103" i="46"/>
  <c r="BJ103" i="46"/>
  <c r="CC103" i="46"/>
  <c r="CH103" i="46"/>
  <c r="CL103" i="46"/>
  <c r="AY103" i="46"/>
  <c r="BS103" i="46"/>
  <c r="N103" i="46"/>
  <c r="AW103" i="46"/>
  <c r="BZ103" i="46"/>
  <c r="CI103" i="46"/>
  <c r="AX103" i="46"/>
  <c r="AK103" i="46"/>
  <c r="DK103" i="46"/>
  <c r="DC103" i="46"/>
  <c r="DJ103" i="46"/>
  <c r="S103" i="46"/>
  <c r="BY103" i="46"/>
  <c r="AN103" i="46"/>
  <c r="BK103" i="46"/>
  <c r="CP103" i="46"/>
  <c r="AU103" i="46"/>
  <c r="W103" i="46"/>
  <c r="CE103" i="46"/>
  <c r="BT103" i="46"/>
  <c r="M103" i="46"/>
  <c r="BB103" i="46"/>
  <c r="Q103" i="46"/>
  <c r="CK103" i="46"/>
  <c r="CB103" i="46"/>
  <c r="AL103" i="46"/>
  <c r="BH103" i="46"/>
  <c r="V103" i="46"/>
  <c r="BO103" i="46"/>
  <c r="AJ103" i="46"/>
  <c r="AO103" i="46"/>
  <c r="CA103" i="46"/>
  <c r="BE103" i="46"/>
  <c r="DN103" i="46"/>
  <c r="DM103" i="46"/>
  <c r="DL103" i="46"/>
  <c r="AB103" i="46"/>
  <c r="BQ103" i="46"/>
  <c r="AH103" i="46"/>
  <c r="BC103" i="46"/>
  <c r="BW103" i="46"/>
  <c r="AI103" i="46"/>
  <c r="AD103" i="46"/>
  <c r="AP103" i="46"/>
  <c r="BI103" i="46"/>
  <c r="CN103" i="46"/>
  <c r="AS103" i="46"/>
  <c r="Y103" i="46"/>
  <c r="BP103" i="46"/>
  <c r="BR103" i="46"/>
  <c r="EA103" i="46"/>
  <c r="AZ103" i="46"/>
  <c r="CF103" i="46"/>
  <c r="T103" i="46"/>
  <c r="BF103" i="46"/>
  <c r="BM103" i="46"/>
  <c r="AC103" i="46"/>
  <c r="DD103" i="46"/>
  <c r="DF103" i="46"/>
  <c r="DH103" i="46"/>
  <c r="DO103" i="46"/>
  <c r="P103" i="46"/>
  <c r="CG103" i="46"/>
  <c r="CO103" i="46"/>
  <c r="AT103" i="46"/>
  <c r="BL103" i="46"/>
  <c r="R103" i="46"/>
  <c r="BX103" i="46"/>
  <c r="AM103" i="46"/>
  <c r="BA103" i="46"/>
  <c r="BU103" i="46"/>
  <c r="AE103" i="46"/>
  <c r="AA103" i="46"/>
  <c r="AG103" i="46"/>
  <c r="BG103" i="46"/>
  <c r="CD103" i="46"/>
  <c r="AQ103" i="46"/>
  <c r="CQ103" i="46"/>
  <c r="BN103" i="46"/>
  <c r="X103" i="46"/>
  <c r="CR103" i="46"/>
  <c r="AV103" i="46"/>
  <c r="DE103" i="46"/>
  <c r="DG103" i="46"/>
  <c r="DI103" i="46"/>
  <c r="C105" i="4"/>
  <c r="C93" i="5"/>
  <c r="N104" i="4"/>
  <c r="B93" i="47"/>
  <c r="AV109" i="4"/>
  <c r="AO109" i="4"/>
  <c r="AE109" i="4"/>
  <c r="AJ109" i="4"/>
  <c r="AX109" i="4"/>
  <c r="AD109" i="4"/>
  <c r="AL109" i="4"/>
  <c r="Q109" i="4"/>
  <c r="DR109" i="4"/>
  <c r="DP109" i="46" s="1"/>
  <c r="CN109" i="4"/>
  <c r="DK109" i="4"/>
  <c r="BA109" i="4"/>
  <c r="BK109" i="4"/>
  <c r="BY109" i="4"/>
  <c r="BV109" i="4"/>
  <c r="BZ109" i="4"/>
  <c r="BR109" i="4"/>
  <c r="BP109" i="4"/>
  <c r="BM109" i="4"/>
  <c r="CR109" i="4"/>
  <c r="R109" i="4"/>
  <c r="CH109" i="4"/>
  <c r="O109" i="4"/>
  <c r="DM109" i="4"/>
  <c r="AW109" i="4"/>
  <c r="AN109" i="4"/>
  <c r="AI109" i="4"/>
  <c r="AQ109" i="4"/>
  <c r="V109" i="4"/>
  <c r="T109" i="4"/>
  <c r="AR109" i="4"/>
  <c r="U109" i="4"/>
  <c r="CO109" i="4"/>
  <c r="CM109" i="4"/>
  <c r="DP109" i="4"/>
  <c r="DL109" i="4"/>
  <c r="AY109" i="4"/>
  <c r="BD109" i="4"/>
  <c r="DI109" i="4"/>
  <c r="BW109" i="4"/>
  <c r="CA109" i="4"/>
  <c r="CF109" i="4"/>
  <c r="X109" i="4"/>
  <c r="BB109" i="4"/>
  <c r="AA109" i="4"/>
  <c r="BQ109" i="4"/>
  <c r="CT109" i="4"/>
  <c r="AT109" i="4"/>
  <c r="AP109" i="4"/>
  <c r="Z109" i="4"/>
  <c r="S109" i="4"/>
  <c r="CL109" i="4"/>
  <c r="BE109" i="4"/>
  <c r="CB109" i="4"/>
  <c r="BX109" i="4"/>
  <c r="BS109" i="4"/>
  <c r="BL109" i="4"/>
  <c r="AB109" i="4"/>
  <c r="Y109" i="4"/>
  <c r="DQ109" i="4"/>
  <c r="CI109" i="4"/>
  <c r="BH109" i="4"/>
  <c r="AS109" i="4"/>
  <c r="AF109" i="4"/>
  <c r="W109" i="4"/>
  <c r="AC109" i="4"/>
  <c r="DS109" i="4"/>
  <c r="DQ109" i="46" s="1"/>
  <c r="CQ109" i="4"/>
  <c r="BF109" i="4"/>
  <c r="BO109" i="4"/>
  <c r="CG109" i="4"/>
  <c r="CS109" i="4"/>
  <c r="P109" i="4"/>
  <c r="BG109" i="4"/>
  <c r="BN109" i="4"/>
  <c r="DN109" i="4"/>
  <c r="AU109" i="4"/>
  <c r="AG109" i="4"/>
  <c r="CP109" i="4"/>
  <c r="BI109" i="4"/>
  <c r="BT109" i="4"/>
  <c r="DJ109" i="4"/>
  <c r="BC109" i="4"/>
  <c r="CC109" i="4"/>
  <c r="AZ109" i="4"/>
  <c r="AH109" i="4"/>
  <c r="BJ109" i="4"/>
  <c r="AK109" i="4"/>
  <c r="DH109" i="4"/>
  <c r="CE109" i="4"/>
  <c r="DO109" i="4"/>
  <c r="BU109" i="4"/>
  <c r="CD109" i="4"/>
  <c r="AM109" i="4"/>
  <c r="CJ109" i="4"/>
  <c r="CK109" i="4"/>
  <c r="EC109" i="4"/>
  <c r="B111" i="4"/>
  <c r="A99" i="47"/>
  <c r="M110" i="4"/>
  <c r="B99" i="5"/>
  <c r="C98" i="46"/>
  <c r="L97" i="46"/>
  <c r="CC104" i="46" l="1"/>
  <c r="CH104" i="46"/>
  <c r="AG104" i="46"/>
  <c r="BB104" i="46"/>
  <c r="BT104" i="46"/>
  <c r="M104" i="46"/>
  <c r="Z104" i="46"/>
  <c r="AP104" i="46"/>
  <c r="BS104" i="46"/>
  <c r="N104" i="46"/>
  <c r="AY104" i="46"/>
  <c r="P104" i="46"/>
  <c r="CF104" i="46"/>
  <c r="CR104" i="46"/>
  <c r="AX104" i="46"/>
  <c r="BM104" i="46"/>
  <c r="R104" i="46"/>
  <c r="AI104" i="46"/>
  <c r="BL104" i="46"/>
  <c r="CJ104" i="46"/>
  <c r="CE104" i="46"/>
  <c r="AU104" i="46"/>
  <c r="DJ104" i="46"/>
  <c r="DM104" i="46"/>
  <c r="DL104" i="46"/>
  <c r="Q104" i="46"/>
  <c r="CG104" i="46"/>
  <c r="CN104" i="46"/>
  <c r="AS104" i="46"/>
  <c r="BI104" i="46"/>
  <c r="S104" i="46"/>
  <c r="CI104" i="46"/>
  <c r="AV104" i="46"/>
  <c r="BH104" i="46"/>
  <c r="CB104" i="46"/>
  <c r="AL104" i="46"/>
  <c r="AD104" i="46"/>
  <c r="AF104" i="46"/>
  <c r="CA104" i="46"/>
  <c r="AK104" i="46"/>
  <c r="BE104" i="46"/>
  <c r="BX104" i="46"/>
  <c r="BC104" i="46"/>
  <c r="CO104" i="46"/>
  <c r="BD104" i="46"/>
  <c r="BK104" i="46"/>
  <c r="DD104" i="46"/>
  <c r="DF104" i="46"/>
  <c r="DE104" i="46"/>
  <c r="DO104" i="46"/>
  <c r="Y104" i="46"/>
  <c r="BN104" i="46"/>
  <c r="BU104" i="46"/>
  <c r="AE104" i="46"/>
  <c r="BA104" i="46"/>
  <c r="X104" i="46"/>
  <c r="CK104" i="46"/>
  <c r="EA104" i="46"/>
  <c r="AZ104" i="46"/>
  <c r="BR104" i="46"/>
  <c r="T104" i="46"/>
  <c r="BY104" i="46"/>
  <c r="AH104" i="46"/>
  <c r="BO104" i="46"/>
  <c r="CQ104" i="46"/>
  <c r="AW104" i="46"/>
  <c r="AO104" i="46"/>
  <c r="U104" i="46"/>
  <c r="AT104" i="46"/>
  <c r="BV104" i="46"/>
  <c r="V104" i="46"/>
  <c r="DN104" i="46"/>
  <c r="DI104" i="46"/>
  <c r="DH104" i="46"/>
  <c r="AA104" i="46"/>
  <c r="AN104" i="46"/>
  <c r="BJ104" i="46"/>
  <c r="CM104" i="46"/>
  <c r="AR104" i="46"/>
  <c r="AC104" i="46"/>
  <c r="BP104" i="46"/>
  <c r="CD104" i="46"/>
  <c r="AQ104" i="46"/>
  <c r="BG104" i="46"/>
  <c r="AB104" i="46"/>
  <c r="BQ104" i="46"/>
  <c r="AM104" i="46"/>
  <c r="BF104" i="46"/>
  <c r="BZ104" i="46"/>
  <c r="AJ104" i="46"/>
  <c r="BW104" i="46"/>
  <c r="CL104" i="46"/>
  <c r="W104" i="46"/>
  <c r="O104" i="46"/>
  <c r="CP104" i="46"/>
  <c r="DK104" i="46"/>
  <c r="DG104" i="46"/>
  <c r="DC104" i="46"/>
  <c r="B106" i="46"/>
  <c r="K105" i="46"/>
  <c r="AW110" i="4"/>
  <c r="AS110" i="4"/>
  <c r="AD110" i="4"/>
  <c r="AC110" i="4"/>
  <c r="AK110" i="4"/>
  <c r="Z110" i="4"/>
  <c r="AQ110" i="4"/>
  <c r="AR110" i="4"/>
  <c r="DS110" i="4"/>
  <c r="DQ110" i="46" s="1"/>
  <c r="CQ110" i="4"/>
  <c r="DL110" i="4"/>
  <c r="BF110" i="4"/>
  <c r="BK110" i="4"/>
  <c r="BU110" i="4"/>
  <c r="BT110" i="4"/>
  <c r="R110" i="4"/>
  <c r="P110" i="4"/>
  <c r="BR110" i="4"/>
  <c r="CB110" i="4"/>
  <c r="BM110" i="4"/>
  <c r="BB110" i="4"/>
  <c r="BL110" i="4"/>
  <c r="BY110" i="4"/>
  <c r="DM110" i="4"/>
  <c r="AU110" i="4"/>
  <c r="AO110" i="4"/>
  <c r="AH110" i="4"/>
  <c r="AE110" i="4"/>
  <c r="AB110" i="4"/>
  <c r="W110" i="4"/>
  <c r="T110" i="4"/>
  <c r="U110" i="4"/>
  <c r="CO110" i="4"/>
  <c r="CM110" i="4"/>
  <c r="DP110" i="4"/>
  <c r="DO110" i="4"/>
  <c r="AY110" i="4"/>
  <c r="BJ110" i="4"/>
  <c r="CH110" i="4"/>
  <c r="BP110" i="4"/>
  <c r="BN110" i="4"/>
  <c r="CA110" i="4"/>
  <c r="CT110" i="4"/>
  <c r="DH110" i="4"/>
  <c r="EC110" i="4"/>
  <c r="CS110" i="4"/>
  <c r="AZ110" i="4"/>
  <c r="AM110" i="4"/>
  <c r="AL110" i="4"/>
  <c r="Q110" i="4"/>
  <c r="Y110" i="4"/>
  <c r="CN110" i="4"/>
  <c r="BE110" i="4"/>
  <c r="BS110" i="4"/>
  <c r="BH110" i="4"/>
  <c r="CC110" i="4"/>
  <c r="DJ110" i="4"/>
  <c r="AA110" i="4"/>
  <c r="AV110" i="4"/>
  <c r="AJ110" i="4"/>
  <c r="CJ110" i="4"/>
  <c r="CI110" i="4"/>
  <c r="BG110" i="4"/>
  <c r="CF110" i="4"/>
  <c r="AT110" i="4"/>
  <c r="AX110" i="4"/>
  <c r="AG110" i="4"/>
  <c r="S110" i="4"/>
  <c r="DR110" i="4"/>
  <c r="DP110" i="46" s="1"/>
  <c r="CL110" i="4"/>
  <c r="BA110" i="4"/>
  <c r="BV110" i="4"/>
  <c r="BO110" i="4"/>
  <c r="CG110" i="4"/>
  <c r="BZ110" i="4"/>
  <c r="X110" i="4"/>
  <c r="DN110" i="4"/>
  <c r="AI110" i="4"/>
  <c r="V110" i="4"/>
  <c r="DQ110" i="4"/>
  <c r="BI110" i="4"/>
  <c r="BC110" i="4"/>
  <c r="BW110" i="4"/>
  <c r="BD110" i="4"/>
  <c r="AF110" i="4"/>
  <c r="BX110" i="4"/>
  <c r="CE110" i="4"/>
  <c r="DK110" i="4"/>
  <c r="O110" i="4"/>
  <c r="CD110" i="4"/>
  <c r="AN110" i="4"/>
  <c r="CP110" i="4"/>
  <c r="CK110" i="4"/>
  <c r="BQ110" i="4"/>
  <c r="DI110" i="4"/>
  <c r="AP110" i="4"/>
  <c r="CR110" i="4"/>
  <c r="B112" i="4"/>
  <c r="A100" i="47"/>
  <c r="B100" i="5"/>
  <c r="M111" i="4"/>
  <c r="C106" i="4"/>
  <c r="B94" i="47"/>
  <c r="N105" i="4"/>
  <c r="C94" i="5"/>
  <c r="L98" i="46"/>
  <c r="C99" i="46"/>
  <c r="AB105" i="46" l="1"/>
  <c r="BQ105" i="46"/>
  <c r="CL105" i="46"/>
  <c r="BE105" i="46"/>
  <c r="BW105" i="46"/>
  <c r="AI105" i="46"/>
  <c r="Z105" i="46"/>
  <c r="AO105" i="46"/>
  <c r="BK105" i="46"/>
  <c r="CN105" i="46"/>
  <c r="AS105" i="46"/>
  <c r="Y105" i="46"/>
  <c r="BP105" i="46"/>
  <c r="BT105" i="46"/>
  <c r="M105" i="46"/>
  <c r="AZ105" i="46"/>
  <c r="AV105" i="46"/>
  <c r="AD105" i="46"/>
  <c r="BO105" i="46"/>
  <c r="AL105" i="46"/>
  <c r="AX105" i="46"/>
  <c r="DD105" i="46"/>
  <c r="DJ105" i="46"/>
  <c r="DN105" i="46"/>
  <c r="DO105" i="46"/>
  <c r="AF105" i="46"/>
  <c r="BD105" i="46"/>
  <c r="CJ105" i="46"/>
  <c r="AT105" i="46"/>
  <c r="CC105" i="46"/>
  <c r="AG105" i="46"/>
  <c r="BS105" i="46"/>
  <c r="CA105" i="46"/>
  <c r="BN105" i="46"/>
  <c r="CH105" i="46"/>
  <c r="DC105" i="46"/>
  <c r="DM105" i="46"/>
  <c r="AN105" i="46"/>
  <c r="AU105" i="46"/>
  <c r="BV105" i="46"/>
  <c r="BB105" i="46"/>
  <c r="CK105" i="46"/>
  <c r="AR105" i="46"/>
  <c r="AC105" i="46"/>
  <c r="AY105" i="46"/>
  <c r="AH105" i="46"/>
  <c r="DK105" i="46"/>
  <c r="DL105" i="46"/>
  <c r="P105" i="46"/>
  <c r="CG105" i="46"/>
  <c r="CQ105" i="46"/>
  <c r="AW105" i="46"/>
  <c r="BL105" i="46"/>
  <c r="T105" i="46"/>
  <c r="BX105" i="46"/>
  <c r="AP105" i="46"/>
  <c r="BC105" i="46"/>
  <c r="BU105" i="46"/>
  <c r="AE105" i="46"/>
  <c r="AA105" i="46"/>
  <c r="AM105" i="46"/>
  <c r="BI105" i="46"/>
  <c r="CD105" i="46"/>
  <c r="AQ105" i="46"/>
  <c r="BG105" i="46"/>
  <c r="CE105" i="46"/>
  <c r="R105" i="46"/>
  <c r="BF105" i="46"/>
  <c r="BR105" i="46"/>
  <c r="DI105" i="46"/>
  <c r="DF105" i="46"/>
  <c r="DE105" i="46"/>
  <c r="V105" i="46"/>
  <c r="BZ105" i="46"/>
  <c r="AJ105" i="46"/>
  <c r="U105" i="46"/>
  <c r="CO105" i="46"/>
  <c r="BJ105" i="46"/>
  <c r="CI105" i="46"/>
  <c r="BA105" i="46"/>
  <c r="N105" i="46"/>
  <c r="EA105" i="46"/>
  <c r="X105" i="46"/>
  <c r="DG105" i="46"/>
  <c r="S105" i="46"/>
  <c r="BY105" i="46"/>
  <c r="BM105" i="46"/>
  <c r="CP105" i="46"/>
  <c r="W105" i="46"/>
  <c r="CF105" i="46"/>
  <c r="O105" i="46"/>
  <c r="Q105" i="46"/>
  <c r="CM105" i="46"/>
  <c r="BH105" i="46"/>
  <c r="AK105" i="46"/>
  <c r="CB105" i="46"/>
  <c r="CR105" i="46"/>
  <c r="DH105" i="46"/>
  <c r="B107" i="46"/>
  <c r="K106" i="46"/>
  <c r="DM111" i="4"/>
  <c r="AS111" i="4"/>
  <c r="AO111" i="4"/>
  <c r="AK111" i="4"/>
  <c r="AL111" i="4"/>
  <c r="AQ111" i="4"/>
  <c r="V111" i="4"/>
  <c r="U111" i="4"/>
  <c r="Y111" i="4"/>
  <c r="DS111" i="4"/>
  <c r="DQ111" i="46" s="1"/>
  <c r="CN111" i="4"/>
  <c r="DL111" i="4"/>
  <c r="BA111" i="4"/>
  <c r="BK111" i="4"/>
  <c r="DJ111" i="4"/>
  <c r="O111" i="4"/>
  <c r="CF111" i="4"/>
  <c r="BD111" i="4"/>
  <c r="P111" i="4"/>
  <c r="BU111" i="4"/>
  <c r="BG111" i="4"/>
  <c r="BB111" i="4"/>
  <c r="BY111" i="4"/>
  <c r="BQ111" i="4"/>
  <c r="BP111" i="4"/>
  <c r="DN111" i="4"/>
  <c r="AN111" i="4"/>
  <c r="AT111" i="4"/>
  <c r="AR111" i="4"/>
  <c r="AX111" i="4"/>
  <c r="T111" i="4"/>
  <c r="AP111" i="4"/>
  <c r="Q111" i="4"/>
  <c r="S111" i="4"/>
  <c r="CJ111" i="4"/>
  <c r="CM111" i="4"/>
  <c r="DP111" i="4"/>
  <c r="DO111" i="4"/>
  <c r="AY111" i="4"/>
  <c r="AA111" i="4"/>
  <c r="CH111" i="4"/>
  <c r="X111" i="4"/>
  <c r="BT111" i="4"/>
  <c r="BM111" i="4"/>
  <c r="CA111" i="4"/>
  <c r="BR111" i="4"/>
  <c r="EC111" i="4"/>
  <c r="BW111" i="4"/>
  <c r="BO111" i="4"/>
  <c r="CE111" i="4"/>
  <c r="AU111" i="4"/>
  <c r="AB111" i="4"/>
  <c r="AI111" i="4"/>
  <c r="CO111" i="4"/>
  <c r="DQ111" i="4"/>
  <c r="CI111" i="4"/>
  <c r="BN111" i="4"/>
  <c r="BX111" i="4"/>
  <c r="BV111" i="4"/>
  <c r="CD111" i="4"/>
  <c r="CS111" i="4"/>
  <c r="AD111" i="4"/>
  <c r="BC111" i="4"/>
  <c r="BI111" i="4"/>
  <c r="BJ111" i="4"/>
  <c r="AV111" i="4"/>
  <c r="AG111" i="4"/>
  <c r="AF111" i="4"/>
  <c r="AC111" i="4"/>
  <c r="CP111" i="4"/>
  <c r="DK111" i="4"/>
  <c r="CK111" i="4"/>
  <c r="CB111" i="4"/>
  <c r="BL111" i="4"/>
  <c r="CC111" i="4"/>
  <c r="CR111" i="4"/>
  <c r="DI111" i="4"/>
  <c r="AW111" i="4"/>
  <c r="Z111" i="4"/>
  <c r="AJ111" i="4"/>
  <c r="CL111" i="4"/>
  <c r="BE111" i="4"/>
  <c r="BH111" i="4"/>
  <c r="DH111" i="4"/>
  <c r="AE111" i="4"/>
  <c r="R111" i="4"/>
  <c r="AM111" i="4"/>
  <c r="CQ111" i="4"/>
  <c r="AZ111" i="4"/>
  <c r="CG111" i="4"/>
  <c r="AH111" i="4"/>
  <c r="DR111" i="4"/>
  <c r="DP111" i="46" s="1"/>
  <c r="BF111" i="4"/>
  <c r="CT111" i="4"/>
  <c r="BS111" i="4"/>
  <c r="W111" i="4"/>
  <c r="BZ111" i="4"/>
  <c r="B95" i="47"/>
  <c r="C95" i="5"/>
  <c r="N106" i="4"/>
  <c r="C107" i="4"/>
  <c r="B113" i="4"/>
  <c r="M112" i="4"/>
  <c r="A101" i="47"/>
  <c r="B101" i="5"/>
  <c r="C100" i="46"/>
  <c r="L99" i="46"/>
  <c r="CC106" i="46" l="1"/>
  <c r="CH106" i="46"/>
  <c r="AV106" i="46"/>
  <c r="BC106" i="46"/>
  <c r="BU106" i="46"/>
  <c r="AE106" i="46"/>
  <c r="V106" i="46"/>
  <c r="AO106" i="46"/>
  <c r="BI106" i="46"/>
  <c r="CD106" i="46"/>
  <c r="AQ106" i="46"/>
  <c r="P106" i="46"/>
  <c r="BP106" i="46"/>
  <c r="CB106" i="46"/>
  <c r="AL106" i="46"/>
  <c r="BF106" i="46"/>
  <c r="CG106" i="46"/>
  <c r="T106" i="46"/>
  <c r="AJ106" i="46"/>
  <c r="BM106" i="46"/>
  <c r="AH106" i="46"/>
  <c r="BW106" i="46"/>
  <c r="DN106" i="46"/>
  <c r="DM106" i="46"/>
  <c r="DL106" i="46"/>
  <c r="Q106" i="46"/>
  <c r="CJ106" i="46"/>
  <c r="CO106" i="46"/>
  <c r="AT106" i="46"/>
  <c r="BJ106" i="46"/>
  <c r="S106" i="46"/>
  <c r="CI106" i="46"/>
  <c r="AN106" i="46"/>
  <c r="BA106" i="46"/>
  <c r="BS106" i="46"/>
  <c r="N106" i="46"/>
  <c r="Z106" i="46"/>
  <c r="AG106" i="46"/>
  <c r="BR106" i="46"/>
  <c r="CR106" i="46"/>
  <c r="AX106" i="46"/>
  <c r="CQ106" i="46"/>
  <c r="BX106" i="46"/>
  <c r="BD106" i="46"/>
  <c r="CP106" i="46"/>
  <c r="AI106" i="46"/>
  <c r="DD106" i="46"/>
  <c r="DJ106" i="46"/>
  <c r="DK106" i="46"/>
  <c r="DO106" i="46"/>
  <c r="Y106" i="46"/>
  <c r="CF106" i="46"/>
  <c r="BV106" i="46"/>
  <c r="O106" i="46"/>
  <c r="BB106" i="46"/>
  <c r="X106" i="46"/>
  <c r="CE106" i="46"/>
  <c r="CM106" i="46"/>
  <c r="AR106" i="46"/>
  <c r="BH106" i="46"/>
  <c r="R106" i="46"/>
  <c r="BY106" i="46"/>
  <c r="CL106" i="46"/>
  <c r="BG106" i="46"/>
  <c r="CA106" i="46"/>
  <c r="AK106" i="46"/>
  <c r="AW106" i="46"/>
  <c r="AF106" i="46"/>
  <c r="U106" i="46"/>
  <c r="AU106" i="46"/>
  <c r="BE106" i="46"/>
  <c r="DI106" i="46"/>
  <c r="DH106" i="46"/>
  <c r="DE106" i="46"/>
  <c r="AA106" i="46"/>
  <c r="AP106" i="46"/>
  <c r="BK106" i="46"/>
  <c r="CN106" i="46"/>
  <c r="AS106" i="46"/>
  <c r="AC106" i="46"/>
  <c r="BN106" i="46"/>
  <c r="BT106" i="46"/>
  <c r="M106" i="46"/>
  <c r="AZ106" i="46"/>
  <c r="AB106" i="46"/>
  <c r="CK106" i="46"/>
  <c r="EA106" i="46"/>
  <c r="AY106" i="46"/>
  <c r="BO106" i="46"/>
  <c r="AD106" i="46"/>
  <c r="BL106" i="46"/>
  <c r="BZ106" i="46"/>
  <c r="AM106" i="46"/>
  <c r="W106" i="46"/>
  <c r="BQ106" i="46"/>
  <c r="DC106" i="46"/>
  <c r="DF106" i="46"/>
  <c r="DG106" i="46"/>
  <c r="K107" i="46"/>
  <c r="B108" i="46"/>
  <c r="DM112" i="4"/>
  <c r="AV112" i="4"/>
  <c r="AN112" i="4"/>
  <c r="AJ112" i="4"/>
  <c r="AK112" i="4"/>
  <c r="AE112" i="4"/>
  <c r="AL112" i="4"/>
  <c r="AP112" i="4"/>
  <c r="AH112" i="4"/>
  <c r="CO112" i="4"/>
  <c r="CM112" i="4"/>
  <c r="DP112" i="4"/>
  <c r="DK112" i="4"/>
  <c r="AY112" i="4"/>
  <c r="BL112" i="4"/>
  <c r="BT112" i="4"/>
  <c r="R112" i="4"/>
  <c r="DI112" i="4"/>
  <c r="BO112" i="4"/>
  <c r="BQ112" i="4"/>
  <c r="BC112" i="4"/>
  <c r="BP112" i="4"/>
  <c r="BY112" i="4"/>
  <c r="BU112" i="4"/>
  <c r="DN112" i="4"/>
  <c r="AT112" i="4"/>
  <c r="AM112" i="4"/>
  <c r="AQ112" i="4"/>
  <c r="AR112" i="4"/>
  <c r="AB112" i="4"/>
  <c r="V112" i="4"/>
  <c r="Z112" i="4"/>
  <c r="T112" i="4"/>
  <c r="CP112" i="4"/>
  <c r="CN112" i="4"/>
  <c r="DQ112" i="4"/>
  <c r="BE112" i="4"/>
  <c r="CI112" i="4"/>
  <c r="BM112" i="4"/>
  <c r="CD112" i="4"/>
  <c r="BS112" i="4"/>
  <c r="P112" i="4"/>
  <c r="BI112" i="4"/>
  <c r="CH112" i="4"/>
  <c r="BR112" i="4"/>
  <c r="AZ112" i="4"/>
  <c r="AA112" i="4"/>
  <c r="CC112" i="4"/>
  <c r="BN112" i="4"/>
  <c r="AO112" i="4"/>
  <c r="AC112" i="4"/>
  <c r="AX112" i="4"/>
  <c r="W112" i="4"/>
  <c r="DS112" i="4"/>
  <c r="DQ112" i="46" s="1"/>
  <c r="CQ112" i="4"/>
  <c r="BF112" i="4"/>
  <c r="CG112" i="4"/>
  <c r="BV112" i="4"/>
  <c r="CT112" i="4"/>
  <c r="BD112" i="4"/>
  <c r="BB112" i="4"/>
  <c r="CE112" i="4"/>
  <c r="AI112" i="4"/>
  <c r="Y112" i="4"/>
  <c r="DL112" i="4"/>
  <c r="EC112" i="4"/>
  <c r="AS112" i="4"/>
  <c r="AG112" i="4"/>
  <c r="AD112" i="4"/>
  <c r="Q112" i="4"/>
  <c r="DR112" i="4"/>
  <c r="DP112" i="46" s="1"/>
  <c r="CL112" i="4"/>
  <c r="BA112" i="4"/>
  <c r="BX112" i="4"/>
  <c r="BW112" i="4"/>
  <c r="BJ112" i="4"/>
  <c r="CA112" i="4"/>
  <c r="BH112" i="4"/>
  <c r="AU112" i="4"/>
  <c r="CJ112" i="4"/>
  <c r="CK112" i="4"/>
  <c r="CB112" i="4"/>
  <c r="DJ112" i="4"/>
  <c r="CS112" i="4"/>
  <c r="CR112" i="4"/>
  <c r="CF112" i="4"/>
  <c r="S112" i="4"/>
  <c r="DH112" i="4"/>
  <c r="AW112" i="4"/>
  <c r="DO112" i="4"/>
  <c r="BG112" i="4"/>
  <c r="AF112" i="4"/>
  <c r="BK112" i="4"/>
  <c r="X112" i="4"/>
  <c r="U112" i="4"/>
  <c r="O112" i="4"/>
  <c r="BZ112" i="4"/>
  <c r="B114" i="4"/>
  <c r="B102" i="5"/>
  <c r="A102" i="47"/>
  <c r="M113" i="4"/>
  <c r="C108" i="4"/>
  <c r="B96" i="47"/>
  <c r="C96" i="5"/>
  <c r="N107" i="4"/>
  <c r="C101" i="46"/>
  <c r="L100" i="46"/>
  <c r="B109" i="46" l="1"/>
  <c r="K108" i="46"/>
  <c r="V107" i="46"/>
  <c r="AN107" i="46"/>
  <c r="BJ107" i="46"/>
  <c r="CM107" i="46"/>
  <c r="AR107" i="46"/>
  <c r="P107" i="46"/>
  <c r="BN107" i="46"/>
  <c r="CD107" i="46"/>
  <c r="AQ107" i="46"/>
  <c r="BG107" i="46"/>
  <c r="U107" i="46"/>
  <c r="BQ107" i="46"/>
  <c r="AG107" i="46"/>
  <c r="BF107" i="46"/>
  <c r="BZ107" i="46"/>
  <c r="AJ107" i="46"/>
  <c r="BW107" i="46"/>
  <c r="AH107" i="46"/>
  <c r="AA107" i="46"/>
  <c r="O107" i="46"/>
  <c r="CC107" i="46"/>
  <c r="DM107" i="46"/>
  <c r="DK107" i="46"/>
  <c r="DF107" i="46"/>
  <c r="R107" i="46"/>
  <c r="CH107" i="46"/>
  <c r="CL107" i="46"/>
  <c r="BB107" i="46"/>
  <c r="BT107" i="46"/>
  <c r="M107" i="46"/>
  <c r="Z107" i="46"/>
  <c r="AP107" i="46"/>
  <c r="BS107" i="46"/>
  <c r="N107" i="46"/>
  <c r="AY107" i="46"/>
  <c r="W107" i="46"/>
  <c r="CE107" i="46"/>
  <c r="CR107" i="46"/>
  <c r="AX107" i="46"/>
  <c r="BM107" i="46"/>
  <c r="Q107" i="46"/>
  <c r="AI107" i="46"/>
  <c r="BL107" i="46"/>
  <c r="CJ107" i="46"/>
  <c r="CP107" i="46"/>
  <c r="CK107" i="46"/>
  <c r="DI107" i="46"/>
  <c r="DG107" i="46"/>
  <c r="DL107" i="46"/>
  <c r="X107" i="46"/>
  <c r="CF107" i="46"/>
  <c r="CN107" i="46"/>
  <c r="AS107" i="46"/>
  <c r="BI107" i="46"/>
  <c r="T107" i="46"/>
  <c r="BY107" i="46"/>
  <c r="AV107" i="46"/>
  <c r="BH107" i="46"/>
  <c r="CB107" i="46"/>
  <c r="AL107" i="46"/>
  <c r="AD107" i="46"/>
  <c r="AF107" i="46"/>
  <c r="CA107" i="46"/>
  <c r="AK107" i="46"/>
  <c r="BE107" i="46"/>
  <c r="CI107" i="46"/>
  <c r="BC107" i="46"/>
  <c r="CO107" i="46"/>
  <c r="BD107" i="46"/>
  <c r="AU107" i="46"/>
  <c r="DD107" i="46"/>
  <c r="DC107" i="46"/>
  <c r="DH107" i="46"/>
  <c r="DO107" i="46"/>
  <c r="AC107" i="46"/>
  <c r="BP107" i="46"/>
  <c r="BU107" i="46"/>
  <c r="AE107" i="46"/>
  <c r="BA107" i="46"/>
  <c r="AB107" i="46"/>
  <c r="CG107" i="46"/>
  <c r="EA107" i="46"/>
  <c r="AZ107" i="46"/>
  <c r="BR107" i="46"/>
  <c r="S107" i="46"/>
  <c r="BX107" i="46"/>
  <c r="AM107" i="46"/>
  <c r="BO107" i="46"/>
  <c r="CQ107" i="46"/>
  <c r="AW107" i="46"/>
  <c r="AO107" i="46"/>
  <c r="Y107" i="46"/>
  <c r="AT107" i="46"/>
  <c r="BV107" i="46"/>
  <c r="BK107" i="46"/>
  <c r="DE107" i="46"/>
  <c r="DJ107" i="46"/>
  <c r="DN107" i="46"/>
  <c r="N108" i="4"/>
  <c r="C97" i="5"/>
  <c r="C109" i="4"/>
  <c r="B97" i="47"/>
  <c r="B115" i="4"/>
  <c r="B103" i="5"/>
  <c r="A103" i="47"/>
  <c r="M114" i="4"/>
  <c r="DN113" i="4"/>
  <c r="AU113" i="4"/>
  <c r="AM113" i="4"/>
  <c r="AP113" i="4"/>
  <c r="AB113" i="4"/>
  <c r="Z113" i="4"/>
  <c r="AR113" i="4"/>
  <c r="Y113" i="4"/>
  <c r="Q113" i="4"/>
  <c r="CO113" i="4"/>
  <c r="CM113" i="4"/>
  <c r="DP113" i="4"/>
  <c r="DL113" i="4"/>
  <c r="AY113" i="4"/>
  <c r="X113" i="4"/>
  <c r="BV113" i="4"/>
  <c r="BS113" i="4"/>
  <c r="CS113" i="4"/>
  <c r="CB113" i="4"/>
  <c r="CF113" i="4"/>
  <c r="BQ113" i="4"/>
  <c r="CR113" i="4"/>
  <c r="CA113" i="4"/>
  <c r="CT113" i="4"/>
  <c r="CE113" i="4"/>
  <c r="AT113" i="4"/>
  <c r="AN113" i="4"/>
  <c r="AF113" i="4"/>
  <c r="AD113" i="4"/>
  <c r="W113" i="4"/>
  <c r="AX113" i="4"/>
  <c r="AC113" i="4"/>
  <c r="CP113" i="4"/>
  <c r="CQ113" i="4"/>
  <c r="DQ113" i="4"/>
  <c r="BE113" i="4"/>
  <c r="CI113" i="4"/>
  <c r="BP113" i="4"/>
  <c r="CH113" i="4"/>
  <c r="BG113" i="4"/>
  <c r="BZ113" i="4"/>
  <c r="BL113" i="4"/>
  <c r="P113" i="4"/>
  <c r="CC113" i="4"/>
  <c r="CD113" i="4"/>
  <c r="AA113" i="4"/>
  <c r="BW113" i="4"/>
  <c r="R113" i="4"/>
  <c r="AV113" i="4"/>
  <c r="AE113" i="4"/>
  <c r="AL113" i="4"/>
  <c r="T113" i="4"/>
  <c r="CJ113" i="4"/>
  <c r="DO113" i="4"/>
  <c r="CK113" i="4"/>
  <c r="O113" i="4"/>
  <c r="BN113" i="4"/>
  <c r="BJ113" i="4"/>
  <c r="BU113" i="4"/>
  <c r="BY113" i="4"/>
  <c r="BD113" i="4"/>
  <c r="AJ113" i="4"/>
  <c r="DS113" i="4"/>
  <c r="DQ113" i="46" s="1"/>
  <c r="AZ113" i="4"/>
  <c r="DH113" i="4"/>
  <c r="DJ113" i="4"/>
  <c r="AW113" i="4"/>
  <c r="AI113" i="4"/>
  <c r="V113" i="4"/>
  <c r="AK113" i="4"/>
  <c r="DK113" i="4"/>
  <c r="BK113" i="4"/>
  <c r="EC113" i="4"/>
  <c r="BM113" i="4"/>
  <c r="BH113" i="4"/>
  <c r="BX113" i="4"/>
  <c r="BO113" i="4"/>
  <c r="AO113" i="4"/>
  <c r="AH113" i="4"/>
  <c r="U113" i="4"/>
  <c r="CL113" i="4"/>
  <c r="BF113" i="4"/>
  <c r="CG113" i="4"/>
  <c r="BR113" i="4"/>
  <c r="DM113" i="4"/>
  <c r="S113" i="4"/>
  <c r="BT113" i="4"/>
  <c r="AQ113" i="4"/>
  <c r="DR113" i="4"/>
  <c r="DP113" i="46" s="1"/>
  <c r="AG113" i="4"/>
  <c r="BI113" i="4"/>
  <c r="CN113" i="4"/>
  <c r="BA113" i="4"/>
  <c r="BB113" i="4"/>
  <c r="BC113" i="4"/>
  <c r="AS113" i="4"/>
  <c r="DI113" i="4"/>
  <c r="C102" i="46"/>
  <c r="L101" i="46"/>
  <c r="AD108" i="46" l="1"/>
  <c r="AP108" i="46"/>
  <c r="BM108" i="46"/>
  <c r="CR108" i="46"/>
  <c r="AX108" i="46"/>
  <c r="W108" i="46"/>
  <c r="CE108" i="46"/>
  <c r="CO108" i="46"/>
  <c r="AT108" i="46"/>
  <c r="BL108" i="46"/>
  <c r="CC108" i="46"/>
  <c r="CH108" i="46"/>
  <c r="AN108" i="46"/>
  <c r="BA108" i="46"/>
  <c r="BU108" i="46"/>
  <c r="AE108" i="46"/>
  <c r="CD108" i="46"/>
  <c r="AY108" i="46"/>
  <c r="BN108" i="46"/>
  <c r="CI108" i="46"/>
  <c r="AO108" i="46"/>
  <c r="DI108" i="46"/>
  <c r="DK108" i="46"/>
  <c r="DH108" i="46"/>
  <c r="R108" i="46"/>
  <c r="BY108" i="46"/>
  <c r="AH108" i="46"/>
  <c r="BE108" i="46"/>
  <c r="CA108" i="46"/>
  <c r="AK108" i="46"/>
  <c r="V108" i="46"/>
  <c r="AF108" i="46"/>
  <c r="BV108" i="46"/>
  <c r="O108" i="46"/>
  <c r="BD108" i="46"/>
  <c r="Q108" i="46"/>
  <c r="CJ108" i="46"/>
  <c r="CM108" i="46"/>
  <c r="AR108" i="46"/>
  <c r="BJ108" i="46"/>
  <c r="AC108" i="46"/>
  <c r="AQ108" i="46"/>
  <c r="BS108" i="46"/>
  <c r="CB108" i="46"/>
  <c r="BR108" i="46"/>
  <c r="AZ108" i="46"/>
  <c r="DN108" i="46"/>
  <c r="DJ108" i="46"/>
  <c r="DL108" i="46"/>
  <c r="AB108" i="46"/>
  <c r="CG108" i="46"/>
  <c r="CQ108" i="46"/>
  <c r="AW108" i="46"/>
  <c r="BO108" i="46"/>
  <c r="S108" i="46"/>
  <c r="BX108" i="46"/>
  <c r="AG108" i="46"/>
  <c r="BK108" i="46"/>
  <c r="CP108" i="46"/>
  <c r="AU108" i="46"/>
  <c r="Y108" i="46"/>
  <c r="CF108" i="46"/>
  <c r="BT108" i="46"/>
  <c r="M108" i="46"/>
  <c r="BB108" i="46"/>
  <c r="AV108" i="46"/>
  <c r="Z108" i="46"/>
  <c r="N108" i="46"/>
  <c r="AL108" i="46"/>
  <c r="EA108" i="46"/>
  <c r="DD108" i="46"/>
  <c r="DE108" i="46"/>
  <c r="DF108" i="46"/>
  <c r="DO108" i="46"/>
  <c r="P108" i="46"/>
  <c r="BP108" i="46"/>
  <c r="BZ108" i="46"/>
  <c r="AJ108" i="46"/>
  <c r="BF108" i="46"/>
  <c r="U108" i="46"/>
  <c r="BQ108" i="46"/>
  <c r="CL108" i="46"/>
  <c r="BC108" i="46"/>
  <c r="BW108" i="46"/>
  <c r="AI108" i="46"/>
  <c r="AA108" i="46"/>
  <c r="AM108" i="46"/>
  <c r="BI108" i="46"/>
  <c r="CN108" i="46"/>
  <c r="AS108" i="46"/>
  <c r="BG108" i="46"/>
  <c r="CK108" i="46"/>
  <c r="T108" i="46"/>
  <c r="BH108" i="46"/>
  <c r="X108" i="46"/>
  <c r="DM108" i="46"/>
  <c r="DC108" i="46"/>
  <c r="DG108" i="46"/>
  <c r="K109" i="46"/>
  <c r="B110" i="46"/>
  <c r="B116" i="4"/>
  <c r="M115" i="4"/>
  <c r="B104" i="5"/>
  <c r="A104" i="47"/>
  <c r="DN114" i="4"/>
  <c r="CE114" i="4"/>
  <c r="AU114" i="4"/>
  <c r="AS114" i="4"/>
  <c r="AX114" i="4"/>
  <c r="AP114" i="4"/>
  <c r="Q114" i="4"/>
  <c r="W114" i="4"/>
  <c r="Y114" i="4"/>
  <c r="DR114" i="4"/>
  <c r="DP114" i="46" s="1"/>
  <c r="CP114" i="4"/>
  <c r="CL114" i="4"/>
  <c r="DK114" i="4"/>
  <c r="BA114" i="4"/>
  <c r="CK114" i="4"/>
  <c r="BP114" i="4"/>
  <c r="O114" i="4"/>
  <c r="BN114" i="4"/>
  <c r="DJ114" i="4"/>
  <c r="CH114" i="4"/>
  <c r="BR114" i="4"/>
  <c r="X114" i="4"/>
  <c r="BT114" i="4"/>
  <c r="BX114" i="4"/>
  <c r="P114" i="4"/>
  <c r="CD114" i="4"/>
  <c r="AW114" i="4"/>
  <c r="AO114" i="4"/>
  <c r="AD114" i="4"/>
  <c r="AC114" i="4"/>
  <c r="AG114" i="4"/>
  <c r="AK114" i="4"/>
  <c r="AF114" i="4"/>
  <c r="S114" i="4"/>
  <c r="DS114" i="4"/>
  <c r="DQ114" i="46" s="1"/>
  <c r="CQ114" i="4"/>
  <c r="DL114" i="4"/>
  <c r="BF114" i="4"/>
  <c r="BK114" i="4"/>
  <c r="AZ114" i="4"/>
  <c r="BD114" i="4"/>
  <c r="BU114" i="4"/>
  <c r="BH114" i="4"/>
  <c r="CG114" i="4"/>
  <c r="CF114" i="4"/>
  <c r="CT114" i="4"/>
  <c r="R114" i="4"/>
  <c r="DH114" i="4"/>
  <c r="CS114" i="4"/>
  <c r="BV114" i="4"/>
  <c r="AT114" i="4"/>
  <c r="AI114" i="4"/>
  <c r="Z114" i="4"/>
  <c r="V114" i="4"/>
  <c r="CJ114" i="4"/>
  <c r="DQ114" i="4"/>
  <c r="CI114" i="4"/>
  <c r="CR114" i="4"/>
  <c r="CC114" i="4"/>
  <c r="BB114" i="4"/>
  <c r="EC114" i="4"/>
  <c r="BL114" i="4"/>
  <c r="AM114" i="4"/>
  <c r="AB114" i="4"/>
  <c r="CB114" i="4"/>
  <c r="BI114" i="4"/>
  <c r="CA114" i="4"/>
  <c r="DM114" i="4"/>
  <c r="AV114" i="4"/>
  <c r="AH114" i="4"/>
  <c r="AR114" i="4"/>
  <c r="AJ114" i="4"/>
  <c r="CM114" i="4"/>
  <c r="DO114" i="4"/>
  <c r="BZ114" i="4"/>
  <c r="BC114" i="4"/>
  <c r="BM114" i="4"/>
  <c r="AA114" i="4"/>
  <c r="BO114" i="4"/>
  <c r="AL114" i="4"/>
  <c r="T114" i="4"/>
  <c r="CN114" i="4"/>
  <c r="BE114" i="4"/>
  <c r="BS114" i="4"/>
  <c r="BJ114" i="4"/>
  <c r="AE114" i="4"/>
  <c r="BW114" i="4"/>
  <c r="AN114" i="4"/>
  <c r="U114" i="4"/>
  <c r="BQ114" i="4"/>
  <c r="CO114" i="4"/>
  <c r="AY114" i="4"/>
  <c r="BG114" i="4"/>
  <c r="AQ114" i="4"/>
  <c r="DP114" i="4"/>
  <c r="BY114" i="4"/>
  <c r="DI114" i="4"/>
  <c r="N109" i="4"/>
  <c r="C110" i="4"/>
  <c r="B98" i="47"/>
  <c r="C98" i="5"/>
  <c r="C103" i="46"/>
  <c r="L102" i="46"/>
  <c r="B111" i="46" l="1"/>
  <c r="K110" i="46"/>
  <c r="U109" i="46"/>
  <c r="BQ109" i="46"/>
  <c r="AV109" i="46"/>
  <c r="BF109" i="46"/>
  <c r="BZ109" i="46"/>
  <c r="AJ109" i="46"/>
  <c r="AA109" i="46"/>
  <c r="AM109" i="46"/>
  <c r="BL109" i="46"/>
  <c r="CO109" i="46"/>
  <c r="AT109" i="46"/>
  <c r="AC109" i="46"/>
  <c r="BP109" i="46"/>
  <c r="BU109" i="46"/>
  <c r="AE109" i="46"/>
  <c r="BA109" i="46"/>
  <c r="CK109" i="46"/>
  <c r="T109" i="46"/>
  <c r="AQ109" i="46"/>
  <c r="BS109" i="46"/>
  <c r="CB109" i="46"/>
  <c r="DD109" i="46"/>
  <c r="DM109" i="46"/>
  <c r="DC109" i="46"/>
  <c r="DO109" i="46"/>
  <c r="BM109" i="46"/>
  <c r="AG109" i="46"/>
  <c r="BV109" i="46"/>
  <c r="AD109" i="46"/>
  <c r="BJ109" i="46"/>
  <c r="AR109" i="46"/>
  <c r="BY109" i="46"/>
  <c r="P109" i="46"/>
  <c r="W109" i="46"/>
  <c r="CE109" i="46"/>
  <c r="CR109" i="46"/>
  <c r="AX109" i="46"/>
  <c r="CC109" i="46"/>
  <c r="CI109" i="46"/>
  <c r="BD109" i="46"/>
  <c r="O109" i="46"/>
  <c r="AO109" i="46"/>
  <c r="CM109" i="46"/>
  <c r="EA109" i="46"/>
  <c r="BG109" i="46"/>
  <c r="N109" i="46"/>
  <c r="DI109" i="46"/>
  <c r="Z109" i="46"/>
  <c r="AF109" i="46"/>
  <c r="CA109" i="46"/>
  <c r="AK109" i="46"/>
  <c r="BE109" i="46"/>
  <c r="Q109" i="46"/>
  <c r="CJ109" i="46"/>
  <c r="CP109" i="46"/>
  <c r="AU109" i="46"/>
  <c r="BK109" i="46"/>
  <c r="R109" i="46"/>
  <c r="CH109" i="46"/>
  <c r="AH109" i="46"/>
  <c r="BB109" i="46"/>
  <c r="BT109" i="46"/>
  <c r="M109" i="46"/>
  <c r="AZ109" i="46"/>
  <c r="BN109" i="46"/>
  <c r="AB109" i="46"/>
  <c r="AY109" i="46"/>
  <c r="CL109" i="46"/>
  <c r="DG109" i="46"/>
  <c r="DJ109" i="46"/>
  <c r="DH109" i="46"/>
  <c r="CF109" i="46"/>
  <c r="CD109" i="46"/>
  <c r="AL109" i="46"/>
  <c r="DK109" i="46"/>
  <c r="DN109" i="46"/>
  <c r="S109" i="46"/>
  <c r="BX109" i="46"/>
  <c r="AP109" i="46"/>
  <c r="BO109" i="46"/>
  <c r="CQ109" i="46"/>
  <c r="AW109" i="46"/>
  <c r="Y109" i="46"/>
  <c r="CG109" i="46"/>
  <c r="BW109" i="46"/>
  <c r="AI109" i="46"/>
  <c r="BC109" i="46"/>
  <c r="X109" i="46"/>
  <c r="CN109" i="46"/>
  <c r="AS109" i="46"/>
  <c r="BI109" i="46"/>
  <c r="V109" i="46"/>
  <c r="BR109" i="46"/>
  <c r="AN109" i="46"/>
  <c r="BH109" i="46"/>
  <c r="DF109" i="46"/>
  <c r="DL109" i="46"/>
  <c r="DE109" i="46"/>
  <c r="DM115" i="4"/>
  <c r="CE115" i="4"/>
  <c r="AM115" i="4"/>
  <c r="AG115" i="4"/>
  <c r="AH115" i="4"/>
  <c r="AJ115" i="4"/>
  <c r="AQ115" i="4"/>
  <c r="AC115" i="4"/>
  <c r="V115" i="4"/>
  <c r="DR115" i="4"/>
  <c r="DP115" i="46" s="1"/>
  <c r="CO115" i="4"/>
  <c r="CQ115" i="4"/>
  <c r="DK115" i="4"/>
  <c r="BF115" i="4"/>
  <c r="CK115" i="4"/>
  <c r="AA115" i="4"/>
  <c r="R115" i="4"/>
  <c r="CS115" i="4"/>
  <c r="BW115" i="4"/>
  <c r="BZ115" i="4"/>
  <c r="DI115" i="4"/>
  <c r="BR115" i="4"/>
  <c r="BS115" i="4"/>
  <c r="BY115" i="4"/>
  <c r="BV115" i="4"/>
  <c r="BD115" i="4"/>
  <c r="AV115" i="4"/>
  <c r="AT115" i="4"/>
  <c r="AD115" i="4"/>
  <c r="T115" i="4"/>
  <c r="AE115" i="4"/>
  <c r="AF115" i="4"/>
  <c r="CJ115" i="4"/>
  <c r="CL115" i="4"/>
  <c r="DL115" i="4"/>
  <c r="AY115" i="4"/>
  <c r="BM115" i="4"/>
  <c r="AZ115" i="4"/>
  <c r="BX115" i="4"/>
  <c r="DJ115" i="4"/>
  <c r="BT115" i="4"/>
  <c r="CB115" i="4"/>
  <c r="CT115" i="4"/>
  <c r="DN115" i="4"/>
  <c r="AS115" i="4"/>
  <c r="AW115" i="4"/>
  <c r="AL115" i="4"/>
  <c r="Z115" i="4"/>
  <c r="AP115" i="4"/>
  <c r="S115" i="4"/>
  <c r="CP115" i="4"/>
  <c r="CN115" i="4"/>
  <c r="DO115" i="4"/>
  <c r="CI115" i="4"/>
  <c r="BP115" i="4"/>
  <c r="CH115" i="4"/>
  <c r="BC115" i="4"/>
  <c r="X115" i="4"/>
  <c r="BJ115" i="4"/>
  <c r="DH115" i="4"/>
  <c r="CD115" i="4"/>
  <c r="CA115" i="4"/>
  <c r="AN115" i="4"/>
  <c r="AK115" i="4"/>
  <c r="AX115" i="4"/>
  <c r="W115" i="4"/>
  <c r="U115" i="4"/>
  <c r="AI115" i="4"/>
  <c r="DP115" i="4"/>
  <c r="BE115" i="4"/>
  <c r="BK115" i="4"/>
  <c r="BG115" i="4"/>
  <c r="BQ115" i="4"/>
  <c r="EC115" i="4"/>
  <c r="BI115" i="4"/>
  <c r="P115" i="4"/>
  <c r="CG115" i="4"/>
  <c r="CC115" i="4"/>
  <c r="CR115" i="4"/>
  <c r="AU115" i="4"/>
  <c r="Q115" i="4"/>
  <c r="BA115" i="4"/>
  <c r="BO115" i="4"/>
  <c r="BN115" i="4"/>
  <c r="AR115" i="4"/>
  <c r="Y115" i="4"/>
  <c r="CF115" i="4"/>
  <c r="BU115" i="4"/>
  <c r="AO115" i="4"/>
  <c r="DQ115" i="4"/>
  <c r="BB115" i="4"/>
  <c r="O115" i="4"/>
  <c r="AB115" i="4"/>
  <c r="DS115" i="4"/>
  <c r="DQ115" i="46" s="1"/>
  <c r="CM115" i="4"/>
  <c r="BL115" i="4"/>
  <c r="BH115" i="4"/>
  <c r="N110" i="4"/>
  <c r="C111" i="4"/>
  <c r="B99" i="47"/>
  <c r="C99" i="5"/>
  <c r="B117" i="4"/>
  <c r="B105" i="5"/>
  <c r="M116" i="4"/>
  <c r="A105" i="47"/>
  <c r="C104" i="46"/>
  <c r="L103" i="46"/>
  <c r="AA110" i="46" l="1"/>
  <c r="AM110" i="46"/>
  <c r="BM110" i="46"/>
  <c r="CR110" i="46"/>
  <c r="AX110" i="46"/>
  <c r="AC110" i="46"/>
  <c r="BN110" i="46"/>
  <c r="BV110" i="46"/>
  <c r="O110" i="46"/>
  <c r="BD110" i="46"/>
  <c r="AB110" i="46"/>
  <c r="CE110" i="46"/>
  <c r="CM110" i="46"/>
  <c r="AR110" i="46"/>
  <c r="BJ110" i="46"/>
  <c r="R110" i="46"/>
  <c r="EA110" i="46"/>
  <c r="BG110" i="46"/>
  <c r="BQ110" i="46"/>
  <c r="N110" i="46"/>
  <c r="CF110" i="46"/>
  <c r="DI110" i="46"/>
  <c r="DC110" i="46"/>
  <c r="DE110" i="46"/>
  <c r="AK110" i="46"/>
  <c r="P110" i="46"/>
  <c r="M110" i="46"/>
  <c r="AZ110" i="46"/>
  <c r="CB110" i="46"/>
  <c r="DF110" i="46"/>
  <c r="DL110" i="46"/>
  <c r="AJ110" i="46"/>
  <c r="CK110" i="46"/>
  <c r="AT110" i="46"/>
  <c r="S110" i="46"/>
  <c r="CL110" i="46"/>
  <c r="BU110" i="46"/>
  <c r="BR110" i="46"/>
  <c r="W110" i="46"/>
  <c r="AL110" i="46"/>
  <c r="DK110" i="46"/>
  <c r="CC110" i="46"/>
  <c r="CH110" i="46"/>
  <c r="AG110" i="46"/>
  <c r="BE110" i="46"/>
  <c r="CA110" i="46"/>
  <c r="V110" i="46"/>
  <c r="AO110" i="46"/>
  <c r="BK110" i="46"/>
  <c r="CP110" i="46"/>
  <c r="AU110" i="46"/>
  <c r="BP110" i="46"/>
  <c r="BT110" i="46"/>
  <c r="BB110" i="46"/>
  <c r="BX110" i="46"/>
  <c r="CD110" i="46"/>
  <c r="AH110" i="46"/>
  <c r="AD110" i="46"/>
  <c r="DG110" i="46"/>
  <c r="Q110" i="46"/>
  <c r="CJ110" i="46"/>
  <c r="CQ110" i="46"/>
  <c r="AW110" i="46"/>
  <c r="BO110" i="46"/>
  <c r="T110" i="46"/>
  <c r="CI110" i="46"/>
  <c r="AV110" i="46"/>
  <c r="BC110" i="46"/>
  <c r="BW110" i="46"/>
  <c r="AI110" i="46"/>
  <c r="Z110" i="46"/>
  <c r="AP110" i="46"/>
  <c r="BI110" i="46"/>
  <c r="CN110" i="46"/>
  <c r="AS110" i="46"/>
  <c r="AF110" i="46"/>
  <c r="U110" i="46"/>
  <c r="AQ110" i="46"/>
  <c r="AY110" i="46"/>
  <c r="BH110" i="46"/>
  <c r="DD110" i="46"/>
  <c r="DN110" i="46"/>
  <c r="DM110" i="46"/>
  <c r="DO110" i="46"/>
  <c r="Y110" i="46"/>
  <c r="CG110" i="46"/>
  <c r="BZ110" i="46"/>
  <c r="BF110" i="46"/>
  <c r="X110" i="46"/>
  <c r="CO110" i="46"/>
  <c r="BL110" i="46"/>
  <c r="BY110" i="46"/>
  <c r="BA110" i="46"/>
  <c r="AE110" i="46"/>
  <c r="AN110" i="46"/>
  <c r="BS110" i="46"/>
  <c r="DH110" i="46"/>
  <c r="DJ110" i="46"/>
  <c r="K111" i="46"/>
  <c r="B112" i="46"/>
  <c r="AW116" i="4"/>
  <c r="AS116" i="4"/>
  <c r="AF116" i="4"/>
  <c r="AG116" i="4"/>
  <c r="AP116" i="4"/>
  <c r="AX116" i="4"/>
  <c r="AI116" i="4"/>
  <c r="AL116" i="4"/>
  <c r="DR116" i="4"/>
  <c r="DP116" i="46" s="1"/>
  <c r="CL116" i="4"/>
  <c r="DO116" i="4"/>
  <c r="BA116" i="4"/>
  <c r="BK116" i="4"/>
  <c r="BZ116" i="4"/>
  <c r="BM116" i="4"/>
  <c r="CT116" i="4"/>
  <c r="CS116" i="4"/>
  <c r="EC116" i="4"/>
  <c r="CG116" i="4"/>
  <c r="AA116" i="4"/>
  <c r="BX116" i="4"/>
  <c r="BO116" i="4"/>
  <c r="BD116" i="4"/>
  <c r="AV116" i="4"/>
  <c r="AM116" i="4"/>
  <c r="AC116" i="4"/>
  <c r="U116" i="4"/>
  <c r="Y116" i="4"/>
  <c r="W116" i="4"/>
  <c r="CP116" i="4"/>
  <c r="CQ116" i="4"/>
  <c r="DK116" i="4"/>
  <c r="CI116" i="4"/>
  <c r="DH116" i="4"/>
  <c r="DI116" i="4"/>
  <c r="BV116" i="4"/>
  <c r="CC116" i="4"/>
  <c r="DJ116" i="4"/>
  <c r="CD116" i="4"/>
  <c r="BQ116" i="4"/>
  <c r="CR116" i="4"/>
  <c r="DM116" i="4"/>
  <c r="AT116" i="4"/>
  <c r="AU116" i="4"/>
  <c r="AK116" i="4"/>
  <c r="Q116" i="4"/>
  <c r="S116" i="4"/>
  <c r="T116" i="4"/>
  <c r="CJ116" i="4"/>
  <c r="DP116" i="4"/>
  <c r="BE116" i="4"/>
  <c r="CK116" i="4"/>
  <c r="BL116" i="4"/>
  <c r="AZ116" i="4"/>
  <c r="BT116" i="4"/>
  <c r="BP116" i="4"/>
  <c r="BB116" i="4"/>
  <c r="CH116" i="4"/>
  <c r="P116" i="4"/>
  <c r="X116" i="4"/>
  <c r="DN116" i="4"/>
  <c r="AO116" i="4"/>
  <c r="AJ116" i="4"/>
  <c r="AR116" i="4"/>
  <c r="AH116" i="4"/>
  <c r="AB116" i="4"/>
  <c r="AD116" i="4"/>
  <c r="DS116" i="4"/>
  <c r="DQ116" i="46" s="1"/>
  <c r="CM116" i="4"/>
  <c r="DQ116" i="4"/>
  <c r="BF116" i="4"/>
  <c r="BY116" i="4"/>
  <c r="CA116" i="4"/>
  <c r="BN116" i="4"/>
  <c r="CB116" i="4"/>
  <c r="BI116" i="4"/>
  <c r="BC116" i="4"/>
  <c r="BH116" i="4"/>
  <c r="CF116" i="4"/>
  <c r="AE116" i="4"/>
  <c r="CO116" i="4"/>
  <c r="CN116" i="4"/>
  <c r="BU116" i="4"/>
  <c r="BW116" i="4"/>
  <c r="CE116" i="4"/>
  <c r="V116" i="4"/>
  <c r="DL116" i="4"/>
  <c r="BS116" i="4"/>
  <c r="BG116" i="4"/>
  <c r="AQ116" i="4"/>
  <c r="BJ116" i="4"/>
  <c r="O116" i="4"/>
  <c r="AN116" i="4"/>
  <c r="Z116" i="4"/>
  <c r="AY116" i="4"/>
  <c r="R116" i="4"/>
  <c r="BR116" i="4"/>
  <c r="B100" i="47"/>
  <c r="C112" i="4"/>
  <c r="C100" i="5"/>
  <c r="N111" i="4"/>
  <c r="B118" i="4"/>
  <c r="B106" i="5"/>
  <c r="A106" i="47"/>
  <c r="M117" i="4"/>
  <c r="C105" i="46"/>
  <c r="L104" i="46"/>
  <c r="K112" i="46" l="1"/>
  <c r="B113" i="46"/>
  <c r="X111" i="46"/>
  <c r="CF111" i="46"/>
  <c r="CD111" i="46"/>
  <c r="AQ111" i="46"/>
  <c r="BI111" i="46"/>
  <c r="R111" i="46"/>
  <c r="BY111" i="46"/>
  <c r="CL111" i="46"/>
  <c r="BF111" i="46"/>
  <c r="CB111" i="46"/>
  <c r="AL111" i="46"/>
  <c r="AD111" i="46"/>
  <c r="AF111" i="46"/>
  <c r="BW111" i="46"/>
  <c r="AI111" i="46"/>
  <c r="BE111" i="46"/>
  <c r="AG111" i="46"/>
  <c r="AA111" i="46"/>
  <c r="O111" i="46"/>
  <c r="AS111" i="46"/>
  <c r="CH111" i="46"/>
  <c r="DD111" i="46"/>
  <c r="DM111" i="46"/>
  <c r="DJ111" i="46"/>
  <c r="DO111" i="46"/>
  <c r="V111" i="46"/>
  <c r="BH111" i="46"/>
  <c r="CM111" i="46"/>
  <c r="P111" i="46"/>
  <c r="CA111" i="46"/>
  <c r="U111" i="46"/>
  <c r="BD111" i="46"/>
  <c r="AJ111" i="46"/>
  <c r="BB111" i="46"/>
  <c r="Q111" i="46"/>
  <c r="DN111" i="46"/>
  <c r="AT111" i="46"/>
  <c r="DL111" i="46"/>
  <c r="AC111" i="46"/>
  <c r="BP111" i="46"/>
  <c r="BS111" i="46"/>
  <c r="N111" i="46"/>
  <c r="BA111" i="46"/>
  <c r="AB111" i="46"/>
  <c r="CE111" i="46"/>
  <c r="CR111" i="46"/>
  <c r="AX111" i="46"/>
  <c r="BR111" i="46"/>
  <c r="S111" i="46"/>
  <c r="BX111" i="46"/>
  <c r="AP111" i="46"/>
  <c r="BL111" i="46"/>
  <c r="CQ111" i="46"/>
  <c r="AW111" i="46"/>
  <c r="BJ111" i="46"/>
  <c r="CJ111" i="46"/>
  <c r="CC111" i="46"/>
  <c r="BK111" i="46"/>
  <c r="AE111" i="46"/>
  <c r="DE111" i="46"/>
  <c r="DK111" i="46"/>
  <c r="DF111" i="46"/>
  <c r="AO111" i="46"/>
  <c r="AR111" i="46"/>
  <c r="BN111" i="46"/>
  <c r="AK111" i="46"/>
  <c r="BG111" i="46"/>
  <c r="AH111" i="46"/>
  <c r="BZ111" i="46"/>
  <c r="CO111" i="46"/>
  <c r="BU111" i="46"/>
  <c r="DI111" i="46"/>
  <c r="BV111" i="46"/>
  <c r="DG111" i="46"/>
  <c r="BQ111" i="46"/>
  <c r="CK111" i="46"/>
  <c r="DH111" i="46"/>
  <c r="CN111" i="46"/>
  <c r="DC111" i="46"/>
  <c r="T111" i="46"/>
  <c r="CI111" i="46"/>
  <c r="AV111" i="46"/>
  <c r="AZ111" i="46"/>
  <c r="BT111" i="46"/>
  <c r="M111" i="46"/>
  <c r="Z111" i="46"/>
  <c r="AN111" i="46"/>
  <c r="BO111" i="46"/>
  <c r="EA111" i="46"/>
  <c r="AY111" i="46"/>
  <c r="W111" i="46"/>
  <c r="CG111" i="46"/>
  <c r="CP111" i="46"/>
  <c r="AU111" i="46"/>
  <c r="BM111" i="46"/>
  <c r="Y111" i="46"/>
  <c r="AM111" i="46"/>
  <c r="BC111" i="46"/>
  <c r="C101" i="5"/>
  <c r="C113" i="4"/>
  <c r="B101" i="47"/>
  <c r="N112" i="4"/>
  <c r="B119" i="4"/>
  <c r="A107" i="47"/>
  <c r="B107" i="5"/>
  <c r="M118" i="4"/>
  <c r="CE117" i="4"/>
  <c r="AT117" i="4"/>
  <c r="AE117" i="4"/>
  <c r="AJ117" i="4"/>
  <c r="AH117" i="4"/>
  <c r="W117" i="4"/>
  <c r="AL117" i="4"/>
  <c r="Q117" i="4"/>
  <c r="DS117" i="4"/>
  <c r="DQ117" i="46" s="1"/>
  <c r="CJ117" i="4"/>
  <c r="CL117" i="4"/>
  <c r="DO117" i="4"/>
  <c r="BF117" i="4"/>
  <c r="CK117" i="4"/>
  <c r="CH117" i="4"/>
  <c r="DH117" i="4"/>
  <c r="BQ117" i="4"/>
  <c r="BO117" i="4"/>
  <c r="P117" i="4"/>
  <c r="R117" i="4"/>
  <c r="DJ117" i="4"/>
  <c r="BB117" i="4"/>
  <c r="CB117" i="4"/>
  <c r="CF117" i="4"/>
  <c r="CA117" i="4"/>
  <c r="DM117" i="4"/>
  <c r="AU117" i="4"/>
  <c r="AI117" i="4"/>
  <c r="AB117" i="4"/>
  <c r="Z117" i="4"/>
  <c r="S117" i="4"/>
  <c r="U117" i="4"/>
  <c r="DP117" i="4"/>
  <c r="BE117" i="4"/>
  <c r="BK117" i="4"/>
  <c r="BM117" i="4"/>
  <c r="BU117" i="4"/>
  <c r="AZ117" i="4"/>
  <c r="BI117" i="4"/>
  <c r="BZ117" i="4"/>
  <c r="BJ117" i="4"/>
  <c r="BS117" i="4"/>
  <c r="Y117" i="4"/>
  <c r="BY117" i="4"/>
  <c r="BN117" i="4"/>
  <c r="BP117" i="4"/>
  <c r="DN117" i="4"/>
  <c r="AO117" i="4"/>
  <c r="AP117" i="4"/>
  <c r="AS117" i="4"/>
  <c r="AD117" i="4"/>
  <c r="AC117" i="4"/>
  <c r="AR117" i="4"/>
  <c r="DR117" i="4"/>
  <c r="DP117" i="46" s="1"/>
  <c r="CM117" i="4"/>
  <c r="DQ117" i="4"/>
  <c r="BA117" i="4"/>
  <c r="CG117" i="4"/>
  <c r="CT117" i="4"/>
  <c r="BX117" i="4"/>
  <c r="AA117" i="4"/>
  <c r="BW117" i="4"/>
  <c r="DI117" i="4"/>
  <c r="CS117" i="4"/>
  <c r="EC117" i="4"/>
  <c r="AV117" i="4"/>
  <c r="AN117" i="4"/>
  <c r="AF117" i="4"/>
  <c r="AX117" i="4"/>
  <c r="T117" i="4"/>
  <c r="CO117" i="4"/>
  <c r="CQ117" i="4"/>
  <c r="DK117" i="4"/>
  <c r="AY117" i="4"/>
  <c r="CD117" i="4"/>
  <c r="O117" i="4"/>
  <c r="X117" i="4"/>
  <c r="BV117" i="4"/>
  <c r="BG117" i="4"/>
  <c r="AQ117" i="4"/>
  <c r="CC117" i="4"/>
  <c r="BC117" i="4"/>
  <c r="AG117" i="4"/>
  <c r="BT117" i="4"/>
  <c r="V117" i="4"/>
  <c r="CP117" i="4"/>
  <c r="CN117" i="4"/>
  <c r="BR117" i="4"/>
  <c r="BH117" i="4"/>
  <c r="AM117" i="4"/>
  <c r="CI117" i="4"/>
  <c r="AW117" i="4"/>
  <c r="AK117" i="4"/>
  <c r="DL117" i="4"/>
  <c r="BL117" i="4"/>
  <c r="BD117" i="4"/>
  <c r="CR117" i="4"/>
  <c r="L105" i="46"/>
  <c r="C106" i="46"/>
  <c r="B114" i="46" l="1"/>
  <c r="K113" i="46"/>
  <c r="AB112" i="46"/>
  <c r="CK112" i="46"/>
  <c r="CP112" i="46"/>
  <c r="AU112" i="46"/>
  <c r="BK112" i="46"/>
  <c r="S112" i="46"/>
  <c r="BX112" i="46"/>
  <c r="AN112" i="46"/>
  <c r="BJ112" i="46"/>
  <c r="CM112" i="46"/>
  <c r="AR112" i="46"/>
  <c r="Y112" i="46"/>
  <c r="CG112" i="46"/>
  <c r="CD112" i="46"/>
  <c r="AQ112" i="46"/>
  <c r="BG112" i="46"/>
  <c r="CE112" i="46"/>
  <c r="R112" i="46"/>
  <c r="BE112" i="46"/>
  <c r="BO112" i="46"/>
  <c r="AC112" i="46"/>
  <c r="DD112" i="46"/>
  <c r="DC112" i="46"/>
  <c r="DK112" i="46"/>
  <c r="DO112" i="46"/>
  <c r="AE112" i="46"/>
  <c r="BR112" i="46"/>
  <c r="AH112" i="46"/>
  <c r="P112" i="46"/>
  <c r="BP112" i="46"/>
  <c r="BW112" i="46"/>
  <c r="AI112" i="46"/>
  <c r="BC112" i="46"/>
  <c r="U112" i="46"/>
  <c r="BQ112" i="46"/>
  <c r="AV112" i="46"/>
  <c r="BB112" i="46"/>
  <c r="BT112" i="46"/>
  <c r="M112" i="46"/>
  <c r="AA112" i="46"/>
  <c r="AM112" i="46"/>
  <c r="BS112" i="46"/>
  <c r="N112" i="46"/>
  <c r="AY112" i="46"/>
  <c r="CR112" i="46"/>
  <c r="BN112" i="46"/>
  <c r="X112" i="46"/>
  <c r="CQ112" i="46"/>
  <c r="AJ112" i="46"/>
  <c r="DG112" i="46"/>
  <c r="DE112" i="46"/>
  <c r="DI112" i="46"/>
  <c r="BZ112" i="46"/>
  <c r="DH112" i="46"/>
  <c r="BV112" i="46"/>
  <c r="Q112" i="46"/>
  <c r="AZ112" i="46"/>
  <c r="AK112" i="46"/>
  <c r="BF112" i="46"/>
  <c r="DL112" i="46"/>
  <c r="AD112" i="46"/>
  <c r="AP112" i="46"/>
  <c r="BL112" i="46"/>
  <c r="CO112" i="46"/>
  <c r="AT112" i="46"/>
  <c r="W112" i="46"/>
  <c r="CF112" i="46"/>
  <c r="CN112" i="46"/>
  <c r="AS112" i="46"/>
  <c r="BI112" i="46"/>
  <c r="CC112" i="46"/>
  <c r="CH112" i="46"/>
  <c r="AG112" i="46"/>
  <c r="BH112" i="46"/>
  <c r="CB112" i="46"/>
  <c r="AL112" i="46"/>
  <c r="AX112" i="46"/>
  <c r="CA112" i="46"/>
  <c r="CI112" i="46"/>
  <c r="AW112" i="46"/>
  <c r="DN112" i="46"/>
  <c r="DM112" i="46"/>
  <c r="V112" i="46"/>
  <c r="CJ112" i="46"/>
  <c r="Z112" i="46"/>
  <c r="AO112" i="46"/>
  <c r="DJ112" i="46"/>
  <c r="T112" i="46"/>
  <c r="BY112" i="46"/>
  <c r="CL112" i="46"/>
  <c r="BD112" i="46"/>
  <c r="O112" i="46"/>
  <c r="AF112" i="46"/>
  <c r="BU112" i="46"/>
  <c r="BA112" i="46"/>
  <c r="EA112" i="46"/>
  <c r="BM112" i="46"/>
  <c r="DF112" i="46"/>
  <c r="AW118" i="4"/>
  <c r="AV118" i="4"/>
  <c r="AD118" i="4"/>
  <c r="AC118" i="4"/>
  <c r="AK118" i="4"/>
  <c r="Z118" i="4"/>
  <c r="T118" i="4"/>
  <c r="U118" i="4"/>
  <c r="DS118" i="4"/>
  <c r="DQ118" i="46" s="1"/>
  <c r="CQ118" i="4"/>
  <c r="DL118" i="4"/>
  <c r="BF118" i="4"/>
  <c r="BK118" i="4"/>
  <c r="CD118" i="4"/>
  <c r="BR118" i="4"/>
  <c r="BO118" i="4"/>
  <c r="DI118" i="4"/>
  <c r="BI118" i="4"/>
  <c r="AA118" i="4"/>
  <c r="BX118" i="4"/>
  <c r="CF118" i="4"/>
  <c r="BT118" i="4"/>
  <c r="EC118" i="4"/>
  <c r="BZ118" i="4"/>
  <c r="DM118" i="4"/>
  <c r="AU118" i="4"/>
  <c r="AO118" i="4"/>
  <c r="AE118" i="4"/>
  <c r="Q118" i="4"/>
  <c r="AQ118" i="4"/>
  <c r="V118" i="4"/>
  <c r="CJ118" i="4"/>
  <c r="DP118" i="4"/>
  <c r="BE118" i="4"/>
  <c r="CK118" i="4"/>
  <c r="AZ118" i="4"/>
  <c r="CG118" i="4"/>
  <c r="BH118" i="4"/>
  <c r="BP118" i="4"/>
  <c r="CS118" i="4"/>
  <c r="BY118" i="4"/>
  <c r="BS118" i="4"/>
  <c r="CR118" i="4"/>
  <c r="CE118" i="4"/>
  <c r="S118" i="4"/>
  <c r="CO118" i="4"/>
  <c r="CN118" i="4"/>
  <c r="BL118" i="4"/>
  <c r="DN118" i="4"/>
  <c r="AT118" i="4"/>
  <c r="AH118" i="4"/>
  <c r="AI118" i="4"/>
  <c r="AG118" i="4"/>
  <c r="Y118" i="4"/>
  <c r="AJ118" i="4"/>
  <c r="DR118" i="4"/>
  <c r="DP118" i="46" s="1"/>
  <c r="CM118" i="4"/>
  <c r="DQ118" i="4"/>
  <c r="BA118" i="4"/>
  <c r="CT118" i="4"/>
  <c r="BB118" i="4"/>
  <c r="O118" i="4"/>
  <c r="BU118" i="4"/>
  <c r="P118" i="4"/>
  <c r="R118" i="4"/>
  <c r="X118" i="4"/>
  <c r="CC118" i="4"/>
  <c r="AS118" i="4"/>
  <c r="AL118" i="4"/>
  <c r="AP118" i="4"/>
  <c r="W118" i="4"/>
  <c r="DK118" i="4"/>
  <c r="AY118" i="4"/>
  <c r="BC118" i="4"/>
  <c r="BD118" i="4"/>
  <c r="CH118" i="4"/>
  <c r="DH118" i="4"/>
  <c r="CA118" i="4"/>
  <c r="DJ118" i="4"/>
  <c r="AX118" i="4"/>
  <c r="BG118" i="4"/>
  <c r="BW118" i="4"/>
  <c r="AN118" i="4"/>
  <c r="BJ118" i="4"/>
  <c r="AB118" i="4"/>
  <c r="CP118" i="4"/>
  <c r="CL118" i="4"/>
  <c r="BV118" i="4"/>
  <c r="BQ118" i="4"/>
  <c r="AR118" i="4"/>
  <c r="CI118" i="4"/>
  <c r="BM118" i="4"/>
  <c r="AM118" i="4"/>
  <c r="AF118" i="4"/>
  <c r="DO118" i="4"/>
  <c r="BN118" i="4"/>
  <c r="CB118" i="4"/>
  <c r="C114" i="4"/>
  <c r="C102" i="5"/>
  <c r="B102" i="47"/>
  <c r="N113" i="4"/>
  <c r="B120" i="4"/>
  <c r="B108" i="5"/>
  <c r="M119" i="4"/>
  <c r="A108" i="47"/>
  <c r="C107" i="46"/>
  <c r="L106" i="46"/>
  <c r="S113" i="46" l="1"/>
  <c r="BX113" i="46"/>
  <c r="AP113" i="46"/>
  <c r="BK113" i="46"/>
  <c r="CP113" i="46"/>
  <c r="AU113" i="46"/>
  <c r="Y113" i="46"/>
  <c r="CK113" i="46"/>
  <c r="BT113" i="46"/>
  <c r="M113" i="46"/>
  <c r="BB113" i="46"/>
  <c r="X113" i="46"/>
  <c r="CE113" i="46"/>
  <c r="CB113" i="46"/>
  <c r="AL113" i="46"/>
  <c r="BH113" i="46"/>
  <c r="T113" i="46"/>
  <c r="AJ113" i="46"/>
  <c r="BM113" i="46"/>
  <c r="CL113" i="46"/>
  <c r="AW113" i="46"/>
  <c r="CQ113" i="46"/>
  <c r="DM113" i="46"/>
  <c r="DG113" i="46"/>
  <c r="DL113" i="46"/>
  <c r="U113" i="46"/>
  <c r="BQ113" i="46"/>
  <c r="AG113" i="46"/>
  <c r="BC113" i="46"/>
  <c r="BW113" i="46"/>
  <c r="AI113" i="46"/>
  <c r="AA113" i="46"/>
  <c r="AM113" i="46"/>
  <c r="BI113" i="46"/>
  <c r="CN113" i="46"/>
  <c r="AS113" i="46"/>
  <c r="AC113" i="46"/>
  <c r="BP113" i="46"/>
  <c r="BR113" i="46"/>
  <c r="EA113" i="46"/>
  <c r="AZ113" i="46"/>
  <c r="BY113" i="46"/>
  <c r="BF113" i="46"/>
  <c r="CR113" i="46"/>
  <c r="BE113" i="46"/>
  <c r="CF113" i="46"/>
  <c r="DD113" i="46"/>
  <c r="DJ113" i="46"/>
  <c r="DC113" i="46"/>
  <c r="DO113" i="46"/>
  <c r="W113" i="46"/>
  <c r="CG113" i="46"/>
  <c r="CO113" i="46"/>
  <c r="AT113" i="46"/>
  <c r="BL113" i="46"/>
  <c r="CC113" i="46"/>
  <c r="CI113" i="46"/>
  <c r="AH113" i="46"/>
  <c r="BA113" i="46"/>
  <c r="BU113" i="46"/>
  <c r="AE113" i="46"/>
  <c r="AD113" i="46"/>
  <c r="AO113" i="46"/>
  <c r="BG113" i="46"/>
  <c r="CD113" i="46"/>
  <c r="AQ113" i="46"/>
  <c r="BN113" i="46"/>
  <c r="AB113" i="46"/>
  <c r="AX113" i="46"/>
  <c r="CA113" i="46"/>
  <c r="BO113" i="46"/>
  <c r="DE113" i="46"/>
  <c r="DK113" i="46"/>
  <c r="DN113" i="46"/>
  <c r="V113" i="46"/>
  <c r="AF113" i="46"/>
  <c r="BV113" i="46"/>
  <c r="O113" i="46"/>
  <c r="BD113" i="46"/>
  <c r="Q113" i="46"/>
  <c r="CJ113" i="46"/>
  <c r="CM113" i="46"/>
  <c r="AR113" i="46"/>
  <c r="BJ113" i="46"/>
  <c r="R113" i="46"/>
  <c r="CH113" i="46"/>
  <c r="AV113" i="46"/>
  <c r="AY113" i="46"/>
  <c r="BS113" i="46"/>
  <c r="N113" i="46"/>
  <c r="BZ113" i="46"/>
  <c r="AN113" i="46"/>
  <c r="P113" i="46"/>
  <c r="AK113" i="46"/>
  <c r="Z113" i="46"/>
  <c r="DF113" i="46"/>
  <c r="DI113" i="46"/>
  <c r="DH113" i="46"/>
  <c r="B115" i="46"/>
  <c r="K114" i="46"/>
  <c r="DM119" i="4"/>
  <c r="AS119" i="4"/>
  <c r="AO119" i="4"/>
  <c r="AR119" i="4"/>
  <c r="AX119" i="4"/>
  <c r="T119" i="4"/>
  <c r="V119" i="4"/>
  <c r="U119" i="4"/>
  <c r="AP119" i="4"/>
  <c r="CO119" i="4"/>
  <c r="CL119" i="4"/>
  <c r="DP119" i="4"/>
  <c r="DO119" i="4"/>
  <c r="AY119" i="4"/>
  <c r="BI119" i="4"/>
  <c r="CG119" i="4"/>
  <c r="CT119" i="4"/>
  <c r="BB119" i="4"/>
  <c r="BV119" i="4"/>
  <c r="BJ119" i="4"/>
  <c r="BP119" i="4"/>
  <c r="BX119" i="4"/>
  <c r="AZ119" i="4"/>
  <c r="EC119" i="4"/>
  <c r="AN119" i="4"/>
  <c r="AG119" i="4"/>
  <c r="AL119" i="4"/>
  <c r="Z119" i="4"/>
  <c r="AI119" i="4"/>
  <c r="Y119" i="4"/>
  <c r="CJ119" i="4"/>
  <c r="CQ119" i="4"/>
  <c r="BE119" i="4"/>
  <c r="CK119" i="4"/>
  <c r="CC119" i="4"/>
  <c r="CS119" i="4"/>
  <c r="CD119" i="4"/>
  <c r="P119" i="4"/>
  <c r="BH119" i="4"/>
  <c r="CR119" i="4"/>
  <c r="AA119" i="4"/>
  <c r="BC119" i="4"/>
  <c r="AM119" i="4"/>
  <c r="AF119" i="4"/>
  <c r="Q119" i="4"/>
  <c r="DS119" i="4"/>
  <c r="DQ119" i="46" s="1"/>
  <c r="BZ119" i="4"/>
  <c r="CH119" i="4"/>
  <c r="BM119" i="4"/>
  <c r="CB119" i="4"/>
  <c r="BQ119" i="4"/>
  <c r="CA119" i="4"/>
  <c r="DN119" i="4"/>
  <c r="AW119" i="4"/>
  <c r="AK119" i="4"/>
  <c r="AB119" i="4"/>
  <c r="W119" i="4"/>
  <c r="AC119" i="4"/>
  <c r="S119" i="4"/>
  <c r="DR119" i="4"/>
  <c r="DP119" i="46" s="1"/>
  <c r="DQ119" i="4"/>
  <c r="BF119" i="4"/>
  <c r="BK119" i="4"/>
  <c r="BT119" i="4"/>
  <c r="BD119" i="4"/>
  <c r="BY119" i="4"/>
  <c r="DI119" i="4"/>
  <c r="X119" i="4"/>
  <c r="DJ119" i="4"/>
  <c r="BR119" i="4"/>
  <c r="R119" i="4"/>
  <c r="CE119" i="4"/>
  <c r="AD119" i="4"/>
  <c r="AJ119" i="4"/>
  <c r="CN119" i="4"/>
  <c r="DK119" i="4"/>
  <c r="BA119" i="4"/>
  <c r="BG119" i="4"/>
  <c r="BN119" i="4"/>
  <c r="AQ119" i="4"/>
  <c r="CP119" i="4"/>
  <c r="CM119" i="4"/>
  <c r="BS119" i="4"/>
  <c r="O119" i="4"/>
  <c r="BL119" i="4"/>
  <c r="AV119" i="4"/>
  <c r="AT119" i="4"/>
  <c r="DL119" i="4"/>
  <c r="CF119" i="4"/>
  <c r="DH119" i="4"/>
  <c r="AH119" i="4"/>
  <c r="AU119" i="4"/>
  <c r="AE119" i="4"/>
  <c r="CI119" i="4"/>
  <c r="BO119" i="4"/>
  <c r="BW119" i="4"/>
  <c r="BU119" i="4"/>
  <c r="N114" i="4"/>
  <c r="C115" i="4"/>
  <c r="C103" i="5"/>
  <c r="B103" i="47"/>
  <c r="B121" i="4"/>
  <c r="B109" i="5"/>
  <c r="M120" i="4"/>
  <c r="A109" i="47"/>
  <c r="C108" i="46"/>
  <c r="L107" i="46"/>
  <c r="AA114" i="46" l="1"/>
  <c r="AM114" i="46"/>
  <c r="BO114" i="46"/>
  <c r="EA114" i="46"/>
  <c r="AY114" i="46"/>
  <c r="AC114" i="46"/>
  <c r="BN114" i="46"/>
  <c r="BW114" i="46"/>
  <c r="AI114" i="46"/>
  <c r="BE114" i="46"/>
  <c r="AB114" i="46"/>
  <c r="CK114" i="46"/>
  <c r="CN114" i="46"/>
  <c r="AS114" i="46"/>
  <c r="BK114" i="46"/>
  <c r="U114" i="46"/>
  <c r="AR114" i="46"/>
  <c r="AZ114" i="46"/>
  <c r="CG114" i="46"/>
  <c r="BX114" i="46"/>
  <c r="BA114" i="46"/>
  <c r="DF114" i="46"/>
  <c r="DM114" i="46"/>
  <c r="DC114" i="46"/>
  <c r="CO114" i="46"/>
  <c r="AQ114" i="46"/>
  <c r="DN114" i="46"/>
  <c r="DO114" i="46"/>
  <c r="Y114" i="46"/>
  <c r="CE114" i="46"/>
  <c r="CA114" i="46"/>
  <c r="X114" i="46"/>
  <c r="CF114" i="46"/>
  <c r="AU114" i="46"/>
  <c r="R114" i="46"/>
  <c r="AV114" i="46"/>
  <c r="O114" i="46"/>
  <c r="CL114" i="46"/>
  <c r="BI114" i="46"/>
  <c r="DE114" i="46"/>
  <c r="DH114" i="46"/>
  <c r="CC114" i="46"/>
  <c r="CH114" i="46"/>
  <c r="AP114" i="46"/>
  <c r="BF114" i="46"/>
  <c r="CB114" i="46"/>
  <c r="AL114" i="46"/>
  <c r="Z114" i="46"/>
  <c r="AO114" i="46"/>
  <c r="BL114" i="46"/>
  <c r="CQ114" i="46"/>
  <c r="AW114" i="46"/>
  <c r="P114" i="46"/>
  <c r="BP114" i="46"/>
  <c r="BU114" i="46"/>
  <c r="AE114" i="46"/>
  <c r="BC114" i="46"/>
  <c r="AG114" i="46"/>
  <c r="W114" i="46"/>
  <c r="BT114" i="46"/>
  <c r="CD114" i="46"/>
  <c r="N114" i="46"/>
  <c r="BS114" i="46"/>
  <c r="DG114" i="46"/>
  <c r="DI114" i="46"/>
  <c r="DL114" i="46"/>
  <c r="BJ114" i="46"/>
  <c r="M114" i="46"/>
  <c r="DD114" i="46"/>
  <c r="DK114" i="46"/>
  <c r="BG114" i="46"/>
  <c r="CP114" i="46"/>
  <c r="BM114" i="46"/>
  <c r="BY114" i="46"/>
  <c r="BB114" i="46"/>
  <c r="CM114" i="46"/>
  <c r="AD114" i="46"/>
  <c r="AF114" i="46"/>
  <c r="DJ114" i="46"/>
  <c r="Q114" i="46"/>
  <c r="CJ114" i="46"/>
  <c r="CR114" i="46"/>
  <c r="AX114" i="46"/>
  <c r="BR114" i="46"/>
  <c r="S114" i="46"/>
  <c r="CI114" i="46"/>
  <c r="AH114" i="46"/>
  <c r="BD114" i="46"/>
  <c r="BZ114" i="46"/>
  <c r="AJ114" i="46"/>
  <c r="V114" i="46"/>
  <c r="AN114" i="46"/>
  <c r="AT114" i="46"/>
  <c r="BH114" i="46"/>
  <c r="BQ114" i="46"/>
  <c r="T114" i="46"/>
  <c r="AK114" i="46"/>
  <c r="BV114" i="46"/>
  <c r="K115" i="46"/>
  <c r="B116" i="46"/>
  <c r="B122" i="4"/>
  <c r="B110" i="5"/>
  <c r="A110" i="47"/>
  <c r="M121" i="4"/>
  <c r="DN120" i="4"/>
  <c r="AT120" i="4"/>
  <c r="AM120" i="4"/>
  <c r="AQ120" i="4"/>
  <c r="AR120" i="4"/>
  <c r="AB120" i="4"/>
  <c r="Y120" i="4"/>
  <c r="W120" i="4"/>
  <c r="T120" i="4"/>
  <c r="CP120" i="4"/>
  <c r="CN120" i="4"/>
  <c r="DQ120" i="4"/>
  <c r="BE120" i="4"/>
  <c r="CI120" i="4"/>
  <c r="BV120" i="4"/>
  <c r="CS120" i="4"/>
  <c r="DH120" i="4"/>
  <c r="BP120" i="4"/>
  <c r="CF120" i="4"/>
  <c r="BC120" i="4"/>
  <c r="CR120" i="4"/>
  <c r="BZ120" i="4"/>
  <c r="BH120" i="4"/>
  <c r="CT120" i="4"/>
  <c r="BU120" i="4"/>
  <c r="AV120" i="4"/>
  <c r="AU120" i="4"/>
  <c r="AG120" i="4"/>
  <c r="AP120" i="4"/>
  <c r="S120" i="4"/>
  <c r="AH120" i="4"/>
  <c r="CJ120" i="4"/>
  <c r="CQ120" i="4"/>
  <c r="DK120" i="4"/>
  <c r="CK120" i="4"/>
  <c r="BJ120" i="4"/>
  <c r="BY120" i="4"/>
  <c r="CA120" i="4"/>
  <c r="BS120" i="4"/>
  <c r="BO120" i="4"/>
  <c r="BB120" i="4"/>
  <c r="X120" i="4"/>
  <c r="EC120" i="4"/>
  <c r="CE120" i="4"/>
  <c r="AJ120" i="4"/>
  <c r="AI120" i="4"/>
  <c r="Z120" i="4"/>
  <c r="DR120" i="4"/>
  <c r="DP120" i="46" s="1"/>
  <c r="CL120" i="4"/>
  <c r="BA120" i="4"/>
  <c r="CH120" i="4"/>
  <c r="BT120" i="4"/>
  <c r="BN120" i="4"/>
  <c r="BM120" i="4"/>
  <c r="CC120" i="4"/>
  <c r="DM120" i="4"/>
  <c r="AO120" i="4"/>
  <c r="AF120" i="4"/>
  <c r="AK120" i="4"/>
  <c r="AD120" i="4"/>
  <c r="AE120" i="4"/>
  <c r="AX120" i="4"/>
  <c r="DS120" i="4"/>
  <c r="DQ120" i="46" s="1"/>
  <c r="DP120" i="4"/>
  <c r="BF120" i="4"/>
  <c r="BK120" i="4"/>
  <c r="DI120" i="4"/>
  <c r="DJ120" i="4"/>
  <c r="AZ120" i="4"/>
  <c r="O120" i="4"/>
  <c r="BR120" i="4"/>
  <c r="BG120" i="4"/>
  <c r="BI120" i="4"/>
  <c r="AS120" i="4"/>
  <c r="AL120" i="4"/>
  <c r="DL120" i="4"/>
  <c r="AA120" i="4"/>
  <c r="P120" i="4"/>
  <c r="BD120" i="4"/>
  <c r="AW120" i="4"/>
  <c r="V120" i="4"/>
  <c r="DO120" i="4"/>
  <c r="CB120" i="4"/>
  <c r="CG120" i="4"/>
  <c r="U120" i="4"/>
  <c r="CM120" i="4"/>
  <c r="BQ120" i="4"/>
  <c r="BW120" i="4"/>
  <c r="AN120" i="4"/>
  <c r="Q120" i="4"/>
  <c r="AY120" i="4"/>
  <c r="BL120" i="4"/>
  <c r="R120" i="4"/>
  <c r="CO120" i="4"/>
  <c r="AC120" i="4"/>
  <c r="CD120" i="4"/>
  <c r="BX120" i="4"/>
  <c r="B104" i="47"/>
  <c r="C116" i="4"/>
  <c r="C104" i="5"/>
  <c r="N115" i="4"/>
  <c r="C109" i="46"/>
  <c r="L108" i="46"/>
  <c r="K116" i="46" l="1"/>
  <c r="B117" i="46"/>
  <c r="X115" i="46"/>
  <c r="CF115" i="46"/>
  <c r="CR115" i="46"/>
  <c r="AX115" i="46"/>
  <c r="BM115" i="46"/>
  <c r="R115" i="46"/>
  <c r="BY115" i="46"/>
  <c r="CL115" i="46"/>
  <c r="BD115" i="46"/>
  <c r="BV115" i="46"/>
  <c r="O115" i="46"/>
  <c r="AD115" i="46"/>
  <c r="AF115" i="46"/>
  <c r="BU115" i="46"/>
  <c r="AE115" i="46"/>
  <c r="BA115" i="46"/>
  <c r="CJ115" i="46"/>
  <c r="CC115" i="46"/>
  <c r="BG115" i="46"/>
  <c r="BS115" i="46"/>
  <c r="Y115" i="46"/>
  <c r="DD115" i="46"/>
  <c r="DK115" i="46"/>
  <c r="DF115" i="46"/>
  <c r="DO115" i="46"/>
  <c r="AC115" i="46"/>
  <c r="CA115" i="46"/>
  <c r="AK115" i="46"/>
  <c r="BE115" i="46"/>
  <c r="AB115" i="46"/>
  <c r="CP115" i="46"/>
  <c r="AU115" i="46"/>
  <c r="BK115" i="46"/>
  <c r="T115" i="46"/>
  <c r="AP115" i="46"/>
  <c r="BJ115" i="46"/>
  <c r="AR115" i="46"/>
  <c r="EA115" i="46"/>
  <c r="Q115" i="46"/>
  <c r="AG115" i="46"/>
  <c r="DE115" i="46"/>
  <c r="DH115" i="46"/>
  <c r="AO115" i="46"/>
  <c r="AW115" i="46"/>
  <c r="BN115" i="46"/>
  <c r="BC115" i="46"/>
  <c r="BQ115" i="46"/>
  <c r="BT115" i="46"/>
  <c r="AZ115" i="46"/>
  <c r="CI115" i="46"/>
  <c r="AL115" i="46"/>
  <c r="DM115" i="46"/>
  <c r="CN115" i="46"/>
  <c r="DN115" i="46"/>
  <c r="BP115" i="46"/>
  <c r="CK115" i="46"/>
  <c r="BX115" i="46"/>
  <c r="CM115" i="46"/>
  <c r="CE115" i="46"/>
  <c r="N115" i="46"/>
  <c r="DG115" i="46"/>
  <c r="BO115" i="46"/>
  <c r="BW115" i="46"/>
  <c r="AH115" i="46"/>
  <c r="CD115" i="46"/>
  <c r="DC115" i="46"/>
  <c r="BZ115" i="46"/>
  <c r="BL115" i="46"/>
  <c r="W115" i="46"/>
  <c r="BI115" i="46"/>
  <c r="BR115" i="46"/>
  <c r="AM115" i="46"/>
  <c r="BH115" i="46"/>
  <c r="DL115" i="46"/>
  <c r="V115" i="46"/>
  <c r="CQ115" i="46"/>
  <c r="P115" i="46"/>
  <c r="AI115" i="46"/>
  <c r="U115" i="46"/>
  <c r="BB115" i="46"/>
  <c r="M115" i="46"/>
  <c r="AY115" i="46"/>
  <c r="DI115" i="46"/>
  <c r="S115" i="46"/>
  <c r="CH115" i="46"/>
  <c r="BF115" i="46"/>
  <c r="AJ115" i="46"/>
  <c r="AN115" i="46"/>
  <c r="AT115" i="46"/>
  <c r="AS115" i="46"/>
  <c r="AQ115" i="46"/>
  <c r="DJ115" i="46"/>
  <c r="AV115" i="46"/>
  <c r="Z115" i="46"/>
  <c r="CO115" i="46"/>
  <c r="CG115" i="46"/>
  <c r="AA115" i="46"/>
  <c r="CB115" i="46"/>
  <c r="CE121" i="4"/>
  <c r="AT121" i="4"/>
  <c r="AM121" i="4"/>
  <c r="AF121" i="4"/>
  <c r="AD121" i="4"/>
  <c r="W121" i="4"/>
  <c r="AH121" i="4"/>
  <c r="U121" i="4"/>
  <c r="DS121" i="4"/>
  <c r="DQ121" i="46" s="1"/>
  <c r="CJ121" i="4"/>
  <c r="CM121" i="4"/>
  <c r="DO121" i="4"/>
  <c r="BF121" i="4"/>
  <c r="CK121" i="4"/>
  <c r="CA121" i="4"/>
  <c r="CC121" i="4"/>
  <c r="DH121" i="4"/>
  <c r="CD121" i="4"/>
  <c r="BR121" i="4"/>
  <c r="BZ121" i="4"/>
  <c r="P121" i="4"/>
  <c r="BB121" i="4"/>
  <c r="O121" i="4"/>
  <c r="BC121" i="4"/>
  <c r="BY121" i="4"/>
  <c r="AW121" i="4"/>
  <c r="AN121" i="4"/>
  <c r="AJ121" i="4"/>
  <c r="V121" i="4"/>
  <c r="AR121" i="4"/>
  <c r="Q121" i="4"/>
  <c r="CP121" i="4"/>
  <c r="CQ121" i="4"/>
  <c r="DL121" i="4"/>
  <c r="CI121" i="4"/>
  <c r="CB121" i="4"/>
  <c r="BH121" i="4"/>
  <c r="AA121" i="4"/>
  <c r="AZ121" i="4"/>
  <c r="BQ121" i="4"/>
  <c r="BM121" i="4"/>
  <c r="BJ121" i="4"/>
  <c r="BT121" i="4"/>
  <c r="AO121" i="4"/>
  <c r="AB121" i="4"/>
  <c r="DR121" i="4"/>
  <c r="DP121" i="46" s="1"/>
  <c r="BV121" i="4"/>
  <c r="BI121" i="4"/>
  <c r="BU121" i="4"/>
  <c r="BW121" i="4"/>
  <c r="DM121" i="4"/>
  <c r="AU121" i="4"/>
  <c r="AE121" i="4"/>
  <c r="AQ121" i="4"/>
  <c r="Z121" i="4"/>
  <c r="T121" i="4"/>
  <c r="Y121" i="4"/>
  <c r="DP121" i="4"/>
  <c r="BE121" i="4"/>
  <c r="BK121" i="4"/>
  <c r="CG121" i="4"/>
  <c r="BL121" i="4"/>
  <c r="BX121" i="4"/>
  <c r="EC121" i="4"/>
  <c r="CT121" i="4"/>
  <c r="X121" i="4"/>
  <c r="BD121" i="4"/>
  <c r="DI121" i="4"/>
  <c r="DN121" i="4"/>
  <c r="AI121" i="4"/>
  <c r="AX121" i="4"/>
  <c r="AK121" i="4"/>
  <c r="S121" i="4"/>
  <c r="CL121" i="4"/>
  <c r="DQ121" i="4"/>
  <c r="BA121" i="4"/>
  <c r="CS121" i="4"/>
  <c r="R121" i="4"/>
  <c r="BN121" i="4"/>
  <c r="CR121" i="4"/>
  <c r="AS121" i="4"/>
  <c r="AC121" i="4"/>
  <c r="AY121" i="4"/>
  <c r="BG121" i="4"/>
  <c r="BS121" i="4"/>
  <c r="AG121" i="4"/>
  <c r="CF121" i="4"/>
  <c r="AP121" i="4"/>
  <c r="CH121" i="4"/>
  <c r="BO121" i="4"/>
  <c r="AV121" i="4"/>
  <c r="DK121" i="4"/>
  <c r="DJ121" i="4"/>
  <c r="AL121" i="4"/>
  <c r="CO121" i="4"/>
  <c r="CN121" i="4"/>
  <c r="BP121" i="4"/>
  <c r="C117" i="4"/>
  <c r="C105" i="5"/>
  <c r="N116" i="4"/>
  <c r="B105" i="47"/>
  <c r="B123" i="4"/>
  <c r="A111" i="47"/>
  <c r="B111" i="5"/>
  <c r="M122" i="4"/>
  <c r="C110" i="46"/>
  <c r="L109" i="46"/>
  <c r="B118" i="46" l="1"/>
  <c r="K117" i="46"/>
  <c r="AB116" i="46"/>
  <c r="CE116" i="46"/>
  <c r="CQ116" i="46"/>
  <c r="AW116" i="46"/>
  <c r="BO116" i="46"/>
  <c r="T116" i="46"/>
  <c r="BX116" i="46"/>
  <c r="AN116" i="46"/>
  <c r="BK116" i="46"/>
  <c r="CP116" i="46"/>
  <c r="AU116" i="46"/>
  <c r="Y116" i="46"/>
  <c r="CK116" i="46"/>
  <c r="BT116" i="46"/>
  <c r="M116" i="46"/>
  <c r="BB116" i="46"/>
  <c r="BN116" i="46"/>
  <c r="X116" i="46"/>
  <c r="EA116" i="46"/>
  <c r="BG116" i="46"/>
  <c r="BS116" i="46"/>
  <c r="DJ116" i="46"/>
  <c r="DM116" i="46"/>
  <c r="DI116" i="46"/>
  <c r="P116" i="46"/>
  <c r="BP116" i="46"/>
  <c r="BZ116" i="46"/>
  <c r="AJ116" i="46"/>
  <c r="BF116" i="46"/>
  <c r="U116" i="46"/>
  <c r="BQ116" i="46"/>
  <c r="AH116" i="46"/>
  <c r="BC116" i="46"/>
  <c r="BW116" i="46"/>
  <c r="AI116" i="46"/>
  <c r="AA116" i="46"/>
  <c r="AM116" i="46"/>
  <c r="BI116" i="46"/>
  <c r="CN116" i="46"/>
  <c r="AS116" i="46"/>
  <c r="CB116" i="46"/>
  <c r="CI116" i="46"/>
  <c r="AZ116" i="46"/>
  <c r="CD116" i="46"/>
  <c r="Z116" i="46"/>
  <c r="DE116" i="46"/>
  <c r="DK116" i="46"/>
  <c r="DH116" i="46"/>
  <c r="CH116" i="46"/>
  <c r="AO116" i="46"/>
  <c r="N116" i="46"/>
  <c r="DG116" i="46"/>
  <c r="AD116" i="46"/>
  <c r="AP116" i="46"/>
  <c r="BM116" i="46"/>
  <c r="CR116" i="46"/>
  <c r="AX116" i="46"/>
  <c r="W116" i="46"/>
  <c r="CG116" i="46"/>
  <c r="CO116" i="46"/>
  <c r="AT116" i="46"/>
  <c r="BL116" i="46"/>
  <c r="CC116" i="46"/>
  <c r="AG116" i="46"/>
  <c r="BA116" i="46"/>
  <c r="BU116" i="46"/>
  <c r="AE116" i="46"/>
  <c r="AC116" i="46"/>
  <c r="R116" i="46"/>
  <c r="BY116" i="46"/>
  <c r="CL116" i="46"/>
  <c r="BE116" i="46"/>
  <c r="CA116" i="46"/>
  <c r="AK116" i="46"/>
  <c r="V116" i="46"/>
  <c r="AF116" i="46"/>
  <c r="BV116" i="46"/>
  <c r="O116" i="46"/>
  <c r="BD116" i="46"/>
  <c r="Q116" i="46"/>
  <c r="CJ116" i="46"/>
  <c r="CM116" i="46"/>
  <c r="AR116" i="46"/>
  <c r="BJ116" i="46"/>
  <c r="S116" i="46"/>
  <c r="BH116" i="46"/>
  <c r="BR116" i="46"/>
  <c r="AV116" i="46"/>
  <c r="CF116" i="46"/>
  <c r="AY116" i="46"/>
  <c r="DC116" i="46"/>
  <c r="DF116" i="46"/>
  <c r="DL116" i="46"/>
  <c r="DD116" i="46"/>
  <c r="DO116" i="46"/>
  <c r="AL116" i="46"/>
  <c r="AQ116" i="46"/>
  <c r="DN116" i="46"/>
  <c r="AW122" i="4"/>
  <c r="AO122" i="4"/>
  <c r="AD122" i="4"/>
  <c r="AC122" i="4"/>
  <c r="AG122" i="4"/>
  <c r="U122" i="4"/>
  <c r="T122" i="4"/>
  <c r="AF122" i="4"/>
  <c r="DS122" i="4"/>
  <c r="DQ122" i="46" s="1"/>
  <c r="CQ122" i="4"/>
  <c r="DL122" i="4"/>
  <c r="BF122" i="4"/>
  <c r="BK122" i="4"/>
  <c r="AV122" i="4"/>
  <c r="AS122" i="4"/>
  <c r="AX122" i="4"/>
  <c r="AR122" i="4"/>
  <c r="W122" i="4"/>
  <c r="AK122" i="4"/>
  <c r="CP122" i="4"/>
  <c r="CM122" i="4"/>
  <c r="DO122" i="4"/>
  <c r="CI122" i="4"/>
  <c r="CS122" i="4"/>
  <c r="AZ122" i="4"/>
  <c r="P122" i="4"/>
  <c r="BX122" i="4"/>
  <c r="CH122" i="4"/>
  <c r="DI122" i="4"/>
  <c r="BV122" i="4"/>
  <c r="BY122" i="4"/>
  <c r="BH122" i="4"/>
  <c r="BP122" i="4"/>
  <c r="EC122" i="4"/>
  <c r="AU122" i="4"/>
  <c r="AI122" i="4"/>
  <c r="Y122" i="4"/>
  <c r="DR122" i="4"/>
  <c r="DP122" i="46" s="1"/>
  <c r="BA122" i="4"/>
  <c r="BQ122" i="4"/>
  <c r="DM122" i="4"/>
  <c r="AM122" i="4"/>
  <c r="AT122" i="4"/>
  <c r="AE122" i="4"/>
  <c r="AB122" i="4"/>
  <c r="AJ122" i="4"/>
  <c r="V122" i="4"/>
  <c r="CJ122" i="4"/>
  <c r="DP122" i="4"/>
  <c r="BE122" i="4"/>
  <c r="CK122" i="4"/>
  <c r="DH122" i="4"/>
  <c r="BL122" i="4"/>
  <c r="BI122" i="4"/>
  <c r="BS122" i="4"/>
  <c r="BN122" i="4"/>
  <c r="R122" i="4"/>
  <c r="CB122" i="4"/>
  <c r="CA122" i="4"/>
  <c r="O122" i="4"/>
  <c r="CR122" i="4"/>
  <c r="DN122" i="4"/>
  <c r="AH122" i="4"/>
  <c r="Q122" i="4"/>
  <c r="AQ122" i="4"/>
  <c r="CL122" i="4"/>
  <c r="DQ122" i="4"/>
  <c r="CD122" i="4"/>
  <c r="X122" i="4"/>
  <c r="CT122" i="4"/>
  <c r="CG122" i="4"/>
  <c r="BG122" i="4"/>
  <c r="BO122" i="4"/>
  <c r="AA122" i="4"/>
  <c r="BD122" i="4"/>
  <c r="DJ122" i="4"/>
  <c r="AL122" i="4"/>
  <c r="CF122" i="4"/>
  <c r="BB122" i="4"/>
  <c r="AN122" i="4"/>
  <c r="BT122" i="4"/>
  <c r="AP122" i="4"/>
  <c r="CO122" i="4"/>
  <c r="CN122" i="4"/>
  <c r="BW122" i="4"/>
  <c r="BJ122" i="4"/>
  <c r="BC122" i="4"/>
  <c r="S122" i="4"/>
  <c r="AY122" i="4"/>
  <c r="BU122" i="4"/>
  <c r="CE122" i="4"/>
  <c r="Z122" i="4"/>
  <c r="DK122" i="4"/>
  <c r="BM122" i="4"/>
  <c r="BZ122" i="4"/>
  <c r="BR122" i="4"/>
  <c r="CC122" i="4"/>
  <c r="C118" i="4"/>
  <c r="N117" i="4"/>
  <c r="C106" i="5"/>
  <c r="B106" i="47"/>
  <c r="B124" i="4"/>
  <c r="A112" i="47"/>
  <c r="M123" i="4"/>
  <c r="B112" i="5"/>
  <c r="C111" i="46"/>
  <c r="L110" i="46"/>
  <c r="V117" i="46" l="1"/>
  <c r="AF117" i="46"/>
  <c r="BS117" i="46"/>
  <c r="N117" i="46"/>
  <c r="BA117" i="46"/>
  <c r="Q117" i="46"/>
  <c r="X117" i="46"/>
  <c r="CE117" i="46"/>
  <c r="CP117" i="46"/>
  <c r="AU117" i="46"/>
  <c r="BM117" i="46"/>
  <c r="AB117" i="46"/>
  <c r="CR117" i="46"/>
  <c r="BR117" i="46"/>
  <c r="AN117" i="46"/>
  <c r="CO117" i="46"/>
  <c r="CG117" i="46"/>
  <c r="AK117" i="46"/>
  <c r="T117" i="46"/>
  <c r="BV117" i="46"/>
  <c r="BB117" i="46"/>
  <c r="DG117" i="46"/>
  <c r="DJ117" i="46"/>
  <c r="DK117" i="46"/>
  <c r="U117" i="46"/>
  <c r="AZ117" i="46"/>
  <c r="BT117" i="46"/>
  <c r="AD117" i="46"/>
  <c r="AW117" i="46"/>
  <c r="AX117" i="46"/>
  <c r="BJ117" i="46"/>
  <c r="BG117" i="46"/>
  <c r="DM117" i="46"/>
  <c r="S117" i="46"/>
  <c r="BX117" i="46"/>
  <c r="AP117" i="46"/>
  <c r="BH117" i="46"/>
  <c r="CM117" i="46"/>
  <c r="AR117" i="46"/>
  <c r="Y117" i="46"/>
  <c r="AC117" i="46"/>
  <c r="BP117" i="46"/>
  <c r="BW117" i="46"/>
  <c r="AI117" i="46"/>
  <c r="BE117" i="46"/>
  <c r="CI117" i="46"/>
  <c r="BO117" i="46"/>
  <c r="AY117" i="46"/>
  <c r="CN117" i="46"/>
  <c r="BK117" i="46"/>
  <c r="AH117" i="46"/>
  <c r="CB117" i="46"/>
  <c r="BY117" i="46"/>
  <c r="BU117" i="46"/>
  <c r="O117" i="46"/>
  <c r="DN117" i="46"/>
  <c r="DH117" i="46"/>
  <c r="DL117" i="46"/>
  <c r="BQ117" i="46"/>
  <c r="M117" i="46"/>
  <c r="BL117" i="46"/>
  <c r="CJ117" i="46"/>
  <c r="CA117" i="46"/>
  <c r="DD117" i="46"/>
  <c r="DO117" i="46"/>
  <c r="AG117" i="46"/>
  <c r="AA117" i="46"/>
  <c r="CQ117" i="46"/>
  <c r="P117" i="46"/>
  <c r="AE117" i="46"/>
  <c r="DC117" i="46"/>
  <c r="W117" i="46"/>
  <c r="CK117" i="46"/>
  <c r="CD117" i="46"/>
  <c r="AQ117" i="46"/>
  <c r="BI117" i="46"/>
  <c r="CC117" i="46"/>
  <c r="R117" i="46"/>
  <c r="CH117" i="46"/>
  <c r="AV117" i="46"/>
  <c r="BD117" i="46"/>
  <c r="BZ117" i="46"/>
  <c r="AJ117" i="46"/>
  <c r="AM117" i="46"/>
  <c r="EA117" i="46"/>
  <c r="CF117" i="46"/>
  <c r="AS117" i="46"/>
  <c r="Z117" i="46"/>
  <c r="BF117" i="46"/>
  <c r="AL117" i="46"/>
  <c r="BN117" i="46"/>
  <c r="CL117" i="46"/>
  <c r="DE117" i="46"/>
  <c r="DI117" i="46"/>
  <c r="DF117" i="46"/>
  <c r="AO117" i="46"/>
  <c r="AT117" i="46"/>
  <c r="BC117" i="46"/>
  <c r="B119" i="46"/>
  <c r="K118" i="46"/>
  <c r="B107" i="47"/>
  <c r="C107" i="5"/>
  <c r="C119" i="4"/>
  <c r="N118" i="4"/>
  <c r="AV123" i="4"/>
  <c r="AW123" i="4"/>
  <c r="AG123" i="4"/>
  <c r="AH123" i="4"/>
  <c r="AJ123" i="4"/>
  <c r="AF123" i="4"/>
  <c r="U123" i="4"/>
  <c r="AI123" i="4"/>
  <c r="DS123" i="4"/>
  <c r="DQ123" i="46" s="1"/>
  <c r="CQ123" i="4"/>
  <c r="DL123" i="4"/>
  <c r="BA123" i="4"/>
  <c r="BK123" i="4"/>
  <c r="P123" i="4"/>
  <c r="CA123" i="4"/>
  <c r="BI123" i="4"/>
  <c r="BL123" i="4"/>
  <c r="BT123" i="4"/>
  <c r="CC123" i="4"/>
  <c r="X123" i="4"/>
  <c r="AA123" i="4"/>
  <c r="BH123" i="4"/>
  <c r="DH123" i="4"/>
  <c r="BX123" i="4"/>
  <c r="AR123" i="4"/>
  <c r="AX123" i="4"/>
  <c r="Z123" i="4"/>
  <c r="AQ123" i="4"/>
  <c r="S123" i="4"/>
  <c r="CN123" i="4"/>
  <c r="CT123" i="4"/>
  <c r="BD123" i="4"/>
  <c r="BV123" i="4"/>
  <c r="CD123" i="4"/>
  <c r="R123" i="4"/>
  <c r="CF123" i="4"/>
  <c r="CR123" i="4"/>
  <c r="DM123" i="4"/>
  <c r="AS123" i="4"/>
  <c r="AU123" i="4"/>
  <c r="AK123" i="4"/>
  <c r="AL123" i="4"/>
  <c r="T123" i="4"/>
  <c r="AE123" i="4"/>
  <c r="Q123" i="4"/>
  <c r="Y123" i="4"/>
  <c r="CP123" i="4"/>
  <c r="CL123" i="4"/>
  <c r="DP123" i="4"/>
  <c r="DO123" i="4"/>
  <c r="AY123" i="4"/>
  <c r="BC123" i="4"/>
  <c r="DI123" i="4"/>
  <c r="CS123" i="4"/>
  <c r="BN123" i="4"/>
  <c r="CG123" i="4"/>
  <c r="BR123" i="4"/>
  <c r="CB123" i="4"/>
  <c r="O123" i="4"/>
  <c r="BM123" i="4"/>
  <c r="BZ123" i="4"/>
  <c r="DN123" i="4"/>
  <c r="AN123" i="4"/>
  <c r="AT123" i="4"/>
  <c r="AP123" i="4"/>
  <c r="CO123" i="4"/>
  <c r="DQ123" i="4"/>
  <c r="BE123" i="4"/>
  <c r="CI123" i="4"/>
  <c r="BS123" i="4"/>
  <c r="BY123" i="4"/>
  <c r="BB123" i="4"/>
  <c r="CE123" i="4"/>
  <c r="AB123" i="4"/>
  <c r="DK123" i="4"/>
  <c r="DJ123" i="4"/>
  <c r="CH123" i="4"/>
  <c r="BJ123" i="4"/>
  <c r="AD123" i="4"/>
  <c r="EC123" i="4"/>
  <c r="BP123" i="4"/>
  <c r="AM123" i="4"/>
  <c r="W123" i="4"/>
  <c r="DR123" i="4"/>
  <c r="DP123" i="46" s="1"/>
  <c r="BF123" i="4"/>
  <c r="BG123" i="4"/>
  <c r="BU123" i="4"/>
  <c r="AZ123" i="4"/>
  <c r="V123" i="4"/>
  <c r="CM123" i="4"/>
  <c r="BW123" i="4"/>
  <c r="AO123" i="4"/>
  <c r="AC123" i="4"/>
  <c r="CJ123" i="4"/>
  <c r="CK123" i="4"/>
  <c r="BO123" i="4"/>
  <c r="BQ123" i="4"/>
  <c r="B125" i="4"/>
  <c r="A113" i="47"/>
  <c r="B113" i="5"/>
  <c r="M124" i="4"/>
  <c r="C112" i="46"/>
  <c r="L111" i="46"/>
  <c r="AA118" i="46" l="1"/>
  <c r="AM118" i="46"/>
  <c r="BS118" i="46"/>
  <c r="N118" i="46"/>
  <c r="AY118" i="46"/>
  <c r="P118" i="46"/>
  <c r="BP118" i="46"/>
  <c r="BW118" i="46"/>
  <c r="AI118" i="46"/>
  <c r="BC118" i="46"/>
  <c r="AC118" i="46"/>
  <c r="BF118" i="46"/>
  <c r="AJ118" i="46"/>
  <c r="BQ118" i="46"/>
  <c r="BB118" i="46"/>
  <c r="M118" i="46"/>
  <c r="CF118" i="46"/>
  <c r="AX118" i="46"/>
  <c r="CM118" i="46"/>
  <c r="CN118" i="46"/>
  <c r="AS118" i="46"/>
  <c r="DJ118" i="46"/>
  <c r="DH118" i="46"/>
  <c r="DE118" i="46"/>
  <c r="DN118" i="46"/>
  <c r="EA118" i="46"/>
  <c r="BV118" i="46"/>
  <c r="BZ118" i="46"/>
  <c r="CL118" i="46"/>
  <c r="V118" i="46"/>
  <c r="AR118" i="46"/>
  <c r="DM118" i="46"/>
  <c r="CC118" i="46"/>
  <c r="CH118" i="46"/>
  <c r="AG118" i="46"/>
  <c r="BH118" i="46"/>
  <c r="CB118" i="46"/>
  <c r="AL118" i="46"/>
  <c r="AD118" i="46"/>
  <c r="AN118" i="46"/>
  <c r="BL118" i="46"/>
  <c r="CO118" i="46"/>
  <c r="AT118" i="46"/>
  <c r="BN118" i="46"/>
  <c r="AK118" i="46"/>
  <c r="R118" i="46"/>
  <c r="AF118" i="46"/>
  <c r="AE118" i="46"/>
  <c r="X118" i="46"/>
  <c r="AO118" i="46"/>
  <c r="CQ118" i="46"/>
  <c r="AP118" i="46"/>
  <c r="BI118" i="46"/>
  <c r="Z118" i="46"/>
  <c r="DC118" i="46"/>
  <c r="DL118" i="46"/>
  <c r="CJ118" i="46"/>
  <c r="O118" i="46"/>
  <c r="BT118" i="46"/>
  <c r="U118" i="46"/>
  <c r="DF118" i="46"/>
  <c r="Q118" i="46"/>
  <c r="AZ118" i="46"/>
  <c r="BR118" i="46"/>
  <c r="S118" i="46"/>
  <c r="BY118" i="46"/>
  <c r="BD118" i="46"/>
  <c r="AH118" i="46"/>
  <c r="W118" i="46"/>
  <c r="CR118" i="46"/>
  <c r="DD118" i="46"/>
  <c r="Y118" i="46"/>
  <c r="CK118" i="46"/>
  <c r="CD118" i="46"/>
  <c r="AQ118" i="46"/>
  <c r="BG118" i="46"/>
  <c r="AB118" i="46"/>
  <c r="CE118" i="46"/>
  <c r="CP118" i="46"/>
  <c r="AU118" i="46"/>
  <c r="BK118" i="46"/>
  <c r="T118" i="46"/>
  <c r="CA118" i="46"/>
  <c r="BE118" i="46"/>
  <c r="BX118" i="46"/>
  <c r="BU118" i="46"/>
  <c r="BA118" i="46"/>
  <c r="CI118" i="46"/>
  <c r="BO118" i="46"/>
  <c r="AW118" i="46"/>
  <c r="CG118" i="46"/>
  <c r="BJ118" i="46"/>
  <c r="DG118" i="46"/>
  <c r="DK118" i="46"/>
  <c r="DI118" i="46"/>
  <c r="AV118" i="46"/>
  <c r="BM118" i="46"/>
  <c r="DO118" i="46"/>
  <c r="K119" i="46"/>
  <c r="B120" i="46"/>
  <c r="B126" i="4"/>
  <c r="B114" i="5"/>
  <c r="A114" i="47"/>
  <c r="M125" i="4"/>
  <c r="DM124" i="4"/>
  <c r="AV124" i="4"/>
  <c r="AN124" i="4"/>
  <c r="AJ124" i="4"/>
  <c r="AK124" i="4"/>
  <c r="U124" i="4"/>
  <c r="AX124" i="4"/>
  <c r="AB124" i="4"/>
  <c r="AL124" i="4"/>
  <c r="CO124" i="4"/>
  <c r="CL124" i="4"/>
  <c r="DP124" i="4"/>
  <c r="DK124" i="4"/>
  <c r="AY124" i="4"/>
  <c r="BD124" i="4"/>
  <c r="AA124" i="4"/>
  <c r="BW124" i="4"/>
  <c r="BG124" i="4"/>
  <c r="CC124" i="4"/>
  <c r="BS124" i="4"/>
  <c r="AZ124" i="4"/>
  <c r="CH124" i="4"/>
  <c r="BI124" i="4"/>
  <c r="P124" i="4"/>
  <c r="CE124" i="4"/>
  <c r="AM124" i="4"/>
  <c r="AC124" i="4"/>
  <c r="AE124" i="4"/>
  <c r="Q124" i="4"/>
  <c r="W124" i="4"/>
  <c r="DS124" i="4"/>
  <c r="DQ124" i="46" s="1"/>
  <c r="CM124" i="4"/>
  <c r="BQ124" i="4"/>
  <c r="DN124" i="4"/>
  <c r="AT124" i="4"/>
  <c r="AU124" i="4"/>
  <c r="AQ124" i="4"/>
  <c r="AR124" i="4"/>
  <c r="AI124" i="4"/>
  <c r="V124" i="4"/>
  <c r="Z124" i="4"/>
  <c r="T124" i="4"/>
  <c r="CP124" i="4"/>
  <c r="CN124" i="4"/>
  <c r="DQ124" i="4"/>
  <c r="BE124" i="4"/>
  <c r="CI124" i="4"/>
  <c r="EC124" i="4"/>
  <c r="CB124" i="4"/>
  <c r="BB124" i="4"/>
  <c r="BV124" i="4"/>
  <c r="BJ124" i="4"/>
  <c r="CS124" i="4"/>
  <c r="DH124" i="4"/>
  <c r="BL124" i="4"/>
  <c r="BT124" i="4"/>
  <c r="DJ124" i="4"/>
  <c r="AO124" i="4"/>
  <c r="Y124" i="4"/>
  <c r="CJ124" i="4"/>
  <c r="DL124" i="4"/>
  <c r="BF124" i="4"/>
  <c r="CK124" i="4"/>
  <c r="BX124" i="4"/>
  <c r="CD124" i="4"/>
  <c r="BU124" i="4"/>
  <c r="BZ124" i="4"/>
  <c r="CT124" i="4"/>
  <c r="BH124" i="4"/>
  <c r="BO124" i="4"/>
  <c r="X124" i="4"/>
  <c r="O124" i="4"/>
  <c r="BC124" i="4"/>
  <c r="AS124" i="4"/>
  <c r="AH124" i="4"/>
  <c r="DR124" i="4"/>
  <c r="DP124" i="46" s="1"/>
  <c r="BA124" i="4"/>
  <c r="DI124" i="4"/>
  <c r="CF124" i="4"/>
  <c r="BR124" i="4"/>
  <c r="AP124" i="4"/>
  <c r="BN124" i="4"/>
  <c r="AF124" i="4"/>
  <c r="S124" i="4"/>
  <c r="BK124" i="4"/>
  <c r="CR124" i="4"/>
  <c r="BP124" i="4"/>
  <c r="DO124" i="4"/>
  <c r="R124" i="4"/>
  <c r="CG124" i="4"/>
  <c r="AG124" i="4"/>
  <c r="AD124" i="4"/>
  <c r="CQ124" i="4"/>
  <c r="BM124" i="4"/>
  <c r="BY124" i="4"/>
  <c r="CA124" i="4"/>
  <c r="AW124" i="4"/>
  <c r="B108" i="47"/>
  <c r="C120" i="4"/>
  <c r="N119" i="4"/>
  <c r="C108" i="5"/>
  <c r="L112" i="46"/>
  <c r="C113" i="46"/>
  <c r="AC119" i="46" l="1"/>
  <c r="W119" i="46"/>
  <c r="BX119" i="46"/>
  <c r="AP119" i="46"/>
  <c r="BK119" i="46"/>
  <c r="CP119" i="46"/>
  <c r="AU119" i="46"/>
  <c r="CH119" i="46"/>
  <c r="AG119" i="46"/>
  <c r="BA119" i="46"/>
  <c r="BU119" i="46"/>
  <c r="AE119" i="46"/>
  <c r="CE119" i="46"/>
  <c r="CB119" i="46"/>
  <c r="AL119" i="46"/>
  <c r="BH119" i="46"/>
  <c r="AN119" i="46"/>
  <c r="AA119" i="46"/>
  <c r="BE119" i="46"/>
  <c r="AW119" i="46"/>
  <c r="AJ119" i="46"/>
  <c r="DG119" i="46"/>
  <c r="DN119" i="46"/>
  <c r="DI119" i="46"/>
  <c r="BO119" i="46"/>
  <c r="DC119" i="46"/>
  <c r="DH119" i="46"/>
  <c r="U119" i="46"/>
  <c r="AF119" i="46"/>
  <c r="O119" i="46"/>
  <c r="AM119" i="46"/>
  <c r="BI119" i="46"/>
  <c r="AS119" i="46"/>
  <c r="AY119" i="46"/>
  <c r="N119" i="46"/>
  <c r="AV119" i="46"/>
  <c r="BY119" i="46"/>
  <c r="DJ119" i="46"/>
  <c r="V119" i="46"/>
  <c r="Z119" i="46"/>
  <c r="BQ119" i="46"/>
  <c r="AH119" i="46"/>
  <c r="BC119" i="46"/>
  <c r="BW119" i="46"/>
  <c r="AI119" i="46"/>
  <c r="CJ119" i="46"/>
  <c r="CM119" i="46"/>
  <c r="AR119" i="46"/>
  <c r="BJ119" i="46"/>
  <c r="S119" i="46"/>
  <c r="BP119" i="46"/>
  <c r="BR119" i="46"/>
  <c r="EA119" i="46"/>
  <c r="AZ119" i="46"/>
  <c r="BM119" i="46"/>
  <c r="CG119" i="46"/>
  <c r="CA119" i="46"/>
  <c r="BN119" i="46"/>
  <c r="DF119" i="46"/>
  <c r="X119" i="46"/>
  <c r="AD119" i="46"/>
  <c r="BV119" i="46"/>
  <c r="Y119" i="46"/>
  <c r="CN119" i="46"/>
  <c r="CI119" i="46"/>
  <c r="CL119" i="46"/>
  <c r="BS119" i="46"/>
  <c r="AX119" i="46"/>
  <c r="DD119" i="46"/>
  <c r="DE119" i="46"/>
  <c r="DO119" i="46"/>
  <c r="T119" i="46"/>
  <c r="R119" i="46"/>
  <c r="AB119" i="46"/>
  <c r="CF119" i="46"/>
  <c r="CO119" i="46"/>
  <c r="AT119" i="46"/>
  <c r="BL119" i="46"/>
  <c r="CC119" i="46"/>
  <c r="CK119" i="46"/>
  <c r="BT119" i="46"/>
  <c r="M119" i="46"/>
  <c r="BB119" i="46"/>
  <c r="P119" i="46"/>
  <c r="AO119" i="46"/>
  <c r="BG119" i="46"/>
  <c r="CD119" i="46"/>
  <c r="AQ119" i="46"/>
  <c r="CR119" i="46"/>
  <c r="Q119" i="46"/>
  <c r="AK119" i="46"/>
  <c r="BZ119" i="46"/>
  <c r="BF119" i="46"/>
  <c r="DK119" i="46"/>
  <c r="DM119" i="46"/>
  <c r="DL119" i="46"/>
  <c r="BD119" i="46"/>
  <c r="CQ119" i="46"/>
  <c r="B121" i="46"/>
  <c r="K120" i="46"/>
  <c r="DN125" i="4"/>
  <c r="AU125" i="4"/>
  <c r="AM125" i="4"/>
  <c r="AP125" i="4"/>
  <c r="AB125" i="4"/>
  <c r="Z125" i="4"/>
  <c r="AK125" i="4"/>
  <c r="Q125" i="4"/>
  <c r="Y125" i="4"/>
  <c r="CP125" i="4"/>
  <c r="CN125" i="4"/>
  <c r="DQ125" i="4"/>
  <c r="BE125" i="4"/>
  <c r="CI125" i="4"/>
  <c r="CR125" i="4"/>
  <c r="CB125" i="4"/>
  <c r="BR125" i="4"/>
  <c r="BN125" i="4"/>
  <c r="AA125" i="4"/>
  <c r="DI125" i="4"/>
  <c r="BU125" i="4"/>
  <c r="CG125" i="4"/>
  <c r="AZ125" i="4"/>
  <c r="BX125" i="4"/>
  <c r="O125" i="4"/>
  <c r="AV125" i="4"/>
  <c r="AE125" i="4"/>
  <c r="AX125" i="4"/>
  <c r="S125" i="4"/>
  <c r="CQ125" i="4"/>
  <c r="CA125" i="4"/>
  <c r="BG125" i="4"/>
  <c r="CF125" i="4"/>
  <c r="BT125" i="4"/>
  <c r="DH125" i="4"/>
  <c r="BZ125" i="4"/>
  <c r="CH125" i="4"/>
  <c r="CT125" i="4"/>
  <c r="BC125" i="4"/>
  <c r="CE125" i="4"/>
  <c r="AT125" i="4"/>
  <c r="AS125" i="4"/>
  <c r="AF125" i="4"/>
  <c r="AH125" i="4"/>
  <c r="W125" i="4"/>
  <c r="AD125" i="4"/>
  <c r="AG125" i="4"/>
  <c r="DS125" i="4"/>
  <c r="DQ125" i="46" s="1"/>
  <c r="CJ125" i="4"/>
  <c r="CM125" i="4"/>
  <c r="DO125" i="4"/>
  <c r="BF125" i="4"/>
  <c r="CK125" i="4"/>
  <c r="BP125" i="4"/>
  <c r="BB125" i="4"/>
  <c r="CD125" i="4"/>
  <c r="X125" i="4"/>
  <c r="BY125" i="4"/>
  <c r="BW125" i="4"/>
  <c r="CC125" i="4"/>
  <c r="BO125" i="4"/>
  <c r="BJ125" i="4"/>
  <c r="BH125" i="4"/>
  <c r="CS125" i="4"/>
  <c r="AO125" i="4"/>
  <c r="AJ125" i="4"/>
  <c r="AL125" i="4"/>
  <c r="AR125" i="4"/>
  <c r="DR125" i="4"/>
  <c r="DP125" i="46" s="1"/>
  <c r="DK125" i="4"/>
  <c r="BA125" i="4"/>
  <c r="BK125" i="4"/>
  <c r="R125" i="4"/>
  <c r="AI125" i="4"/>
  <c r="AC125" i="4"/>
  <c r="CL125" i="4"/>
  <c r="BM125" i="4"/>
  <c r="DJ125" i="4"/>
  <c r="CO125" i="4"/>
  <c r="AY125" i="4"/>
  <c r="BQ125" i="4"/>
  <c r="DM125" i="4"/>
  <c r="AQ125" i="4"/>
  <c r="U125" i="4"/>
  <c r="DP125" i="4"/>
  <c r="BL125" i="4"/>
  <c r="BI125" i="4"/>
  <c r="AN125" i="4"/>
  <c r="P125" i="4"/>
  <c r="EC125" i="4"/>
  <c r="AW125" i="4"/>
  <c r="V125" i="4"/>
  <c r="DL125" i="4"/>
  <c r="BV125" i="4"/>
  <c r="BS125" i="4"/>
  <c r="BD125" i="4"/>
  <c r="T125" i="4"/>
  <c r="C109" i="5"/>
  <c r="B109" i="47"/>
  <c r="N120" i="4"/>
  <c r="C121" i="4"/>
  <c r="B127" i="4"/>
  <c r="M126" i="4"/>
  <c r="A115" i="47"/>
  <c r="B115" i="5"/>
  <c r="C114" i="46"/>
  <c r="L113" i="46"/>
  <c r="AA120" i="46" l="1"/>
  <c r="AM120" i="46"/>
  <c r="BS120" i="46"/>
  <c r="N120" i="46"/>
  <c r="AY120" i="46"/>
  <c r="AC120" i="46"/>
  <c r="BN120" i="46"/>
  <c r="CA120" i="46"/>
  <c r="AK120" i="46"/>
  <c r="BE120" i="46"/>
  <c r="AB120" i="46"/>
  <c r="CG120" i="46"/>
  <c r="CP120" i="46"/>
  <c r="AU120" i="46"/>
  <c r="BK120" i="46"/>
  <c r="W120" i="46"/>
  <c r="BT120" i="46"/>
  <c r="V120" i="46"/>
  <c r="BI120" i="46"/>
  <c r="BA120" i="46"/>
  <c r="AN120" i="46"/>
  <c r="DM120" i="46"/>
  <c r="DK120" i="46"/>
  <c r="DE120" i="46"/>
  <c r="AJ120" i="46"/>
  <c r="BL120" i="46"/>
  <c r="AT120" i="46"/>
  <c r="BX120" i="46"/>
  <c r="AF120" i="46"/>
  <c r="DD120" i="46"/>
  <c r="DF120" i="46"/>
  <c r="BG120" i="46"/>
  <c r="AX120" i="46"/>
  <c r="AG120" i="46"/>
  <c r="BB120" i="46"/>
  <c r="BU120" i="46"/>
  <c r="CC120" i="46"/>
  <c r="CH120" i="46"/>
  <c r="CL120" i="46"/>
  <c r="BH120" i="46"/>
  <c r="CB120" i="46"/>
  <c r="AL120" i="46"/>
  <c r="Z120" i="46"/>
  <c r="AO120" i="46"/>
  <c r="BO120" i="46"/>
  <c r="CQ120" i="46"/>
  <c r="AW120" i="46"/>
  <c r="P120" i="46"/>
  <c r="BP120" i="46"/>
  <c r="BW120" i="46"/>
  <c r="AI120" i="46"/>
  <c r="BC120" i="46"/>
  <c r="BQ120" i="46"/>
  <c r="M120" i="46"/>
  <c r="CE120" i="46"/>
  <c r="R120" i="46"/>
  <c r="BJ120" i="46"/>
  <c r="AR120" i="46"/>
  <c r="DH120" i="46"/>
  <c r="DC120" i="46"/>
  <c r="DL120" i="46"/>
  <c r="Q120" i="46"/>
  <c r="CJ120" i="46"/>
  <c r="EA120" i="46"/>
  <c r="AZ120" i="46"/>
  <c r="BR120" i="46"/>
  <c r="S120" i="46"/>
  <c r="CI120" i="46"/>
  <c r="AH120" i="46"/>
  <c r="BZ120" i="46"/>
  <c r="AD120" i="46"/>
  <c r="AP120" i="46"/>
  <c r="CO120" i="46"/>
  <c r="AV120" i="46"/>
  <c r="CN120" i="46"/>
  <c r="CM120" i="46"/>
  <c r="DN120" i="46"/>
  <c r="DO120" i="46"/>
  <c r="CF120" i="46"/>
  <c r="X120" i="46"/>
  <c r="CR120" i="46"/>
  <c r="BY120" i="46"/>
  <c r="O120" i="46"/>
  <c r="DG120" i="46"/>
  <c r="BF120" i="46"/>
  <c r="BM120" i="46"/>
  <c r="BV120" i="46"/>
  <c r="AS120" i="46"/>
  <c r="DJ120" i="46"/>
  <c r="Y120" i="46"/>
  <c r="CD120" i="46"/>
  <c r="AQ120" i="46"/>
  <c r="CK120" i="46"/>
  <c r="T120" i="46"/>
  <c r="BD120" i="46"/>
  <c r="AE120" i="46"/>
  <c r="U120" i="46"/>
  <c r="DI120" i="46"/>
  <c r="K121" i="46"/>
  <c r="B122" i="46"/>
  <c r="CE126" i="4"/>
  <c r="AT126" i="4"/>
  <c r="AD126" i="4"/>
  <c r="AC126" i="4"/>
  <c r="AP126" i="4"/>
  <c r="AR126" i="4"/>
  <c r="AQ126" i="4"/>
  <c r="AG126" i="4"/>
  <c r="DR126" i="4"/>
  <c r="DP126" i="46" s="1"/>
  <c r="CJ126" i="4"/>
  <c r="CM126" i="4"/>
  <c r="DK126" i="4"/>
  <c r="BA126" i="4"/>
  <c r="CK126" i="4"/>
  <c r="DI126" i="4"/>
  <c r="BD126" i="4"/>
  <c r="BQ126" i="4"/>
  <c r="BL126" i="4"/>
  <c r="BH126" i="4"/>
  <c r="EC126" i="4"/>
  <c r="O126" i="4"/>
  <c r="BI126" i="4"/>
  <c r="CT126" i="4"/>
  <c r="BW126" i="4"/>
  <c r="BM126" i="4"/>
  <c r="DM126" i="4"/>
  <c r="AV126" i="4"/>
  <c r="AL126" i="4"/>
  <c r="W126" i="4"/>
  <c r="CO126" i="4"/>
  <c r="DP126" i="4"/>
  <c r="BU126" i="4"/>
  <c r="X126" i="4"/>
  <c r="CH126" i="4"/>
  <c r="BG126" i="4"/>
  <c r="BB126" i="4"/>
  <c r="P126" i="4"/>
  <c r="BY126" i="4"/>
  <c r="AW126" i="4"/>
  <c r="AS126" i="4"/>
  <c r="AH126" i="4"/>
  <c r="AN126" i="4"/>
  <c r="AK126" i="4"/>
  <c r="Z126" i="4"/>
  <c r="T126" i="4"/>
  <c r="U126" i="4"/>
  <c r="DS126" i="4"/>
  <c r="DQ126" i="46" s="1"/>
  <c r="CQ126" i="4"/>
  <c r="DL126" i="4"/>
  <c r="BF126" i="4"/>
  <c r="BK126" i="4"/>
  <c r="DH126" i="4"/>
  <c r="BN126" i="4"/>
  <c r="CB126" i="4"/>
  <c r="BV126" i="4"/>
  <c r="CF126" i="4"/>
  <c r="BZ126" i="4"/>
  <c r="CG126" i="4"/>
  <c r="BX126" i="4"/>
  <c r="R126" i="4"/>
  <c r="BT126" i="4"/>
  <c r="BJ126" i="4"/>
  <c r="AM126" i="4"/>
  <c r="AE126" i="4"/>
  <c r="AB126" i="4"/>
  <c r="Y126" i="4"/>
  <c r="AJ126" i="4"/>
  <c r="CL126" i="4"/>
  <c r="DO126" i="4"/>
  <c r="AY126" i="4"/>
  <c r="BP126" i="4"/>
  <c r="AZ126" i="4"/>
  <c r="BC126" i="4"/>
  <c r="DN126" i="4"/>
  <c r="AI126" i="4"/>
  <c r="V126" i="4"/>
  <c r="DQ126" i="4"/>
  <c r="CD126" i="4"/>
  <c r="AA126" i="4"/>
  <c r="DJ126" i="4"/>
  <c r="BO126" i="4"/>
  <c r="AU126" i="4"/>
  <c r="Q126" i="4"/>
  <c r="BE126" i="4"/>
  <c r="BR126" i="4"/>
  <c r="CC126" i="4"/>
  <c r="CS126" i="4"/>
  <c r="AX126" i="4"/>
  <c r="CN126" i="4"/>
  <c r="CA126" i="4"/>
  <c r="AO126" i="4"/>
  <c r="AF126" i="4"/>
  <c r="CP126" i="4"/>
  <c r="CI126" i="4"/>
  <c r="BS126" i="4"/>
  <c r="CR126" i="4"/>
  <c r="S126" i="4"/>
  <c r="B128" i="4"/>
  <c r="B116" i="5"/>
  <c r="M127" i="4"/>
  <c r="A116" i="47"/>
  <c r="C110" i="5"/>
  <c r="B110" i="47"/>
  <c r="C122" i="4"/>
  <c r="N121" i="4"/>
  <c r="L114" i="46"/>
  <c r="C115" i="46"/>
  <c r="K122" i="46" l="1"/>
  <c r="B123" i="46"/>
  <c r="X121" i="46"/>
  <c r="CG121" i="46"/>
  <c r="CB121" i="46"/>
  <c r="AL121" i="46"/>
  <c r="BH121" i="46"/>
  <c r="R121" i="46"/>
  <c r="BY121" i="46"/>
  <c r="CL121" i="46"/>
  <c r="BE121" i="46"/>
  <c r="CA121" i="46"/>
  <c r="AK121" i="46"/>
  <c r="Z121" i="46"/>
  <c r="AF121" i="46"/>
  <c r="BV121" i="46"/>
  <c r="O121" i="46"/>
  <c r="BD121" i="46"/>
  <c r="CE121" i="46"/>
  <c r="CN121" i="46"/>
  <c r="BT121" i="46"/>
  <c r="AG121" i="46"/>
  <c r="CJ121" i="46"/>
  <c r="DD121" i="46"/>
  <c r="DE121" i="46"/>
  <c r="DN121" i="46"/>
  <c r="DO121" i="46"/>
  <c r="BQ121" i="46"/>
  <c r="BB121" i="46"/>
  <c r="DC121" i="46"/>
  <c r="AC121" i="46"/>
  <c r="BP121" i="46"/>
  <c r="BR121" i="46"/>
  <c r="EA121" i="46"/>
  <c r="AZ121" i="46"/>
  <c r="AB121" i="46"/>
  <c r="CF121" i="46"/>
  <c r="CQ121" i="46"/>
  <c r="AW121" i="46"/>
  <c r="BO121" i="46"/>
  <c r="S121" i="46"/>
  <c r="BX121" i="46"/>
  <c r="AP121" i="46"/>
  <c r="BK121" i="46"/>
  <c r="CP121" i="46"/>
  <c r="AU121" i="46"/>
  <c r="CM121" i="46"/>
  <c r="Q121" i="46"/>
  <c r="M121" i="46"/>
  <c r="BI121" i="46"/>
  <c r="BU121" i="46"/>
  <c r="DI121" i="46"/>
  <c r="DH121" i="46"/>
  <c r="DF121" i="46"/>
  <c r="AV121" i="46"/>
  <c r="CH121" i="46"/>
  <c r="AA121" i="46"/>
  <c r="DK121" i="46"/>
  <c r="AD121" i="46"/>
  <c r="AO121" i="46"/>
  <c r="BG121" i="46"/>
  <c r="CD121" i="46"/>
  <c r="AQ121" i="46"/>
  <c r="P121" i="46"/>
  <c r="BN121" i="46"/>
  <c r="BZ121" i="46"/>
  <c r="AJ121" i="46"/>
  <c r="BF121" i="46"/>
  <c r="U121" i="46"/>
  <c r="BC121" i="46"/>
  <c r="BW121" i="46"/>
  <c r="AI121" i="46"/>
  <c r="AR121" i="46"/>
  <c r="AS121" i="46"/>
  <c r="DG121" i="46"/>
  <c r="T121" i="46"/>
  <c r="CI121" i="46"/>
  <c r="AH121" i="46"/>
  <c r="AY121" i="46"/>
  <c r="BS121" i="46"/>
  <c r="N121" i="46"/>
  <c r="V121" i="46"/>
  <c r="AN121" i="46"/>
  <c r="BM121" i="46"/>
  <c r="CR121" i="46"/>
  <c r="AX121" i="46"/>
  <c r="W121" i="46"/>
  <c r="CK121" i="46"/>
  <c r="CO121" i="46"/>
  <c r="AT121" i="46"/>
  <c r="BL121" i="46"/>
  <c r="CC121" i="46"/>
  <c r="BJ121" i="46"/>
  <c r="AM121" i="46"/>
  <c r="Y121" i="46"/>
  <c r="BA121" i="46"/>
  <c r="AE121" i="46"/>
  <c r="DM121" i="46"/>
  <c r="DJ121" i="46"/>
  <c r="DL121" i="46"/>
  <c r="AV127" i="4"/>
  <c r="AM127" i="4"/>
  <c r="AG127" i="4"/>
  <c r="AH127" i="4"/>
  <c r="AF127" i="4"/>
  <c r="W127" i="4"/>
  <c r="U127" i="4"/>
  <c r="AE127" i="4"/>
  <c r="DS127" i="4"/>
  <c r="DQ127" i="46" s="1"/>
  <c r="CQ127" i="4"/>
  <c r="DL127" i="4"/>
  <c r="BA127" i="4"/>
  <c r="BK127" i="4"/>
  <c r="CA127" i="4"/>
  <c r="CG127" i="4"/>
  <c r="CF127" i="4"/>
  <c r="CT127" i="4"/>
  <c r="DI127" i="4"/>
  <c r="AZ127" i="4"/>
  <c r="BJ127" i="4"/>
  <c r="AA127" i="4"/>
  <c r="X127" i="4"/>
  <c r="BS127" i="4"/>
  <c r="DN127" i="4"/>
  <c r="AT127" i="4"/>
  <c r="AX127" i="4"/>
  <c r="AJ127" i="4"/>
  <c r="CP127" i="4"/>
  <c r="DQ127" i="4"/>
  <c r="BE127" i="4"/>
  <c r="CI127" i="4"/>
  <c r="O127" i="4"/>
  <c r="BI127" i="4"/>
  <c r="BZ127" i="4"/>
  <c r="CH127" i="4"/>
  <c r="CD127" i="4"/>
  <c r="DM127" i="4"/>
  <c r="AS127" i="4"/>
  <c r="AO127" i="4"/>
  <c r="AK127" i="4"/>
  <c r="AL127" i="4"/>
  <c r="AQ127" i="4"/>
  <c r="V127" i="4"/>
  <c r="Q127" i="4"/>
  <c r="S127" i="4"/>
  <c r="CO127" i="4"/>
  <c r="CL127" i="4"/>
  <c r="DP127" i="4"/>
  <c r="DO127" i="4"/>
  <c r="AY127" i="4"/>
  <c r="DJ127" i="4"/>
  <c r="BR127" i="4"/>
  <c r="BD127" i="4"/>
  <c r="BN127" i="4"/>
  <c r="BO127" i="4"/>
  <c r="R127" i="4"/>
  <c r="CB127" i="4"/>
  <c r="BP127" i="4"/>
  <c r="BW127" i="4"/>
  <c r="EC127" i="4"/>
  <c r="AN127" i="4"/>
  <c r="AR127" i="4"/>
  <c r="T127" i="4"/>
  <c r="AI127" i="4"/>
  <c r="AP127" i="4"/>
  <c r="CN127" i="4"/>
  <c r="BL127" i="4"/>
  <c r="CC127" i="4"/>
  <c r="BT127" i="4"/>
  <c r="BC127" i="4"/>
  <c r="CR127" i="4"/>
  <c r="BQ127" i="4"/>
  <c r="AW127" i="4"/>
  <c r="Z127" i="4"/>
  <c r="DR127" i="4"/>
  <c r="DP127" i="46" s="1"/>
  <c r="BF127" i="4"/>
  <c r="P127" i="4"/>
  <c r="BY127" i="4"/>
  <c r="CS127" i="4"/>
  <c r="DK127" i="4"/>
  <c r="BM127" i="4"/>
  <c r="AU127" i="4"/>
  <c r="AC127" i="4"/>
  <c r="CJ127" i="4"/>
  <c r="CK127" i="4"/>
  <c r="BB127" i="4"/>
  <c r="BH127" i="4"/>
  <c r="BV127" i="4"/>
  <c r="AB127" i="4"/>
  <c r="DH127" i="4"/>
  <c r="AD127" i="4"/>
  <c r="Y127" i="4"/>
  <c r="CM127" i="4"/>
  <c r="BX127" i="4"/>
  <c r="BG127" i="4"/>
  <c r="CE127" i="4"/>
  <c r="BU127" i="4"/>
  <c r="B111" i="47"/>
  <c r="C111" i="5"/>
  <c r="C123" i="4"/>
  <c r="N122" i="4"/>
  <c r="B129" i="4"/>
  <c r="B117" i="5"/>
  <c r="A117" i="47"/>
  <c r="M128" i="4"/>
  <c r="C116" i="46"/>
  <c r="L115" i="46"/>
  <c r="K123" i="46" l="1"/>
  <c r="B124" i="46"/>
  <c r="AB122" i="46"/>
  <c r="CF122" i="46"/>
  <c r="CO122" i="46"/>
  <c r="BB122" i="46"/>
  <c r="BK122" i="46"/>
  <c r="T122" i="46"/>
  <c r="BX122" i="46"/>
  <c r="AP122" i="46"/>
  <c r="BS122" i="46"/>
  <c r="N122" i="46"/>
  <c r="AR122" i="46"/>
  <c r="Y122" i="46"/>
  <c r="CK122" i="46"/>
  <c r="CB122" i="46"/>
  <c r="AX122" i="46"/>
  <c r="BG122" i="46"/>
  <c r="CI122" i="46"/>
  <c r="AW122" i="46"/>
  <c r="AG122" i="46"/>
  <c r="CE122" i="46"/>
  <c r="S122" i="46"/>
  <c r="DD122" i="46"/>
  <c r="DE122" i="46"/>
  <c r="DC122" i="46"/>
  <c r="DO122" i="46"/>
  <c r="DG122" i="46"/>
  <c r="BD122" i="46"/>
  <c r="DH122" i="46"/>
  <c r="P122" i="46"/>
  <c r="BP122" i="46"/>
  <c r="BV122" i="46"/>
  <c r="AS122" i="46"/>
  <c r="BC122" i="46"/>
  <c r="U122" i="46"/>
  <c r="BQ122" i="46"/>
  <c r="AV122" i="46"/>
  <c r="BH122" i="46"/>
  <c r="BT122" i="46"/>
  <c r="M122" i="46"/>
  <c r="AA122" i="46"/>
  <c r="AM122" i="46"/>
  <c r="CN122" i="46"/>
  <c r="AK122" i="46"/>
  <c r="AY122" i="46"/>
  <c r="AO122" i="46"/>
  <c r="V122" i="46"/>
  <c r="BL122" i="46"/>
  <c r="CQ122" i="46"/>
  <c r="BN122" i="46"/>
  <c r="DI122" i="46"/>
  <c r="DM122" i="46"/>
  <c r="DF122" i="46"/>
  <c r="AD122" i="46"/>
  <c r="AN122" i="46"/>
  <c r="BU122" i="46"/>
  <c r="AE122" i="46"/>
  <c r="AT122" i="46"/>
  <c r="W122" i="46"/>
  <c r="CG122" i="46"/>
  <c r="CM122" i="46"/>
  <c r="AZ122" i="46"/>
  <c r="BI122" i="46"/>
  <c r="CC122" i="46"/>
  <c r="CH122" i="46"/>
  <c r="CL122" i="46"/>
  <c r="BO122" i="46"/>
  <c r="CP122" i="46"/>
  <c r="AL122" i="46"/>
  <c r="BM122" i="46"/>
  <c r="CD122" i="46"/>
  <c r="BE122" i="46"/>
  <c r="DN122" i="46"/>
  <c r="R122" i="46"/>
  <c r="BY122" i="46"/>
  <c r="AH122" i="46"/>
  <c r="BJ122" i="46"/>
  <c r="BW122" i="46"/>
  <c r="O122" i="46"/>
  <c r="Z122" i="46"/>
  <c r="AF122" i="46"/>
  <c r="CR122" i="46"/>
  <c r="AQ122" i="46"/>
  <c r="BA122" i="46"/>
  <c r="Q122" i="46"/>
  <c r="CJ122" i="46"/>
  <c r="EA122" i="46"/>
  <c r="BF122" i="46"/>
  <c r="BR122" i="46"/>
  <c r="X122" i="46"/>
  <c r="AI122" i="46"/>
  <c r="AC122" i="46"/>
  <c r="AJ122" i="46"/>
  <c r="AU122" i="46"/>
  <c r="BZ122" i="46"/>
  <c r="DK122" i="46"/>
  <c r="DJ122" i="46"/>
  <c r="DL122" i="46"/>
  <c r="CA122" i="46"/>
  <c r="DM128" i="4"/>
  <c r="AV128" i="4"/>
  <c r="AN128" i="4"/>
  <c r="AJ128" i="4"/>
  <c r="AK128" i="4"/>
  <c r="AE128" i="4"/>
  <c r="V128" i="4"/>
  <c r="Z128" i="4"/>
  <c r="AH128" i="4"/>
  <c r="CO128" i="4"/>
  <c r="CL128" i="4"/>
  <c r="DP128" i="4"/>
  <c r="DK128" i="4"/>
  <c r="AY128" i="4"/>
  <c r="BI128" i="4"/>
  <c r="CC128" i="4"/>
  <c r="CR128" i="4"/>
  <c r="DI128" i="4"/>
  <c r="BR128" i="4"/>
  <c r="BS128" i="4"/>
  <c r="BY128" i="4"/>
  <c r="BJ128" i="4"/>
  <c r="EC128" i="4"/>
  <c r="BH128" i="4"/>
  <c r="CE128" i="4"/>
  <c r="AU128" i="4"/>
  <c r="AC128" i="4"/>
  <c r="AD128" i="4"/>
  <c r="Q128" i="4"/>
  <c r="DS128" i="4"/>
  <c r="DQ128" i="46" s="1"/>
  <c r="CM128" i="4"/>
  <c r="BF128" i="4"/>
  <c r="CK128" i="4"/>
  <c r="CS128" i="4"/>
  <c r="BN128" i="4"/>
  <c r="CT128" i="4"/>
  <c r="BB128" i="4"/>
  <c r="BZ128" i="4"/>
  <c r="BG128" i="4"/>
  <c r="DJ128" i="4"/>
  <c r="DN128" i="4"/>
  <c r="AT128" i="4"/>
  <c r="AM128" i="4"/>
  <c r="AQ128" i="4"/>
  <c r="AR128" i="4"/>
  <c r="AB128" i="4"/>
  <c r="Y128" i="4"/>
  <c r="W128" i="4"/>
  <c r="T128" i="4"/>
  <c r="CP128" i="4"/>
  <c r="CN128" i="4"/>
  <c r="DQ128" i="4"/>
  <c r="BE128" i="4"/>
  <c r="CI128" i="4"/>
  <c r="CG128" i="4"/>
  <c r="BL128" i="4"/>
  <c r="CH128" i="4"/>
  <c r="AZ128" i="4"/>
  <c r="BQ128" i="4"/>
  <c r="X128" i="4"/>
  <c r="BD128" i="4"/>
  <c r="BM128" i="4"/>
  <c r="O128" i="4"/>
  <c r="BT128" i="4"/>
  <c r="AO128" i="4"/>
  <c r="AI128" i="4"/>
  <c r="S128" i="4"/>
  <c r="CJ128" i="4"/>
  <c r="DL128" i="4"/>
  <c r="CA128" i="4"/>
  <c r="BU128" i="4"/>
  <c r="BV128" i="4"/>
  <c r="BW128" i="4"/>
  <c r="AF128" i="4"/>
  <c r="AP128" i="4"/>
  <c r="BK128" i="4"/>
  <c r="BP128" i="4"/>
  <c r="AA128" i="4"/>
  <c r="DR128" i="4"/>
  <c r="DP128" i="46" s="1"/>
  <c r="BA128" i="4"/>
  <c r="DH128" i="4"/>
  <c r="AG128" i="4"/>
  <c r="AX128" i="4"/>
  <c r="CQ128" i="4"/>
  <c r="CD128" i="4"/>
  <c r="P128" i="4"/>
  <c r="BO128" i="4"/>
  <c r="AS128" i="4"/>
  <c r="AL128" i="4"/>
  <c r="BX128" i="4"/>
  <c r="CB128" i="4"/>
  <c r="AW128" i="4"/>
  <c r="U128" i="4"/>
  <c r="DO128" i="4"/>
  <c r="CF128" i="4"/>
  <c r="BC128" i="4"/>
  <c r="R128" i="4"/>
  <c r="B130" i="4"/>
  <c r="A118" i="47"/>
  <c r="B118" i="5"/>
  <c r="M129" i="4"/>
  <c r="N123" i="4"/>
  <c r="B112" i="47"/>
  <c r="C124" i="4"/>
  <c r="C112" i="5"/>
  <c r="C117" i="46"/>
  <c r="L116" i="46"/>
  <c r="U123" i="46" l="1"/>
  <c r="BQ123" i="46"/>
  <c r="AV123" i="46"/>
  <c r="BA123" i="46"/>
  <c r="BS123" i="46"/>
  <c r="N123" i="46"/>
  <c r="AA123" i="46"/>
  <c r="AM123" i="46"/>
  <c r="BR123" i="46"/>
  <c r="CR123" i="46"/>
  <c r="AX123" i="46"/>
  <c r="AC123" i="46"/>
  <c r="BP123" i="46"/>
  <c r="BZ123" i="46"/>
  <c r="AJ123" i="46"/>
  <c r="BD123" i="46"/>
  <c r="AH123" i="46"/>
  <c r="S123" i="46"/>
  <c r="CK123" i="46"/>
  <c r="BY123" i="46"/>
  <c r="AB123" i="46"/>
  <c r="DD123" i="46"/>
  <c r="DN123" i="46"/>
  <c r="DF123" i="46"/>
  <c r="DO123" i="46"/>
  <c r="BB123" i="46"/>
  <c r="DI123" i="46"/>
  <c r="W123" i="46"/>
  <c r="CG123" i="46"/>
  <c r="CM123" i="46"/>
  <c r="AR123" i="46"/>
  <c r="BH123" i="46"/>
  <c r="CC123" i="46"/>
  <c r="CH123" i="46"/>
  <c r="AG123" i="46"/>
  <c r="BG123" i="46"/>
  <c r="CA123" i="46"/>
  <c r="AK123" i="46"/>
  <c r="V123" i="46"/>
  <c r="AO123" i="46"/>
  <c r="BM123" i="46"/>
  <c r="CP123" i="46"/>
  <c r="AU123" i="46"/>
  <c r="BC123" i="46"/>
  <c r="BN123" i="46"/>
  <c r="CO123" i="46"/>
  <c r="BV123" i="46"/>
  <c r="AN123" i="46"/>
  <c r="DH123" i="46"/>
  <c r="DG123" i="46"/>
  <c r="DM123" i="46"/>
  <c r="AI123" i="46"/>
  <c r="O123" i="46"/>
  <c r="DK123" i="46"/>
  <c r="Z123" i="46"/>
  <c r="AF123" i="46"/>
  <c r="BT123" i="46"/>
  <c r="M123" i="46"/>
  <c r="AZ123" i="46"/>
  <c r="Q123" i="46"/>
  <c r="CJ123" i="46"/>
  <c r="EA123" i="46"/>
  <c r="AY123" i="46"/>
  <c r="BO123" i="46"/>
  <c r="T123" i="46"/>
  <c r="CI123" i="46"/>
  <c r="CL123" i="46"/>
  <c r="BE123" i="46"/>
  <c r="BW123" i="46"/>
  <c r="BU123" i="46"/>
  <c r="AT123" i="46"/>
  <c r="AS123" i="46"/>
  <c r="DE123" i="46"/>
  <c r="R123" i="46"/>
  <c r="BX123" i="46"/>
  <c r="AP123" i="46"/>
  <c r="BI123" i="46"/>
  <c r="CD123" i="46"/>
  <c r="AQ123" i="46"/>
  <c r="Y123" i="46"/>
  <c r="CE123" i="46"/>
  <c r="CB123" i="46"/>
  <c r="AL123" i="46"/>
  <c r="BF123" i="46"/>
  <c r="X123" i="46"/>
  <c r="CF123" i="46"/>
  <c r="CQ123" i="46"/>
  <c r="AW123" i="46"/>
  <c r="BL123" i="46"/>
  <c r="P123" i="46"/>
  <c r="AE123" i="46"/>
  <c r="AD123" i="46"/>
  <c r="BJ123" i="46"/>
  <c r="CN123" i="46"/>
  <c r="BK123" i="46"/>
  <c r="DC123" i="46"/>
  <c r="DJ123" i="46"/>
  <c r="DL123" i="46"/>
  <c r="B125" i="46"/>
  <c r="K124" i="46"/>
  <c r="B131" i="4"/>
  <c r="A119" i="47"/>
  <c r="B119" i="5"/>
  <c r="M130" i="4"/>
  <c r="C125" i="4"/>
  <c r="B113" i="47"/>
  <c r="N124" i="4"/>
  <c r="C113" i="5"/>
  <c r="DN129" i="4"/>
  <c r="AU129" i="4"/>
  <c r="AM129" i="4"/>
  <c r="AF129" i="4"/>
  <c r="AD129" i="4"/>
  <c r="W129" i="4"/>
  <c r="AR129" i="4"/>
  <c r="Y129" i="4"/>
  <c r="Q129" i="4"/>
  <c r="CP129" i="4"/>
  <c r="CN129" i="4"/>
  <c r="DQ129" i="4"/>
  <c r="BE129" i="4"/>
  <c r="CI129" i="4"/>
  <c r="BY129" i="4"/>
  <c r="EC129" i="4"/>
  <c r="R129" i="4"/>
  <c r="BQ129" i="4"/>
  <c r="BL129" i="4"/>
  <c r="BH129" i="4"/>
  <c r="CH129" i="4"/>
  <c r="BD129" i="4"/>
  <c r="BI129" i="4"/>
  <c r="BX129" i="4"/>
  <c r="AO129" i="4"/>
  <c r="AI129" i="4"/>
  <c r="V129" i="4"/>
  <c r="T129" i="4"/>
  <c r="DR129" i="4"/>
  <c r="DP129" i="46" s="1"/>
  <c r="CQ129" i="4"/>
  <c r="BK129" i="4"/>
  <c r="DH129" i="4"/>
  <c r="X129" i="4"/>
  <c r="DI129" i="4"/>
  <c r="BC129" i="4"/>
  <c r="CT129" i="4"/>
  <c r="BR129" i="4"/>
  <c r="CE129" i="4"/>
  <c r="AT129" i="4"/>
  <c r="AE129" i="4"/>
  <c r="AJ129" i="4"/>
  <c r="AL129" i="4"/>
  <c r="AN129" i="4"/>
  <c r="AX129" i="4"/>
  <c r="AC129" i="4"/>
  <c r="DS129" i="4"/>
  <c r="DQ129" i="46" s="1"/>
  <c r="CJ129" i="4"/>
  <c r="CM129" i="4"/>
  <c r="DO129" i="4"/>
  <c r="BF129" i="4"/>
  <c r="CK129" i="4"/>
  <c r="AA129" i="4"/>
  <c r="CC129" i="4"/>
  <c r="BM129" i="4"/>
  <c r="BZ129" i="4"/>
  <c r="BN129" i="4"/>
  <c r="BU129" i="4"/>
  <c r="CR129" i="4"/>
  <c r="CS129" i="4"/>
  <c r="P129" i="4"/>
  <c r="BJ129" i="4"/>
  <c r="BW129" i="4"/>
  <c r="AV129" i="4"/>
  <c r="AQ129" i="4"/>
  <c r="AH129" i="4"/>
  <c r="U129" i="4"/>
  <c r="DK129" i="4"/>
  <c r="BA129" i="4"/>
  <c r="CF129" i="4"/>
  <c r="BV129" i="4"/>
  <c r="DJ129" i="4"/>
  <c r="BP129" i="4"/>
  <c r="BT129" i="4"/>
  <c r="DM129" i="4"/>
  <c r="AB129" i="4"/>
  <c r="S129" i="4"/>
  <c r="DP129" i="4"/>
  <c r="CA129" i="4"/>
  <c r="BS129" i="4"/>
  <c r="BB129" i="4"/>
  <c r="AK129" i="4"/>
  <c r="CL129" i="4"/>
  <c r="BG129" i="4"/>
  <c r="CD129" i="4"/>
  <c r="AW129" i="4"/>
  <c r="Z129" i="4"/>
  <c r="DL129" i="4"/>
  <c r="O129" i="4"/>
  <c r="CG129" i="4"/>
  <c r="CB129" i="4"/>
  <c r="AP129" i="4"/>
  <c r="AS129" i="4"/>
  <c r="AG129" i="4"/>
  <c r="CO129" i="4"/>
  <c r="AY129" i="4"/>
  <c r="AZ129" i="4"/>
  <c r="BO129" i="4"/>
  <c r="L117" i="46"/>
  <c r="C118" i="46"/>
  <c r="Q124" i="46" l="1"/>
  <c r="CJ124" i="46"/>
  <c r="CQ124" i="46"/>
  <c r="AW124" i="46"/>
  <c r="BO124" i="46"/>
  <c r="R124" i="46"/>
  <c r="CI124" i="46"/>
  <c r="AH124" i="46"/>
  <c r="BC124" i="46"/>
  <c r="BW124" i="46"/>
  <c r="AI124" i="46"/>
  <c r="AP124" i="46"/>
  <c r="CN124" i="46"/>
  <c r="BY124" i="46"/>
  <c r="U124" i="46"/>
  <c r="CB124" i="46"/>
  <c r="BH124" i="46"/>
  <c r="BT124" i="46"/>
  <c r="BX124" i="46"/>
  <c r="T124" i="46"/>
  <c r="W124" i="46"/>
  <c r="DD124" i="46"/>
  <c r="DI124" i="46"/>
  <c r="DH124" i="46"/>
  <c r="DO124" i="46"/>
  <c r="AO124" i="46"/>
  <c r="AU124" i="46"/>
  <c r="AR124" i="46"/>
  <c r="AN124" i="46"/>
  <c r="AV124" i="46"/>
  <c r="BS124" i="46"/>
  <c r="N124" i="46"/>
  <c r="DK124" i="46"/>
  <c r="Y124" i="46"/>
  <c r="CF124" i="46"/>
  <c r="BZ124" i="46"/>
  <c r="AJ124" i="46"/>
  <c r="BF124" i="46"/>
  <c r="X124" i="46"/>
  <c r="CK124" i="46"/>
  <c r="CO124" i="46"/>
  <c r="AT124" i="46"/>
  <c r="BL124" i="46"/>
  <c r="AB124" i="46"/>
  <c r="CM124" i="46"/>
  <c r="BJ124" i="46"/>
  <c r="BP124" i="46"/>
  <c r="V124" i="46"/>
  <c r="BG124" i="46"/>
  <c r="AQ124" i="46"/>
  <c r="M124" i="46"/>
  <c r="EA124" i="46"/>
  <c r="AF124" i="46"/>
  <c r="CL124" i="46"/>
  <c r="DG124" i="46"/>
  <c r="DC124" i="46"/>
  <c r="DJ124" i="46"/>
  <c r="CC124" i="46"/>
  <c r="CH124" i="46"/>
  <c r="AG124" i="46"/>
  <c r="BE124" i="46"/>
  <c r="CA124" i="46"/>
  <c r="AK124" i="46"/>
  <c r="BK124" i="46"/>
  <c r="CP124" i="46"/>
  <c r="CG124" i="46"/>
  <c r="AE124" i="46"/>
  <c r="CD124" i="46"/>
  <c r="BB124" i="46"/>
  <c r="DM124" i="46"/>
  <c r="DL124" i="46"/>
  <c r="AA124" i="46"/>
  <c r="AM124" i="46"/>
  <c r="BM124" i="46"/>
  <c r="CR124" i="46"/>
  <c r="AX124" i="46"/>
  <c r="AC124" i="46"/>
  <c r="BN124" i="46"/>
  <c r="BV124" i="46"/>
  <c r="O124" i="46"/>
  <c r="BD124" i="46"/>
  <c r="AD124" i="46"/>
  <c r="BI124" i="46"/>
  <c r="AS124" i="46"/>
  <c r="BA124" i="46"/>
  <c r="CE124" i="46"/>
  <c r="AL124" i="46"/>
  <c r="S124" i="46"/>
  <c r="BU124" i="46"/>
  <c r="BQ124" i="46"/>
  <c r="BR124" i="46"/>
  <c r="AY124" i="46"/>
  <c r="DF124" i="46"/>
  <c r="DN124" i="46"/>
  <c r="DE124" i="46"/>
  <c r="Z124" i="46"/>
  <c r="P124" i="46"/>
  <c r="AZ124" i="46"/>
  <c r="B126" i="46"/>
  <c r="K125" i="46"/>
  <c r="CE130" i="4"/>
  <c r="AU130" i="4"/>
  <c r="AD130" i="4"/>
  <c r="AC130" i="4"/>
  <c r="AP130" i="4"/>
  <c r="Q130" i="4"/>
  <c r="W130" i="4"/>
  <c r="S130" i="4"/>
  <c r="DR130" i="4"/>
  <c r="DP130" i="46" s="1"/>
  <c r="CJ130" i="4"/>
  <c r="CM130" i="4"/>
  <c r="DK130" i="4"/>
  <c r="BF130" i="4"/>
  <c r="CK130" i="4"/>
  <c r="BJ130" i="4"/>
  <c r="BT130" i="4"/>
  <c r="BR130" i="4"/>
  <c r="CT130" i="4"/>
  <c r="O130" i="4"/>
  <c r="AA130" i="4"/>
  <c r="BY130" i="4"/>
  <c r="CF130" i="4"/>
  <c r="BX130" i="4"/>
  <c r="CR130" i="4"/>
  <c r="DI130" i="4"/>
  <c r="DM130" i="4"/>
  <c r="AN130" i="4"/>
  <c r="AE130" i="4"/>
  <c r="U130" i="4"/>
  <c r="AF130" i="4"/>
  <c r="CO130" i="4"/>
  <c r="CL130" i="4"/>
  <c r="DO130" i="4"/>
  <c r="CC130" i="4"/>
  <c r="DJ130" i="4"/>
  <c r="BB130" i="4"/>
  <c r="CS130" i="4"/>
  <c r="BC130" i="4"/>
  <c r="AW130" i="4"/>
  <c r="AO130" i="4"/>
  <c r="AH130" i="4"/>
  <c r="AS130" i="4"/>
  <c r="AG130" i="4"/>
  <c r="AK130" i="4"/>
  <c r="AJ130" i="4"/>
  <c r="V130" i="4"/>
  <c r="DS130" i="4"/>
  <c r="DQ130" i="46" s="1"/>
  <c r="CQ130" i="4"/>
  <c r="DL130" i="4"/>
  <c r="BA130" i="4"/>
  <c r="BK130" i="4"/>
  <c r="X130" i="4"/>
  <c r="DH130" i="4"/>
  <c r="CD130" i="4"/>
  <c r="CB130" i="4"/>
  <c r="CG130" i="4"/>
  <c r="EC130" i="4"/>
  <c r="BQ130" i="4"/>
  <c r="BG130" i="4"/>
  <c r="P130" i="4"/>
  <c r="R130" i="4"/>
  <c r="BS130" i="4"/>
  <c r="AV130" i="4"/>
  <c r="AL130" i="4"/>
  <c r="AR130" i="4"/>
  <c r="T130" i="4"/>
  <c r="DP130" i="4"/>
  <c r="AY130" i="4"/>
  <c r="BO130" i="4"/>
  <c r="BN130" i="4"/>
  <c r="CA130" i="4"/>
  <c r="BP130" i="4"/>
  <c r="BW130" i="4"/>
  <c r="AM130" i="4"/>
  <c r="AB130" i="4"/>
  <c r="BE130" i="4"/>
  <c r="BU130" i="4"/>
  <c r="BL130" i="4"/>
  <c r="BM130" i="4"/>
  <c r="DN130" i="4"/>
  <c r="BD130" i="4"/>
  <c r="AT130" i="4"/>
  <c r="Z130" i="4"/>
  <c r="CP130" i="4"/>
  <c r="CI130" i="4"/>
  <c r="BV130" i="4"/>
  <c r="BH130" i="4"/>
  <c r="AI130" i="4"/>
  <c r="DQ130" i="4"/>
  <c r="BI130" i="4"/>
  <c r="AZ130" i="4"/>
  <c r="AX130" i="4"/>
  <c r="Y130" i="4"/>
  <c r="CN130" i="4"/>
  <c r="BZ130" i="4"/>
  <c r="CH130" i="4"/>
  <c r="AQ130" i="4"/>
  <c r="B114" i="47"/>
  <c r="C126" i="4"/>
  <c r="C114" i="5"/>
  <c r="N125" i="4"/>
  <c r="B132" i="4"/>
  <c r="B120" i="5"/>
  <c r="M131" i="4"/>
  <c r="A120" i="47"/>
  <c r="C119" i="46"/>
  <c r="L118" i="46"/>
  <c r="T125" i="46" l="1"/>
  <c r="CH125" i="46"/>
  <c r="AH125" i="46"/>
  <c r="BF125" i="46"/>
  <c r="BZ125" i="46"/>
  <c r="AJ125" i="46"/>
  <c r="Z125" i="46"/>
  <c r="AN125" i="46"/>
  <c r="BL125" i="46"/>
  <c r="CO125" i="46"/>
  <c r="AT125" i="46"/>
  <c r="BX125" i="46"/>
  <c r="BU125" i="46"/>
  <c r="BA125" i="46"/>
  <c r="BJ125" i="46"/>
  <c r="CI125" i="46"/>
  <c r="BS125" i="46"/>
  <c r="AY125" i="46"/>
  <c r="AS125" i="46"/>
  <c r="CC125" i="46"/>
  <c r="Y125" i="46"/>
  <c r="AQ125" i="46"/>
  <c r="DG125" i="46"/>
  <c r="DH125" i="46"/>
  <c r="DL125" i="46"/>
  <c r="X125" i="46"/>
  <c r="CE125" i="46"/>
  <c r="CR125" i="46"/>
  <c r="AX125" i="46"/>
  <c r="BM125" i="46"/>
  <c r="S125" i="46"/>
  <c r="BY125" i="46"/>
  <c r="AV125" i="46"/>
  <c r="BD125" i="46"/>
  <c r="BV125" i="46"/>
  <c r="O125" i="46"/>
  <c r="BQ125" i="46"/>
  <c r="BB125" i="46"/>
  <c r="M125" i="46"/>
  <c r="AR125" i="46"/>
  <c r="CJ125" i="46"/>
  <c r="AZ125" i="46"/>
  <c r="V125" i="46"/>
  <c r="CM125" i="46"/>
  <c r="CG125" i="46"/>
  <c r="AG125" i="46"/>
  <c r="DD125" i="46"/>
  <c r="DF125" i="46"/>
  <c r="DI125" i="46"/>
  <c r="DO125" i="46"/>
  <c r="AC125" i="46"/>
  <c r="BP125" i="46"/>
  <c r="CA125" i="46"/>
  <c r="AK125" i="46"/>
  <c r="BE125" i="46"/>
  <c r="AB125" i="46"/>
  <c r="CK125" i="46"/>
  <c r="CP125" i="46"/>
  <c r="AU125" i="46"/>
  <c r="BK125" i="46"/>
  <c r="R125" i="46"/>
  <c r="AF125" i="46"/>
  <c r="AE125" i="46"/>
  <c r="U125" i="46"/>
  <c r="Q125" i="46"/>
  <c r="AM125" i="46"/>
  <c r="N125" i="46"/>
  <c r="CF125" i="46"/>
  <c r="BI125" i="46"/>
  <c r="CD125" i="46"/>
  <c r="BH125" i="46"/>
  <c r="DK125" i="46"/>
  <c r="DE125" i="46"/>
  <c r="DN125" i="46"/>
  <c r="AD125" i="46"/>
  <c r="AO125" i="46"/>
  <c r="BO125" i="46"/>
  <c r="CQ125" i="46"/>
  <c r="AW125" i="46"/>
  <c r="P125" i="46"/>
  <c r="BN125" i="46"/>
  <c r="BW125" i="46"/>
  <c r="AI125" i="46"/>
  <c r="BC125" i="46"/>
  <c r="W125" i="46"/>
  <c r="CL125" i="46"/>
  <c r="BT125" i="46"/>
  <c r="AP125" i="46"/>
  <c r="AA125" i="46"/>
  <c r="EA125" i="46"/>
  <c r="BR125" i="46"/>
  <c r="CN125" i="46"/>
  <c r="CB125" i="46"/>
  <c r="BG125" i="46"/>
  <c r="AL125" i="46"/>
  <c r="DM125" i="46"/>
  <c r="DC125" i="46"/>
  <c r="DJ125" i="46"/>
  <c r="B127" i="46"/>
  <c r="K126" i="46"/>
  <c r="AV131" i="4"/>
  <c r="AU131" i="4"/>
  <c r="AG131" i="4"/>
  <c r="AH131" i="4"/>
  <c r="AJ131" i="4"/>
  <c r="AQ131" i="4"/>
  <c r="U131" i="4"/>
  <c r="AI131" i="4"/>
  <c r="DS131" i="4"/>
  <c r="DQ131" i="46" s="1"/>
  <c r="CQ131" i="4"/>
  <c r="DL131" i="4"/>
  <c r="BA131" i="4"/>
  <c r="BK131" i="4"/>
  <c r="BP131" i="4"/>
  <c r="BY131" i="4"/>
  <c r="BW131" i="4"/>
  <c r="DI131" i="4"/>
  <c r="DH131" i="4"/>
  <c r="BR131" i="4"/>
  <c r="BC131" i="4"/>
  <c r="CR131" i="4"/>
  <c r="BL131" i="4"/>
  <c r="BN131" i="4"/>
  <c r="AN131" i="4"/>
  <c r="AX131" i="4"/>
  <c r="AF131" i="4"/>
  <c r="CO131" i="4"/>
  <c r="DQ131" i="4"/>
  <c r="CI131" i="4"/>
  <c r="BD131" i="4"/>
  <c r="BV131" i="4"/>
  <c r="CF131" i="4"/>
  <c r="DJ131" i="4"/>
  <c r="DM131" i="4"/>
  <c r="AS131" i="4"/>
  <c r="AT131" i="4"/>
  <c r="AK131" i="4"/>
  <c r="AL131" i="4"/>
  <c r="T131" i="4"/>
  <c r="AE131" i="4"/>
  <c r="Q131" i="4"/>
  <c r="S131" i="4"/>
  <c r="CP131" i="4"/>
  <c r="CL131" i="4"/>
  <c r="DP131" i="4"/>
  <c r="DO131" i="4"/>
  <c r="AY131" i="4"/>
  <c r="EC131" i="4"/>
  <c r="CB131" i="4"/>
  <c r="BH131" i="4"/>
  <c r="CT131" i="4"/>
  <c r="BO131" i="4"/>
  <c r="BM131" i="4"/>
  <c r="AA131" i="4"/>
  <c r="X131" i="4"/>
  <c r="BU131" i="4"/>
  <c r="R131" i="4"/>
  <c r="DN131" i="4"/>
  <c r="AW131" i="4"/>
  <c r="AR131" i="4"/>
  <c r="Z131" i="4"/>
  <c r="AP131" i="4"/>
  <c r="Y131" i="4"/>
  <c r="CN131" i="4"/>
  <c r="BE131" i="4"/>
  <c r="O131" i="4"/>
  <c r="BX131" i="4"/>
  <c r="CS131" i="4"/>
  <c r="BI131" i="4"/>
  <c r="BB131" i="4"/>
  <c r="BG131" i="4"/>
  <c r="CG131" i="4"/>
  <c r="AO131" i="4"/>
  <c r="AC131" i="4"/>
  <c r="CJ131" i="4"/>
  <c r="CK131" i="4"/>
  <c r="CD131" i="4"/>
  <c r="AZ131" i="4"/>
  <c r="P131" i="4"/>
  <c r="DR131" i="4"/>
  <c r="DP131" i="46" s="1"/>
  <c r="BF131" i="4"/>
  <c r="BJ131" i="4"/>
  <c r="CH131" i="4"/>
  <c r="AD131" i="4"/>
  <c r="V131" i="4"/>
  <c r="CM131" i="4"/>
  <c r="BS131" i="4"/>
  <c r="CA131" i="4"/>
  <c r="W131" i="4"/>
  <c r="BQ131" i="4"/>
  <c r="CE131" i="4"/>
  <c r="AB131" i="4"/>
  <c r="DK131" i="4"/>
  <c r="CC131" i="4"/>
  <c r="BT131" i="4"/>
  <c r="BZ131" i="4"/>
  <c r="AM131" i="4"/>
  <c r="B115" i="47"/>
  <c r="N126" i="4"/>
  <c r="C115" i="5"/>
  <c r="C127" i="4"/>
  <c r="B133" i="4"/>
  <c r="A121" i="47"/>
  <c r="M132" i="4"/>
  <c r="B121" i="5"/>
  <c r="C120" i="46"/>
  <c r="L119" i="46"/>
  <c r="AB126" i="46" l="1"/>
  <c r="CE126" i="46"/>
  <c r="EA126" i="46"/>
  <c r="AY126" i="46"/>
  <c r="BO126" i="46"/>
  <c r="R126" i="46"/>
  <c r="BX126" i="46"/>
  <c r="AP126" i="46"/>
  <c r="BM126" i="46"/>
  <c r="CP126" i="46"/>
  <c r="AU126" i="46"/>
  <c r="CG126" i="46"/>
  <c r="AT126" i="46"/>
  <c r="Q126" i="46"/>
  <c r="BU126" i="46"/>
  <c r="BN126" i="46"/>
  <c r="AR126" i="46"/>
  <c r="AA126" i="46"/>
  <c r="BB126" i="46"/>
  <c r="AO126" i="46"/>
  <c r="BA126" i="46"/>
  <c r="DD126" i="46"/>
  <c r="DI126" i="46"/>
  <c r="DF126" i="46"/>
  <c r="DO126" i="46"/>
  <c r="P126" i="46"/>
  <c r="BP126" i="46"/>
  <c r="CB126" i="46"/>
  <c r="AL126" i="46"/>
  <c r="BF126" i="46"/>
  <c r="U126" i="46"/>
  <c r="BQ126" i="46"/>
  <c r="CL126" i="46"/>
  <c r="BE126" i="46"/>
  <c r="BW126" i="46"/>
  <c r="AI126" i="46"/>
  <c r="AG126" i="46"/>
  <c r="CN126" i="46"/>
  <c r="AM126" i="46"/>
  <c r="AE126" i="46"/>
  <c r="AV126" i="46"/>
  <c r="CD126" i="46"/>
  <c r="CI126" i="46"/>
  <c r="CK126" i="46"/>
  <c r="BT126" i="46"/>
  <c r="N126" i="46"/>
  <c r="DC126" i="46"/>
  <c r="DN126" i="46"/>
  <c r="DH126" i="46"/>
  <c r="Z126" i="46"/>
  <c r="AN126" i="46"/>
  <c r="BR126" i="46"/>
  <c r="CR126" i="46"/>
  <c r="AX126" i="46"/>
  <c r="W126" i="46"/>
  <c r="CF126" i="46"/>
  <c r="CQ126" i="46"/>
  <c r="AW126" i="46"/>
  <c r="BL126" i="46"/>
  <c r="CC126" i="46"/>
  <c r="CO126" i="46"/>
  <c r="BJ126" i="46"/>
  <c r="BV126" i="46"/>
  <c r="T126" i="46"/>
  <c r="CM126" i="46"/>
  <c r="BH126" i="46"/>
  <c r="CJ126" i="46"/>
  <c r="BS126" i="46"/>
  <c r="AZ126" i="46"/>
  <c r="CH126" i="46"/>
  <c r="DM126" i="46"/>
  <c r="DJ126" i="46"/>
  <c r="DK126" i="46"/>
  <c r="S126" i="46"/>
  <c r="BY126" i="46"/>
  <c r="AH126" i="46"/>
  <c r="BG126" i="46"/>
  <c r="CA126" i="46"/>
  <c r="AK126" i="46"/>
  <c r="AD126" i="46"/>
  <c r="AF126" i="46"/>
  <c r="BZ126" i="46"/>
  <c r="AJ126" i="46"/>
  <c r="BD126" i="46"/>
  <c r="Y126" i="46"/>
  <c r="BK126" i="46"/>
  <c r="AS126" i="46"/>
  <c r="O126" i="46"/>
  <c r="AC126" i="46"/>
  <c r="BI126" i="46"/>
  <c r="AQ126" i="46"/>
  <c r="BC126" i="46"/>
  <c r="X126" i="46"/>
  <c r="V126" i="46"/>
  <c r="M126" i="46"/>
  <c r="DE126" i="46"/>
  <c r="DG126" i="46"/>
  <c r="DL126" i="46"/>
  <c r="B128" i="46"/>
  <c r="K127" i="46"/>
  <c r="B134" i="4"/>
  <c r="A122" i="47"/>
  <c r="B122" i="5"/>
  <c r="M133" i="4"/>
  <c r="DM132" i="4"/>
  <c r="AV132" i="4"/>
  <c r="AN132" i="4"/>
  <c r="AJ132" i="4"/>
  <c r="AK132" i="4"/>
  <c r="U132" i="4"/>
  <c r="V132" i="4"/>
  <c r="AB132" i="4"/>
  <c r="AD132" i="4"/>
  <c r="CO132" i="4"/>
  <c r="CL132" i="4"/>
  <c r="DP132" i="4"/>
  <c r="DK132" i="4"/>
  <c r="AY132" i="4"/>
  <c r="BD132" i="4"/>
  <c r="BY132" i="4"/>
  <c r="O132" i="4"/>
  <c r="CG132" i="4"/>
  <c r="P132" i="4"/>
  <c r="BM132" i="4"/>
  <c r="BV132" i="4"/>
  <c r="DH132" i="4"/>
  <c r="BU132" i="4"/>
  <c r="CH132" i="4"/>
  <c r="CE132" i="4"/>
  <c r="AE132" i="4"/>
  <c r="AH132" i="4"/>
  <c r="S132" i="4"/>
  <c r="CJ132" i="4"/>
  <c r="CK132" i="4"/>
  <c r="BT132" i="4"/>
  <c r="R132" i="4"/>
  <c r="CD132" i="4"/>
  <c r="BL132" i="4"/>
  <c r="BW132" i="4"/>
  <c r="DN132" i="4"/>
  <c r="AT132" i="4"/>
  <c r="AM132" i="4"/>
  <c r="AQ132" i="4"/>
  <c r="AR132" i="4"/>
  <c r="Q132" i="4"/>
  <c r="Y132" i="4"/>
  <c r="Z132" i="4"/>
  <c r="AL132" i="4"/>
  <c r="CP132" i="4"/>
  <c r="CN132" i="4"/>
  <c r="DQ132" i="4"/>
  <c r="BE132" i="4"/>
  <c r="CI132" i="4"/>
  <c r="BQ132" i="4"/>
  <c r="BP132" i="4"/>
  <c r="CT132" i="4"/>
  <c r="AZ132" i="4"/>
  <c r="DI132" i="4"/>
  <c r="CC132" i="4"/>
  <c r="BH132" i="4"/>
  <c r="DJ132" i="4"/>
  <c r="CF132" i="4"/>
  <c r="BZ132" i="4"/>
  <c r="CR132" i="4"/>
  <c r="AO132" i="4"/>
  <c r="AU132" i="4"/>
  <c r="AC132" i="4"/>
  <c r="W132" i="4"/>
  <c r="DS132" i="4"/>
  <c r="DQ132" i="46" s="1"/>
  <c r="CM132" i="4"/>
  <c r="DL132" i="4"/>
  <c r="BF132" i="4"/>
  <c r="BB132" i="4"/>
  <c r="BR132" i="4"/>
  <c r="CA132" i="4"/>
  <c r="BI132" i="4"/>
  <c r="BN132" i="4"/>
  <c r="AA132" i="4"/>
  <c r="AG132" i="4"/>
  <c r="T132" i="4"/>
  <c r="CQ132" i="4"/>
  <c r="BG132" i="4"/>
  <c r="BX132" i="4"/>
  <c r="AI132" i="4"/>
  <c r="EC132" i="4"/>
  <c r="AW132" i="4"/>
  <c r="AP132" i="4"/>
  <c r="DO132" i="4"/>
  <c r="BS132" i="4"/>
  <c r="X132" i="4"/>
  <c r="CB132" i="4"/>
  <c r="BK132" i="4"/>
  <c r="CS132" i="4"/>
  <c r="AS132" i="4"/>
  <c r="AX132" i="4"/>
  <c r="DR132" i="4"/>
  <c r="DP132" i="46" s="1"/>
  <c r="BA132" i="4"/>
  <c r="BC132" i="4"/>
  <c r="BO132" i="4"/>
  <c r="BJ132" i="4"/>
  <c r="AF132" i="4"/>
  <c r="B116" i="47"/>
  <c r="C116" i="5"/>
  <c r="N127" i="4"/>
  <c r="C128" i="4"/>
  <c r="C121" i="46"/>
  <c r="L120" i="46"/>
  <c r="AD127" i="46" l="1"/>
  <c r="AF127" i="46"/>
  <c r="BR127" i="46"/>
  <c r="EA127" i="46"/>
  <c r="AZ127" i="46"/>
  <c r="Q127" i="46"/>
  <c r="CJ127" i="46"/>
  <c r="CQ127" i="46"/>
  <c r="AW127" i="46"/>
  <c r="BO127" i="46"/>
  <c r="X127" i="46"/>
  <c r="AO127" i="46"/>
  <c r="CP127" i="46"/>
  <c r="BP127" i="46"/>
  <c r="AB127" i="46"/>
  <c r="CM127" i="46"/>
  <c r="BJ127" i="46"/>
  <c r="O127" i="46"/>
  <c r="BN127" i="46"/>
  <c r="CL127" i="46"/>
  <c r="M127" i="46"/>
  <c r="DK127" i="46"/>
  <c r="DF127" i="46"/>
  <c r="DN127" i="46"/>
  <c r="BB127" i="46"/>
  <c r="DG127" i="46"/>
  <c r="R127" i="46"/>
  <c r="BX127" i="46"/>
  <c r="AP127" i="46"/>
  <c r="BG127" i="46"/>
  <c r="CD127" i="46"/>
  <c r="AQ127" i="46"/>
  <c r="Y127" i="46"/>
  <c r="CG127" i="46"/>
  <c r="BZ127" i="46"/>
  <c r="AJ127" i="46"/>
  <c r="BF127" i="46"/>
  <c r="V127" i="46"/>
  <c r="CO127" i="46"/>
  <c r="BL127" i="46"/>
  <c r="BV127" i="46"/>
  <c r="Z127" i="46"/>
  <c r="BI127" i="46"/>
  <c r="AS127" i="46"/>
  <c r="BW127" i="46"/>
  <c r="BT127" i="46"/>
  <c r="BA127" i="46"/>
  <c r="BU127" i="46"/>
  <c r="DJ127" i="46"/>
  <c r="DH127" i="46"/>
  <c r="DE127" i="46"/>
  <c r="BM127" i="46"/>
  <c r="AU127" i="46"/>
  <c r="CE127" i="46"/>
  <c r="AR127" i="46"/>
  <c r="AI127" i="46"/>
  <c r="AE127" i="46"/>
  <c r="DL127" i="46"/>
  <c r="U127" i="46"/>
  <c r="BQ127" i="46"/>
  <c r="AH127" i="46"/>
  <c r="AY127" i="46"/>
  <c r="BS127" i="46"/>
  <c r="N127" i="46"/>
  <c r="AA127" i="46"/>
  <c r="AM127" i="46"/>
  <c r="CR127" i="46"/>
  <c r="AX127" i="46"/>
  <c r="CI127" i="46"/>
  <c r="BK127" i="46"/>
  <c r="BC127" i="46"/>
  <c r="T127" i="46"/>
  <c r="DD127" i="46"/>
  <c r="DO127" i="46"/>
  <c r="W127" i="46"/>
  <c r="CK127" i="46"/>
  <c r="CB127" i="46"/>
  <c r="AL127" i="46"/>
  <c r="BH127" i="46"/>
  <c r="CC127" i="46"/>
  <c r="CH127" i="46"/>
  <c r="AG127" i="46"/>
  <c r="BE127" i="46"/>
  <c r="CA127" i="46"/>
  <c r="AK127" i="46"/>
  <c r="CF127" i="46"/>
  <c r="AT127" i="46"/>
  <c r="AC127" i="46"/>
  <c r="BD127" i="46"/>
  <c r="AN127" i="46"/>
  <c r="CN127" i="46"/>
  <c r="AV127" i="46"/>
  <c r="S127" i="46"/>
  <c r="P127" i="46"/>
  <c r="BY127" i="46"/>
  <c r="DM127" i="46"/>
  <c r="DI127" i="46"/>
  <c r="DC127" i="46"/>
  <c r="K128" i="46"/>
  <c r="B129" i="46"/>
  <c r="DN133" i="4"/>
  <c r="AU133" i="4"/>
  <c r="AM133" i="4"/>
  <c r="AP133" i="4"/>
  <c r="AB133" i="4"/>
  <c r="Z133" i="4"/>
  <c r="AK133" i="4"/>
  <c r="AG133" i="4"/>
  <c r="Q133" i="4"/>
  <c r="CP133" i="4"/>
  <c r="CN133" i="4"/>
  <c r="DQ133" i="4"/>
  <c r="BE133" i="4"/>
  <c r="CI133" i="4"/>
  <c r="BY133" i="4"/>
  <c r="P133" i="4"/>
  <c r="CG133" i="4"/>
  <c r="BR133" i="4"/>
  <c r="BJ133" i="4"/>
  <c r="BV133" i="4"/>
  <c r="BI133" i="4"/>
  <c r="EC133" i="4"/>
  <c r="CF133" i="4"/>
  <c r="BQ133" i="4"/>
  <c r="AV133" i="4"/>
  <c r="AJ133" i="4"/>
  <c r="DR133" i="4"/>
  <c r="DP133" i="46" s="1"/>
  <c r="CQ133" i="4"/>
  <c r="BA133" i="4"/>
  <c r="BD133" i="4"/>
  <c r="BB133" i="4"/>
  <c r="R133" i="4"/>
  <c r="BS133" i="4"/>
  <c r="O133" i="4"/>
  <c r="BO133" i="4"/>
  <c r="CE133" i="4"/>
  <c r="AT133" i="4"/>
  <c r="AS133" i="4"/>
  <c r="AF133" i="4"/>
  <c r="AH133" i="4"/>
  <c r="W133" i="4"/>
  <c r="AL133" i="4"/>
  <c r="Y133" i="4"/>
  <c r="DS133" i="4"/>
  <c r="DQ133" i="46" s="1"/>
  <c r="CJ133" i="4"/>
  <c r="CM133" i="4"/>
  <c r="DO133" i="4"/>
  <c r="BF133" i="4"/>
  <c r="CK133" i="4"/>
  <c r="BH133" i="4"/>
  <c r="BZ133" i="4"/>
  <c r="AZ133" i="4"/>
  <c r="X133" i="4"/>
  <c r="BL133" i="4"/>
  <c r="BT133" i="4"/>
  <c r="BX133" i="4"/>
  <c r="CS133" i="4"/>
  <c r="BU133" i="4"/>
  <c r="DI133" i="4"/>
  <c r="AA133" i="4"/>
  <c r="AO133" i="4"/>
  <c r="AE133" i="4"/>
  <c r="AX133" i="4"/>
  <c r="AD133" i="4"/>
  <c r="AR133" i="4"/>
  <c r="U133" i="4"/>
  <c r="DK133" i="4"/>
  <c r="BK133" i="4"/>
  <c r="CT133" i="4"/>
  <c r="CC133" i="4"/>
  <c r="BM133" i="4"/>
  <c r="BW133" i="4"/>
  <c r="CB133" i="4"/>
  <c r="AW133" i="4"/>
  <c r="V133" i="4"/>
  <c r="DL133" i="4"/>
  <c r="DJ133" i="4"/>
  <c r="BP133" i="4"/>
  <c r="BN133" i="4"/>
  <c r="AQ133" i="4"/>
  <c r="AN133" i="4"/>
  <c r="T133" i="4"/>
  <c r="CO133" i="4"/>
  <c r="AY133" i="4"/>
  <c r="CD133" i="4"/>
  <c r="CR133" i="4"/>
  <c r="DH133" i="4"/>
  <c r="DM133" i="4"/>
  <c r="AC133" i="4"/>
  <c r="DP133" i="4"/>
  <c r="BG133" i="4"/>
  <c r="CA133" i="4"/>
  <c r="AI133" i="4"/>
  <c r="S133" i="4"/>
  <c r="CL133" i="4"/>
  <c r="CH133" i="4"/>
  <c r="BC133" i="4"/>
  <c r="C117" i="5"/>
  <c r="B117" i="47"/>
  <c r="N128" i="4"/>
  <c r="C129" i="4"/>
  <c r="B135" i="4"/>
  <c r="B123" i="5"/>
  <c r="A123" i="47"/>
  <c r="M134" i="4"/>
  <c r="L121" i="46"/>
  <c r="C122" i="46"/>
  <c r="U128" i="46" l="1"/>
  <c r="BQ128" i="46"/>
  <c r="AG128" i="46"/>
  <c r="BF128" i="46"/>
  <c r="BZ128" i="46"/>
  <c r="AJ128" i="46"/>
  <c r="AA128" i="46"/>
  <c r="AM128" i="46"/>
  <c r="BL128" i="46"/>
  <c r="CO128" i="46"/>
  <c r="AT128" i="46"/>
  <c r="CI128" i="46"/>
  <c r="BB128" i="46"/>
  <c r="M128" i="46"/>
  <c r="AS128" i="46"/>
  <c r="AD128" i="46"/>
  <c r="BS128" i="46"/>
  <c r="AY128" i="46"/>
  <c r="CM128" i="46"/>
  <c r="AL128" i="46"/>
  <c r="T128" i="46"/>
  <c r="DD128" i="46"/>
  <c r="DI128" i="46"/>
  <c r="DC128" i="46"/>
  <c r="DO128" i="46"/>
  <c r="AE128" i="46"/>
  <c r="W128" i="46"/>
  <c r="CF128" i="46"/>
  <c r="CR128" i="46"/>
  <c r="AX128" i="46"/>
  <c r="BM128" i="46"/>
  <c r="CC128" i="46"/>
  <c r="CH128" i="46"/>
  <c r="AH128" i="46"/>
  <c r="BD128" i="46"/>
  <c r="BV128" i="46"/>
  <c r="O128" i="46"/>
  <c r="CE128" i="46"/>
  <c r="AC128" i="46"/>
  <c r="BI128" i="46"/>
  <c r="CK128" i="46"/>
  <c r="AZ128" i="46"/>
  <c r="R128" i="46"/>
  <c r="P128" i="46"/>
  <c r="BY128" i="46"/>
  <c r="BP128" i="46"/>
  <c r="DE128" i="46"/>
  <c r="DK128" i="46"/>
  <c r="DN128" i="46"/>
  <c r="DH128" i="46"/>
  <c r="DL128" i="46"/>
  <c r="V128" i="46"/>
  <c r="AF128" i="46"/>
  <c r="CA128" i="46"/>
  <c r="AK128" i="46"/>
  <c r="BE128" i="46"/>
  <c r="Q128" i="46"/>
  <c r="CJ128" i="46"/>
  <c r="CP128" i="46"/>
  <c r="AU128" i="46"/>
  <c r="BK128" i="46"/>
  <c r="X128" i="46"/>
  <c r="AO128" i="46"/>
  <c r="BT128" i="46"/>
  <c r="CL128" i="46"/>
  <c r="AR128" i="46"/>
  <c r="AP128" i="46"/>
  <c r="N128" i="46"/>
  <c r="BN128" i="46"/>
  <c r="AV128" i="46"/>
  <c r="AQ128" i="46"/>
  <c r="CD128" i="46"/>
  <c r="DM128" i="46"/>
  <c r="DJ128" i="46"/>
  <c r="DF128" i="46"/>
  <c r="BC128" i="46"/>
  <c r="BJ128" i="46"/>
  <c r="CB128" i="46"/>
  <c r="DG128" i="46"/>
  <c r="S128" i="46"/>
  <c r="BX128" i="46"/>
  <c r="AN128" i="46"/>
  <c r="BO128" i="46"/>
  <c r="CQ128" i="46"/>
  <c r="AW128" i="46"/>
  <c r="Y128" i="46"/>
  <c r="CG128" i="46"/>
  <c r="BW128" i="46"/>
  <c r="AI128" i="46"/>
  <c r="Z128" i="46"/>
  <c r="BU128" i="46"/>
  <c r="BA128" i="46"/>
  <c r="CN128" i="46"/>
  <c r="AB128" i="46"/>
  <c r="EA128" i="46"/>
  <c r="BR128" i="46"/>
  <c r="BH128" i="46"/>
  <c r="BG128" i="46"/>
  <c r="K129" i="46"/>
  <c r="B130" i="46"/>
  <c r="C118" i="5"/>
  <c r="C130" i="4"/>
  <c r="N129" i="4"/>
  <c r="B118" i="47"/>
  <c r="B136" i="4"/>
  <c r="A124" i="47"/>
  <c r="M135" i="4"/>
  <c r="B124" i="5"/>
  <c r="DN134" i="4"/>
  <c r="AU134" i="4"/>
  <c r="AN134" i="4"/>
  <c r="AL134" i="4"/>
  <c r="AI134" i="4"/>
  <c r="Q134" i="4"/>
  <c r="AF134" i="4"/>
  <c r="S134" i="4"/>
  <c r="V134" i="4"/>
  <c r="CP134" i="4"/>
  <c r="CL134" i="4"/>
  <c r="DP134" i="4"/>
  <c r="DO134" i="4"/>
  <c r="AY134" i="4"/>
  <c r="BY134" i="4"/>
  <c r="BG134" i="4"/>
  <c r="O134" i="4"/>
  <c r="AZ134" i="4"/>
  <c r="DH134" i="4"/>
  <c r="BP134" i="4"/>
  <c r="BZ134" i="4"/>
  <c r="CG134" i="4"/>
  <c r="P134" i="4"/>
  <c r="CC134" i="4"/>
  <c r="CF134" i="4"/>
  <c r="AW134" i="4"/>
  <c r="AD134" i="4"/>
  <c r="AK134" i="4"/>
  <c r="T134" i="4"/>
  <c r="DS134" i="4"/>
  <c r="DQ134" i="46" s="1"/>
  <c r="CM134" i="4"/>
  <c r="CK134" i="4"/>
  <c r="BJ134" i="4"/>
  <c r="BN134" i="4"/>
  <c r="BV134" i="4"/>
  <c r="BR134" i="4"/>
  <c r="BM134" i="4"/>
  <c r="BX134" i="4"/>
  <c r="CH134" i="4"/>
  <c r="CA134" i="4"/>
  <c r="X134" i="4"/>
  <c r="CE134" i="4"/>
  <c r="AT134" i="4"/>
  <c r="AO134" i="4"/>
  <c r="AX134" i="4"/>
  <c r="AP134" i="4"/>
  <c r="AG134" i="4"/>
  <c r="AQ134" i="4"/>
  <c r="AR134" i="4"/>
  <c r="DR134" i="4"/>
  <c r="DP134" i="46" s="1"/>
  <c r="CJ134" i="4"/>
  <c r="CN134" i="4"/>
  <c r="DQ134" i="4"/>
  <c r="BE134" i="4"/>
  <c r="CI134" i="4"/>
  <c r="CB134" i="4"/>
  <c r="CS134" i="4"/>
  <c r="BC134" i="4"/>
  <c r="BU134" i="4"/>
  <c r="DJ134" i="4"/>
  <c r="BS134" i="4"/>
  <c r="EC134" i="4"/>
  <c r="BH134" i="4"/>
  <c r="DI134" i="4"/>
  <c r="BQ134" i="4"/>
  <c r="CR134" i="4"/>
  <c r="AV134" i="4"/>
  <c r="AC134" i="4"/>
  <c r="Z134" i="4"/>
  <c r="U134" i="4"/>
  <c r="DK134" i="4"/>
  <c r="BF134" i="4"/>
  <c r="R134" i="4"/>
  <c r="AS134" i="4"/>
  <c r="W134" i="4"/>
  <c r="DL134" i="4"/>
  <c r="BB134" i="4"/>
  <c r="BW134" i="4"/>
  <c r="BO134" i="4"/>
  <c r="AM134" i="4"/>
  <c r="CQ134" i="4"/>
  <c r="BI134" i="4"/>
  <c r="AH134" i="4"/>
  <c r="Y134" i="4"/>
  <c r="CO134" i="4"/>
  <c r="BA134" i="4"/>
  <c r="BD134" i="4"/>
  <c r="AA134" i="4"/>
  <c r="AB134" i="4"/>
  <c r="CT134" i="4"/>
  <c r="DM134" i="4"/>
  <c r="AE134" i="4"/>
  <c r="AJ134" i="4"/>
  <c r="BK134" i="4"/>
  <c r="BT134" i="4"/>
  <c r="CD134" i="4"/>
  <c r="BL134" i="4"/>
  <c r="C123" i="46"/>
  <c r="L122" i="46"/>
  <c r="B131" i="46" l="1"/>
  <c r="K130" i="46"/>
  <c r="Q129" i="46"/>
  <c r="BQ129" i="46"/>
  <c r="AG129" i="46"/>
  <c r="BE129" i="46"/>
  <c r="BW129" i="46"/>
  <c r="AI129" i="46"/>
  <c r="AD129" i="46"/>
  <c r="AM129" i="46"/>
  <c r="BK129" i="46"/>
  <c r="CN129" i="46"/>
  <c r="AS129" i="46"/>
  <c r="BY129" i="46"/>
  <c r="BI129" i="46"/>
  <c r="AQ129" i="46"/>
  <c r="R129" i="46"/>
  <c r="CB129" i="46"/>
  <c r="BF129" i="46"/>
  <c r="AO129" i="46"/>
  <c r="AZ129" i="46"/>
  <c r="BR129" i="46"/>
  <c r="U129" i="46"/>
  <c r="DD129" i="46"/>
  <c r="DG129" i="46"/>
  <c r="DN129" i="46"/>
  <c r="DO129" i="46"/>
  <c r="BZ129" i="46"/>
  <c r="X129" i="46"/>
  <c r="CO129" i="46"/>
  <c r="BJ129" i="46"/>
  <c r="AH129" i="46"/>
  <c r="CE129" i="46"/>
  <c r="AL129" i="46"/>
  <c r="BA129" i="46"/>
  <c r="AY129" i="46"/>
  <c r="DC129" i="46"/>
  <c r="DI129" i="46"/>
  <c r="CP129" i="46"/>
  <c r="O129" i="46"/>
  <c r="AV129" i="46"/>
  <c r="CR129" i="46"/>
  <c r="DK129" i="46"/>
  <c r="Y129" i="46"/>
  <c r="CK129" i="46"/>
  <c r="CQ129" i="46"/>
  <c r="AW129" i="46"/>
  <c r="BL129" i="46"/>
  <c r="S129" i="46"/>
  <c r="CI129" i="46"/>
  <c r="CL129" i="46"/>
  <c r="BC129" i="46"/>
  <c r="BU129" i="46"/>
  <c r="AE129" i="46"/>
  <c r="BP129" i="46"/>
  <c r="AR129" i="46"/>
  <c r="V129" i="46"/>
  <c r="W129" i="46"/>
  <c r="BG129" i="46"/>
  <c r="AK129" i="46"/>
  <c r="BT129" i="46"/>
  <c r="N129" i="46"/>
  <c r="AX129" i="46"/>
  <c r="CF129" i="46"/>
  <c r="DE129" i="46"/>
  <c r="DM129" i="46"/>
  <c r="DH129" i="46"/>
  <c r="AA129" i="46"/>
  <c r="AF129" i="46"/>
  <c r="AJ129" i="46"/>
  <c r="BD129" i="46"/>
  <c r="CJ129" i="46"/>
  <c r="AT129" i="46"/>
  <c r="T129" i="46"/>
  <c r="CD129" i="46"/>
  <c r="BN129" i="46"/>
  <c r="AB129" i="46"/>
  <c r="Z129" i="46"/>
  <c r="EA129" i="46"/>
  <c r="DJ129" i="46"/>
  <c r="AP129" i="46"/>
  <c r="BV129" i="46"/>
  <c r="BS129" i="46"/>
  <c r="AN129" i="46"/>
  <c r="DL129" i="46"/>
  <c r="CC129" i="46"/>
  <c r="BM129" i="46"/>
  <c r="AU129" i="46"/>
  <c r="CG129" i="46"/>
  <c r="BB129" i="46"/>
  <c r="CM129" i="46"/>
  <c r="CA129" i="46"/>
  <c r="M129" i="46"/>
  <c r="DF129" i="46"/>
  <c r="BX129" i="46"/>
  <c r="AC129" i="46"/>
  <c r="P129" i="46"/>
  <c r="BH129" i="46"/>
  <c r="CH129" i="46"/>
  <c r="BO129" i="46"/>
  <c r="AV135" i="4"/>
  <c r="AM135" i="4"/>
  <c r="AG135" i="4"/>
  <c r="AH135" i="4"/>
  <c r="AF135" i="4"/>
  <c r="W135" i="4"/>
  <c r="AC135" i="4"/>
  <c r="S135" i="4"/>
  <c r="DS135" i="4"/>
  <c r="DQ135" i="46" s="1"/>
  <c r="CL135" i="4"/>
  <c r="DP135" i="4"/>
  <c r="DO135" i="4"/>
  <c r="AY135" i="4"/>
  <c r="EC135" i="4"/>
  <c r="X135" i="4"/>
  <c r="R135" i="4"/>
  <c r="CB135" i="4"/>
  <c r="DI135" i="4"/>
  <c r="DH135" i="4"/>
  <c r="BG135" i="4"/>
  <c r="BV135" i="4"/>
  <c r="CT135" i="4"/>
  <c r="DJ135" i="4"/>
  <c r="P135" i="4"/>
  <c r="AN135" i="4"/>
  <c r="AR135" i="4"/>
  <c r="T135" i="4"/>
  <c r="Q135" i="4"/>
  <c r="AP135" i="4"/>
  <c r="CM135" i="4"/>
  <c r="CK135" i="4"/>
  <c r="BU135" i="4"/>
  <c r="CH135" i="4"/>
  <c r="CS135" i="4"/>
  <c r="BS135" i="4"/>
  <c r="BL135" i="4"/>
  <c r="BO135" i="4"/>
  <c r="BZ135" i="4"/>
  <c r="BB135" i="4"/>
  <c r="BP135" i="4"/>
  <c r="CF135" i="4"/>
  <c r="DM135" i="4"/>
  <c r="AS135" i="4"/>
  <c r="AO135" i="4"/>
  <c r="AK135" i="4"/>
  <c r="AL135" i="4"/>
  <c r="AQ135" i="4"/>
  <c r="AJ135" i="4"/>
  <c r="U135" i="4"/>
  <c r="AE135" i="4"/>
  <c r="CO135" i="4"/>
  <c r="CN135" i="4"/>
  <c r="DQ135" i="4"/>
  <c r="BE135" i="4"/>
  <c r="CI135" i="4"/>
  <c r="BN135" i="4"/>
  <c r="BJ135" i="4"/>
  <c r="O135" i="4"/>
  <c r="BR135" i="4"/>
  <c r="CG135" i="4"/>
  <c r="BX135" i="4"/>
  <c r="CD135" i="4"/>
  <c r="BW135" i="4"/>
  <c r="CC135" i="4"/>
  <c r="BH135" i="4"/>
  <c r="DN135" i="4"/>
  <c r="AU135" i="4"/>
  <c r="AX135" i="4"/>
  <c r="V135" i="4"/>
  <c r="CP135" i="4"/>
  <c r="DK135" i="4"/>
  <c r="BF135" i="4"/>
  <c r="AT135" i="4"/>
  <c r="AI135" i="4"/>
  <c r="CQ135" i="4"/>
  <c r="BD135" i="4"/>
  <c r="BT135" i="4"/>
  <c r="Z135" i="4"/>
  <c r="BK135" i="4"/>
  <c r="BC135" i="4"/>
  <c r="AD135" i="4"/>
  <c r="Y135" i="4"/>
  <c r="DL135" i="4"/>
  <c r="AZ135" i="4"/>
  <c r="AA135" i="4"/>
  <c r="BY135" i="4"/>
  <c r="AW135" i="4"/>
  <c r="CJ135" i="4"/>
  <c r="BI135" i="4"/>
  <c r="CE135" i="4"/>
  <c r="AB135" i="4"/>
  <c r="DR135" i="4"/>
  <c r="DP135" i="46" s="1"/>
  <c r="BA135" i="4"/>
  <c r="CA135" i="4"/>
  <c r="BM135" i="4"/>
  <c r="BQ135" i="4"/>
  <c r="CR135" i="4"/>
  <c r="C131" i="4"/>
  <c r="C119" i="5"/>
  <c r="N130" i="4"/>
  <c r="B119" i="47"/>
  <c r="B137" i="4"/>
  <c r="M136" i="4"/>
  <c r="B125" i="5"/>
  <c r="A125" i="47"/>
  <c r="C124" i="46"/>
  <c r="L123" i="46"/>
  <c r="CC130" i="46" l="1"/>
  <c r="CH130" i="46"/>
  <c r="AP130" i="46"/>
  <c r="BA130" i="46"/>
  <c r="BU130" i="46"/>
  <c r="AE130" i="46"/>
  <c r="V130" i="46"/>
  <c r="AO130" i="46"/>
  <c r="BG130" i="46"/>
  <c r="CD130" i="46"/>
  <c r="AQ130" i="46"/>
  <c r="CF130" i="46"/>
  <c r="AW130" i="46"/>
  <c r="R130" i="46"/>
  <c r="CA130" i="46"/>
  <c r="AN130" i="46"/>
  <c r="CP130" i="46"/>
  <c r="AH130" i="46"/>
  <c r="AK130" i="46"/>
  <c r="AI130" i="46"/>
  <c r="BW130" i="46"/>
  <c r="BD130" i="46"/>
  <c r="DN130" i="46"/>
  <c r="DH130" i="46"/>
  <c r="DL130" i="46"/>
  <c r="Q130" i="46"/>
  <c r="CJ130" i="46"/>
  <c r="CM130" i="46"/>
  <c r="AR130" i="46"/>
  <c r="BJ130" i="46"/>
  <c r="T130" i="46"/>
  <c r="CI130" i="46"/>
  <c r="AV130" i="46"/>
  <c r="AY130" i="46"/>
  <c r="BS130" i="46"/>
  <c r="N130" i="46"/>
  <c r="AG130" i="46"/>
  <c r="CR130" i="46"/>
  <c r="BY130" i="46"/>
  <c r="U130" i="46"/>
  <c r="CO130" i="46"/>
  <c r="BL130" i="46"/>
  <c r="BE130" i="46"/>
  <c r="W130" i="46"/>
  <c r="BX130" i="46"/>
  <c r="S130" i="46"/>
  <c r="DD130" i="46"/>
  <c r="DM130" i="46"/>
  <c r="DG130" i="46"/>
  <c r="DO130" i="46"/>
  <c r="Y130" i="46"/>
  <c r="CG130" i="46"/>
  <c r="BT130" i="46"/>
  <c r="M130" i="46"/>
  <c r="BB130" i="46"/>
  <c r="X130" i="46"/>
  <c r="CE130" i="46"/>
  <c r="CB130" i="46"/>
  <c r="AL130" i="46"/>
  <c r="BH130" i="46"/>
  <c r="AB130" i="46"/>
  <c r="CQ130" i="46"/>
  <c r="BO130" i="46"/>
  <c r="BP130" i="46"/>
  <c r="AD130" i="46"/>
  <c r="BK130" i="46"/>
  <c r="AU130" i="46"/>
  <c r="AJ130" i="46"/>
  <c r="CL130" i="46"/>
  <c r="O130" i="46"/>
  <c r="AF130" i="46"/>
  <c r="DE130" i="46"/>
  <c r="DC130" i="46"/>
  <c r="DK130" i="46"/>
  <c r="AA130" i="46"/>
  <c r="AM130" i="46"/>
  <c r="BI130" i="46"/>
  <c r="CN130" i="46"/>
  <c r="AS130" i="46"/>
  <c r="AC130" i="46"/>
  <c r="BN130" i="46"/>
  <c r="BR130" i="46"/>
  <c r="EA130" i="46"/>
  <c r="AZ130" i="46"/>
  <c r="Z130" i="46"/>
  <c r="BM130" i="46"/>
  <c r="AX130" i="46"/>
  <c r="BZ130" i="46"/>
  <c r="CK130" i="46"/>
  <c r="AT130" i="46"/>
  <c r="P130" i="46"/>
  <c r="BF130" i="46"/>
  <c r="BC130" i="46"/>
  <c r="BQ130" i="46"/>
  <c r="BV130" i="46"/>
  <c r="DI130" i="46"/>
  <c r="DJ130" i="46"/>
  <c r="DF130" i="46"/>
  <c r="B132" i="46"/>
  <c r="K131" i="46"/>
  <c r="B138" i="4"/>
  <c r="B126" i="5"/>
  <c r="A126" i="47"/>
  <c r="M137" i="4"/>
  <c r="C120" i="5"/>
  <c r="N131" i="4"/>
  <c r="C132" i="4"/>
  <c r="B120" i="47"/>
  <c r="AW136" i="4"/>
  <c r="AS136" i="4"/>
  <c r="AF136" i="4"/>
  <c r="AG136" i="4"/>
  <c r="U136" i="4"/>
  <c r="AL136" i="4"/>
  <c r="AE136" i="4"/>
  <c r="AH136" i="4"/>
  <c r="DR136" i="4"/>
  <c r="DP136" i="46" s="1"/>
  <c r="CL136" i="4"/>
  <c r="DP136" i="4"/>
  <c r="DK136" i="4"/>
  <c r="AY136" i="4"/>
  <c r="BO136" i="4"/>
  <c r="BS136" i="4"/>
  <c r="CT136" i="4"/>
  <c r="P136" i="4"/>
  <c r="AA136" i="4"/>
  <c r="BC136" i="4"/>
  <c r="X136" i="4"/>
  <c r="BV136" i="4"/>
  <c r="CS136" i="4"/>
  <c r="BD136" i="4"/>
  <c r="BH136" i="4"/>
  <c r="DN136" i="4"/>
  <c r="AT136" i="4"/>
  <c r="AM136" i="4"/>
  <c r="AQ136" i="4"/>
  <c r="AR136" i="4"/>
  <c r="AB136" i="4"/>
  <c r="Y136" i="4"/>
  <c r="T136" i="4"/>
  <c r="CP136" i="4"/>
  <c r="CM136" i="4"/>
  <c r="DL136" i="4"/>
  <c r="BF136" i="4"/>
  <c r="CK136" i="4"/>
  <c r="BJ136" i="4"/>
  <c r="DJ136" i="4"/>
  <c r="CH136" i="4"/>
  <c r="BU136" i="4"/>
  <c r="DM136" i="4"/>
  <c r="AV136" i="4"/>
  <c r="AN136" i="4"/>
  <c r="AJ136" i="4"/>
  <c r="AK136" i="4"/>
  <c r="AP136" i="4"/>
  <c r="V136" i="4"/>
  <c r="Z136" i="4"/>
  <c r="AX136" i="4"/>
  <c r="CO136" i="4"/>
  <c r="CN136" i="4"/>
  <c r="DQ136" i="4"/>
  <c r="BE136" i="4"/>
  <c r="CI136" i="4"/>
  <c r="O136" i="4"/>
  <c r="DI136" i="4"/>
  <c r="BZ136" i="4"/>
  <c r="BG136" i="4"/>
  <c r="BY136" i="4"/>
  <c r="BW136" i="4"/>
  <c r="BN136" i="4"/>
  <c r="CD136" i="4"/>
  <c r="CA136" i="4"/>
  <c r="BX136" i="4"/>
  <c r="W136" i="4"/>
  <c r="BQ136" i="4"/>
  <c r="CB136" i="4"/>
  <c r="CG136" i="4"/>
  <c r="DH136" i="4"/>
  <c r="BB136" i="4"/>
  <c r="CF136" i="4"/>
  <c r="CE136" i="4"/>
  <c r="AI136" i="4"/>
  <c r="DS136" i="4"/>
  <c r="DQ136" i="46" s="1"/>
  <c r="BA136" i="4"/>
  <c r="BM136" i="4"/>
  <c r="BL136" i="4"/>
  <c r="BI136" i="4"/>
  <c r="Q136" i="4"/>
  <c r="BR136" i="4"/>
  <c r="AO136" i="4"/>
  <c r="AD136" i="4"/>
  <c r="CJ136" i="4"/>
  <c r="BK136" i="4"/>
  <c r="R136" i="4"/>
  <c r="CR136" i="4"/>
  <c r="AC136" i="4"/>
  <c r="DO136" i="4"/>
  <c r="BT136" i="4"/>
  <c r="AU136" i="4"/>
  <c r="S136" i="4"/>
  <c r="CQ136" i="4"/>
  <c r="BP136" i="4"/>
  <c r="EC136" i="4"/>
  <c r="AZ136" i="4"/>
  <c r="CC136" i="4"/>
  <c r="L124" i="46"/>
  <c r="C125" i="46"/>
  <c r="X131" i="46" l="1"/>
  <c r="CJ131" i="46"/>
  <c r="CP131" i="46"/>
  <c r="AU131" i="46"/>
  <c r="BK131" i="46"/>
  <c r="S131" i="46"/>
  <c r="BY131" i="46"/>
  <c r="AO131" i="46"/>
  <c r="BJ131" i="46"/>
  <c r="CM131" i="46"/>
  <c r="AR131" i="46"/>
  <c r="BN131" i="46"/>
  <c r="AQ131" i="46"/>
  <c r="AD131" i="46"/>
  <c r="AA131" i="46"/>
  <c r="CL131" i="46"/>
  <c r="BZ131" i="46"/>
  <c r="CK131" i="46"/>
  <c r="BR131" i="46"/>
  <c r="AW131" i="46"/>
  <c r="CR131" i="46"/>
  <c r="DD131" i="46"/>
  <c r="DF131" i="46"/>
  <c r="DN131" i="46"/>
  <c r="DO131" i="46"/>
  <c r="BV131" i="46"/>
  <c r="Q131" i="46"/>
  <c r="N131" i="46"/>
  <c r="DK131" i="46"/>
  <c r="AC131" i="46"/>
  <c r="CG131" i="46"/>
  <c r="BW131" i="46"/>
  <c r="AI131" i="46"/>
  <c r="BC131" i="46"/>
  <c r="AB131" i="46"/>
  <c r="CH131" i="46"/>
  <c r="AH131" i="46"/>
  <c r="BB131" i="46"/>
  <c r="BT131" i="46"/>
  <c r="M131" i="46"/>
  <c r="AV131" i="46"/>
  <c r="CB131" i="46"/>
  <c r="AN131" i="46"/>
  <c r="BX131" i="46"/>
  <c r="CA131" i="46"/>
  <c r="BE131" i="46"/>
  <c r="BS131" i="46"/>
  <c r="AY131" i="46"/>
  <c r="CC131" i="46"/>
  <c r="BM131" i="46"/>
  <c r="DH131" i="46"/>
  <c r="DM131" i="46"/>
  <c r="DJ131" i="46"/>
  <c r="CD131" i="46"/>
  <c r="AP131" i="46"/>
  <c r="CQ131" i="46"/>
  <c r="DC131" i="46"/>
  <c r="Z131" i="46"/>
  <c r="BH131" i="46"/>
  <c r="AK131" i="46"/>
  <c r="BO131" i="46"/>
  <c r="DG131" i="46"/>
  <c r="V131" i="46"/>
  <c r="AM131" i="46"/>
  <c r="BL131" i="46"/>
  <c r="CO131" i="46"/>
  <c r="AT131" i="46"/>
  <c r="P131" i="46"/>
  <c r="CE131" i="46"/>
  <c r="CN131" i="46"/>
  <c r="AS131" i="46"/>
  <c r="BI131" i="46"/>
  <c r="T131" i="46"/>
  <c r="BG131" i="46"/>
  <c r="EA131" i="46"/>
  <c r="BQ131" i="46"/>
  <c r="BF131" i="46"/>
  <c r="AJ131" i="46"/>
  <c r="AZ131" i="46"/>
  <c r="Y131" i="46"/>
  <c r="DI131" i="46"/>
  <c r="DE131" i="46"/>
  <c r="BU131" i="46"/>
  <c r="BA131" i="46"/>
  <c r="AL131" i="46"/>
  <c r="U131" i="46"/>
  <c r="CF131" i="46"/>
  <c r="DL131" i="46"/>
  <c r="R131" i="46"/>
  <c r="CI131" i="46"/>
  <c r="AG131" i="46"/>
  <c r="BD131" i="46"/>
  <c r="O131" i="46"/>
  <c r="BP131" i="46"/>
  <c r="AE131" i="46"/>
  <c r="W131" i="46"/>
  <c r="AF131" i="46"/>
  <c r="AX131" i="46"/>
  <c r="B133" i="46"/>
  <c r="K132" i="46"/>
  <c r="C133" i="4"/>
  <c r="N132" i="4"/>
  <c r="C121" i="5"/>
  <c r="B121" i="47"/>
  <c r="B139" i="4"/>
  <c r="A127" i="47"/>
  <c r="B127" i="5"/>
  <c r="M138" i="4"/>
  <c r="AV137" i="4"/>
  <c r="AO137" i="4"/>
  <c r="AI137" i="4"/>
  <c r="AQ137" i="4"/>
  <c r="V137" i="4"/>
  <c r="AM137" i="4"/>
  <c r="T137" i="4"/>
  <c r="Y137" i="4"/>
  <c r="DR137" i="4"/>
  <c r="DP137" i="46" s="1"/>
  <c r="CL137" i="4"/>
  <c r="DP137" i="4"/>
  <c r="DL137" i="4"/>
  <c r="AY137" i="4"/>
  <c r="BO137" i="4"/>
  <c r="BP137" i="4"/>
  <c r="CA137" i="4"/>
  <c r="BN137" i="4"/>
  <c r="AZ137" i="4"/>
  <c r="BQ137" i="4"/>
  <c r="BB137" i="4"/>
  <c r="CB137" i="4"/>
  <c r="BG137" i="4"/>
  <c r="DI137" i="4"/>
  <c r="BY137" i="4"/>
  <c r="DN137" i="4"/>
  <c r="AN137" i="4"/>
  <c r="AF137" i="4"/>
  <c r="W137" i="4"/>
  <c r="U137" i="4"/>
  <c r="CP137" i="4"/>
  <c r="DO137" i="4"/>
  <c r="BF137" i="4"/>
  <c r="CC137" i="4"/>
  <c r="BX137" i="4"/>
  <c r="DJ137" i="4"/>
  <c r="DH137" i="4"/>
  <c r="DM137" i="4"/>
  <c r="AW137" i="4"/>
  <c r="AS137" i="4"/>
  <c r="AP137" i="4"/>
  <c r="AB137" i="4"/>
  <c r="Z137" i="4"/>
  <c r="AG137" i="4"/>
  <c r="AC137" i="4"/>
  <c r="AK137" i="4"/>
  <c r="CO137" i="4"/>
  <c r="CN137" i="4"/>
  <c r="DQ137" i="4"/>
  <c r="BE137" i="4"/>
  <c r="CI137" i="4"/>
  <c r="CD137" i="4"/>
  <c r="O137" i="4"/>
  <c r="CT137" i="4"/>
  <c r="BI137" i="4"/>
  <c r="X137" i="4"/>
  <c r="BJ137" i="4"/>
  <c r="CR137" i="4"/>
  <c r="BZ137" i="4"/>
  <c r="CF137" i="4"/>
  <c r="BL137" i="4"/>
  <c r="BS137" i="4"/>
  <c r="AU137" i="4"/>
  <c r="AD137" i="4"/>
  <c r="AR137" i="4"/>
  <c r="S137" i="4"/>
  <c r="CM137" i="4"/>
  <c r="CK137" i="4"/>
  <c r="BW137" i="4"/>
  <c r="CH137" i="4"/>
  <c r="CS137" i="4"/>
  <c r="BV137" i="4"/>
  <c r="BH137" i="4"/>
  <c r="BT137" i="4"/>
  <c r="AJ137" i="4"/>
  <c r="Q137" i="4"/>
  <c r="DK137" i="4"/>
  <c r="BM137" i="4"/>
  <c r="CG137" i="4"/>
  <c r="BC137" i="4"/>
  <c r="AE137" i="4"/>
  <c r="BU137" i="4"/>
  <c r="CE137" i="4"/>
  <c r="AL137" i="4"/>
  <c r="DS137" i="4"/>
  <c r="DQ137" i="46" s="1"/>
  <c r="BA137" i="4"/>
  <c r="BR137" i="4"/>
  <c r="BD137" i="4"/>
  <c r="AH137" i="4"/>
  <c r="P137" i="4"/>
  <c r="EC137" i="4"/>
  <c r="AT137" i="4"/>
  <c r="AX137" i="4"/>
  <c r="CJ137" i="4"/>
  <c r="BK137" i="4"/>
  <c r="AA137" i="4"/>
  <c r="R137" i="4"/>
  <c r="CQ137" i="4"/>
  <c r="C126" i="46"/>
  <c r="L125" i="46"/>
  <c r="T132" i="46" l="1"/>
  <c r="BY132" i="46"/>
  <c r="CL132" i="46"/>
  <c r="BE132" i="46"/>
  <c r="CA132" i="46"/>
  <c r="AK132" i="46"/>
  <c r="AD132" i="46"/>
  <c r="AF132" i="46"/>
  <c r="BV132" i="46"/>
  <c r="O132" i="46"/>
  <c r="BD132" i="46"/>
  <c r="V132" i="46"/>
  <c r="BG132" i="46"/>
  <c r="AQ132" i="46"/>
  <c r="AY132" i="46"/>
  <c r="Y132" i="46"/>
  <c r="BT132" i="46"/>
  <c r="BB132" i="46"/>
  <c r="BR132" i="46"/>
  <c r="Q132" i="46"/>
  <c r="CN132" i="46"/>
  <c r="AR132" i="46"/>
  <c r="DM132" i="46"/>
  <c r="DI132" i="46"/>
  <c r="DL132" i="46"/>
  <c r="X132" i="46"/>
  <c r="CE132" i="46"/>
  <c r="CQ132" i="46"/>
  <c r="AW132" i="46"/>
  <c r="BO132" i="46"/>
  <c r="S132" i="46"/>
  <c r="BX132" i="46"/>
  <c r="AN132" i="46"/>
  <c r="BK132" i="46"/>
  <c r="CP132" i="46"/>
  <c r="AU132" i="46"/>
  <c r="BN132" i="46"/>
  <c r="AL132" i="46"/>
  <c r="W132" i="46"/>
  <c r="BS132" i="46"/>
  <c r="CI132" i="46"/>
  <c r="BA132" i="46"/>
  <c r="AE132" i="46"/>
  <c r="EA132" i="46"/>
  <c r="CG132" i="46"/>
  <c r="AV132" i="46"/>
  <c r="DD132" i="46"/>
  <c r="DC132" i="46"/>
  <c r="DG132" i="46"/>
  <c r="DO132" i="46"/>
  <c r="AC132" i="46"/>
  <c r="BP132" i="46"/>
  <c r="BZ132" i="46"/>
  <c r="AJ132" i="46"/>
  <c r="BF132" i="46"/>
  <c r="AB132" i="46"/>
  <c r="BQ132" i="46"/>
  <c r="AH132" i="46"/>
  <c r="BC132" i="46"/>
  <c r="BW132" i="46"/>
  <c r="AI132" i="46"/>
  <c r="AG132" i="46"/>
  <c r="CD132" i="46"/>
  <c r="CH132" i="46"/>
  <c r="N132" i="46"/>
  <c r="CJ132" i="46"/>
  <c r="M132" i="46"/>
  <c r="R132" i="46"/>
  <c r="AZ132" i="46"/>
  <c r="CM132" i="46"/>
  <c r="BI132" i="46"/>
  <c r="DJ132" i="46"/>
  <c r="DE132" i="46"/>
  <c r="DN132" i="46"/>
  <c r="Z132" i="46"/>
  <c r="AP132" i="46"/>
  <c r="BM132" i="46"/>
  <c r="CR132" i="46"/>
  <c r="AX132" i="46"/>
  <c r="P132" i="46"/>
  <c r="CK132" i="46"/>
  <c r="CO132" i="46"/>
  <c r="AT132" i="46"/>
  <c r="BL132" i="46"/>
  <c r="U132" i="46"/>
  <c r="CB132" i="46"/>
  <c r="BH132" i="46"/>
  <c r="AO132" i="46"/>
  <c r="CC132" i="46"/>
  <c r="AM132" i="46"/>
  <c r="BU132" i="46"/>
  <c r="CF132" i="46"/>
  <c r="AA132" i="46"/>
  <c r="BJ132" i="46"/>
  <c r="AS132" i="46"/>
  <c r="DF132" i="46"/>
  <c r="DH132" i="46"/>
  <c r="DK132" i="46"/>
  <c r="K133" i="46"/>
  <c r="B134" i="46"/>
  <c r="B122" i="47"/>
  <c r="N133" i="4"/>
  <c r="C134" i="4"/>
  <c r="C122" i="5"/>
  <c r="AW138" i="4"/>
  <c r="AO138" i="4"/>
  <c r="AH138" i="4"/>
  <c r="AE138" i="4"/>
  <c r="AR138" i="4"/>
  <c r="U138" i="4"/>
  <c r="Y138" i="4"/>
  <c r="AQ138" i="4"/>
  <c r="DS138" i="4"/>
  <c r="DQ138" i="46" s="1"/>
  <c r="CL138" i="4"/>
  <c r="DP138" i="4"/>
  <c r="DO138" i="4"/>
  <c r="AY138" i="4"/>
  <c r="BG138" i="4"/>
  <c r="X138" i="4"/>
  <c r="EC138" i="4"/>
  <c r="CS138" i="4"/>
  <c r="AZ138" i="4"/>
  <c r="BR138" i="4"/>
  <c r="R138" i="4"/>
  <c r="DH138" i="4"/>
  <c r="BU138" i="4"/>
  <c r="BN138" i="4"/>
  <c r="O138" i="4"/>
  <c r="AM138" i="4"/>
  <c r="AX138" i="4"/>
  <c r="Q138" i="4"/>
  <c r="AK138" i="4"/>
  <c r="CP138" i="4"/>
  <c r="DK138" i="4"/>
  <c r="CK138" i="4"/>
  <c r="CB138" i="4"/>
  <c r="BZ138" i="4"/>
  <c r="BQ138" i="4"/>
  <c r="CH138" i="4"/>
  <c r="BD138" i="4"/>
  <c r="DM138" i="4"/>
  <c r="AV138" i="4"/>
  <c r="AN138" i="4"/>
  <c r="AL138" i="4"/>
  <c r="AI138" i="4"/>
  <c r="AB138" i="4"/>
  <c r="Z138" i="4"/>
  <c r="S138" i="4"/>
  <c r="AF138" i="4"/>
  <c r="CO138" i="4"/>
  <c r="CN138" i="4"/>
  <c r="DQ138" i="4"/>
  <c r="BE138" i="4"/>
  <c r="CI138" i="4"/>
  <c r="BV138" i="4"/>
  <c r="AA138" i="4"/>
  <c r="CD138" i="4"/>
  <c r="BY138" i="4"/>
  <c r="DI138" i="4"/>
  <c r="DJ138" i="4"/>
  <c r="CG138" i="4"/>
  <c r="CF138" i="4"/>
  <c r="BB138" i="4"/>
  <c r="CC138" i="4"/>
  <c r="BH138" i="4"/>
  <c r="DN138" i="4"/>
  <c r="AS138" i="4"/>
  <c r="AP138" i="4"/>
  <c r="AJ138" i="4"/>
  <c r="V138" i="4"/>
  <c r="CM138" i="4"/>
  <c r="BF138" i="4"/>
  <c r="CA138" i="4"/>
  <c r="BM138" i="4"/>
  <c r="BS138" i="4"/>
  <c r="BC138" i="4"/>
  <c r="BX138" i="4"/>
  <c r="AD138" i="4"/>
  <c r="T138" i="4"/>
  <c r="CQ138" i="4"/>
  <c r="BW138" i="4"/>
  <c r="BO138" i="4"/>
  <c r="BP138" i="4"/>
  <c r="AU138" i="4"/>
  <c r="BK138" i="4"/>
  <c r="BI138" i="4"/>
  <c r="AC138" i="4"/>
  <c r="W138" i="4"/>
  <c r="DL138" i="4"/>
  <c r="CR138" i="4"/>
  <c r="P138" i="4"/>
  <c r="CT138" i="4"/>
  <c r="AT138" i="4"/>
  <c r="BT138" i="4"/>
  <c r="CE138" i="4"/>
  <c r="AG138" i="4"/>
  <c r="DR138" i="4"/>
  <c r="DP138" i="46" s="1"/>
  <c r="BA138" i="4"/>
  <c r="BJ138" i="4"/>
  <c r="BL138" i="4"/>
  <c r="CJ138" i="4"/>
  <c r="B140" i="4"/>
  <c r="A128" i="47"/>
  <c r="B128" i="5"/>
  <c r="M139" i="4"/>
  <c r="L126" i="46"/>
  <c r="C127" i="46"/>
  <c r="K134" i="46" l="1"/>
  <c r="B135" i="46"/>
  <c r="W133" i="46"/>
  <c r="Y133" i="46"/>
  <c r="BN133" i="46"/>
  <c r="CD133" i="46"/>
  <c r="AQ133" i="46"/>
  <c r="BG133" i="46"/>
  <c r="V133" i="46"/>
  <c r="AH133" i="46"/>
  <c r="AK133" i="46"/>
  <c r="AT133" i="46"/>
  <c r="AC133" i="46"/>
  <c r="AV133" i="46"/>
  <c r="AX133" i="46"/>
  <c r="BC133" i="46"/>
  <c r="BQ133" i="46"/>
  <c r="CP133" i="46"/>
  <c r="AE133" i="46"/>
  <c r="AJ133" i="46"/>
  <c r="BI133" i="46"/>
  <c r="AW133" i="46"/>
  <c r="CQ133" i="46"/>
  <c r="DC133" i="46"/>
  <c r="DJ133" i="46"/>
  <c r="DH133" i="46"/>
  <c r="BX133" i="46"/>
  <c r="CI133" i="46"/>
  <c r="AI133" i="46"/>
  <c r="BU133" i="46"/>
  <c r="X133" i="46"/>
  <c r="CJ133" i="46"/>
  <c r="DK133" i="46"/>
  <c r="DF133" i="46"/>
  <c r="Z133" i="46"/>
  <c r="AA133" i="46"/>
  <c r="AN133" i="46"/>
  <c r="BS133" i="46"/>
  <c r="N133" i="46"/>
  <c r="AY133" i="46"/>
  <c r="S133" i="46"/>
  <c r="CC133" i="46"/>
  <c r="BY133" i="46"/>
  <c r="AG133" i="46"/>
  <c r="BH133" i="46"/>
  <c r="CB133" i="46"/>
  <c r="AL133" i="46"/>
  <c r="CF133" i="46"/>
  <c r="BL133" i="46"/>
  <c r="BT133" i="46"/>
  <c r="P133" i="46"/>
  <c r="CE133" i="46"/>
  <c r="BW133" i="46"/>
  <c r="CM133" i="46"/>
  <c r="T133" i="46"/>
  <c r="AO133" i="46"/>
  <c r="BF133" i="46"/>
  <c r="BK133" i="46"/>
  <c r="BP133" i="46"/>
  <c r="AP133" i="46"/>
  <c r="BV133" i="46"/>
  <c r="BO133" i="46"/>
  <c r="DG133" i="46"/>
  <c r="DM133" i="46"/>
  <c r="DL133" i="46"/>
  <c r="CO133" i="46"/>
  <c r="M133" i="46"/>
  <c r="CR133" i="46"/>
  <c r="AR133" i="46"/>
  <c r="CK133" i="46"/>
  <c r="BZ133" i="46"/>
  <c r="AD133" i="46"/>
  <c r="O133" i="46"/>
  <c r="DE133" i="46"/>
  <c r="U133" i="46"/>
  <c r="Q133" i="46"/>
  <c r="CG133" i="46"/>
  <c r="EA133" i="46"/>
  <c r="AZ133" i="46"/>
  <c r="BR133" i="46"/>
  <c r="AB133" i="46"/>
  <c r="AF133" i="46"/>
  <c r="BB133" i="46"/>
  <c r="BE133" i="46"/>
  <c r="R133" i="46"/>
  <c r="AM133" i="46"/>
  <c r="BJ133" i="46"/>
  <c r="BM133" i="46"/>
  <c r="CH133" i="46"/>
  <c r="CL133" i="46"/>
  <c r="AU133" i="46"/>
  <c r="BA133" i="46"/>
  <c r="BD133" i="46"/>
  <c r="AS133" i="46"/>
  <c r="CN133" i="46"/>
  <c r="DD133" i="46"/>
  <c r="DN133" i="46"/>
  <c r="DI133" i="46"/>
  <c r="DO133" i="46"/>
  <c r="CA133" i="46"/>
  <c r="B141" i="4"/>
  <c r="A129" i="47"/>
  <c r="B129" i="5"/>
  <c r="M140" i="4"/>
  <c r="AV139" i="4"/>
  <c r="AW139" i="4"/>
  <c r="AG139" i="4"/>
  <c r="AH139" i="4"/>
  <c r="AJ139" i="4"/>
  <c r="AF139" i="4"/>
  <c r="U139" i="4"/>
  <c r="AI139" i="4"/>
  <c r="DS139" i="4"/>
  <c r="DQ139" i="46" s="1"/>
  <c r="CL139" i="4"/>
  <c r="DP139" i="4"/>
  <c r="DO139" i="4"/>
  <c r="AY139" i="4"/>
  <c r="BJ139" i="4"/>
  <c r="BW139" i="4"/>
  <c r="BG139" i="4"/>
  <c r="CB139" i="4"/>
  <c r="BD139" i="4"/>
  <c r="BI139" i="4"/>
  <c r="BP139" i="4"/>
  <c r="BM139" i="4"/>
  <c r="O139" i="4"/>
  <c r="BQ139" i="4"/>
  <c r="BT139" i="4"/>
  <c r="DN139" i="4"/>
  <c r="AT139" i="4"/>
  <c r="AX139" i="4"/>
  <c r="AP139" i="4"/>
  <c r="AQ139" i="4"/>
  <c r="CP139" i="4"/>
  <c r="DK139" i="4"/>
  <c r="CK139" i="4"/>
  <c r="BH139" i="4"/>
  <c r="CH139" i="4"/>
  <c r="X139" i="4"/>
  <c r="P139" i="4"/>
  <c r="BX139" i="4"/>
  <c r="BL139" i="4"/>
  <c r="DM139" i="4"/>
  <c r="AS139" i="4"/>
  <c r="AU139" i="4"/>
  <c r="AK139" i="4"/>
  <c r="AL139" i="4"/>
  <c r="T139" i="4"/>
  <c r="AE139" i="4"/>
  <c r="Q139" i="4"/>
  <c r="Y139" i="4"/>
  <c r="CO139" i="4"/>
  <c r="CN139" i="4"/>
  <c r="DQ139" i="4"/>
  <c r="BE139" i="4"/>
  <c r="CI139" i="4"/>
  <c r="CD139" i="4"/>
  <c r="BY139" i="4"/>
  <c r="EC139" i="4"/>
  <c r="DH139" i="4"/>
  <c r="BU139" i="4"/>
  <c r="BC139" i="4"/>
  <c r="BN139" i="4"/>
  <c r="CF139" i="4"/>
  <c r="BO139" i="4"/>
  <c r="BV139" i="4"/>
  <c r="AN139" i="4"/>
  <c r="AR139" i="4"/>
  <c r="Z139" i="4"/>
  <c r="S139" i="4"/>
  <c r="CM139" i="4"/>
  <c r="BF139" i="4"/>
  <c r="CS139" i="4"/>
  <c r="CC139" i="4"/>
  <c r="CG139" i="4"/>
  <c r="AA139" i="4"/>
  <c r="AM139" i="4"/>
  <c r="W139" i="4"/>
  <c r="CJ139" i="4"/>
  <c r="BK139" i="4"/>
  <c r="CR139" i="4"/>
  <c r="BZ139" i="4"/>
  <c r="AB139" i="4"/>
  <c r="BA139" i="4"/>
  <c r="DI139" i="4"/>
  <c r="AO139" i="4"/>
  <c r="AC139" i="4"/>
  <c r="CQ139" i="4"/>
  <c r="BS139" i="4"/>
  <c r="CT139" i="4"/>
  <c r="R139" i="4"/>
  <c r="CE139" i="4"/>
  <c r="DR139" i="4"/>
  <c r="DP139" i="46" s="1"/>
  <c r="CA139" i="4"/>
  <c r="AD139" i="4"/>
  <c r="V139" i="4"/>
  <c r="DL139" i="4"/>
  <c r="BR139" i="4"/>
  <c r="BB139" i="4"/>
  <c r="DJ139" i="4"/>
  <c r="AZ139" i="4"/>
  <c r="C123" i="5"/>
  <c r="C135" i="4"/>
  <c r="B123" i="47"/>
  <c r="N134" i="4"/>
  <c r="C128" i="46"/>
  <c r="L127" i="46"/>
  <c r="B136" i="46" l="1"/>
  <c r="K135" i="46"/>
  <c r="Q134" i="46"/>
  <c r="BQ134" i="46"/>
  <c r="AV134" i="46"/>
  <c r="AY134" i="46"/>
  <c r="BS134" i="46"/>
  <c r="N134" i="46"/>
  <c r="CI134" i="46"/>
  <c r="CM134" i="46"/>
  <c r="CR134" i="46"/>
  <c r="AI134" i="46"/>
  <c r="CH134" i="46"/>
  <c r="BZ134" i="46"/>
  <c r="CP134" i="46"/>
  <c r="AE134" i="46"/>
  <c r="CJ134" i="46"/>
  <c r="BV134" i="46"/>
  <c r="CN134" i="46"/>
  <c r="X134" i="46"/>
  <c r="BE134" i="46"/>
  <c r="AG134" i="46"/>
  <c r="S134" i="46"/>
  <c r="DD134" i="46"/>
  <c r="DK134" i="46"/>
  <c r="DH134" i="46"/>
  <c r="DO134" i="46"/>
  <c r="V134" i="46"/>
  <c r="BR134" i="46"/>
  <c r="EA134" i="46"/>
  <c r="AA134" i="46"/>
  <c r="BJ134" i="46"/>
  <c r="AO134" i="46"/>
  <c r="BF134" i="46"/>
  <c r="AN134" i="46"/>
  <c r="BD134" i="46"/>
  <c r="W134" i="46"/>
  <c r="AT134" i="46"/>
  <c r="DC134" i="46"/>
  <c r="BG134" i="46"/>
  <c r="AB134" i="46"/>
  <c r="AS134" i="46"/>
  <c r="BB134" i="46"/>
  <c r="P134" i="46"/>
  <c r="CE134" i="46"/>
  <c r="CB134" i="46"/>
  <c r="AL134" i="46"/>
  <c r="BH134" i="46"/>
  <c r="U134" i="46"/>
  <c r="CG134" i="46"/>
  <c r="BM134" i="46"/>
  <c r="BW134" i="46"/>
  <c r="T134" i="46"/>
  <c r="CF134" i="46"/>
  <c r="BK134" i="46"/>
  <c r="BU134" i="46"/>
  <c r="R134" i="46"/>
  <c r="BN134" i="46"/>
  <c r="BI134" i="46"/>
  <c r="BO134" i="46"/>
  <c r="BT134" i="46"/>
  <c r="BL134" i="46"/>
  <c r="CO134" i="46"/>
  <c r="BP134" i="46"/>
  <c r="DI134" i="46"/>
  <c r="DJ134" i="46"/>
  <c r="DG134" i="46"/>
  <c r="AF134" i="46"/>
  <c r="AZ134" i="46"/>
  <c r="AM134" i="46"/>
  <c r="Y134" i="46"/>
  <c r="BA134" i="46"/>
  <c r="AC134" i="46"/>
  <c r="AW134" i="46"/>
  <c r="CA134" i="46"/>
  <c r="M134" i="46"/>
  <c r="DF134" i="46"/>
  <c r="DE134" i="46"/>
  <c r="CD134" i="46"/>
  <c r="CL134" i="46"/>
  <c r="O134" i="46"/>
  <c r="AK134" i="46"/>
  <c r="DL134" i="46"/>
  <c r="BC134" i="46"/>
  <c r="BX134" i="46"/>
  <c r="Z134" i="46"/>
  <c r="AR134" i="46"/>
  <c r="AJ134" i="46"/>
  <c r="CQ134" i="46"/>
  <c r="CK134" i="46"/>
  <c r="DM134" i="46"/>
  <c r="CC134" i="46"/>
  <c r="AP134" i="46"/>
  <c r="AQ134" i="46"/>
  <c r="AH134" i="46"/>
  <c r="AX134" i="46"/>
  <c r="AU134" i="46"/>
  <c r="AD134" i="46"/>
  <c r="BY134" i="46"/>
  <c r="DN134" i="46"/>
  <c r="AW140" i="4"/>
  <c r="AS140" i="4"/>
  <c r="AJ140" i="4"/>
  <c r="AK140" i="4"/>
  <c r="U140" i="4"/>
  <c r="AU140" i="4"/>
  <c r="Y140" i="4"/>
  <c r="AD140" i="4"/>
  <c r="DR140" i="4"/>
  <c r="DP140" i="46" s="1"/>
  <c r="CL140" i="4"/>
  <c r="DP140" i="4"/>
  <c r="DK140" i="4"/>
  <c r="AY140" i="4"/>
  <c r="O140" i="4"/>
  <c r="BB140" i="4"/>
  <c r="R140" i="4"/>
  <c r="CR140" i="4"/>
  <c r="CT140" i="4"/>
  <c r="CB140" i="4"/>
  <c r="BP140" i="4"/>
  <c r="AZ140" i="4"/>
  <c r="CF140" i="4"/>
  <c r="CG140" i="4"/>
  <c r="BX140" i="4"/>
  <c r="DN140" i="4"/>
  <c r="AM140" i="4"/>
  <c r="AE140" i="4"/>
  <c r="AX140" i="4"/>
  <c r="AL140" i="4"/>
  <c r="CM140" i="4"/>
  <c r="BF140" i="4"/>
  <c r="CK140" i="4"/>
  <c r="AA140" i="4"/>
  <c r="BI140" i="4"/>
  <c r="BG140" i="4"/>
  <c r="EC140" i="4"/>
  <c r="BO140" i="4"/>
  <c r="DM140" i="4"/>
  <c r="AV140" i="4"/>
  <c r="AN140" i="4"/>
  <c r="AQ140" i="4"/>
  <c r="AR140" i="4"/>
  <c r="AI140" i="4"/>
  <c r="AH140" i="4"/>
  <c r="S140" i="4"/>
  <c r="T140" i="4"/>
  <c r="CO140" i="4"/>
  <c r="CN140" i="4"/>
  <c r="DQ140" i="4"/>
  <c r="BE140" i="4"/>
  <c r="CI140" i="4"/>
  <c r="P140" i="4"/>
  <c r="DH140" i="4"/>
  <c r="DJ140" i="4"/>
  <c r="BC140" i="4"/>
  <c r="BU140" i="4"/>
  <c r="BJ140" i="4"/>
  <c r="BW140" i="4"/>
  <c r="BT140" i="4"/>
  <c r="BN140" i="4"/>
  <c r="BQ140" i="4"/>
  <c r="CH140" i="4"/>
  <c r="AT140" i="4"/>
  <c r="AC140" i="4"/>
  <c r="W140" i="4"/>
  <c r="AB140" i="4"/>
  <c r="CP140" i="4"/>
  <c r="DL140" i="4"/>
  <c r="CS140" i="4"/>
  <c r="BY140" i="4"/>
  <c r="CA140" i="4"/>
  <c r="CD140" i="4"/>
  <c r="BV140" i="4"/>
  <c r="CE140" i="4"/>
  <c r="AP140" i="4"/>
  <c r="DS140" i="4"/>
  <c r="DQ140" i="46" s="1"/>
  <c r="BA140" i="4"/>
  <c r="BH140" i="4"/>
  <c r="BL140" i="4"/>
  <c r="Z140" i="4"/>
  <c r="DI140" i="4"/>
  <c r="AO140" i="4"/>
  <c r="Q140" i="4"/>
  <c r="CJ140" i="4"/>
  <c r="BK140" i="4"/>
  <c r="BM140" i="4"/>
  <c r="BR140" i="4"/>
  <c r="AG140" i="4"/>
  <c r="DO140" i="4"/>
  <c r="CC140" i="4"/>
  <c r="AF140" i="4"/>
  <c r="V140" i="4"/>
  <c r="CQ140" i="4"/>
  <c r="X140" i="4"/>
  <c r="BD140" i="4"/>
  <c r="BS140" i="4"/>
  <c r="BZ140" i="4"/>
  <c r="C124" i="5"/>
  <c r="N135" i="4"/>
  <c r="B124" i="47"/>
  <c r="C136" i="4"/>
  <c r="B142" i="4"/>
  <c r="M141" i="4"/>
  <c r="A130" i="47"/>
  <c r="B130" i="5"/>
  <c r="C129" i="46"/>
  <c r="L128" i="46"/>
  <c r="Q135" i="46" l="1"/>
  <c r="AN135" i="46"/>
  <c r="BJ135" i="46"/>
  <c r="CO135" i="46"/>
  <c r="AT135" i="46"/>
  <c r="Z135" i="46"/>
  <c r="AO135" i="46"/>
  <c r="AZ135" i="46"/>
  <c r="BG135" i="46"/>
  <c r="P135" i="46"/>
  <c r="AP135" i="46"/>
  <c r="AX135" i="46"/>
  <c r="BE135" i="46"/>
  <c r="AD135" i="46"/>
  <c r="AG135" i="46"/>
  <c r="AU135" i="46"/>
  <c r="BA135" i="46"/>
  <c r="CL135" i="46"/>
  <c r="AQ135" i="46"/>
  <c r="U135" i="46"/>
  <c r="BD135" i="46"/>
  <c r="DC135" i="46"/>
  <c r="DE135" i="46"/>
  <c r="DJ135" i="46"/>
  <c r="CF135" i="46"/>
  <c r="DM135" i="46"/>
  <c r="T135" i="46"/>
  <c r="BY135" i="46"/>
  <c r="AH135" i="46"/>
  <c r="BB135" i="46"/>
  <c r="BV135" i="46"/>
  <c r="O135" i="46"/>
  <c r="CI135" i="46"/>
  <c r="AV135" i="46"/>
  <c r="AK135" i="46"/>
  <c r="AW135" i="46"/>
  <c r="V135" i="46"/>
  <c r="CR135" i="46"/>
  <c r="AI135" i="46"/>
  <c r="AR135" i="46"/>
  <c r="BX135" i="46"/>
  <c r="CP135" i="46"/>
  <c r="N135" i="46"/>
  <c r="AL135" i="46"/>
  <c r="CD135" i="46"/>
  <c r="AB135" i="46"/>
  <c r="AM135" i="46"/>
  <c r="BI135" i="46"/>
  <c r="DK135" i="46"/>
  <c r="DI135" i="46"/>
  <c r="DL135" i="46"/>
  <c r="EA135" i="46"/>
  <c r="DD135" i="46"/>
  <c r="DF135" i="46"/>
  <c r="CH135" i="46"/>
  <c r="DH135" i="46"/>
  <c r="AC135" i="46"/>
  <c r="CK135" i="46"/>
  <c r="CN135" i="46"/>
  <c r="AS135" i="46"/>
  <c r="BK135" i="46"/>
  <c r="CC135" i="46"/>
  <c r="BQ135" i="46"/>
  <c r="CA135" i="46"/>
  <c r="CQ135" i="46"/>
  <c r="M135" i="46"/>
  <c r="CJ135" i="46"/>
  <c r="BW135" i="46"/>
  <c r="CM135" i="46"/>
  <c r="S135" i="46"/>
  <c r="CE135" i="46"/>
  <c r="BS135" i="46"/>
  <c r="CB135" i="46"/>
  <c r="AA135" i="46"/>
  <c r="BO135" i="46"/>
  <c r="AY135" i="46"/>
  <c r="DG135" i="46"/>
  <c r="DO135" i="46"/>
  <c r="AJ135" i="46"/>
  <c r="X135" i="46"/>
  <c r="BN135" i="46"/>
  <c r="BU135" i="46"/>
  <c r="AE135" i="46"/>
  <c r="BC135" i="46"/>
  <c r="Y135" i="46"/>
  <c r="CG135" i="46"/>
  <c r="BL135" i="46"/>
  <c r="BT135" i="46"/>
  <c r="R135" i="46"/>
  <c r="BP135" i="46"/>
  <c r="BH135" i="46"/>
  <c r="BR135" i="46"/>
  <c r="W135" i="46"/>
  <c r="AF135" i="46"/>
  <c r="BF135" i="46"/>
  <c r="BM135" i="46"/>
  <c r="BZ135" i="46"/>
  <c r="DN135" i="46"/>
  <c r="B137" i="46"/>
  <c r="K136" i="46"/>
  <c r="AV141" i="4"/>
  <c r="AO141" i="4"/>
  <c r="AE141" i="4"/>
  <c r="AJ141" i="4"/>
  <c r="AX141" i="4"/>
  <c r="AL141" i="4"/>
  <c r="AG141" i="4"/>
  <c r="AC141" i="4"/>
  <c r="DR141" i="4"/>
  <c r="DP141" i="46" s="1"/>
  <c r="CL141" i="4"/>
  <c r="DP141" i="4"/>
  <c r="DL141" i="4"/>
  <c r="AY141" i="4"/>
  <c r="O141" i="4"/>
  <c r="BD141" i="4"/>
  <c r="BJ141" i="4"/>
  <c r="CF141" i="4"/>
  <c r="CR141" i="4"/>
  <c r="BG141" i="4"/>
  <c r="BB141" i="4"/>
  <c r="CT141" i="4"/>
  <c r="P141" i="4"/>
  <c r="BI141" i="4"/>
  <c r="CH141" i="4"/>
  <c r="DN141" i="4"/>
  <c r="AM141" i="4"/>
  <c r="AB141" i="4"/>
  <c r="BZ141" i="4"/>
  <c r="BY141" i="4"/>
  <c r="DM141" i="4"/>
  <c r="AW141" i="4"/>
  <c r="AN141" i="4"/>
  <c r="AI141" i="4"/>
  <c r="AQ141" i="4"/>
  <c r="V141" i="4"/>
  <c r="T141" i="4"/>
  <c r="S141" i="4"/>
  <c r="Q141" i="4"/>
  <c r="CO141" i="4"/>
  <c r="CN141" i="4"/>
  <c r="DQ141" i="4"/>
  <c r="BE141" i="4"/>
  <c r="CI141" i="4"/>
  <c r="BP141" i="4"/>
  <c r="BM141" i="4"/>
  <c r="AA141" i="4"/>
  <c r="BC141" i="4"/>
  <c r="BT141" i="4"/>
  <c r="CG141" i="4"/>
  <c r="BR141" i="4"/>
  <c r="AZ141" i="4"/>
  <c r="BL141" i="4"/>
  <c r="BV141" i="4"/>
  <c r="BU141" i="4"/>
  <c r="AU141" i="4"/>
  <c r="AP141" i="4"/>
  <c r="Z141" i="4"/>
  <c r="AK141" i="4"/>
  <c r="U141" i="4"/>
  <c r="Y141" i="4"/>
  <c r="CP141" i="4"/>
  <c r="CM141" i="4"/>
  <c r="DO141" i="4"/>
  <c r="BF141" i="4"/>
  <c r="CK141" i="4"/>
  <c r="BS141" i="4"/>
  <c r="DI141" i="4"/>
  <c r="CC141" i="4"/>
  <c r="BX141" i="4"/>
  <c r="X141" i="4"/>
  <c r="CD141" i="4"/>
  <c r="EC141" i="4"/>
  <c r="DH141" i="4"/>
  <c r="AF141" i="4"/>
  <c r="AR141" i="4"/>
  <c r="DK141" i="4"/>
  <c r="BW141" i="4"/>
  <c r="BN141" i="4"/>
  <c r="CA141" i="4"/>
  <c r="AS141" i="4"/>
  <c r="CQ141" i="4"/>
  <c r="CB141" i="4"/>
  <c r="CE141" i="4"/>
  <c r="AH141" i="4"/>
  <c r="DS141" i="4"/>
  <c r="DQ141" i="46" s="1"/>
  <c r="BA141" i="4"/>
  <c r="CS141" i="4"/>
  <c r="R141" i="4"/>
  <c r="AD141" i="4"/>
  <c r="DJ141" i="4"/>
  <c r="BO141" i="4"/>
  <c r="AT141" i="4"/>
  <c r="W141" i="4"/>
  <c r="CJ141" i="4"/>
  <c r="BK141" i="4"/>
  <c r="BH141" i="4"/>
  <c r="BQ141" i="4"/>
  <c r="B143" i="4"/>
  <c r="B131" i="5"/>
  <c r="A131" i="47"/>
  <c r="M142" i="4"/>
  <c r="B125" i="47"/>
  <c r="C137" i="4"/>
  <c r="C125" i="5"/>
  <c r="N136" i="4"/>
  <c r="L129" i="46"/>
  <c r="C130" i="46"/>
  <c r="Z136" i="46" l="1"/>
  <c r="AF136" i="46"/>
  <c r="BU136" i="46"/>
  <c r="AE136" i="46"/>
  <c r="BA136" i="46"/>
  <c r="Y136" i="46"/>
  <c r="AO136" i="46"/>
  <c r="BD136" i="46"/>
  <c r="BG136" i="46"/>
  <c r="BP136" i="46"/>
  <c r="AX136" i="46"/>
  <c r="AC136" i="46"/>
  <c r="AN136" i="46"/>
  <c r="AZ136" i="46"/>
  <c r="BE136" i="46"/>
  <c r="BY136" i="46"/>
  <c r="BM136" i="46"/>
  <c r="AV136" i="46"/>
  <c r="AM136" i="46"/>
  <c r="AA136" i="46"/>
  <c r="BF136" i="46"/>
  <c r="DI136" i="46"/>
  <c r="DE136" i="46"/>
  <c r="DH136" i="46"/>
  <c r="DD136" i="46"/>
  <c r="T136" i="46"/>
  <c r="BX136" i="46"/>
  <c r="AP136" i="46"/>
  <c r="BJ136" i="46"/>
  <c r="CM136" i="46"/>
  <c r="AR136" i="46"/>
  <c r="Q136" i="46"/>
  <c r="CL136" i="46"/>
  <c r="AQ136" i="46"/>
  <c r="AW136" i="46"/>
  <c r="CR136" i="46"/>
  <c r="AI136" i="46"/>
  <c r="X136" i="46"/>
  <c r="EA136" i="46"/>
  <c r="AK136" i="46"/>
  <c r="AT136" i="46"/>
  <c r="CK136" i="46"/>
  <c r="AL136" i="46"/>
  <c r="CP136" i="46"/>
  <c r="AU136" i="46"/>
  <c r="AY136" i="46"/>
  <c r="BK136" i="46"/>
  <c r="DF136" i="46"/>
  <c r="DC136" i="46"/>
  <c r="DL136" i="46"/>
  <c r="AG136" i="46"/>
  <c r="BS136" i="46"/>
  <c r="U136" i="46"/>
  <c r="DN136" i="46"/>
  <c r="DO136" i="46"/>
  <c r="P136" i="46"/>
  <c r="BQ136" i="46"/>
  <c r="AH136" i="46"/>
  <c r="BB136" i="46"/>
  <c r="BT136" i="46"/>
  <c r="M136" i="46"/>
  <c r="CI136" i="46"/>
  <c r="CD136" i="46"/>
  <c r="CQ136" i="46"/>
  <c r="O136" i="46"/>
  <c r="BW136" i="46"/>
  <c r="BC136" i="46"/>
  <c r="CJ136" i="46"/>
  <c r="CA136" i="46"/>
  <c r="CO136" i="46"/>
  <c r="R136" i="46"/>
  <c r="AD136" i="46"/>
  <c r="N136" i="46"/>
  <c r="DM136" i="46"/>
  <c r="DK136" i="46"/>
  <c r="AB136" i="46"/>
  <c r="CF136" i="46"/>
  <c r="CN136" i="46"/>
  <c r="AS136" i="46"/>
  <c r="BI136" i="46"/>
  <c r="CC136" i="46"/>
  <c r="CE136" i="46"/>
  <c r="BO136" i="46"/>
  <c r="BV136" i="46"/>
  <c r="W136" i="46"/>
  <c r="BH136" i="46"/>
  <c r="S136" i="46"/>
  <c r="BN136" i="46"/>
  <c r="BL136" i="46"/>
  <c r="BR136" i="46"/>
  <c r="V136" i="46"/>
  <c r="CB136" i="46"/>
  <c r="CH136" i="46"/>
  <c r="AJ136" i="46"/>
  <c r="BZ136" i="46"/>
  <c r="CG136" i="46"/>
  <c r="DG136" i="46"/>
  <c r="DJ136" i="46"/>
  <c r="K137" i="46"/>
  <c r="B138" i="46"/>
  <c r="B144" i="4"/>
  <c r="A132" i="47"/>
  <c r="M143" i="4"/>
  <c r="B132" i="5"/>
  <c r="B126" i="47"/>
  <c r="N137" i="4"/>
  <c r="C126" i="5"/>
  <c r="C138" i="4"/>
  <c r="AW142" i="4"/>
  <c r="AS142" i="4"/>
  <c r="AH142" i="4"/>
  <c r="AE142" i="4"/>
  <c r="AK142" i="4"/>
  <c r="Z142" i="4"/>
  <c r="Y142" i="4"/>
  <c r="W142" i="4"/>
  <c r="DS142" i="4"/>
  <c r="DQ142" i="46" s="1"/>
  <c r="CL142" i="4"/>
  <c r="DP142" i="4"/>
  <c r="DO142" i="4"/>
  <c r="AY142" i="4"/>
  <c r="BW142" i="4"/>
  <c r="BY142" i="4"/>
  <c r="BO142" i="4"/>
  <c r="CT142" i="4"/>
  <c r="P142" i="4"/>
  <c r="BR142" i="4"/>
  <c r="BL142" i="4"/>
  <c r="DH142" i="4"/>
  <c r="BB142" i="4"/>
  <c r="DJ142" i="4"/>
  <c r="X142" i="4"/>
  <c r="DN142" i="4"/>
  <c r="AN142" i="4"/>
  <c r="AP142" i="4"/>
  <c r="AQ142" i="4"/>
  <c r="AJ142" i="4"/>
  <c r="CM142" i="4"/>
  <c r="BF142" i="4"/>
  <c r="EC142" i="4"/>
  <c r="CH142" i="4"/>
  <c r="CD142" i="4"/>
  <c r="BS142" i="4"/>
  <c r="DM142" i="4"/>
  <c r="AM142" i="4"/>
  <c r="AO142" i="4"/>
  <c r="AL142" i="4"/>
  <c r="AI142" i="4"/>
  <c r="AB142" i="4"/>
  <c r="AF142" i="4"/>
  <c r="S142" i="4"/>
  <c r="V142" i="4"/>
  <c r="CO142" i="4"/>
  <c r="CN142" i="4"/>
  <c r="DQ142" i="4"/>
  <c r="BE142" i="4"/>
  <c r="CI142" i="4"/>
  <c r="BI142" i="4"/>
  <c r="BC142" i="4"/>
  <c r="BX142" i="4"/>
  <c r="BZ142" i="4"/>
  <c r="CG142" i="4"/>
  <c r="O142" i="4"/>
  <c r="AA142" i="4"/>
  <c r="BU142" i="4"/>
  <c r="BM142" i="4"/>
  <c r="BN142" i="4"/>
  <c r="AU142" i="4"/>
  <c r="AX142" i="4"/>
  <c r="Q142" i="4"/>
  <c r="AG142" i="4"/>
  <c r="CP142" i="4"/>
  <c r="DK142" i="4"/>
  <c r="CK142" i="4"/>
  <c r="BT142" i="4"/>
  <c r="CF142" i="4"/>
  <c r="BD142" i="4"/>
  <c r="BH142" i="4"/>
  <c r="DI142" i="4"/>
  <c r="R142" i="4"/>
  <c r="AD142" i="4"/>
  <c r="T142" i="4"/>
  <c r="CQ142" i="4"/>
  <c r="CR142" i="4"/>
  <c r="CB142" i="4"/>
  <c r="BP142" i="4"/>
  <c r="AT142" i="4"/>
  <c r="CJ142" i="4"/>
  <c r="CC142" i="4"/>
  <c r="AC142" i="4"/>
  <c r="U142" i="4"/>
  <c r="DL142" i="4"/>
  <c r="BV142" i="4"/>
  <c r="BQ142" i="4"/>
  <c r="CS142" i="4"/>
  <c r="AR142" i="4"/>
  <c r="AZ142" i="4"/>
  <c r="CE142" i="4"/>
  <c r="AV142" i="4"/>
  <c r="DR142" i="4"/>
  <c r="DP142" i="46" s="1"/>
  <c r="BA142" i="4"/>
  <c r="BG142" i="4"/>
  <c r="CA142" i="4"/>
  <c r="BJ142" i="4"/>
  <c r="BK142" i="4"/>
  <c r="C131" i="46"/>
  <c r="L130" i="46"/>
  <c r="B139" i="46" l="1"/>
  <c r="K138" i="46"/>
  <c r="U137" i="46"/>
  <c r="CJ137" i="46"/>
  <c r="CQ137" i="46"/>
  <c r="AW137" i="46"/>
  <c r="BO137" i="46"/>
  <c r="Y137" i="46"/>
  <c r="CK137" i="46"/>
  <c r="BK137" i="46"/>
  <c r="BU137" i="46"/>
  <c r="S137" i="46"/>
  <c r="M137" i="46"/>
  <c r="AC137" i="46"/>
  <c r="AN137" i="46"/>
  <c r="AY137" i="46"/>
  <c r="BD137" i="46"/>
  <c r="BY137" i="46"/>
  <c r="BG137" i="46"/>
  <c r="AD137" i="46"/>
  <c r="BX137" i="46"/>
  <c r="BC137" i="46"/>
  <c r="R137" i="46"/>
  <c r="DD137" i="46"/>
  <c r="DF137" i="46"/>
  <c r="DI137" i="46"/>
  <c r="DO137" i="46"/>
  <c r="BN137" i="46"/>
  <c r="AI137" i="46"/>
  <c r="DG137" i="46"/>
  <c r="W137" i="46"/>
  <c r="CG137" i="46"/>
  <c r="BZ137" i="46"/>
  <c r="AJ137" i="46"/>
  <c r="BF137" i="46"/>
  <c r="X137" i="46"/>
  <c r="AO137" i="46"/>
  <c r="BA137" i="46"/>
  <c r="BH137" i="46"/>
  <c r="V137" i="46"/>
  <c r="BL137" i="46"/>
  <c r="Z137" i="46"/>
  <c r="CL137" i="46"/>
  <c r="O137" i="46"/>
  <c r="AS137" i="46"/>
  <c r="CE137" i="46"/>
  <c r="AT137" i="46"/>
  <c r="BR137" i="46"/>
  <c r="CM137" i="46"/>
  <c r="BJ137" i="46"/>
  <c r="AF137" i="46"/>
  <c r="DH137" i="46"/>
  <c r="DK137" i="46"/>
  <c r="DM137" i="46"/>
  <c r="BQ137" i="46"/>
  <c r="AP137" i="46"/>
  <c r="BW137" i="46"/>
  <c r="AV137" i="46"/>
  <c r="DJ137" i="46"/>
  <c r="DN137" i="46"/>
  <c r="DE137" i="46"/>
  <c r="Q137" i="46"/>
  <c r="AM137" i="46"/>
  <c r="BM137" i="46"/>
  <c r="CR137" i="46"/>
  <c r="AX137" i="46"/>
  <c r="AB137" i="46"/>
  <c r="AG137" i="46"/>
  <c r="AL137" i="46"/>
  <c r="AU137" i="46"/>
  <c r="BB137" i="46"/>
  <c r="BV137" i="46"/>
  <c r="CN137" i="46"/>
  <c r="N137" i="46"/>
  <c r="CD137" i="46"/>
  <c r="AR137" i="46"/>
  <c r="CC137" i="46"/>
  <c r="CI137" i="46"/>
  <c r="AH137" i="46"/>
  <c r="BE137" i="46"/>
  <c r="CA137" i="46"/>
  <c r="AK137" i="46"/>
  <c r="CH137" i="46"/>
  <c r="CB137" i="46"/>
  <c r="CP137" i="46"/>
  <c r="AE137" i="46"/>
  <c r="BT137" i="46"/>
  <c r="T137" i="46"/>
  <c r="BP137" i="46"/>
  <c r="BI137" i="46"/>
  <c r="BS137" i="46"/>
  <c r="P137" i="46"/>
  <c r="CO137" i="46"/>
  <c r="AQ137" i="46"/>
  <c r="AA137" i="46"/>
  <c r="CF137" i="46"/>
  <c r="EA137" i="46"/>
  <c r="AZ137" i="46"/>
  <c r="DC137" i="46"/>
  <c r="DL137" i="46"/>
  <c r="N138" i="4"/>
  <c r="B127" i="47"/>
  <c r="C127" i="5"/>
  <c r="C139" i="4"/>
  <c r="AV143" i="4"/>
  <c r="AM143" i="4"/>
  <c r="AG143" i="4"/>
  <c r="AH143" i="4"/>
  <c r="AF143" i="4"/>
  <c r="W143" i="4"/>
  <c r="U143" i="4"/>
  <c r="Y143" i="4"/>
  <c r="DS143" i="4"/>
  <c r="DQ143" i="46" s="1"/>
  <c r="CL143" i="4"/>
  <c r="DP143" i="4"/>
  <c r="DO143" i="4"/>
  <c r="AY143" i="4"/>
  <c r="DH143" i="4"/>
  <c r="BM143" i="4"/>
  <c r="P143" i="4"/>
  <c r="DJ143" i="4"/>
  <c r="BH143" i="4"/>
  <c r="BN143" i="4"/>
  <c r="X143" i="4"/>
  <c r="BZ143" i="4"/>
  <c r="CC143" i="4"/>
  <c r="CT143" i="4"/>
  <c r="AZ143" i="4"/>
  <c r="AN143" i="4"/>
  <c r="AR143" i="4"/>
  <c r="T143" i="4"/>
  <c r="AJ143" i="4"/>
  <c r="CO143" i="4"/>
  <c r="BF143" i="4"/>
  <c r="BJ143" i="4"/>
  <c r="BS143" i="4"/>
  <c r="CA143" i="4"/>
  <c r="CB143" i="4"/>
  <c r="BI143" i="4"/>
  <c r="BP143" i="4"/>
  <c r="CH143" i="4"/>
  <c r="BO143" i="4"/>
  <c r="BG143" i="4"/>
  <c r="DM143" i="4"/>
  <c r="AS143" i="4"/>
  <c r="AO143" i="4"/>
  <c r="AK143" i="4"/>
  <c r="AL143" i="4"/>
  <c r="AQ143" i="4"/>
  <c r="V143" i="4"/>
  <c r="Q143" i="4"/>
  <c r="AE143" i="4"/>
  <c r="CP143" i="4"/>
  <c r="CN143" i="4"/>
  <c r="DQ143" i="4"/>
  <c r="BE143" i="4"/>
  <c r="CI143" i="4"/>
  <c r="DI143" i="4"/>
  <c r="CF143" i="4"/>
  <c r="BD143" i="4"/>
  <c r="BR143" i="4"/>
  <c r="BT143" i="4"/>
  <c r="BX143" i="4"/>
  <c r="BC143" i="4"/>
  <c r="O143" i="4"/>
  <c r="BB143" i="4"/>
  <c r="BY143" i="4"/>
  <c r="DN143" i="4"/>
  <c r="AT143" i="4"/>
  <c r="AX143" i="4"/>
  <c r="AI143" i="4"/>
  <c r="S143" i="4"/>
  <c r="CM143" i="4"/>
  <c r="DK143" i="4"/>
  <c r="CK143" i="4"/>
  <c r="AA143" i="4"/>
  <c r="AW143" i="4"/>
  <c r="Z143" i="4"/>
  <c r="CJ143" i="4"/>
  <c r="BK143" i="4"/>
  <c r="BV143" i="4"/>
  <c r="BQ143" i="4"/>
  <c r="AB143" i="4"/>
  <c r="BA143" i="4"/>
  <c r="CD143" i="4"/>
  <c r="AU143" i="4"/>
  <c r="AC143" i="4"/>
  <c r="CQ143" i="4"/>
  <c r="BL143" i="4"/>
  <c r="BW143" i="4"/>
  <c r="CS143" i="4"/>
  <c r="CE143" i="4"/>
  <c r="DR143" i="4"/>
  <c r="DP143" i="46" s="1"/>
  <c r="EC143" i="4"/>
  <c r="CG143" i="4"/>
  <c r="AD143" i="4"/>
  <c r="AP143" i="4"/>
  <c r="DL143" i="4"/>
  <c r="CR143" i="4"/>
  <c r="BU143" i="4"/>
  <c r="R143" i="4"/>
  <c r="B145" i="4"/>
  <c r="M144" i="4"/>
  <c r="A133" i="47"/>
  <c r="B133" i="5"/>
  <c r="L131" i="46"/>
  <c r="C132" i="46"/>
  <c r="V138" i="46" l="1"/>
  <c r="CB138" i="46"/>
  <c r="AS138" i="46"/>
  <c r="Z138" i="46"/>
  <c r="AV138" i="46"/>
  <c r="BC138" i="46"/>
  <c r="BP138" i="46"/>
  <c r="AX138" i="46"/>
  <c r="CL138" i="46"/>
  <c r="BL138" i="46"/>
  <c r="AY138" i="46"/>
  <c r="AW138" i="46"/>
  <c r="N138" i="46"/>
  <c r="W138" i="46"/>
  <c r="DG138" i="46"/>
  <c r="CH138" i="46"/>
  <c r="CA138" i="46"/>
  <c r="BQ138" i="46"/>
  <c r="AZ138" i="46"/>
  <c r="AP138" i="46"/>
  <c r="AU138" i="46"/>
  <c r="AT138" i="46"/>
  <c r="DJ138" i="46"/>
  <c r="Y138" i="46"/>
  <c r="CE138" i="46"/>
  <c r="CD138" i="46"/>
  <c r="BJ138" i="46"/>
  <c r="BI138" i="46"/>
  <c r="U138" i="46"/>
  <c r="CG138" i="46"/>
  <c r="BU138" i="46"/>
  <c r="AQ138" i="46"/>
  <c r="T138" i="46"/>
  <c r="CO138" i="46"/>
  <c r="CC138" i="46"/>
  <c r="CK138" i="46"/>
  <c r="CQ138" i="46"/>
  <c r="AK138" i="46"/>
  <c r="X138" i="46"/>
  <c r="BT138" i="46"/>
  <c r="CF138" i="46"/>
  <c r="S138" i="46"/>
  <c r="AD138" i="46"/>
  <c r="AG138" i="46"/>
  <c r="DD138" i="46"/>
  <c r="DC138" i="46"/>
  <c r="DF138" i="46"/>
  <c r="DO138" i="46"/>
  <c r="DK138" i="46"/>
  <c r="R138" i="46"/>
  <c r="CI138" i="46"/>
  <c r="AH138" i="46"/>
  <c r="BR138" i="46"/>
  <c r="AE138" i="46"/>
  <c r="M138" i="46"/>
  <c r="CP138" i="46"/>
  <c r="AL138" i="46"/>
  <c r="AI138" i="46"/>
  <c r="CN138" i="46"/>
  <c r="AJ138" i="46"/>
  <c r="O138" i="46"/>
  <c r="BE138" i="46"/>
  <c r="DI138" i="46"/>
  <c r="DN138" i="46"/>
  <c r="AA138" i="46"/>
  <c r="BN138" i="46"/>
  <c r="EA138" i="46"/>
  <c r="BB138" i="46"/>
  <c r="BA138" i="46"/>
  <c r="Q138" i="46"/>
  <c r="AM138" i="46"/>
  <c r="BZ138" i="46"/>
  <c r="BO138" i="46"/>
  <c r="P138" i="46"/>
  <c r="BH138" i="46"/>
  <c r="AC138" i="46"/>
  <c r="AN138" i="46"/>
  <c r="BV138" i="46"/>
  <c r="BK138" i="46"/>
  <c r="BY138" i="46"/>
  <c r="BG138" i="46"/>
  <c r="CM138" i="46"/>
  <c r="AF138" i="46"/>
  <c r="BW138" i="46"/>
  <c r="CR138" i="46"/>
  <c r="DH138" i="46"/>
  <c r="DL138" i="46"/>
  <c r="DE138" i="46"/>
  <c r="AO138" i="46"/>
  <c r="AR138" i="46"/>
  <c r="BS138" i="46"/>
  <c r="AB138" i="46"/>
  <c r="CJ138" i="46"/>
  <c r="BM138" i="46"/>
  <c r="BF138" i="46"/>
  <c r="DM138" i="46"/>
  <c r="BD138" i="46"/>
  <c r="BX138" i="46"/>
  <c r="B140" i="46"/>
  <c r="K139" i="46"/>
  <c r="C128" i="5"/>
  <c r="B128" i="47"/>
  <c r="N139" i="4"/>
  <c r="C140" i="4"/>
  <c r="AW144" i="4"/>
  <c r="AS144" i="4"/>
  <c r="AF144" i="4"/>
  <c r="AK144" i="4"/>
  <c r="AE144" i="4"/>
  <c r="AL144" i="4"/>
  <c r="AP144" i="4"/>
  <c r="T144" i="4"/>
  <c r="DR144" i="4"/>
  <c r="DP144" i="46" s="1"/>
  <c r="CL144" i="4"/>
  <c r="DP144" i="4"/>
  <c r="DK144" i="4"/>
  <c r="AY144" i="4"/>
  <c r="BL144" i="4"/>
  <c r="BB144" i="4"/>
  <c r="AA144" i="4"/>
  <c r="BP144" i="4"/>
  <c r="CG144" i="4"/>
  <c r="CD144" i="4"/>
  <c r="CR144" i="4"/>
  <c r="BR144" i="4"/>
  <c r="BS144" i="4"/>
  <c r="BV144" i="4"/>
  <c r="BT144" i="4"/>
  <c r="DN144" i="4"/>
  <c r="AQ144" i="4"/>
  <c r="Y144" i="4"/>
  <c r="CM144" i="4"/>
  <c r="DL144" i="4"/>
  <c r="CK144" i="4"/>
  <c r="P144" i="4"/>
  <c r="DH144" i="4"/>
  <c r="BI144" i="4"/>
  <c r="DM144" i="4"/>
  <c r="AV144" i="4"/>
  <c r="AN144" i="4"/>
  <c r="AJ144" i="4"/>
  <c r="AR144" i="4"/>
  <c r="AB144" i="4"/>
  <c r="V144" i="4"/>
  <c r="Z144" i="4"/>
  <c r="AX144" i="4"/>
  <c r="CO144" i="4"/>
  <c r="CN144" i="4"/>
  <c r="DQ144" i="4"/>
  <c r="BE144" i="4"/>
  <c r="CI144" i="4"/>
  <c r="BH144" i="4"/>
  <c r="BO144" i="4"/>
  <c r="CC144" i="4"/>
  <c r="CA144" i="4"/>
  <c r="CF144" i="4"/>
  <c r="EC144" i="4"/>
  <c r="DI144" i="4"/>
  <c r="BW144" i="4"/>
  <c r="BC144" i="4"/>
  <c r="BY144" i="4"/>
  <c r="BU144" i="4"/>
  <c r="AT144" i="4"/>
  <c r="AM144" i="4"/>
  <c r="AI144" i="4"/>
  <c r="W144" i="4"/>
  <c r="Q144" i="4"/>
  <c r="AC144" i="4"/>
  <c r="CP144" i="4"/>
  <c r="BF144" i="4"/>
  <c r="O144" i="4"/>
  <c r="CS144" i="4"/>
  <c r="BZ144" i="4"/>
  <c r="CT144" i="4"/>
  <c r="BM144" i="4"/>
  <c r="X144" i="4"/>
  <c r="DJ144" i="4"/>
  <c r="CE144" i="4"/>
  <c r="U144" i="4"/>
  <c r="DS144" i="4"/>
  <c r="DQ144" i="46" s="1"/>
  <c r="BA144" i="4"/>
  <c r="CB144" i="4"/>
  <c r="CH144" i="4"/>
  <c r="AG144" i="4"/>
  <c r="R144" i="4"/>
  <c r="AZ144" i="4"/>
  <c r="AO144" i="4"/>
  <c r="AD144" i="4"/>
  <c r="CJ144" i="4"/>
  <c r="BK144" i="4"/>
  <c r="BX144" i="4"/>
  <c r="BG144" i="4"/>
  <c r="DO144" i="4"/>
  <c r="BQ144" i="4"/>
  <c r="AU144" i="4"/>
  <c r="S144" i="4"/>
  <c r="CQ144" i="4"/>
  <c r="BN144" i="4"/>
  <c r="BD144" i="4"/>
  <c r="BJ144" i="4"/>
  <c r="AH144" i="4"/>
  <c r="B146" i="4"/>
  <c r="B134" i="5"/>
  <c r="M145" i="4"/>
  <c r="A134" i="47"/>
  <c r="C133" i="46"/>
  <c r="L132" i="46"/>
  <c r="X139" i="46" l="1"/>
  <c r="BN139" i="46"/>
  <c r="BW139" i="46"/>
  <c r="AI139" i="46"/>
  <c r="BC139" i="46"/>
  <c r="AA139" i="46"/>
  <c r="AM139" i="46"/>
  <c r="BF139" i="46"/>
  <c r="BI139" i="46"/>
  <c r="BP139" i="46"/>
  <c r="BE139" i="46"/>
  <c r="CH139" i="46"/>
  <c r="AH139" i="46"/>
  <c r="AQ139" i="46"/>
  <c r="AW139" i="46"/>
  <c r="CJ139" i="46"/>
  <c r="AK139" i="46"/>
  <c r="AF139" i="46"/>
  <c r="BM139" i="46"/>
  <c r="CR139" i="46"/>
  <c r="BU139" i="46"/>
  <c r="DL139" i="46"/>
  <c r="DE139" i="46"/>
  <c r="DM139" i="46"/>
  <c r="U139" i="46"/>
  <c r="P139" i="46"/>
  <c r="BB139" i="46"/>
  <c r="R139" i="46"/>
  <c r="AV139" i="46"/>
  <c r="DK139" i="46"/>
  <c r="AD139" i="46"/>
  <c r="AN139" i="46"/>
  <c r="BL139" i="46"/>
  <c r="CO139" i="46"/>
  <c r="AT139" i="46"/>
  <c r="AB139" i="46"/>
  <c r="CL139" i="46"/>
  <c r="AS139" i="46"/>
  <c r="AY139" i="46"/>
  <c r="EA139" i="46"/>
  <c r="CC139" i="46"/>
  <c r="BQ139" i="46"/>
  <c r="CD139" i="46"/>
  <c r="CQ139" i="46"/>
  <c r="M139" i="46"/>
  <c r="AP139" i="46"/>
  <c r="BR139" i="46"/>
  <c r="AX139" i="46"/>
  <c r="W139" i="46"/>
  <c r="AE139" i="46"/>
  <c r="CB139" i="46"/>
  <c r="DC139" i="46"/>
  <c r="DG139" i="46"/>
  <c r="DH139" i="46"/>
  <c r="CP139" i="46"/>
  <c r="CG139" i="46"/>
  <c r="BZ139" i="46"/>
  <c r="Z139" i="46"/>
  <c r="BG139" i="46"/>
  <c r="BJ139" i="46"/>
  <c r="CF139" i="46"/>
  <c r="DD139" i="46"/>
  <c r="DO139" i="46"/>
  <c r="T139" i="46"/>
  <c r="BY139" i="46"/>
  <c r="AG139" i="46"/>
  <c r="BD139" i="46"/>
  <c r="BV139" i="46"/>
  <c r="O139" i="46"/>
  <c r="CI139" i="46"/>
  <c r="CN139" i="46"/>
  <c r="N139" i="46"/>
  <c r="AJ139" i="46"/>
  <c r="AZ139" i="46"/>
  <c r="Y139" i="46"/>
  <c r="CE139" i="46"/>
  <c r="BO139" i="46"/>
  <c r="BT139" i="46"/>
  <c r="S139" i="46"/>
  <c r="CA139" i="46"/>
  <c r="AR139" i="46"/>
  <c r="BA139" i="46"/>
  <c r="BX139" i="46"/>
  <c r="AL139" i="46"/>
  <c r="BH139" i="46"/>
  <c r="DN139" i="46"/>
  <c r="DF139" i="46"/>
  <c r="DI139" i="46"/>
  <c r="AC139" i="46"/>
  <c r="CK139" i="46"/>
  <c r="AU139" i="46"/>
  <c r="BK139" i="46"/>
  <c r="BS139" i="46"/>
  <c r="CM139" i="46"/>
  <c r="AO139" i="46"/>
  <c r="Q139" i="46"/>
  <c r="V139" i="46"/>
  <c r="DJ139" i="46"/>
  <c r="B141" i="46"/>
  <c r="K140" i="46"/>
  <c r="AV145" i="4"/>
  <c r="AO145" i="4"/>
  <c r="AE145" i="4"/>
  <c r="AJ145" i="4"/>
  <c r="AB145" i="4"/>
  <c r="AH145" i="4"/>
  <c r="AX145" i="4"/>
  <c r="S145" i="4"/>
  <c r="DR145" i="4"/>
  <c r="DP145" i="46" s="1"/>
  <c r="CL145" i="4"/>
  <c r="DP145" i="4"/>
  <c r="DL145" i="4"/>
  <c r="AY145" i="4"/>
  <c r="BM145" i="4"/>
  <c r="BJ145" i="4"/>
  <c r="EC145" i="4"/>
  <c r="DI145" i="4"/>
  <c r="BI145" i="4"/>
  <c r="CB145" i="4"/>
  <c r="CS145" i="4"/>
  <c r="BU145" i="4"/>
  <c r="BX145" i="4"/>
  <c r="BT145" i="4"/>
  <c r="BC145" i="4"/>
  <c r="AU145" i="4"/>
  <c r="AM145" i="4"/>
  <c r="AD145" i="4"/>
  <c r="AR145" i="4"/>
  <c r="AK145" i="4"/>
  <c r="DO145" i="4"/>
  <c r="CK145" i="4"/>
  <c r="R145" i="4"/>
  <c r="BL145" i="4"/>
  <c r="BD145" i="4"/>
  <c r="CD145" i="4"/>
  <c r="BW145" i="4"/>
  <c r="BY145" i="4"/>
  <c r="DM145" i="4"/>
  <c r="AW145" i="4"/>
  <c r="AS145" i="4"/>
  <c r="AI145" i="4"/>
  <c r="AQ145" i="4"/>
  <c r="V145" i="4"/>
  <c r="AG145" i="4"/>
  <c r="T145" i="4"/>
  <c r="Q145" i="4"/>
  <c r="CO145" i="4"/>
  <c r="CN145" i="4"/>
  <c r="DQ145" i="4"/>
  <c r="BE145" i="4"/>
  <c r="CI145" i="4"/>
  <c r="O145" i="4"/>
  <c r="BS145" i="4"/>
  <c r="BO145" i="4"/>
  <c r="CA145" i="4"/>
  <c r="BB145" i="4"/>
  <c r="BH145" i="4"/>
  <c r="CH145" i="4"/>
  <c r="P145" i="4"/>
  <c r="CC145" i="4"/>
  <c r="BG145" i="4"/>
  <c r="DJ145" i="4"/>
  <c r="DN145" i="4"/>
  <c r="AP145" i="4"/>
  <c r="Z145" i="4"/>
  <c r="Y145" i="4"/>
  <c r="CP145" i="4"/>
  <c r="CM145" i="4"/>
  <c r="BF145" i="4"/>
  <c r="CF145" i="4"/>
  <c r="BP145" i="4"/>
  <c r="BZ145" i="4"/>
  <c r="BQ145" i="4"/>
  <c r="AF145" i="4"/>
  <c r="U145" i="4"/>
  <c r="DK145" i="4"/>
  <c r="CT145" i="4"/>
  <c r="BN145" i="4"/>
  <c r="DH145" i="4"/>
  <c r="AC145" i="4"/>
  <c r="CG145" i="4"/>
  <c r="BR145" i="4"/>
  <c r="CE145" i="4"/>
  <c r="AL145" i="4"/>
  <c r="DS145" i="4"/>
  <c r="DQ145" i="46" s="1"/>
  <c r="BA145" i="4"/>
  <c r="X145" i="4"/>
  <c r="BV145" i="4"/>
  <c r="AN145" i="4"/>
  <c r="CQ145" i="4"/>
  <c r="AT145" i="4"/>
  <c r="W145" i="4"/>
  <c r="CJ145" i="4"/>
  <c r="BK145" i="4"/>
  <c r="AA145" i="4"/>
  <c r="CR145" i="4"/>
  <c r="AZ145" i="4"/>
  <c r="C129" i="5"/>
  <c r="C141" i="4"/>
  <c r="N140" i="4"/>
  <c r="B129" i="47"/>
  <c r="B147" i="4"/>
  <c r="M146" i="4"/>
  <c r="B135" i="5"/>
  <c r="A135" i="47"/>
  <c r="L133" i="46"/>
  <c r="C134" i="46"/>
  <c r="X140" i="46" l="1"/>
  <c r="AF140" i="46"/>
  <c r="AA140" i="46"/>
  <c r="AM140" i="46"/>
  <c r="BI140" i="46"/>
  <c r="CN140" i="46"/>
  <c r="AS140" i="46"/>
  <c r="BN140" i="46"/>
  <c r="BO140" i="46"/>
  <c r="Q140" i="46"/>
  <c r="AH140" i="46"/>
  <c r="AY140" i="46"/>
  <c r="BS140" i="46"/>
  <c r="N140" i="46"/>
  <c r="CQ140" i="46"/>
  <c r="CA140" i="46"/>
  <c r="BY140" i="46"/>
  <c r="BL140" i="46"/>
  <c r="AD140" i="46"/>
  <c r="S140" i="46"/>
  <c r="CP140" i="46"/>
  <c r="DJ140" i="46"/>
  <c r="DK140" i="46"/>
  <c r="DE140" i="46"/>
  <c r="AB140" i="46"/>
  <c r="CG140" i="46"/>
  <c r="M140" i="46"/>
  <c r="V140" i="46"/>
  <c r="Y140" i="46"/>
  <c r="AO140" i="46"/>
  <c r="AQ140" i="46"/>
  <c r="AT140" i="46"/>
  <c r="BK140" i="46"/>
  <c r="R140" i="46"/>
  <c r="BX140" i="46"/>
  <c r="AN140" i="46"/>
  <c r="Z140" i="46"/>
  <c r="AV140" i="46"/>
  <c r="BA140" i="46"/>
  <c r="BU140" i="46"/>
  <c r="AE140" i="46"/>
  <c r="BE140" i="46"/>
  <c r="AX140" i="46"/>
  <c r="CI140" i="46"/>
  <c r="CB140" i="46"/>
  <c r="AL140" i="46"/>
  <c r="BH140" i="46"/>
  <c r="T140" i="46"/>
  <c r="BZ140" i="46"/>
  <c r="BF140" i="46"/>
  <c r="AP140" i="46"/>
  <c r="BP140" i="46"/>
  <c r="BV140" i="46"/>
  <c r="BW140" i="46"/>
  <c r="AU140" i="46"/>
  <c r="DH140" i="46"/>
  <c r="DL140" i="46"/>
  <c r="DI140" i="46"/>
  <c r="U140" i="46"/>
  <c r="AJ140" i="46"/>
  <c r="CD140" i="46"/>
  <c r="W140" i="46"/>
  <c r="BD140" i="46"/>
  <c r="DC140" i="46"/>
  <c r="P140" i="46"/>
  <c r="BQ140" i="46"/>
  <c r="CL140" i="46"/>
  <c r="CH140" i="46"/>
  <c r="CM140" i="46"/>
  <c r="AR140" i="46"/>
  <c r="BJ140" i="46"/>
  <c r="AC140" i="46"/>
  <c r="AW140" i="46"/>
  <c r="CC140" i="46"/>
  <c r="CK140" i="46"/>
  <c r="BR140" i="46"/>
  <c r="EA140" i="46"/>
  <c r="AZ140" i="46"/>
  <c r="CJ140" i="46"/>
  <c r="BM140" i="46"/>
  <c r="AK140" i="46"/>
  <c r="CO140" i="46"/>
  <c r="BC140" i="46"/>
  <c r="O140" i="46"/>
  <c r="CF140" i="46"/>
  <c r="DD140" i="46"/>
  <c r="DG140" i="46"/>
  <c r="DF140" i="46"/>
  <c r="DO140" i="46"/>
  <c r="CE140" i="46"/>
  <c r="BB140" i="46"/>
  <c r="BG140" i="46"/>
  <c r="CR140" i="46"/>
  <c r="AI140" i="46"/>
  <c r="DM140" i="46"/>
  <c r="BT140" i="46"/>
  <c r="AG140" i="46"/>
  <c r="DN140" i="46"/>
  <c r="K141" i="46"/>
  <c r="B142" i="46"/>
  <c r="B148" i="4"/>
  <c r="B136" i="5"/>
  <c r="M147" i="4"/>
  <c r="A136" i="47"/>
  <c r="AW146" i="4"/>
  <c r="AO146" i="4"/>
  <c r="AD146" i="4"/>
  <c r="AE146" i="4"/>
  <c r="AR146" i="4"/>
  <c r="Z146" i="4"/>
  <c r="S146" i="4"/>
  <c r="AC146" i="4"/>
  <c r="DS146" i="4"/>
  <c r="DQ146" i="46" s="1"/>
  <c r="CL146" i="4"/>
  <c r="DP146" i="4"/>
  <c r="DO146" i="4"/>
  <c r="AY146" i="4"/>
  <c r="AA146" i="4"/>
  <c r="CH146" i="4"/>
  <c r="CG146" i="4"/>
  <c r="BI146" i="4"/>
  <c r="BL146" i="4"/>
  <c r="BR146" i="4"/>
  <c r="BS146" i="4"/>
  <c r="DJ146" i="4"/>
  <c r="BD146" i="4"/>
  <c r="BC146" i="4"/>
  <c r="X146" i="4"/>
  <c r="DN146" i="4"/>
  <c r="T146" i="4"/>
  <c r="DK146" i="4"/>
  <c r="CK146" i="4"/>
  <c r="CR146" i="4"/>
  <c r="CT146" i="4"/>
  <c r="BB146" i="4"/>
  <c r="BH146" i="4"/>
  <c r="BT146" i="4"/>
  <c r="BQ146" i="4"/>
  <c r="DM146" i="4"/>
  <c r="AV146" i="4"/>
  <c r="AN146" i="4"/>
  <c r="AH146" i="4"/>
  <c r="AI146" i="4"/>
  <c r="Q146" i="4"/>
  <c r="AJ146" i="4"/>
  <c r="AB146" i="4"/>
  <c r="AQ146" i="4"/>
  <c r="CO146" i="4"/>
  <c r="CN146" i="4"/>
  <c r="DQ146" i="4"/>
  <c r="BE146" i="4"/>
  <c r="CI146" i="4"/>
  <c r="BY146" i="4"/>
  <c r="BZ146" i="4"/>
  <c r="BG146" i="4"/>
  <c r="BM146" i="4"/>
  <c r="BU146" i="4"/>
  <c r="P146" i="4"/>
  <c r="BN146" i="4"/>
  <c r="DI146" i="4"/>
  <c r="CS146" i="4"/>
  <c r="O146" i="4"/>
  <c r="AM146" i="4"/>
  <c r="AT146" i="4"/>
  <c r="AL146" i="4"/>
  <c r="AP146" i="4"/>
  <c r="AK146" i="4"/>
  <c r="W146" i="4"/>
  <c r="V146" i="4"/>
  <c r="CP146" i="4"/>
  <c r="CM146" i="4"/>
  <c r="BF146" i="4"/>
  <c r="BJ146" i="4"/>
  <c r="BW146" i="4"/>
  <c r="CF146" i="4"/>
  <c r="CD146" i="4"/>
  <c r="AS146" i="4"/>
  <c r="Y146" i="4"/>
  <c r="CQ146" i="4"/>
  <c r="BO146" i="4"/>
  <c r="CB146" i="4"/>
  <c r="BP146" i="4"/>
  <c r="U146" i="4"/>
  <c r="CJ146" i="4"/>
  <c r="R146" i="4"/>
  <c r="AX146" i="4"/>
  <c r="AF146" i="4"/>
  <c r="DL146" i="4"/>
  <c r="AZ146" i="4"/>
  <c r="CC146" i="4"/>
  <c r="EC146" i="4"/>
  <c r="AU146" i="4"/>
  <c r="DH146" i="4"/>
  <c r="CE146" i="4"/>
  <c r="AG146" i="4"/>
  <c r="DR146" i="4"/>
  <c r="DP146" i="46" s="1"/>
  <c r="BA146" i="4"/>
  <c r="BX146" i="4"/>
  <c r="BV146" i="4"/>
  <c r="CA146" i="4"/>
  <c r="BK146" i="4"/>
  <c r="C142" i="4"/>
  <c r="N141" i="4"/>
  <c r="B130" i="47"/>
  <c r="C130" i="5"/>
  <c r="C135" i="46"/>
  <c r="L134" i="46"/>
  <c r="B143" i="46" l="1"/>
  <c r="K142" i="46"/>
  <c r="P141" i="46"/>
  <c r="BQ141" i="46"/>
  <c r="CL141" i="46"/>
  <c r="AZ141" i="46"/>
  <c r="BT141" i="46"/>
  <c r="M141" i="46"/>
  <c r="AO141" i="46"/>
  <c r="BD141" i="46"/>
  <c r="CJ141" i="46"/>
  <c r="CR141" i="46"/>
  <c r="AX141" i="46"/>
  <c r="T141" i="46"/>
  <c r="BE141" i="46"/>
  <c r="BY141" i="46"/>
  <c r="AC141" i="46"/>
  <c r="AH141" i="46"/>
  <c r="DE141" i="46"/>
  <c r="DO141" i="46"/>
  <c r="CN141" i="46"/>
  <c r="DN141" i="46"/>
  <c r="AB141" i="46"/>
  <c r="CG141" i="46"/>
  <c r="CD141" i="46"/>
  <c r="AQ141" i="46"/>
  <c r="BI141" i="46"/>
  <c r="AA141" i="46"/>
  <c r="AV141" i="46"/>
  <c r="AI141" i="46"/>
  <c r="W141" i="46"/>
  <c r="CE141" i="46"/>
  <c r="CA141" i="46"/>
  <c r="AK141" i="46"/>
  <c r="BG141" i="46"/>
  <c r="Y141" i="46"/>
  <c r="AU141" i="46"/>
  <c r="AW141" i="46"/>
  <c r="BN141" i="46"/>
  <c r="CF141" i="46"/>
  <c r="AN141" i="46"/>
  <c r="V141" i="46"/>
  <c r="BB141" i="46"/>
  <c r="DI141" i="46"/>
  <c r="DH141" i="46"/>
  <c r="DF141" i="46"/>
  <c r="BA141" i="46"/>
  <c r="CQ141" i="46"/>
  <c r="AM141" i="46"/>
  <c r="EA141" i="46"/>
  <c r="AY141" i="46"/>
  <c r="BZ141" i="46"/>
  <c r="BU141" i="46"/>
  <c r="BV141" i="46"/>
  <c r="AD141" i="46"/>
  <c r="AF141" i="46"/>
  <c r="BS141" i="46"/>
  <c r="N141" i="46"/>
  <c r="CH141" i="46"/>
  <c r="CP141" i="46"/>
  <c r="Z141" i="46"/>
  <c r="BO141" i="46"/>
  <c r="Q141" i="46"/>
  <c r="BJ141" i="46"/>
  <c r="DC141" i="46"/>
  <c r="S141" i="46"/>
  <c r="BX141" i="46"/>
  <c r="AP141" i="46"/>
  <c r="BH141" i="46"/>
  <c r="CM141" i="46"/>
  <c r="AR141" i="46"/>
  <c r="CK141" i="46"/>
  <c r="BL141" i="46"/>
  <c r="CC141" i="46"/>
  <c r="CI141" i="46"/>
  <c r="AG141" i="46"/>
  <c r="BF141" i="46"/>
  <c r="CB141" i="46"/>
  <c r="AL141" i="46"/>
  <c r="BP141" i="46"/>
  <c r="BM141" i="46"/>
  <c r="R141" i="46"/>
  <c r="AE141" i="46"/>
  <c r="BK141" i="46"/>
  <c r="CO141" i="46"/>
  <c r="X141" i="46"/>
  <c r="O141" i="46"/>
  <c r="DK141" i="46"/>
  <c r="DJ141" i="46"/>
  <c r="DL141" i="46"/>
  <c r="U141" i="46"/>
  <c r="BR141" i="46"/>
  <c r="BW141" i="46"/>
  <c r="BC141" i="46"/>
  <c r="AT141" i="46"/>
  <c r="DD141" i="46"/>
  <c r="DG141" i="46"/>
  <c r="AJ141" i="46"/>
  <c r="AS141" i="46"/>
  <c r="DM141" i="46"/>
  <c r="N142" i="4"/>
  <c r="C143" i="4"/>
  <c r="B131" i="47"/>
  <c r="C131" i="5"/>
  <c r="AV147" i="4"/>
  <c r="AU147" i="4"/>
  <c r="AR147" i="4"/>
  <c r="AL147" i="4"/>
  <c r="T147" i="4"/>
  <c r="AW147" i="4"/>
  <c r="U147" i="4"/>
  <c r="S147" i="4"/>
  <c r="DS147" i="4"/>
  <c r="DQ147" i="46" s="1"/>
  <c r="CL147" i="4"/>
  <c r="DP147" i="4"/>
  <c r="DO147" i="4"/>
  <c r="AY147" i="4"/>
  <c r="DI147" i="4"/>
  <c r="DH147" i="4"/>
  <c r="BH147" i="4"/>
  <c r="BU147" i="4"/>
  <c r="AA147" i="4"/>
  <c r="CA147" i="4"/>
  <c r="CH147" i="4"/>
  <c r="BY147" i="4"/>
  <c r="CB147" i="4"/>
  <c r="BX147" i="4"/>
  <c r="DJ147" i="4"/>
  <c r="DN147" i="4"/>
  <c r="AG147" i="4"/>
  <c r="AJ147" i="4"/>
  <c r="W147" i="4"/>
  <c r="AP147" i="4"/>
  <c r="Y147" i="4"/>
  <c r="CP147" i="4"/>
  <c r="DK147" i="4"/>
  <c r="BF147" i="4"/>
  <c r="BO147" i="4"/>
  <c r="BN147" i="4"/>
  <c r="BZ147" i="4"/>
  <c r="DM147" i="4"/>
  <c r="AS147" i="4"/>
  <c r="AT147" i="4"/>
  <c r="AO147" i="4"/>
  <c r="AX147" i="4"/>
  <c r="Z147" i="4"/>
  <c r="AE147" i="4"/>
  <c r="Q147" i="4"/>
  <c r="AI147" i="4"/>
  <c r="CO147" i="4"/>
  <c r="CN147" i="4"/>
  <c r="DQ147" i="4"/>
  <c r="BE147" i="4"/>
  <c r="CI147" i="4"/>
  <c r="BC147" i="4"/>
  <c r="BV147" i="4"/>
  <c r="BP147" i="4"/>
  <c r="BW147" i="4"/>
  <c r="CG147" i="4"/>
  <c r="BD147" i="4"/>
  <c r="BI147" i="4"/>
  <c r="O147" i="4"/>
  <c r="BL147" i="4"/>
  <c r="BR147" i="4"/>
  <c r="BG147" i="4"/>
  <c r="AN147" i="4"/>
  <c r="AD147" i="4"/>
  <c r="AF147" i="4"/>
  <c r="CM147" i="4"/>
  <c r="CK147" i="4"/>
  <c r="BJ147" i="4"/>
  <c r="X147" i="4"/>
  <c r="R147" i="4"/>
  <c r="CS147" i="4"/>
  <c r="BB147" i="4"/>
  <c r="P147" i="4"/>
  <c r="BS147" i="4"/>
  <c r="AM147" i="4"/>
  <c r="AQ147" i="4"/>
  <c r="CJ147" i="4"/>
  <c r="BK147" i="4"/>
  <c r="EC147" i="4"/>
  <c r="CF147" i="4"/>
  <c r="CE147" i="4"/>
  <c r="BA147" i="4"/>
  <c r="AZ147" i="4"/>
  <c r="AK147" i="4"/>
  <c r="AC147" i="4"/>
  <c r="CQ147" i="4"/>
  <c r="CR147" i="4"/>
  <c r="CT147" i="4"/>
  <c r="BT147" i="4"/>
  <c r="AB147" i="4"/>
  <c r="BM147" i="4"/>
  <c r="AH147" i="4"/>
  <c r="V147" i="4"/>
  <c r="DL147" i="4"/>
  <c r="CC147" i="4"/>
  <c r="CD147" i="4"/>
  <c r="BQ147" i="4"/>
  <c r="DR147" i="4"/>
  <c r="DP147" i="46" s="1"/>
  <c r="B149" i="4"/>
  <c r="M148" i="4"/>
  <c r="A137" i="47"/>
  <c r="B137" i="5"/>
  <c r="L135" i="46"/>
  <c r="C136" i="46"/>
  <c r="CC142" i="46" l="1"/>
  <c r="CH142" i="46"/>
  <c r="AV142" i="46"/>
  <c r="BD142" i="46"/>
  <c r="BV142" i="46"/>
  <c r="O142" i="46"/>
  <c r="BY142" i="46"/>
  <c r="AZ142" i="46"/>
  <c r="AY142" i="46"/>
  <c r="AD142" i="46"/>
  <c r="AO142" i="46"/>
  <c r="BJ142" i="46"/>
  <c r="CM142" i="46"/>
  <c r="AR142" i="46"/>
  <c r="CL142" i="46"/>
  <c r="AQ142" i="46"/>
  <c r="AP142" i="46"/>
  <c r="AF142" i="46"/>
  <c r="BQ142" i="46"/>
  <c r="AJ142" i="46"/>
  <c r="X142" i="46"/>
  <c r="BM142" i="46"/>
  <c r="DN142" i="46"/>
  <c r="DC142" i="46"/>
  <c r="DL142" i="46"/>
  <c r="U142" i="46"/>
  <c r="CJ142" i="46"/>
  <c r="CP142" i="46"/>
  <c r="AU142" i="46"/>
  <c r="BK142" i="46"/>
  <c r="S142" i="46"/>
  <c r="CE142" i="46"/>
  <c r="N142" i="46"/>
  <c r="R142" i="46"/>
  <c r="CI142" i="46"/>
  <c r="AH142" i="46"/>
  <c r="BB142" i="46"/>
  <c r="BT142" i="46"/>
  <c r="M142" i="46"/>
  <c r="CD142" i="46"/>
  <c r="BG142" i="46"/>
  <c r="BO142" i="46"/>
  <c r="CA142" i="46"/>
  <c r="AG142" i="46"/>
  <c r="T142" i="46"/>
  <c r="CG142" i="46"/>
  <c r="DD142" i="46"/>
  <c r="DM142" i="46"/>
  <c r="DF142" i="46"/>
  <c r="DO142" i="46"/>
  <c r="W142" i="46"/>
  <c r="CK142" i="46"/>
  <c r="BW142" i="46"/>
  <c r="AI142" i="46"/>
  <c r="BC142" i="46"/>
  <c r="Q142" i="46"/>
  <c r="BP142" i="46"/>
  <c r="CB142" i="46"/>
  <c r="Y142" i="46"/>
  <c r="CF142" i="46"/>
  <c r="CN142" i="46"/>
  <c r="AS142" i="46"/>
  <c r="BI142" i="46"/>
  <c r="AC142" i="46"/>
  <c r="BS142" i="46"/>
  <c r="AL142" i="46"/>
  <c r="CQ142" i="46"/>
  <c r="BE142" i="46"/>
  <c r="BF142" i="46"/>
  <c r="BX142" i="46"/>
  <c r="CR142" i="46"/>
  <c r="DH142" i="46"/>
  <c r="DK142" i="46"/>
  <c r="DG142" i="46"/>
  <c r="V142" i="46"/>
  <c r="AM142" i="46"/>
  <c r="BL142" i="46"/>
  <c r="CO142" i="46"/>
  <c r="AT142" i="46"/>
  <c r="Z142" i="46"/>
  <c r="EA142" i="46"/>
  <c r="BR142" i="46"/>
  <c r="AA142" i="46"/>
  <c r="BN142" i="46"/>
  <c r="BU142" i="46"/>
  <c r="AE142" i="46"/>
  <c r="BA142" i="46"/>
  <c r="AN142" i="46"/>
  <c r="BH142" i="46"/>
  <c r="P142" i="46"/>
  <c r="AW142" i="46"/>
  <c r="AB142" i="46"/>
  <c r="BZ142" i="46"/>
  <c r="AK142" i="46"/>
  <c r="AX142" i="46"/>
  <c r="DI142" i="46"/>
  <c r="DJ142" i="46"/>
  <c r="DE142" i="46"/>
  <c r="K143" i="46"/>
  <c r="B144" i="46"/>
  <c r="C144" i="4"/>
  <c r="N143" i="4"/>
  <c r="C132" i="5"/>
  <c r="B132" i="47"/>
  <c r="AW148" i="4"/>
  <c r="AS148" i="4"/>
  <c r="AF148" i="4"/>
  <c r="AK148" i="4"/>
  <c r="U148" i="4"/>
  <c r="AH148" i="4"/>
  <c r="S148" i="4"/>
  <c r="AC148" i="4"/>
  <c r="DR148" i="4"/>
  <c r="DP148" i="46" s="1"/>
  <c r="CL148" i="4"/>
  <c r="DP148" i="4"/>
  <c r="DK148" i="4"/>
  <c r="AY148" i="4"/>
  <c r="BP148" i="4"/>
  <c r="CT148" i="4"/>
  <c r="BW148" i="4"/>
  <c r="CH148" i="4"/>
  <c r="BB148" i="4"/>
  <c r="CC148" i="4"/>
  <c r="O148" i="4"/>
  <c r="AA148" i="4"/>
  <c r="BM148" i="4"/>
  <c r="BC148" i="4"/>
  <c r="BO148" i="4"/>
  <c r="AT148" i="4"/>
  <c r="AQ148" i="4"/>
  <c r="CM148" i="4"/>
  <c r="CK148" i="4"/>
  <c r="AZ148" i="4"/>
  <c r="BJ148" i="4"/>
  <c r="BZ148" i="4"/>
  <c r="DM148" i="4"/>
  <c r="AV148" i="4"/>
  <c r="AN148" i="4"/>
  <c r="AJ148" i="4"/>
  <c r="AR148" i="4"/>
  <c r="AB148" i="4"/>
  <c r="AX148" i="4"/>
  <c r="AI148" i="4"/>
  <c r="T148" i="4"/>
  <c r="CO148" i="4"/>
  <c r="CN148" i="4"/>
  <c r="DQ148" i="4"/>
  <c r="BE148" i="4"/>
  <c r="CI148" i="4"/>
  <c r="CG148" i="4"/>
  <c r="R148" i="4"/>
  <c r="BR148" i="4"/>
  <c r="CR148" i="4"/>
  <c r="BD148" i="4"/>
  <c r="BX148" i="4"/>
  <c r="BL148" i="4"/>
  <c r="BY148" i="4"/>
  <c r="BH148" i="4"/>
  <c r="EC148" i="4"/>
  <c r="BU148" i="4"/>
  <c r="DN148" i="4"/>
  <c r="AM148" i="4"/>
  <c r="AE148" i="4"/>
  <c r="W148" i="4"/>
  <c r="V148" i="4"/>
  <c r="Z148" i="4"/>
  <c r="AD148" i="4"/>
  <c r="CP148" i="4"/>
  <c r="DL148" i="4"/>
  <c r="BF148" i="4"/>
  <c r="DI148" i="4"/>
  <c r="DH148" i="4"/>
  <c r="CF148" i="4"/>
  <c r="BQ148" i="4"/>
  <c r="BG148" i="4"/>
  <c r="X148" i="4"/>
  <c r="BV148" i="4"/>
  <c r="CE148" i="4"/>
  <c r="AP148" i="4"/>
  <c r="DS148" i="4"/>
  <c r="DQ148" i="46" s="1"/>
  <c r="BA148" i="4"/>
  <c r="BN148" i="4"/>
  <c r="BT148" i="4"/>
  <c r="AG148" i="4"/>
  <c r="DO148" i="4"/>
  <c r="CB148" i="4"/>
  <c r="CS148" i="4"/>
  <c r="AO148" i="4"/>
  <c r="Q148" i="4"/>
  <c r="CJ148" i="4"/>
  <c r="BK148" i="4"/>
  <c r="BS148" i="4"/>
  <c r="CA148" i="4"/>
  <c r="BI148" i="4"/>
  <c r="AU148" i="4"/>
  <c r="Y148" i="4"/>
  <c r="CQ148" i="4"/>
  <c r="DJ148" i="4"/>
  <c r="CD148" i="4"/>
  <c r="P148" i="4"/>
  <c r="AL148" i="4"/>
  <c r="B150" i="4"/>
  <c r="M149" i="4"/>
  <c r="A138" i="47"/>
  <c r="B138" i="5"/>
  <c r="C137" i="46"/>
  <c r="L136" i="46"/>
  <c r="K144" i="46" l="1"/>
  <c r="B145" i="46"/>
  <c r="W143" i="46"/>
  <c r="CF143" i="46"/>
  <c r="CO143" i="46"/>
  <c r="AT143" i="46"/>
  <c r="BL143" i="46"/>
  <c r="T143" i="46"/>
  <c r="BX143" i="46"/>
  <c r="AQ143" i="46"/>
  <c r="Z143" i="46"/>
  <c r="AN143" i="46"/>
  <c r="BI143" i="46"/>
  <c r="CN143" i="46"/>
  <c r="AS143" i="46"/>
  <c r="AG143" i="46"/>
  <c r="AL143" i="46"/>
  <c r="BH143" i="46"/>
  <c r="CJ143" i="46"/>
  <c r="AB143" i="46"/>
  <c r="BZ143" i="46"/>
  <c r="BE143" i="46"/>
  <c r="AM143" i="46"/>
  <c r="DD143" i="46"/>
  <c r="DF143" i="46"/>
  <c r="DJ143" i="46"/>
  <c r="DO143" i="46"/>
  <c r="BK143" i="46"/>
  <c r="CE143" i="46"/>
  <c r="CC143" i="46"/>
  <c r="DH143" i="46"/>
  <c r="AD143" i="46"/>
  <c r="BP143" i="46"/>
  <c r="BV143" i="46"/>
  <c r="O143" i="46"/>
  <c r="BD143" i="46"/>
  <c r="V143" i="46"/>
  <c r="BQ143" i="46"/>
  <c r="R143" i="46"/>
  <c r="BY143" i="46"/>
  <c r="AH143" i="46"/>
  <c r="BA143" i="46"/>
  <c r="BU143" i="46"/>
  <c r="AE143" i="46"/>
  <c r="CB143" i="46"/>
  <c r="EA143" i="46"/>
  <c r="AZ143" i="46"/>
  <c r="CQ143" i="46"/>
  <c r="CA143" i="46"/>
  <c r="AJ143" i="46"/>
  <c r="AK143" i="46"/>
  <c r="BM143" i="46"/>
  <c r="DE143" i="46"/>
  <c r="DM143" i="46"/>
  <c r="DK143" i="46"/>
  <c r="U143" i="46"/>
  <c r="AO143" i="46"/>
  <c r="AU143" i="46"/>
  <c r="AC143" i="46"/>
  <c r="AA143" i="46"/>
  <c r="CM143" i="46"/>
  <c r="BJ143" i="46"/>
  <c r="BR143" i="46"/>
  <c r="AW143" i="46"/>
  <c r="BF143" i="46"/>
  <c r="DC143" i="46"/>
  <c r="DG143" i="46"/>
  <c r="CP143" i="46"/>
  <c r="CK143" i="46"/>
  <c r="AR143" i="46"/>
  <c r="N143" i="46"/>
  <c r="CR143" i="46"/>
  <c r="S143" i="46"/>
  <c r="CI143" i="46"/>
  <c r="CL143" i="46"/>
  <c r="BC143" i="46"/>
  <c r="BW143" i="46"/>
  <c r="AI143" i="46"/>
  <c r="Y143" i="46"/>
  <c r="AY143" i="46"/>
  <c r="X143" i="46"/>
  <c r="BN143" i="46"/>
  <c r="BT143" i="46"/>
  <c r="M143" i="46"/>
  <c r="BB143" i="46"/>
  <c r="AP143" i="46"/>
  <c r="BG143" i="46"/>
  <c r="BS143" i="46"/>
  <c r="Q143" i="46"/>
  <c r="BO143" i="46"/>
  <c r="CG143" i="46"/>
  <c r="AV143" i="46"/>
  <c r="CH143" i="46"/>
  <c r="AX143" i="46"/>
  <c r="DI143" i="46"/>
  <c r="DN143" i="46"/>
  <c r="DL143" i="46"/>
  <c r="AF143" i="46"/>
  <c r="CD143" i="46"/>
  <c r="P143" i="46"/>
  <c r="AV149" i="4"/>
  <c r="AO149" i="4"/>
  <c r="AE149" i="4"/>
  <c r="AJ149" i="4"/>
  <c r="AB149" i="4"/>
  <c r="AD149" i="4"/>
  <c r="AL149" i="4"/>
  <c r="AG149" i="4"/>
  <c r="DR149" i="4"/>
  <c r="DP149" i="46" s="1"/>
  <c r="CL149" i="4"/>
  <c r="DP149" i="4"/>
  <c r="DL149" i="4"/>
  <c r="AY149" i="4"/>
  <c r="AA149" i="4"/>
  <c r="BU149" i="4"/>
  <c r="BG149" i="4"/>
  <c r="BQ149" i="4"/>
  <c r="X149" i="4"/>
  <c r="CA149" i="4"/>
  <c r="BC149" i="4"/>
  <c r="CF149" i="4"/>
  <c r="BD149" i="4"/>
  <c r="P149" i="4"/>
  <c r="AZ149" i="4"/>
  <c r="DN149" i="4"/>
  <c r="AM149" i="4"/>
  <c r="Z149" i="4"/>
  <c r="Y149" i="4"/>
  <c r="DO149" i="4"/>
  <c r="CK149" i="4"/>
  <c r="BN149" i="4"/>
  <c r="DJ149" i="4"/>
  <c r="BL149" i="4"/>
  <c r="CH149" i="4"/>
  <c r="CD149" i="4"/>
  <c r="BO149" i="4"/>
  <c r="DM149" i="4"/>
  <c r="AW149" i="4"/>
  <c r="AN149" i="4"/>
  <c r="AI149" i="4"/>
  <c r="AQ149" i="4"/>
  <c r="V149" i="4"/>
  <c r="T149" i="4"/>
  <c r="S149" i="4"/>
  <c r="U149" i="4"/>
  <c r="CO149" i="4"/>
  <c r="CN149" i="4"/>
  <c r="DQ149" i="4"/>
  <c r="BE149" i="4"/>
  <c r="CI149" i="4"/>
  <c r="BT149" i="4"/>
  <c r="BY149" i="4"/>
  <c r="BP149" i="4"/>
  <c r="O149" i="4"/>
  <c r="BS149" i="4"/>
  <c r="CR149" i="4"/>
  <c r="BJ149" i="4"/>
  <c r="BR149" i="4"/>
  <c r="BM149" i="4"/>
  <c r="BW149" i="4"/>
  <c r="BV149" i="4"/>
  <c r="AU149" i="4"/>
  <c r="AP149" i="4"/>
  <c r="AH149" i="4"/>
  <c r="AK149" i="4"/>
  <c r="AR149" i="4"/>
  <c r="CP149" i="4"/>
  <c r="CM149" i="4"/>
  <c r="BF149" i="4"/>
  <c r="CS149" i="4"/>
  <c r="CT149" i="4"/>
  <c r="BZ149" i="4"/>
  <c r="CC149" i="4"/>
  <c r="AF149" i="4"/>
  <c r="Q149" i="4"/>
  <c r="DK149" i="4"/>
  <c r="DI149" i="4"/>
  <c r="BH149" i="4"/>
  <c r="CG149" i="4"/>
  <c r="AS149" i="4"/>
  <c r="CB149" i="4"/>
  <c r="EC149" i="4"/>
  <c r="CE149" i="4"/>
  <c r="AX149" i="4"/>
  <c r="DS149" i="4"/>
  <c r="DQ149" i="46" s="1"/>
  <c r="BA149" i="4"/>
  <c r="BB149" i="4"/>
  <c r="R149" i="4"/>
  <c r="CQ149" i="4"/>
  <c r="DH149" i="4"/>
  <c r="AT149" i="4"/>
  <c r="W149" i="4"/>
  <c r="CJ149" i="4"/>
  <c r="BK149" i="4"/>
  <c r="BI149" i="4"/>
  <c r="BX149" i="4"/>
  <c r="AC149" i="4"/>
  <c r="B151" i="4"/>
  <c r="B139" i="5"/>
  <c r="M150" i="4"/>
  <c r="A139" i="47"/>
  <c r="C133" i="5"/>
  <c r="N144" i="4"/>
  <c r="C145" i="4"/>
  <c r="B133" i="47"/>
  <c r="C138" i="46"/>
  <c r="L137" i="46"/>
  <c r="B146" i="46" l="1"/>
  <c r="K145" i="46"/>
  <c r="AA144" i="46"/>
  <c r="CK144" i="46"/>
  <c r="CP144" i="46"/>
  <c r="AU144" i="46"/>
  <c r="BK144" i="46"/>
  <c r="CC144" i="46"/>
  <c r="AG144" i="46"/>
  <c r="R144" i="46"/>
  <c r="BX144" i="46"/>
  <c r="AP144" i="46"/>
  <c r="BJ144" i="46"/>
  <c r="CM144" i="46"/>
  <c r="AR144" i="46"/>
  <c r="CJ144" i="46"/>
  <c r="BH144" i="46"/>
  <c r="BR144" i="46"/>
  <c r="BN144" i="46"/>
  <c r="Y144" i="46"/>
  <c r="W144" i="46"/>
  <c r="CQ144" i="46"/>
  <c r="AH144" i="46"/>
  <c r="DD144" i="46"/>
  <c r="DK144" i="46"/>
  <c r="DE144" i="46"/>
  <c r="DO144" i="46"/>
  <c r="DJ144" i="46"/>
  <c r="AJ144" i="46"/>
  <c r="AB144" i="46"/>
  <c r="BP144" i="46"/>
  <c r="BW144" i="46"/>
  <c r="AI144" i="46"/>
  <c r="BC144" i="46"/>
  <c r="Z144" i="46"/>
  <c r="BS144" i="46"/>
  <c r="U144" i="46"/>
  <c r="BQ144" i="46"/>
  <c r="AV144" i="46"/>
  <c r="BB144" i="46"/>
  <c r="BT144" i="46"/>
  <c r="M144" i="46"/>
  <c r="AM144" i="46"/>
  <c r="AZ144" i="46"/>
  <c r="AY144" i="46"/>
  <c r="CA144" i="46"/>
  <c r="CE144" i="46"/>
  <c r="CI144" i="46"/>
  <c r="AW144" i="46"/>
  <c r="BF144" i="46"/>
  <c r="DI144" i="46"/>
  <c r="DG144" i="46"/>
  <c r="AD144" i="46"/>
  <c r="AN144" i="46"/>
  <c r="BL144" i="46"/>
  <c r="CO144" i="46"/>
  <c r="AT144" i="46"/>
  <c r="Q144" i="46"/>
  <c r="AQ144" i="46"/>
  <c r="X144" i="46"/>
  <c r="CG144" i="46"/>
  <c r="CN144" i="46"/>
  <c r="AS144" i="46"/>
  <c r="BI144" i="46"/>
  <c r="P144" i="46"/>
  <c r="EA144" i="46"/>
  <c r="N144" i="46"/>
  <c r="AL144" i="46"/>
  <c r="AK144" i="46"/>
  <c r="CR144" i="46"/>
  <c r="AO144" i="46"/>
  <c r="AX144" i="46"/>
  <c r="BZ144" i="46"/>
  <c r="DH144" i="46"/>
  <c r="DF144" i="46"/>
  <c r="DM144" i="46"/>
  <c r="DC144" i="46"/>
  <c r="S144" i="46"/>
  <c r="BY144" i="46"/>
  <c r="CL144" i="46"/>
  <c r="BD144" i="46"/>
  <c r="BV144" i="46"/>
  <c r="O144" i="46"/>
  <c r="CF144" i="46"/>
  <c r="BG144" i="46"/>
  <c r="AC144" i="46"/>
  <c r="AF144" i="46"/>
  <c r="BU144" i="46"/>
  <c r="AE144" i="46"/>
  <c r="BA144" i="46"/>
  <c r="CH144" i="46"/>
  <c r="CD144" i="46"/>
  <c r="CB144" i="46"/>
  <c r="T144" i="46"/>
  <c r="BE144" i="46"/>
  <c r="BM144" i="46"/>
  <c r="BO144" i="46"/>
  <c r="V144" i="46"/>
  <c r="DN144" i="46"/>
  <c r="DL144" i="46"/>
  <c r="AW150" i="4"/>
  <c r="AS150" i="4"/>
  <c r="AH150" i="4"/>
  <c r="AI150" i="4"/>
  <c r="Q150" i="4"/>
  <c r="AQ150" i="4"/>
  <c r="AR150" i="4"/>
  <c r="AC150" i="4"/>
  <c r="DS150" i="4"/>
  <c r="DQ150" i="46" s="1"/>
  <c r="CL150" i="4"/>
  <c r="DP150" i="4"/>
  <c r="DO150" i="4"/>
  <c r="AY150" i="4"/>
  <c r="DJ150" i="4"/>
  <c r="BC150" i="4"/>
  <c r="CS150" i="4"/>
  <c r="BZ150" i="4"/>
  <c r="CR150" i="4"/>
  <c r="BX150" i="4"/>
  <c r="BU150" i="4"/>
  <c r="BS150" i="4"/>
  <c r="BQ150" i="4"/>
  <c r="CC150" i="4"/>
  <c r="DI150" i="4"/>
  <c r="DN150" i="4"/>
  <c r="AT150" i="4"/>
  <c r="AX150" i="4"/>
  <c r="Z150" i="4"/>
  <c r="U150" i="4"/>
  <c r="AJ150" i="4"/>
  <c r="CM150" i="4"/>
  <c r="BF150" i="4"/>
  <c r="BO150" i="4"/>
  <c r="DM150" i="4"/>
  <c r="AU150" i="4"/>
  <c r="AO150" i="4"/>
  <c r="AL150" i="4"/>
  <c r="AP150" i="4"/>
  <c r="AG150" i="4"/>
  <c r="T150" i="4"/>
  <c r="AB150" i="4"/>
  <c r="V150" i="4"/>
  <c r="CO150" i="4"/>
  <c r="CN150" i="4"/>
  <c r="DQ150" i="4"/>
  <c r="BE150" i="4"/>
  <c r="CI150" i="4"/>
  <c r="BB150" i="4"/>
  <c r="BM150" i="4"/>
  <c r="CA150" i="4"/>
  <c r="EC150" i="4"/>
  <c r="BI150" i="4"/>
  <c r="DH150" i="4"/>
  <c r="BW150" i="4"/>
  <c r="BH150" i="4"/>
  <c r="AZ150" i="4"/>
  <c r="CH150" i="4"/>
  <c r="AM150" i="4"/>
  <c r="AN150" i="4"/>
  <c r="Y150" i="4"/>
  <c r="CP150" i="4"/>
  <c r="DK150" i="4"/>
  <c r="CK150" i="4"/>
  <c r="BR150" i="4"/>
  <c r="BV150" i="4"/>
  <c r="CT150" i="4"/>
  <c r="BY150" i="4"/>
  <c r="X150" i="4"/>
  <c r="BL150" i="4"/>
  <c r="CF150" i="4"/>
  <c r="O150" i="4"/>
  <c r="BN150" i="4"/>
  <c r="AD150" i="4"/>
  <c r="S150" i="4"/>
  <c r="CQ150" i="4"/>
  <c r="R150" i="4"/>
  <c r="BG150" i="4"/>
  <c r="P150" i="4"/>
  <c r="CJ150" i="4"/>
  <c r="BP150" i="4"/>
  <c r="AE150" i="4"/>
  <c r="W150" i="4"/>
  <c r="DL150" i="4"/>
  <c r="BJ150" i="4"/>
  <c r="AA150" i="4"/>
  <c r="CD150" i="4"/>
  <c r="AV150" i="4"/>
  <c r="BK150" i="4"/>
  <c r="CG150" i="4"/>
  <c r="CE150" i="4"/>
  <c r="AK150" i="4"/>
  <c r="DR150" i="4"/>
  <c r="DP150" i="46" s="1"/>
  <c r="BA150" i="4"/>
  <c r="BD150" i="4"/>
  <c r="CB150" i="4"/>
  <c r="BT150" i="4"/>
  <c r="AF150" i="4"/>
  <c r="B152" i="4"/>
  <c r="B140" i="5"/>
  <c r="M151" i="4"/>
  <c r="A140" i="47"/>
  <c r="B134" i="47"/>
  <c r="N145" i="4"/>
  <c r="C146" i="4"/>
  <c r="C134" i="5"/>
  <c r="C139" i="46"/>
  <c r="L138" i="46"/>
  <c r="R145" i="46" l="1"/>
  <c r="BX145" i="46"/>
  <c r="AP145" i="46"/>
  <c r="BK145" i="46"/>
  <c r="CP145" i="46"/>
  <c r="AU145" i="46"/>
  <c r="BG145" i="46"/>
  <c r="CC145" i="46"/>
  <c r="CH145" i="46"/>
  <c r="AV145" i="46"/>
  <c r="BA145" i="46"/>
  <c r="BU145" i="46"/>
  <c r="AE145" i="46"/>
  <c r="CI145" i="46"/>
  <c r="CB145" i="46"/>
  <c r="BH145" i="46"/>
  <c r="AA145" i="46"/>
  <c r="AX145" i="46"/>
  <c r="V145" i="46"/>
  <c r="AK145" i="46"/>
  <c r="AC145" i="46"/>
  <c r="BO145" i="46"/>
  <c r="DM145" i="46"/>
  <c r="DN145" i="46"/>
  <c r="DL145" i="46"/>
  <c r="BV145" i="46"/>
  <c r="BS145" i="46"/>
  <c r="CN145" i="46"/>
  <c r="CD145" i="46"/>
  <c r="BF145" i="46"/>
  <c r="Q145" i="46"/>
  <c r="BQ145" i="46"/>
  <c r="AH145" i="46"/>
  <c r="BC145" i="46"/>
  <c r="BW145" i="46"/>
  <c r="AI145" i="46"/>
  <c r="AY145" i="46"/>
  <c r="P145" i="46"/>
  <c r="CJ145" i="46"/>
  <c r="CM145" i="46"/>
  <c r="AR145" i="46"/>
  <c r="BJ145" i="46"/>
  <c r="T145" i="46"/>
  <c r="CE145" i="46"/>
  <c r="BR145" i="46"/>
  <c r="AZ145" i="46"/>
  <c r="AN145" i="46"/>
  <c r="S145" i="46"/>
  <c r="CL145" i="46"/>
  <c r="BN145" i="46"/>
  <c r="CF145" i="46"/>
  <c r="DD145" i="46"/>
  <c r="DK145" i="46"/>
  <c r="DE145" i="46"/>
  <c r="DO145" i="46"/>
  <c r="AB145" i="46"/>
  <c r="AF145" i="46"/>
  <c r="O145" i="46"/>
  <c r="BD145" i="46"/>
  <c r="AO145" i="46"/>
  <c r="Z145" i="46"/>
  <c r="BI145" i="46"/>
  <c r="AS145" i="46"/>
  <c r="AG145" i="46"/>
  <c r="CR145" i="46"/>
  <c r="CA145" i="46"/>
  <c r="DF145" i="46"/>
  <c r="DI145" i="46"/>
  <c r="U145" i="46"/>
  <c r="CK145" i="46"/>
  <c r="CO145" i="46"/>
  <c r="AT145" i="46"/>
  <c r="BL145" i="46"/>
  <c r="W145" i="46"/>
  <c r="EA145" i="46"/>
  <c r="Y145" i="46"/>
  <c r="CG145" i="46"/>
  <c r="BT145" i="46"/>
  <c r="M145" i="46"/>
  <c r="BB145" i="46"/>
  <c r="AD145" i="46"/>
  <c r="BP145" i="46"/>
  <c r="AL145" i="46"/>
  <c r="AQ145" i="46"/>
  <c r="BM145" i="46"/>
  <c r="BY145" i="46"/>
  <c r="BE145" i="46"/>
  <c r="BZ145" i="46"/>
  <c r="CQ145" i="46"/>
  <c r="DG145" i="46"/>
  <c r="DH145" i="46"/>
  <c r="DC145" i="46"/>
  <c r="AM145" i="46"/>
  <c r="X145" i="46"/>
  <c r="N145" i="46"/>
  <c r="AJ145" i="46"/>
  <c r="AW145" i="46"/>
  <c r="DJ145" i="46"/>
  <c r="B147" i="46"/>
  <c r="K146" i="46"/>
  <c r="AV151" i="4"/>
  <c r="AU151" i="4"/>
  <c r="AK151" i="4"/>
  <c r="AH151" i="4"/>
  <c r="AQ151" i="4"/>
  <c r="W151" i="4"/>
  <c r="AC151" i="4"/>
  <c r="Y151" i="4"/>
  <c r="DS151" i="4"/>
  <c r="DQ151" i="46" s="1"/>
  <c r="CL151" i="4"/>
  <c r="DP151" i="4"/>
  <c r="DO151" i="4"/>
  <c r="AY151" i="4"/>
  <c r="BS151" i="4"/>
  <c r="BW151" i="4"/>
  <c r="BR151" i="4"/>
  <c r="BJ151" i="4"/>
  <c r="CG151" i="4"/>
  <c r="CT151" i="4"/>
  <c r="CS151" i="4"/>
  <c r="BC151" i="4"/>
  <c r="DH151" i="4"/>
  <c r="X151" i="4"/>
  <c r="R151" i="4"/>
  <c r="AW151" i="4"/>
  <c r="AT151" i="4"/>
  <c r="AX151" i="4"/>
  <c r="V151" i="4"/>
  <c r="Q151" i="4"/>
  <c r="S151" i="4"/>
  <c r="CM151" i="4"/>
  <c r="BF151" i="4"/>
  <c r="EC151" i="4"/>
  <c r="BO151" i="4"/>
  <c r="AA151" i="4"/>
  <c r="P151" i="4"/>
  <c r="DM151" i="4"/>
  <c r="AS151" i="4"/>
  <c r="AO151" i="4"/>
  <c r="AR151" i="4"/>
  <c r="AL151" i="4"/>
  <c r="AB151" i="4"/>
  <c r="AJ151" i="4"/>
  <c r="U151" i="4"/>
  <c r="AP151" i="4"/>
  <c r="CP151" i="4"/>
  <c r="CN151" i="4"/>
  <c r="DQ151" i="4"/>
  <c r="BE151" i="4"/>
  <c r="CI151" i="4"/>
  <c r="CR151" i="4"/>
  <c r="CF151" i="4"/>
  <c r="BH151" i="4"/>
  <c r="CC151" i="4"/>
  <c r="BB151" i="4"/>
  <c r="BQ151" i="4"/>
  <c r="BN151" i="4"/>
  <c r="DJ151" i="4"/>
  <c r="BY151" i="4"/>
  <c r="CB151" i="4"/>
  <c r="BP151" i="4"/>
  <c r="DN151" i="4"/>
  <c r="AN151" i="4"/>
  <c r="T151" i="4"/>
  <c r="CO151" i="4"/>
  <c r="DK151" i="4"/>
  <c r="CK151" i="4"/>
  <c r="BD151" i="4"/>
  <c r="CD151" i="4"/>
  <c r="BT151" i="4"/>
  <c r="BG151" i="4"/>
  <c r="AZ151" i="4"/>
  <c r="BL151" i="4"/>
  <c r="AM151" i="4"/>
  <c r="Z151" i="4"/>
  <c r="CJ151" i="4"/>
  <c r="BK151" i="4"/>
  <c r="CH151" i="4"/>
  <c r="BU151" i="4"/>
  <c r="CE151" i="4"/>
  <c r="BA151" i="4"/>
  <c r="BX151" i="4"/>
  <c r="AG151" i="4"/>
  <c r="AI151" i="4"/>
  <c r="CQ151" i="4"/>
  <c r="BV151" i="4"/>
  <c r="DI151" i="4"/>
  <c r="O151" i="4"/>
  <c r="AF151" i="4"/>
  <c r="BZ151" i="4"/>
  <c r="AD151" i="4"/>
  <c r="AE151" i="4"/>
  <c r="DL151" i="4"/>
  <c r="BM151" i="4"/>
  <c r="BI151" i="4"/>
  <c r="CA151" i="4"/>
  <c r="DR151" i="4"/>
  <c r="DP151" i="46" s="1"/>
  <c r="C135" i="5"/>
  <c r="N146" i="4"/>
  <c r="B135" i="47"/>
  <c r="C147" i="4"/>
  <c r="B153" i="4"/>
  <c r="A141" i="47"/>
  <c r="B141" i="5"/>
  <c r="M152" i="4"/>
  <c r="C140" i="46"/>
  <c r="L139" i="46"/>
  <c r="U146" i="46" l="1"/>
  <c r="AM146" i="46"/>
  <c r="BS146" i="46"/>
  <c r="CM146" i="46"/>
  <c r="BK146" i="46"/>
  <c r="CK146" i="46"/>
  <c r="BC146" i="46"/>
  <c r="V146" i="46"/>
  <c r="AO146" i="46"/>
  <c r="BO146" i="46"/>
  <c r="BZ146" i="46"/>
  <c r="BG146" i="46"/>
  <c r="BY146" i="46"/>
  <c r="BW146" i="46"/>
  <c r="BT146" i="46"/>
  <c r="AC146" i="46"/>
  <c r="AW146" i="46"/>
  <c r="Z146" i="46"/>
  <c r="N146" i="46"/>
  <c r="BX146" i="46"/>
  <c r="BR146" i="46"/>
  <c r="DI146" i="46"/>
  <c r="DM146" i="46"/>
  <c r="DE146" i="46"/>
  <c r="AU146" i="46"/>
  <c r="BJ146" i="46"/>
  <c r="DD146" i="46"/>
  <c r="DJ146" i="46"/>
  <c r="AK146" i="46"/>
  <c r="CQ146" i="46"/>
  <c r="CC146" i="46"/>
  <c r="CH146" i="46"/>
  <c r="AG146" i="46"/>
  <c r="BH146" i="46"/>
  <c r="BI146" i="46"/>
  <c r="AT146" i="46"/>
  <c r="AN146" i="46"/>
  <c r="R146" i="46"/>
  <c r="CI146" i="46"/>
  <c r="AV146" i="46"/>
  <c r="BF146" i="46"/>
  <c r="BE146" i="46"/>
  <c r="AL146" i="46"/>
  <c r="BP146" i="46"/>
  <c r="BD146" i="46"/>
  <c r="AE146" i="46"/>
  <c r="BQ146" i="46"/>
  <c r="M146" i="46"/>
  <c r="CE146" i="46"/>
  <c r="AP146" i="46"/>
  <c r="AF146" i="46"/>
  <c r="AY146" i="46"/>
  <c r="DG146" i="46"/>
  <c r="DK146" i="46"/>
  <c r="DL146" i="46"/>
  <c r="AB146" i="46"/>
  <c r="Y146" i="46"/>
  <c r="BN146" i="46"/>
  <c r="CB146" i="46"/>
  <c r="AI146" i="46"/>
  <c r="BB146" i="46"/>
  <c r="AS146" i="46"/>
  <c r="DH146" i="46"/>
  <c r="P146" i="46"/>
  <c r="CJ146" i="46"/>
  <c r="EA146" i="46"/>
  <c r="AZ146" i="46"/>
  <c r="AR146" i="46"/>
  <c r="X146" i="46"/>
  <c r="BL146" i="46"/>
  <c r="W146" i="46"/>
  <c r="CF146" i="46"/>
  <c r="CR146" i="46"/>
  <c r="AX146" i="46"/>
  <c r="AJ146" i="46"/>
  <c r="S146" i="46"/>
  <c r="AH146" i="46"/>
  <c r="BV146" i="46"/>
  <c r="CL146" i="46"/>
  <c r="CN146" i="46"/>
  <c r="BU146" i="46"/>
  <c r="DN146" i="46"/>
  <c r="DO146" i="46"/>
  <c r="CG146" i="46"/>
  <c r="CD146" i="46"/>
  <c r="CO146" i="46"/>
  <c r="BA146" i="46"/>
  <c r="CA146" i="46"/>
  <c r="CP146" i="46"/>
  <c r="BM146" i="46"/>
  <c r="DF146" i="46"/>
  <c r="AD146" i="46"/>
  <c r="AQ146" i="46"/>
  <c r="Q146" i="46"/>
  <c r="AA146" i="46"/>
  <c r="O146" i="46"/>
  <c r="T146" i="46"/>
  <c r="DC146" i="46"/>
  <c r="K147" i="46"/>
  <c r="B148" i="46"/>
  <c r="M153" i="4"/>
  <c r="B142" i="5"/>
  <c r="A142" i="47"/>
  <c r="AW152" i="4"/>
  <c r="AN152" i="4"/>
  <c r="AF152" i="4"/>
  <c r="AK152" i="4"/>
  <c r="AP152" i="4"/>
  <c r="AL152" i="4"/>
  <c r="AE152" i="4"/>
  <c r="T152" i="4"/>
  <c r="DR152" i="4"/>
  <c r="DP152" i="46" s="1"/>
  <c r="CL152" i="4"/>
  <c r="DP152" i="4"/>
  <c r="DK152" i="4"/>
  <c r="AY152" i="4"/>
  <c r="CB152" i="4"/>
  <c r="CS152" i="4"/>
  <c r="BG152" i="4"/>
  <c r="BQ152" i="4"/>
  <c r="BD152" i="4"/>
  <c r="R152" i="4"/>
  <c r="BN152" i="4"/>
  <c r="X152" i="4"/>
  <c r="BL152" i="4"/>
  <c r="P152" i="4"/>
  <c r="AT152" i="4"/>
  <c r="AQ152" i="4"/>
  <c r="W152" i="4"/>
  <c r="Q152" i="4"/>
  <c r="AC152" i="4"/>
  <c r="CM152" i="4"/>
  <c r="BF152" i="4"/>
  <c r="BI152" i="4"/>
  <c r="BO152" i="4"/>
  <c r="CT152" i="4"/>
  <c r="CH152" i="4"/>
  <c r="BC152" i="4"/>
  <c r="DM152" i="4"/>
  <c r="AV152" i="4"/>
  <c r="AU152" i="4"/>
  <c r="AJ152" i="4"/>
  <c r="AR152" i="4"/>
  <c r="AB152" i="4"/>
  <c r="V152" i="4"/>
  <c r="Z152" i="4"/>
  <c r="AH152" i="4"/>
  <c r="CO152" i="4"/>
  <c r="CN152" i="4"/>
  <c r="DQ152" i="4"/>
  <c r="BE152" i="4"/>
  <c r="CI152" i="4"/>
  <c r="CG152" i="4"/>
  <c r="AA152" i="4"/>
  <c r="O152" i="4"/>
  <c r="CD152" i="4"/>
  <c r="BP152" i="4"/>
  <c r="CR152" i="4"/>
  <c r="BJ152" i="4"/>
  <c r="BU152" i="4"/>
  <c r="BW152" i="4"/>
  <c r="AZ152" i="4"/>
  <c r="DN152" i="4"/>
  <c r="AM152" i="4"/>
  <c r="AI152" i="4"/>
  <c r="Y152" i="4"/>
  <c r="CP152" i="4"/>
  <c r="DL152" i="4"/>
  <c r="CK152" i="4"/>
  <c r="BB152" i="4"/>
  <c r="CC152" i="4"/>
  <c r="BM152" i="4"/>
  <c r="BX152" i="4"/>
  <c r="BS152" i="4"/>
  <c r="CF152" i="4"/>
  <c r="CE152" i="4"/>
  <c r="U152" i="4"/>
  <c r="DS152" i="4"/>
  <c r="DQ152" i="46" s="1"/>
  <c r="BA152" i="4"/>
  <c r="BY152" i="4"/>
  <c r="EC152" i="4"/>
  <c r="BZ152" i="4"/>
  <c r="AG152" i="4"/>
  <c r="DO152" i="4"/>
  <c r="CA152" i="4"/>
  <c r="DJ152" i="4"/>
  <c r="AS152" i="4"/>
  <c r="AD152" i="4"/>
  <c r="CJ152" i="4"/>
  <c r="BK152" i="4"/>
  <c r="DH152" i="4"/>
  <c r="BV152" i="4"/>
  <c r="BT152" i="4"/>
  <c r="AO152" i="4"/>
  <c r="S152" i="4"/>
  <c r="CQ152" i="4"/>
  <c r="BH152" i="4"/>
  <c r="DI152" i="4"/>
  <c r="BR152" i="4"/>
  <c r="AX152" i="4"/>
  <c r="B136" i="47"/>
  <c r="N147" i="4"/>
  <c r="C136" i="5"/>
  <c r="C148" i="4"/>
  <c r="L140" i="46"/>
  <c r="C141" i="46"/>
  <c r="K148" i="46" l="1"/>
  <c r="B149" i="46"/>
  <c r="X147" i="46"/>
  <c r="CE147" i="46"/>
  <c r="CP147" i="46"/>
  <c r="AU147" i="46"/>
  <c r="BM147" i="46"/>
  <c r="AD147" i="46"/>
  <c r="N147" i="46"/>
  <c r="T147" i="46"/>
  <c r="BY147" i="46"/>
  <c r="AG147" i="46"/>
  <c r="BB147" i="46"/>
  <c r="BV147" i="46"/>
  <c r="O147" i="46"/>
  <c r="BX147" i="46"/>
  <c r="CD147" i="46"/>
  <c r="BT147" i="46"/>
  <c r="CF147" i="46"/>
  <c r="W147" i="46"/>
  <c r="AM147" i="46"/>
  <c r="CJ147" i="46"/>
  <c r="BF147" i="46"/>
  <c r="DD147" i="46"/>
  <c r="DJ147" i="46"/>
  <c r="DC147" i="46"/>
  <c r="DO147" i="46"/>
  <c r="CQ147" i="46"/>
  <c r="AE147" i="46"/>
  <c r="BH147" i="46"/>
  <c r="Q147" i="46"/>
  <c r="Y147" i="46"/>
  <c r="DM147" i="46"/>
  <c r="AC147" i="46"/>
  <c r="BP147" i="46"/>
  <c r="BW147" i="46"/>
  <c r="AI147" i="46"/>
  <c r="BE147" i="46"/>
  <c r="CG147" i="46"/>
  <c r="CM147" i="46"/>
  <c r="AB147" i="46"/>
  <c r="CK147" i="46"/>
  <c r="CN147" i="46"/>
  <c r="AS147" i="46"/>
  <c r="BK147" i="46"/>
  <c r="R147" i="46"/>
  <c r="BQ147" i="46"/>
  <c r="BS147" i="46"/>
  <c r="BI147" i="46"/>
  <c r="CA147" i="46"/>
  <c r="BR147" i="46"/>
  <c r="BO147" i="46"/>
  <c r="AX147" i="46"/>
  <c r="CB147" i="46"/>
  <c r="DE147" i="46"/>
  <c r="DI147" i="46"/>
  <c r="DN147" i="46"/>
  <c r="BL147" i="46"/>
  <c r="U147" i="46"/>
  <c r="AK147" i="46"/>
  <c r="AL147" i="46"/>
  <c r="AA147" i="46"/>
  <c r="AO147" i="46"/>
  <c r="AW147" i="46"/>
  <c r="AP147" i="46"/>
  <c r="BA147" i="46"/>
  <c r="V147" i="46"/>
  <c r="BU147" i="46"/>
  <c r="BC147" i="46"/>
  <c r="AF147" i="46"/>
  <c r="EA147" i="46"/>
  <c r="DG147" i="46"/>
  <c r="S147" i="46"/>
  <c r="CH147" i="46"/>
  <c r="AV147" i="46"/>
  <c r="BD147" i="46"/>
  <c r="BZ147" i="46"/>
  <c r="AJ147" i="46"/>
  <c r="AZ147" i="46"/>
  <c r="M147" i="46"/>
  <c r="Z147" i="46"/>
  <c r="AN147" i="46"/>
  <c r="BJ147" i="46"/>
  <c r="CO147" i="46"/>
  <c r="AT147" i="46"/>
  <c r="P147" i="46"/>
  <c r="CL147" i="46"/>
  <c r="AQ147" i="46"/>
  <c r="CC147" i="46"/>
  <c r="BG147" i="46"/>
  <c r="CI147" i="46"/>
  <c r="AY147" i="46"/>
  <c r="AH147" i="46"/>
  <c r="CR147" i="46"/>
  <c r="DF147" i="46"/>
  <c r="DK147" i="46"/>
  <c r="DL147" i="46"/>
  <c r="BN147" i="46"/>
  <c r="AR147" i="46"/>
  <c r="DH147" i="46"/>
  <c r="N148" i="4"/>
  <c r="C149" i="4"/>
  <c r="B137" i="47"/>
  <c r="C137" i="5"/>
  <c r="DM153" i="4"/>
  <c r="DM155" i="4" s="1"/>
  <c r="DM157" i="4" s="1"/>
  <c r="AW153" i="4"/>
  <c r="AW155" i="4" s="1"/>
  <c r="AW157" i="4" s="1"/>
  <c r="AO153" i="4"/>
  <c r="AO155" i="4" s="1"/>
  <c r="AO157" i="4" s="1"/>
  <c r="AI153" i="4"/>
  <c r="AI155" i="4" s="1"/>
  <c r="AI157" i="4" s="1"/>
  <c r="AQ153" i="4"/>
  <c r="AQ155" i="4" s="1"/>
  <c r="AQ157" i="4" s="1"/>
  <c r="V153" i="4"/>
  <c r="V155" i="4" s="1"/>
  <c r="V157" i="4" s="1"/>
  <c r="AG153" i="4"/>
  <c r="AG155" i="4" s="1"/>
  <c r="AG157" i="4" s="1"/>
  <c r="T153" i="4"/>
  <c r="T155" i="4" s="1"/>
  <c r="T157" i="4" s="1"/>
  <c r="Y153" i="4"/>
  <c r="Y155" i="4" s="1"/>
  <c r="Y157" i="4" s="1"/>
  <c r="CO153" i="4"/>
  <c r="CO155" i="4" s="1"/>
  <c r="CO157" i="4" s="1"/>
  <c r="CN153" i="4"/>
  <c r="CN155" i="4" s="1"/>
  <c r="CN157" i="4" s="1"/>
  <c r="DQ153" i="4"/>
  <c r="DQ155" i="4" s="1"/>
  <c r="DQ157" i="4" s="1"/>
  <c r="BE153" i="4"/>
  <c r="BE155" i="4" s="1"/>
  <c r="BE157" i="4" s="1"/>
  <c r="CI153" i="4"/>
  <c r="CI155" i="4" s="1"/>
  <c r="CI157" i="4" s="1"/>
  <c r="CH153" i="4"/>
  <c r="CH155" i="4" s="1"/>
  <c r="CH157" i="4" s="1"/>
  <c r="BG153" i="4"/>
  <c r="BG155" i="4" s="1"/>
  <c r="BG157" i="4" s="1"/>
  <c r="R153" i="4"/>
  <c r="R155" i="4" s="1"/>
  <c r="R157" i="4" s="1"/>
  <c r="BO153" i="4"/>
  <c r="BO155" i="4" s="1"/>
  <c r="BO157" i="4" s="1"/>
  <c r="BB153" i="4"/>
  <c r="BB155" i="4" s="1"/>
  <c r="BB157" i="4" s="1"/>
  <c r="CF153" i="4"/>
  <c r="CF155" i="4" s="1"/>
  <c r="CF157" i="4" s="1"/>
  <c r="CS153" i="4"/>
  <c r="CS155" i="4" s="1"/>
  <c r="CS157" i="4" s="1"/>
  <c r="BM153" i="4"/>
  <c r="BM155" i="4" s="1"/>
  <c r="BM157" i="4" s="1"/>
  <c r="BT153" i="4"/>
  <c r="BT155" i="4" s="1"/>
  <c r="BT157" i="4" s="1"/>
  <c r="BD153" i="4"/>
  <c r="BD155" i="4" s="1"/>
  <c r="BD157" i="4" s="1"/>
  <c r="BL153" i="4"/>
  <c r="BL155" i="4" s="1"/>
  <c r="BL157" i="4" s="1"/>
  <c r="CE153" i="4"/>
  <c r="CE155" i="4" s="1"/>
  <c r="CE157" i="4" s="1"/>
  <c r="AM153" i="4"/>
  <c r="AM155" i="4" s="1"/>
  <c r="AM157" i="4" s="1"/>
  <c r="AL153" i="4"/>
  <c r="AL155" i="4" s="1"/>
  <c r="AL157" i="4" s="1"/>
  <c r="AC153" i="4"/>
  <c r="AC155" i="4" s="1"/>
  <c r="AC157" i="4" s="1"/>
  <c r="DS153" i="4"/>
  <c r="CQ153" i="4"/>
  <c r="CQ155" i="4" s="1"/>
  <c r="CQ157" i="4" s="1"/>
  <c r="BA153" i="4"/>
  <c r="BA155" i="4" s="1"/>
  <c r="BA157" i="4" s="1"/>
  <c r="X153" i="4"/>
  <c r="X155" i="4" s="1"/>
  <c r="X157" i="4" s="1"/>
  <c r="CT153" i="4"/>
  <c r="CT155" i="4" s="1"/>
  <c r="CT157" i="4" s="1"/>
  <c r="BJ153" i="4"/>
  <c r="BJ155" i="4" s="1"/>
  <c r="BJ157" i="4" s="1"/>
  <c r="BP153" i="4"/>
  <c r="BP155" i="4" s="1"/>
  <c r="BP157" i="4" s="1"/>
  <c r="AZ153" i="4"/>
  <c r="AZ155" i="4" s="1"/>
  <c r="AZ157" i="4" s="1"/>
  <c r="BR153" i="4"/>
  <c r="BR155" i="4" s="1"/>
  <c r="BR157" i="4" s="1"/>
  <c r="BI153" i="4"/>
  <c r="BI155" i="4" s="1"/>
  <c r="BI157" i="4" s="1"/>
  <c r="DN153" i="4"/>
  <c r="DN155" i="4" s="1"/>
  <c r="DN157" i="4" s="1"/>
  <c r="AU153" i="4"/>
  <c r="AU155" i="4" s="1"/>
  <c r="AU157" i="4" s="1"/>
  <c r="AN153" i="4"/>
  <c r="AN155" i="4" s="1"/>
  <c r="AN157" i="4" s="1"/>
  <c r="AP153" i="4"/>
  <c r="AP155" i="4" s="1"/>
  <c r="AP157" i="4" s="1"/>
  <c r="AD153" i="4"/>
  <c r="AD155" i="4" s="1"/>
  <c r="AD157" i="4" s="1"/>
  <c r="Z153" i="4"/>
  <c r="Z155" i="4" s="1"/>
  <c r="Z157" i="4" s="1"/>
  <c r="AR153" i="4"/>
  <c r="AR155" i="4" s="1"/>
  <c r="AR157" i="4" s="1"/>
  <c r="AK153" i="4"/>
  <c r="AK155" i="4" s="1"/>
  <c r="AK157" i="4" s="1"/>
  <c r="S153" i="4"/>
  <c r="S155" i="4" s="1"/>
  <c r="S157" i="4" s="1"/>
  <c r="CP153" i="4"/>
  <c r="CP155" i="4" s="1"/>
  <c r="CP157" i="4" s="1"/>
  <c r="CM153" i="4"/>
  <c r="CM155" i="4" s="1"/>
  <c r="CM157" i="4" s="1"/>
  <c r="DO153" i="4"/>
  <c r="DO155" i="4" s="1"/>
  <c r="DO157" i="4" s="1"/>
  <c r="BF153" i="4"/>
  <c r="BF155" i="4" s="1"/>
  <c r="BF157" i="4" s="1"/>
  <c r="CK153" i="4"/>
  <c r="CK155" i="4" s="1"/>
  <c r="CK157" i="4" s="1"/>
  <c r="AA153" i="4"/>
  <c r="AA155" i="4" s="1"/>
  <c r="AA157" i="4" s="1"/>
  <c r="BN153" i="4"/>
  <c r="BN155" i="4" s="1"/>
  <c r="BN157" i="4" s="1"/>
  <c r="CG153" i="4"/>
  <c r="CG155" i="4" s="1"/>
  <c r="CG157" i="4" s="1"/>
  <c r="BC153" i="4"/>
  <c r="BC155" i="4" s="1"/>
  <c r="BC157" i="4" s="1"/>
  <c r="BV153" i="4"/>
  <c r="BV155" i="4" s="1"/>
  <c r="BV157" i="4" s="1"/>
  <c r="BU153" i="4"/>
  <c r="BU155" i="4" s="1"/>
  <c r="BU157" i="4" s="1"/>
  <c r="DJ153" i="4"/>
  <c r="DJ155" i="4" s="1"/>
  <c r="DJ157" i="4" s="1"/>
  <c r="DH153" i="4"/>
  <c r="DH155" i="4" s="1"/>
  <c r="DH157" i="4" s="1"/>
  <c r="BH153" i="4"/>
  <c r="BH155" i="4" s="1"/>
  <c r="BH157" i="4" s="1"/>
  <c r="CA153" i="4"/>
  <c r="CA155" i="4" s="1"/>
  <c r="CA157" i="4" s="1"/>
  <c r="AT153" i="4"/>
  <c r="AT155" i="4" s="1"/>
  <c r="AT157" i="4" s="1"/>
  <c r="AF153" i="4"/>
  <c r="AF155" i="4" s="1"/>
  <c r="AF157" i="4" s="1"/>
  <c r="W153" i="4"/>
  <c r="W155" i="4" s="1"/>
  <c r="W157" i="4" s="1"/>
  <c r="U153" i="4"/>
  <c r="U155" i="4" s="1"/>
  <c r="U157" i="4" s="1"/>
  <c r="CJ153" i="4"/>
  <c r="CJ155" i="4" s="1"/>
  <c r="CJ157" i="4" s="1"/>
  <c r="DK153" i="4"/>
  <c r="DK155" i="4" s="1"/>
  <c r="DK157" i="4" s="1"/>
  <c r="BK153" i="4"/>
  <c r="BK155" i="4" s="1"/>
  <c r="BK157" i="4" s="1"/>
  <c r="P153" i="4"/>
  <c r="P155" i="4" s="1"/>
  <c r="P157" i="4" s="1"/>
  <c r="DI153" i="4"/>
  <c r="DI155" i="4" s="1"/>
  <c r="DI157" i="4" s="1"/>
  <c r="BW153" i="4"/>
  <c r="BW155" i="4" s="1"/>
  <c r="BW157" i="4" s="1"/>
  <c r="AJ153" i="4"/>
  <c r="AJ155" i="4" s="1"/>
  <c r="AJ157" i="4" s="1"/>
  <c r="Q153" i="4"/>
  <c r="Q155" i="4" s="1"/>
  <c r="Q157" i="4" s="1"/>
  <c r="DL153" i="4"/>
  <c r="DL155" i="4" s="1"/>
  <c r="DL157" i="4" s="1"/>
  <c r="CB153" i="4"/>
  <c r="CB155" i="4" s="1"/>
  <c r="CB157" i="4" s="1"/>
  <c r="BZ153" i="4"/>
  <c r="BZ155" i="4" s="1"/>
  <c r="BZ157" i="4" s="1"/>
  <c r="CD153" i="4"/>
  <c r="CD155" i="4" s="1"/>
  <c r="CD157" i="4" s="1"/>
  <c r="DP153" i="4"/>
  <c r="DP155" i="4" s="1"/>
  <c r="DP157" i="4" s="1"/>
  <c r="BY153" i="4"/>
  <c r="BY155" i="4" s="1"/>
  <c r="BY157" i="4" s="1"/>
  <c r="AV153" i="4"/>
  <c r="AV155" i="4" s="1"/>
  <c r="AV157" i="4" s="1"/>
  <c r="AB153" i="4"/>
  <c r="AB155" i="4" s="1"/>
  <c r="AB157" i="4" s="1"/>
  <c r="DR153" i="4"/>
  <c r="AY153" i="4"/>
  <c r="AY155" i="4" s="1"/>
  <c r="AY157" i="4" s="1"/>
  <c r="BS153" i="4"/>
  <c r="BS155" i="4" s="1"/>
  <c r="BS157" i="4" s="1"/>
  <c r="EC153" i="4"/>
  <c r="AE153" i="4"/>
  <c r="AE155" i="4" s="1"/>
  <c r="AE157" i="4" s="1"/>
  <c r="BX153" i="4"/>
  <c r="BX155" i="4" s="1"/>
  <c r="BX157" i="4" s="1"/>
  <c r="CR153" i="4"/>
  <c r="CR155" i="4" s="1"/>
  <c r="CR157" i="4" s="1"/>
  <c r="AS153" i="4"/>
  <c r="AS155" i="4" s="1"/>
  <c r="AS157" i="4" s="1"/>
  <c r="AX153" i="4"/>
  <c r="AX155" i="4" s="1"/>
  <c r="AX157" i="4" s="1"/>
  <c r="CL153" i="4"/>
  <c r="CL155" i="4" s="1"/>
  <c r="CL157" i="4" s="1"/>
  <c r="CC153" i="4"/>
  <c r="CC155" i="4" s="1"/>
  <c r="CC157" i="4" s="1"/>
  <c r="BQ153" i="4"/>
  <c r="BQ155" i="4" s="1"/>
  <c r="BQ157" i="4" s="1"/>
  <c r="O153" i="4"/>
  <c r="O155" i="4" s="1"/>
  <c r="O157" i="4" s="1"/>
  <c r="AH153" i="4"/>
  <c r="AH155" i="4" s="1"/>
  <c r="AH157" i="4" s="1"/>
  <c r="L141" i="46"/>
  <c r="C142" i="46"/>
  <c r="B150" i="46" l="1"/>
  <c r="K149" i="46"/>
  <c r="AC148" i="46"/>
  <c r="BP148" i="46"/>
  <c r="BW148" i="46"/>
  <c r="AI148" i="46"/>
  <c r="BC148" i="46"/>
  <c r="CG148" i="46"/>
  <c r="BH148" i="46"/>
  <c r="AL148" i="46"/>
  <c r="AD148" i="46"/>
  <c r="AF148" i="46"/>
  <c r="BU148" i="46"/>
  <c r="AE148" i="46"/>
  <c r="BA148" i="46"/>
  <c r="U148" i="46"/>
  <c r="AO148" i="46"/>
  <c r="BN148" i="46"/>
  <c r="DE148" i="46"/>
  <c r="DC148" i="46"/>
  <c r="AA148" i="46"/>
  <c r="AN148" i="46"/>
  <c r="BL148" i="46"/>
  <c r="CO148" i="46"/>
  <c r="AT148" i="46"/>
  <c r="AG148" i="46"/>
  <c r="N148" i="46"/>
  <c r="S148" i="46"/>
  <c r="BX148" i="46"/>
  <c r="AP148" i="46"/>
  <c r="BJ148" i="46"/>
  <c r="CM148" i="46"/>
  <c r="AR148" i="46"/>
  <c r="P148" i="46"/>
  <c r="BS148" i="46"/>
  <c r="AY148" i="46"/>
  <c r="BO148" i="46"/>
  <c r="CA148" i="46"/>
  <c r="BF148" i="46"/>
  <c r="AK148" i="46"/>
  <c r="AX148" i="46"/>
  <c r="DM148" i="46"/>
  <c r="DF148" i="46"/>
  <c r="DN148" i="46"/>
  <c r="AB148" i="46"/>
  <c r="CE148" i="46"/>
  <c r="CP148" i="46"/>
  <c r="AU148" i="46"/>
  <c r="BK148" i="46"/>
  <c r="CC148" i="46"/>
  <c r="CD148" i="46"/>
  <c r="CK148" i="46"/>
  <c r="CN148" i="46"/>
  <c r="AS148" i="46"/>
  <c r="BI148" i="46"/>
  <c r="CJ148" i="46"/>
  <c r="AQ148" i="46"/>
  <c r="Y148" i="46"/>
  <c r="CF148" i="46"/>
  <c r="DI148" i="46"/>
  <c r="CB148" i="46"/>
  <c r="AH148" i="46"/>
  <c r="DG148" i="46"/>
  <c r="R148" i="46"/>
  <c r="BY148" i="46"/>
  <c r="CL148" i="46"/>
  <c r="BD148" i="46"/>
  <c r="BV148" i="46"/>
  <c r="O148" i="46"/>
  <c r="EA148" i="46"/>
  <c r="BR148" i="46"/>
  <c r="V148" i="46"/>
  <c r="BQ148" i="46"/>
  <c r="AV148" i="46"/>
  <c r="BB148" i="46"/>
  <c r="BT148" i="46"/>
  <c r="M148" i="46"/>
  <c r="CH148" i="46"/>
  <c r="AZ148" i="46"/>
  <c r="X148" i="46"/>
  <c r="CQ148" i="46"/>
  <c r="BE148" i="46"/>
  <c r="BZ148" i="46"/>
  <c r="W148" i="46"/>
  <c r="BM148" i="46"/>
  <c r="DH148" i="46"/>
  <c r="DK148" i="46"/>
  <c r="DL148" i="46"/>
  <c r="Z148" i="46"/>
  <c r="Q148" i="46"/>
  <c r="AW148" i="46"/>
  <c r="AJ148" i="46"/>
  <c r="DD148" i="46"/>
  <c r="DJ148" i="46"/>
  <c r="AM148" i="46"/>
  <c r="CR148" i="46"/>
  <c r="BG148" i="46"/>
  <c r="CI148" i="46"/>
  <c r="DO148" i="46"/>
  <c r="T148" i="46"/>
  <c r="DP153" i="46"/>
  <c r="DP155" i="46" s="1"/>
  <c r="DP157" i="46" s="1"/>
  <c r="DR155" i="4"/>
  <c r="DR157" i="4" s="1"/>
  <c r="DQ153" i="46"/>
  <c r="DQ155" i="46" s="1"/>
  <c r="DQ157" i="46" s="1"/>
  <c r="DS155" i="4"/>
  <c r="DS157" i="4" s="1"/>
  <c r="N149" i="4"/>
  <c r="C150" i="4"/>
  <c r="C138" i="5"/>
  <c r="B138" i="47"/>
  <c r="C143" i="46"/>
  <c r="L142" i="46"/>
  <c r="S149" i="46" l="1"/>
  <c r="BX149" i="46"/>
  <c r="AP149" i="46"/>
  <c r="BG149" i="46"/>
  <c r="CD149" i="46"/>
  <c r="AQ149" i="46"/>
  <c r="BP149" i="46"/>
  <c r="AT149" i="46"/>
  <c r="Q149" i="46"/>
  <c r="CJ149" i="46"/>
  <c r="CQ149" i="46"/>
  <c r="AW149" i="46"/>
  <c r="BO149" i="46"/>
  <c r="T149" i="46"/>
  <c r="AO149" i="46"/>
  <c r="BW149" i="46"/>
  <c r="AC149" i="46"/>
  <c r="AE149" i="46"/>
  <c r="CF149" i="46"/>
  <c r="AN149" i="46"/>
  <c r="BY149" i="46"/>
  <c r="BB149" i="46"/>
  <c r="DC149" i="46"/>
  <c r="DI149" i="46"/>
  <c r="DL149" i="46"/>
  <c r="V149" i="46"/>
  <c r="BQ149" i="46"/>
  <c r="AV149" i="46"/>
  <c r="AY149" i="46"/>
  <c r="BS149" i="46"/>
  <c r="N149" i="46"/>
  <c r="CL149" i="46"/>
  <c r="CP149" i="46"/>
  <c r="U149" i="46"/>
  <c r="CG149" i="46"/>
  <c r="BZ149" i="46"/>
  <c r="AJ149" i="46"/>
  <c r="BF149" i="46"/>
  <c r="Y149" i="46"/>
  <c r="BV149" i="46"/>
  <c r="BL149" i="46"/>
  <c r="AG149" i="46"/>
  <c r="AB149" i="46"/>
  <c r="CM149" i="46"/>
  <c r="BI149" i="46"/>
  <c r="BN149" i="46"/>
  <c r="DD149" i="46"/>
  <c r="DF149" i="46"/>
  <c r="DG149" i="46"/>
  <c r="DO149" i="46"/>
  <c r="Z149" i="46"/>
  <c r="CE149" i="46"/>
  <c r="CB149" i="46"/>
  <c r="AL149" i="46"/>
  <c r="BH149" i="46"/>
  <c r="X149" i="46"/>
  <c r="CO149" i="46"/>
  <c r="BD149" i="46"/>
  <c r="P149" i="46"/>
  <c r="AM149" i="46"/>
  <c r="BM149" i="46"/>
  <c r="CR149" i="46"/>
  <c r="AX149" i="46"/>
  <c r="CH149" i="46"/>
  <c r="BC149" i="46"/>
  <c r="AU149" i="46"/>
  <c r="BA149" i="46"/>
  <c r="CN149" i="46"/>
  <c r="AR149" i="46"/>
  <c r="AS149" i="46"/>
  <c r="BT149" i="46"/>
  <c r="DE149" i="46"/>
  <c r="DM149" i="46"/>
  <c r="DN149" i="46"/>
  <c r="AD149" i="46"/>
  <c r="AF149" i="46"/>
  <c r="BR149" i="46"/>
  <c r="EA149" i="46"/>
  <c r="AZ149" i="46"/>
  <c r="W149" i="46"/>
  <c r="BK149" i="46"/>
  <c r="CC149" i="46"/>
  <c r="CI149" i="46"/>
  <c r="AH149" i="46"/>
  <c r="BE149" i="46"/>
  <c r="CA149" i="46"/>
  <c r="AK149" i="46"/>
  <c r="CK149" i="46"/>
  <c r="O149" i="46"/>
  <c r="AI149" i="46"/>
  <c r="BU149" i="46"/>
  <c r="AA149" i="46"/>
  <c r="BJ149" i="46"/>
  <c r="R149" i="46"/>
  <c r="M149" i="46"/>
  <c r="DH149" i="46"/>
  <c r="DJ149" i="46"/>
  <c r="DK149" i="46"/>
  <c r="K150" i="46"/>
  <c r="B151" i="46"/>
  <c r="N150" i="4"/>
  <c r="C139" i="5"/>
  <c r="B139" i="47"/>
  <c r="C151" i="4"/>
  <c r="C144" i="46"/>
  <c r="L143" i="46"/>
  <c r="B152" i="46" l="1"/>
  <c r="K151" i="46"/>
  <c r="CC150" i="46"/>
  <c r="CH150" i="46"/>
  <c r="AH150" i="46"/>
  <c r="BB150" i="46"/>
  <c r="BV150" i="46"/>
  <c r="O150" i="46"/>
  <c r="CA150" i="46"/>
  <c r="AB150" i="46"/>
  <c r="CE150" i="46"/>
  <c r="CD150" i="46"/>
  <c r="AQ150" i="46"/>
  <c r="BI150" i="46"/>
  <c r="T150" i="46"/>
  <c r="BP150" i="46"/>
  <c r="AX150" i="46"/>
  <c r="BG150" i="46"/>
  <c r="CF150" i="46"/>
  <c r="CL150" i="46"/>
  <c r="BX150" i="46"/>
  <c r="BE150" i="46"/>
  <c r="U150" i="46"/>
  <c r="AW150" i="46"/>
  <c r="DK150" i="46"/>
  <c r="DH150" i="46"/>
  <c r="DL150" i="46"/>
  <c r="AL150" i="46"/>
  <c r="DJ150" i="46"/>
  <c r="Q150" i="46"/>
  <c r="CJ150" i="46"/>
  <c r="CN150" i="46"/>
  <c r="AS150" i="46"/>
  <c r="BK150" i="46"/>
  <c r="Z150" i="46"/>
  <c r="BF150" i="46"/>
  <c r="AC150" i="46"/>
  <c r="BN150" i="46"/>
  <c r="BS150" i="46"/>
  <c r="N150" i="46"/>
  <c r="BA150" i="46"/>
  <c r="AD150" i="46"/>
  <c r="AN150" i="46"/>
  <c r="AK150" i="46"/>
  <c r="AY150" i="46"/>
  <c r="CP150" i="46"/>
  <c r="BD150" i="46"/>
  <c r="AF150" i="46"/>
  <c r="P150" i="46"/>
  <c r="AP150" i="46"/>
  <c r="DD150" i="46"/>
  <c r="DM150" i="46"/>
  <c r="DI150" i="46"/>
  <c r="DO150" i="46"/>
  <c r="EA150" i="46"/>
  <c r="DG150" i="46"/>
  <c r="Y150" i="46"/>
  <c r="CG150" i="46"/>
  <c r="BU150" i="46"/>
  <c r="AE150" i="46"/>
  <c r="BC150" i="46"/>
  <c r="BY150" i="46"/>
  <c r="CB150" i="46"/>
  <c r="AA150" i="46"/>
  <c r="AO150" i="46"/>
  <c r="BH150" i="46"/>
  <c r="CM150" i="46"/>
  <c r="AR150" i="46"/>
  <c r="X150" i="46"/>
  <c r="CR150" i="46"/>
  <c r="AU150" i="46"/>
  <c r="AJ150" i="46"/>
  <c r="BW150" i="46"/>
  <c r="BQ150" i="46"/>
  <c r="BL150" i="46"/>
  <c r="DN150" i="46"/>
  <c r="W150" i="46"/>
  <c r="AM150" i="46"/>
  <c r="BJ150" i="46"/>
  <c r="CO150" i="46"/>
  <c r="AT150" i="46"/>
  <c r="AV150" i="46"/>
  <c r="R150" i="46"/>
  <c r="CI150" i="46"/>
  <c r="AG150" i="46"/>
  <c r="AZ150" i="46"/>
  <c r="BT150" i="46"/>
  <c r="M150" i="46"/>
  <c r="CK150" i="46"/>
  <c r="BO150" i="46"/>
  <c r="BR150" i="46"/>
  <c r="V150" i="46"/>
  <c r="BM150" i="46"/>
  <c r="S150" i="46"/>
  <c r="AI150" i="46"/>
  <c r="BZ150" i="46"/>
  <c r="CQ150" i="46"/>
  <c r="DC150" i="46"/>
  <c r="DE150" i="46"/>
  <c r="DF150" i="46"/>
  <c r="C140" i="5"/>
  <c r="C152" i="4"/>
  <c r="N151" i="4"/>
  <c r="B140" i="47"/>
  <c r="C145" i="46"/>
  <c r="L144" i="46"/>
  <c r="S151" i="46" l="1"/>
  <c r="CI151" i="46"/>
  <c r="AV151" i="46"/>
  <c r="BF151" i="46"/>
  <c r="BZ151" i="46"/>
  <c r="AJ151" i="46"/>
  <c r="AG151" i="46"/>
  <c r="AE151" i="46"/>
  <c r="T151" i="46"/>
  <c r="BY151" i="46"/>
  <c r="CL151" i="46"/>
  <c r="BD151" i="46"/>
  <c r="BV151" i="46"/>
  <c r="O151" i="46"/>
  <c r="BQ151" i="46"/>
  <c r="BB151" i="46"/>
  <c r="X151" i="46"/>
  <c r="N151" i="46"/>
  <c r="AC151" i="46"/>
  <c r="AL151" i="46"/>
  <c r="EA151" i="46"/>
  <c r="BG151" i="46"/>
  <c r="DE151" i="46"/>
  <c r="DM151" i="46"/>
  <c r="DL151" i="46"/>
  <c r="CR151" i="46"/>
  <c r="CN151" i="46"/>
  <c r="CP151" i="46"/>
  <c r="R151" i="46"/>
  <c r="CH151" i="46"/>
  <c r="CD151" i="46"/>
  <c r="DD151" i="46"/>
  <c r="AX151" i="46"/>
  <c r="BT151" i="46"/>
  <c r="BK151" i="46"/>
  <c r="AP151" i="46"/>
  <c r="DO151" i="46"/>
  <c r="P151" i="46"/>
  <c r="BP151" i="46"/>
  <c r="CA151" i="46"/>
  <c r="AK151" i="46"/>
  <c r="BE151" i="46"/>
  <c r="Z151" i="46"/>
  <c r="BJ151" i="46"/>
  <c r="BI151" i="46"/>
  <c r="W151" i="46"/>
  <c r="BN151" i="46"/>
  <c r="BW151" i="46"/>
  <c r="AI151" i="46"/>
  <c r="BC151" i="46"/>
  <c r="AA151" i="46"/>
  <c r="AH151" i="46"/>
  <c r="BA151" i="46"/>
  <c r="AM151" i="46"/>
  <c r="CK151" i="46"/>
  <c r="BH151" i="46"/>
  <c r="Q151" i="46"/>
  <c r="BR151" i="46"/>
  <c r="DG151" i="46"/>
  <c r="DI151" i="46"/>
  <c r="DN151" i="46"/>
  <c r="CQ151" i="46"/>
  <c r="AN151" i="46"/>
  <c r="BX151" i="46"/>
  <c r="BS151" i="46"/>
  <c r="CJ151" i="46"/>
  <c r="DC151" i="46"/>
  <c r="DH151" i="46"/>
  <c r="CE151" i="46"/>
  <c r="Y151" i="46"/>
  <c r="U151" i="46"/>
  <c r="AU151" i="46"/>
  <c r="CM151" i="46"/>
  <c r="AZ151" i="46"/>
  <c r="DJ151" i="46"/>
  <c r="AB151" i="46"/>
  <c r="AO151" i="46"/>
  <c r="BO151" i="46"/>
  <c r="AW151" i="46"/>
  <c r="CG151" i="46"/>
  <c r="AS151" i="46"/>
  <c r="M151" i="46"/>
  <c r="V151" i="46"/>
  <c r="BL151" i="46"/>
  <c r="CO151" i="46"/>
  <c r="AT151" i="46"/>
  <c r="BU151" i="46"/>
  <c r="AR151" i="46"/>
  <c r="AQ151" i="46"/>
  <c r="CB151" i="46"/>
  <c r="CC151" i="46"/>
  <c r="DF151" i="46"/>
  <c r="AD151" i="46"/>
  <c r="BM151" i="46"/>
  <c r="CF151" i="46"/>
  <c r="AF151" i="46"/>
  <c r="AY151" i="46"/>
  <c r="DK151" i="46"/>
  <c r="K152" i="46"/>
  <c r="B153" i="46"/>
  <c r="K153" i="46" s="1"/>
  <c r="N152" i="4"/>
  <c r="C153" i="4"/>
  <c r="C141" i="5"/>
  <c r="B141" i="47"/>
  <c r="L145" i="46"/>
  <c r="C146" i="46"/>
  <c r="CC153" i="46" l="1"/>
  <c r="X153" i="46"/>
  <c r="AM153" i="46"/>
  <c r="BO153" i="46"/>
  <c r="EA153" i="46"/>
  <c r="AY153" i="46"/>
  <c r="CG153" i="46"/>
  <c r="BV153" i="46"/>
  <c r="P153" i="46"/>
  <c r="BN153" i="46"/>
  <c r="BW153" i="46"/>
  <c r="AI153" i="46"/>
  <c r="BE153" i="46"/>
  <c r="AD153" i="46"/>
  <c r="AG153" i="46"/>
  <c r="CO153" i="46"/>
  <c r="Q153" i="46"/>
  <c r="N153" i="46"/>
  <c r="AC153" i="46"/>
  <c r="AR153" i="46"/>
  <c r="CJ153" i="46"/>
  <c r="M153" i="46"/>
  <c r="DJ153" i="46"/>
  <c r="DM153" i="46"/>
  <c r="DL153" i="46"/>
  <c r="T153" i="46"/>
  <c r="CI153" i="46"/>
  <c r="AV153" i="46"/>
  <c r="BF153" i="46"/>
  <c r="CB153" i="46"/>
  <c r="AL153" i="46"/>
  <c r="CN153" i="46"/>
  <c r="BC153" i="46"/>
  <c r="AB153" i="46"/>
  <c r="AO153" i="46"/>
  <c r="BL153" i="46"/>
  <c r="CQ153" i="46"/>
  <c r="AW153" i="46"/>
  <c r="BX153" i="46"/>
  <c r="BJ153" i="46"/>
  <c r="BK153" i="46"/>
  <c r="CH153" i="46"/>
  <c r="BA153" i="46"/>
  <c r="AP153" i="46"/>
  <c r="CD153" i="46"/>
  <c r="CL153" i="46"/>
  <c r="DD153" i="46"/>
  <c r="DG153" i="46"/>
  <c r="DE153" i="46"/>
  <c r="DO153" i="46"/>
  <c r="V153" i="46"/>
  <c r="CK153" i="46"/>
  <c r="CR153" i="46"/>
  <c r="AX153" i="46"/>
  <c r="BR153" i="46"/>
  <c r="R153" i="46"/>
  <c r="BU153" i="46"/>
  <c r="S153" i="46"/>
  <c r="BY153" i="46"/>
  <c r="AH153" i="46"/>
  <c r="BD153" i="46"/>
  <c r="BZ153" i="46"/>
  <c r="AJ153" i="46"/>
  <c r="BQ153" i="46"/>
  <c r="AS153" i="46"/>
  <c r="AT153" i="46"/>
  <c r="AF153" i="46"/>
  <c r="CE153" i="46"/>
  <c r="BH153" i="46"/>
  <c r="AQ153" i="46"/>
  <c r="AZ153" i="46"/>
  <c r="DH153" i="46"/>
  <c r="DK153" i="46"/>
  <c r="DI153" i="46"/>
  <c r="Z153" i="46"/>
  <c r="BP153" i="46"/>
  <c r="CA153" i="46"/>
  <c r="AK153" i="46"/>
  <c r="BG153" i="46"/>
  <c r="W153" i="46"/>
  <c r="BB153" i="46"/>
  <c r="U153" i="46"/>
  <c r="CF153" i="46"/>
  <c r="CP153" i="46"/>
  <c r="AU153" i="46"/>
  <c r="BM153" i="46"/>
  <c r="Y153" i="46"/>
  <c r="AN153" i="46"/>
  <c r="AE153" i="46"/>
  <c r="O153" i="46"/>
  <c r="BS153" i="46"/>
  <c r="BI153" i="46"/>
  <c r="CM153" i="46"/>
  <c r="AA153" i="46"/>
  <c r="BT153" i="46"/>
  <c r="DF153" i="46"/>
  <c r="DN153" i="46"/>
  <c r="DC153" i="46"/>
  <c r="AB152" i="46"/>
  <c r="AO152" i="46"/>
  <c r="AO155" i="46" s="1"/>
  <c r="AO157" i="46" s="1"/>
  <c r="BM152" i="46"/>
  <c r="BM155" i="46" s="1"/>
  <c r="BM157" i="46" s="1"/>
  <c r="CR152" i="46"/>
  <c r="CR155" i="46" s="1"/>
  <c r="CR157" i="46" s="1"/>
  <c r="AX152" i="46"/>
  <c r="AX155" i="46" s="1"/>
  <c r="AX157" i="46" s="1"/>
  <c r="BN152" i="46"/>
  <c r="BN155" i="46" s="1"/>
  <c r="BN157" i="46" s="1"/>
  <c r="M152" i="46"/>
  <c r="BB152" i="46"/>
  <c r="BB155" i="46" s="1"/>
  <c r="BB157" i="46" s="1"/>
  <c r="Y152" i="46"/>
  <c r="Y155" i="46" s="1"/>
  <c r="Y157" i="46" s="1"/>
  <c r="CJ152" i="46"/>
  <c r="CJ155" i="46" s="1"/>
  <c r="CJ157" i="46" s="1"/>
  <c r="CO152" i="46"/>
  <c r="CO155" i="46" s="1"/>
  <c r="CO157" i="46" s="1"/>
  <c r="AT152" i="46"/>
  <c r="AT155" i="46" s="1"/>
  <c r="AT157" i="46" s="1"/>
  <c r="BL152" i="46"/>
  <c r="BL155" i="46" s="1"/>
  <c r="BL157" i="46" s="1"/>
  <c r="R152" i="46"/>
  <c r="R155" i="46" s="1"/>
  <c r="R157" i="46" s="1"/>
  <c r="AF152" i="46"/>
  <c r="AR152" i="46"/>
  <c r="EA152" i="46"/>
  <c r="X152" i="46"/>
  <c r="AQ152" i="46"/>
  <c r="CC152" i="46"/>
  <c r="CC155" i="46" s="1"/>
  <c r="CC157" i="46" s="1"/>
  <c r="N152" i="46"/>
  <c r="DH152" i="46"/>
  <c r="DH155" i="46" s="1"/>
  <c r="DH157" i="46" s="1"/>
  <c r="DF152" i="46"/>
  <c r="DM152" i="46"/>
  <c r="DN152" i="46"/>
  <c r="DO152" i="46"/>
  <c r="DO155" i="46" s="1"/>
  <c r="DO157" i="46" s="1"/>
  <c r="CH152" i="46"/>
  <c r="CH155" i="46" s="1"/>
  <c r="CH157" i="46" s="1"/>
  <c r="AV152" i="46"/>
  <c r="BE152" i="46"/>
  <c r="BE155" i="46" s="1"/>
  <c r="BE157" i="46" s="1"/>
  <c r="CA152" i="46"/>
  <c r="CA155" i="46" s="1"/>
  <c r="CA157" i="46" s="1"/>
  <c r="AK152" i="46"/>
  <c r="AH152" i="46"/>
  <c r="CN152" i="46"/>
  <c r="CN155" i="46" s="1"/>
  <c r="CN157" i="46" s="1"/>
  <c r="AS152" i="46"/>
  <c r="AS155" i="46" s="1"/>
  <c r="AS157" i="46" s="1"/>
  <c r="W152" i="46"/>
  <c r="CG152" i="46"/>
  <c r="CG155" i="46" s="1"/>
  <c r="CG157" i="46" s="1"/>
  <c r="BV152" i="46"/>
  <c r="BV155" i="46" s="1"/>
  <c r="BV157" i="46" s="1"/>
  <c r="O152" i="46"/>
  <c r="O155" i="46" s="1"/>
  <c r="O157" i="46" s="1"/>
  <c r="BD152" i="46"/>
  <c r="BD155" i="46" s="1"/>
  <c r="BD157" i="46" s="1"/>
  <c r="AA152" i="46"/>
  <c r="AA155" i="46" s="1"/>
  <c r="AA157" i="46" s="1"/>
  <c r="AP152" i="46"/>
  <c r="V152" i="46"/>
  <c r="V155" i="46" s="1"/>
  <c r="V157" i="46" s="1"/>
  <c r="AZ152" i="46"/>
  <c r="AZ155" i="46" s="1"/>
  <c r="AZ157" i="46" s="1"/>
  <c r="BP152" i="46"/>
  <c r="BP155" i="46" s="1"/>
  <c r="BP157" i="46" s="1"/>
  <c r="Q152" i="46"/>
  <c r="Q155" i="46" s="1"/>
  <c r="Q157" i="46" s="1"/>
  <c r="AM152" i="46"/>
  <c r="AM155" i="46" s="1"/>
  <c r="AM157" i="46" s="1"/>
  <c r="BX152" i="46"/>
  <c r="BX155" i="46" s="1"/>
  <c r="BX157" i="46" s="1"/>
  <c r="DG152" i="46"/>
  <c r="DJ152" i="46"/>
  <c r="DJ155" i="46" s="1"/>
  <c r="DJ157" i="46" s="1"/>
  <c r="DK152" i="46"/>
  <c r="DK155" i="46" s="1"/>
  <c r="DK157" i="46" s="1"/>
  <c r="AY152" i="46"/>
  <c r="AY155" i="46" s="1"/>
  <c r="AY157" i="46" s="1"/>
  <c r="DI152" i="46"/>
  <c r="DI155" i="46" s="1"/>
  <c r="DI157" i="46" s="1"/>
  <c r="U152" i="46"/>
  <c r="U155" i="46" s="1"/>
  <c r="U157" i="46" s="1"/>
  <c r="BQ152" i="46"/>
  <c r="BQ155" i="46" s="1"/>
  <c r="BQ157" i="46" s="1"/>
  <c r="CQ152" i="46"/>
  <c r="CQ155" i="46" s="1"/>
  <c r="CQ157" i="46" s="1"/>
  <c r="AW152" i="46"/>
  <c r="AW155" i="46" s="1"/>
  <c r="AW157" i="46" s="1"/>
  <c r="BO152" i="46"/>
  <c r="BO155" i="46" s="1"/>
  <c r="BO157" i="46" s="1"/>
  <c r="AC152" i="46"/>
  <c r="AC155" i="46" s="1"/>
  <c r="AC157" i="46" s="1"/>
  <c r="BT152" i="46"/>
  <c r="BT155" i="46" s="1"/>
  <c r="BT157" i="46" s="1"/>
  <c r="BU152" i="46"/>
  <c r="BU155" i="46" s="1"/>
  <c r="BU157" i="46" s="1"/>
  <c r="AE152" i="46"/>
  <c r="AE155" i="46" s="1"/>
  <c r="AE157" i="46" s="1"/>
  <c r="Z152" i="46"/>
  <c r="Z155" i="46" s="1"/>
  <c r="Z157" i="46" s="1"/>
  <c r="AN152" i="46"/>
  <c r="BK152" i="46"/>
  <c r="BK155" i="46" s="1"/>
  <c r="BK157" i="46" s="1"/>
  <c r="CP152" i="46"/>
  <c r="CP155" i="46" s="1"/>
  <c r="CP157" i="46" s="1"/>
  <c r="AU152" i="46"/>
  <c r="AU155" i="46" s="1"/>
  <c r="AU157" i="46" s="1"/>
  <c r="AD152" i="46"/>
  <c r="AD155" i="46" s="1"/>
  <c r="AD157" i="46" s="1"/>
  <c r="CM152" i="46"/>
  <c r="CM155" i="46" s="1"/>
  <c r="CM157" i="46" s="1"/>
  <c r="CF152" i="46"/>
  <c r="CF155" i="46" s="1"/>
  <c r="CF157" i="46" s="1"/>
  <c r="S152" i="46"/>
  <c r="S155" i="46" s="1"/>
  <c r="S157" i="46" s="1"/>
  <c r="BG152" i="46"/>
  <c r="BG155" i="46" s="1"/>
  <c r="BG157" i="46" s="1"/>
  <c r="AG152" i="46"/>
  <c r="AG155" i="46" s="1"/>
  <c r="AG157" i="46" s="1"/>
  <c r="CB152" i="46"/>
  <c r="CB155" i="46" s="1"/>
  <c r="CB157" i="46" s="1"/>
  <c r="DL152" i="46"/>
  <c r="DL155" i="46" s="1"/>
  <c r="DL157" i="46" s="1"/>
  <c r="P152" i="46"/>
  <c r="P155" i="46" s="1"/>
  <c r="P157" i="46" s="1"/>
  <c r="CK152" i="46"/>
  <c r="CK155" i="46" s="1"/>
  <c r="CK157" i="46" s="1"/>
  <c r="BZ152" i="46"/>
  <c r="BZ155" i="46" s="1"/>
  <c r="BZ157" i="46" s="1"/>
  <c r="AJ152" i="46"/>
  <c r="AJ155" i="46" s="1"/>
  <c r="AJ157" i="46" s="1"/>
  <c r="BF152" i="46"/>
  <c r="BF155" i="46" s="1"/>
  <c r="BF157" i="46" s="1"/>
  <c r="BY152" i="46"/>
  <c r="BY155" i="46" s="1"/>
  <c r="BY157" i="46" s="1"/>
  <c r="BA152" i="46"/>
  <c r="BA155" i="46" s="1"/>
  <c r="BA157" i="46" s="1"/>
  <c r="BJ152" i="46"/>
  <c r="BJ155" i="46" s="1"/>
  <c r="BJ157" i="46" s="1"/>
  <c r="T152" i="46"/>
  <c r="T155" i="46" s="1"/>
  <c r="T157" i="46" s="1"/>
  <c r="CI152" i="46"/>
  <c r="CI155" i="46" s="1"/>
  <c r="CI157" i="46" s="1"/>
  <c r="CL152" i="46"/>
  <c r="CL155" i="46" s="1"/>
  <c r="CL157" i="46" s="1"/>
  <c r="BC152" i="46"/>
  <c r="BC155" i="46" s="1"/>
  <c r="BC157" i="46" s="1"/>
  <c r="BW152" i="46"/>
  <c r="BW155" i="46" s="1"/>
  <c r="BW157" i="46" s="1"/>
  <c r="AI152" i="46"/>
  <c r="CE152" i="46"/>
  <c r="CE155" i="46" s="1"/>
  <c r="CE157" i="46" s="1"/>
  <c r="BI152" i="46"/>
  <c r="BI155" i="46" s="1"/>
  <c r="BI157" i="46" s="1"/>
  <c r="BR152" i="46"/>
  <c r="BR155" i="46" s="1"/>
  <c r="BR157" i="46" s="1"/>
  <c r="BH152" i="46"/>
  <c r="BH155" i="46" s="1"/>
  <c r="BH157" i="46" s="1"/>
  <c r="CD152" i="46"/>
  <c r="CD155" i="46" s="1"/>
  <c r="CD157" i="46" s="1"/>
  <c r="AL152" i="46"/>
  <c r="AL155" i="46" s="1"/>
  <c r="AL157" i="46" s="1"/>
  <c r="BS152" i="46"/>
  <c r="BS155" i="46" s="1"/>
  <c r="BS157" i="46" s="1"/>
  <c r="DD152" i="46"/>
  <c r="DD155" i="46" s="1"/>
  <c r="DD157" i="46" s="1"/>
  <c r="DC152" i="46"/>
  <c r="DC155" i="46" s="1"/>
  <c r="DC157" i="46" s="1"/>
  <c r="DE152" i="46"/>
  <c r="DE155" i="46" s="1"/>
  <c r="DE157" i="46" s="1"/>
  <c r="B142" i="47"/>
  <c r="N153" i="4"/>
  <c r="C142" i="5"/>
  <c r="C147" i="46"/>
  <c r="L146" i="46"/>
  <c r="X155" i="46" l="1"/>
  <c r="X157" i="46" s="1"/>
  <c r="DN155" i="46"/>
  <c r="DN157" i="46" s="1"/>
  <c r="N155" i="46"/>
  <c r="N157" i="46" s="1"/>
  <c r="AB155" i="46"/>
  <c r="AB157" i="46" s="1"/>
  <c r="AK155" i="46"/>
  <c r="AK157" i="46" s="1"/>
  <c r="AQ155" i="46"/>
  <c r="AQ157" i="46" s="1"/>
  <c r="M155" i="46"/>
  <c r="M157" i="46" s="1"/>
  <c r="AF155" i="46"/>
  <c r="AF157" i="46" s="1"/>
  <c r="DG155" i="46"/>
  <c r="DG157" i="46" s="1"/>
  <c r="DM155" i="46"/>
  <c r="DM157" i="46" s="1"/>
  <c r="DF155" i="46"/>
  <c r="DF157" i="46" s="1"/>
  <c r="AI155" i="46"/>
  <c r="AI157" i="46" s="1"/>
  <c r="W155" i="46"/>
  <c r="W157" i="46" s="1"/>
  <c r="AP155" i="46"/>
  <c r="AP157" i="46" s="1"/>
  <c r="AH155" i="46"/>
  <c r="AH157" i="46" s="1"/>
  <c r="AV155" i="46"/>
  <c r="AV157" i="46" s="1"/>
  <c r="AR155" i="46"/>
  <c r="AR157" i="46" s="1"/>
  <c r="AN155" i="46"/>
  <c r="AN157" i="46" s="1"/>
  <c r="L147" i="46"/>
  <c r="C148" i="46"/>
  <c r="L148" i="46" l="1"/>
  <c r="C149" i="46"/>
  <c r="C150" i="46" l="1"/>
  <c r="L149" i="46"/>
  <c r="L150" i="46" l="1"/>
  <c r="C151" i="46"/>
  <c r="L151" i="46" l="1"/>
  <c r="C152" i="46"/>
  <c r="L152" i="46" l="1"/>
  <c r="C153" i="46"/>
  <c r="L153" i="46" s="1"/>
  <c r="Q4" i="74"/>
  <c r="Q7" i="74" s="1"/>
  <c r="Q6" i="74"/>
  <c r="R6" i="74" s="1"/>
  <c r="Q5" i="74"/>
  <c r="R5" i="74" s="1"/>
  <c r="R4" i="74" l="1"/>
  <c r="R7" i="74" s="1"/>
  <c r="H313" i="3" l="1"/>
  <c r="H303" i="3" s="1"/>
  <c r="H314" i="3" s="1"/>
  <c r="H392" i="3" s="1"/>
  <c r="AL39" i="30" s="1"/>
  <c r="AO313" i="3"/>
  <c r="L102" i="70"/>
  <c r="M248" i="70"/>
  <c r="M254" i="70" s="1"/>
  <c r="DU22" i="46" l="1"/>
  <c r="DW22" i="4"/>
  <c r="DW156" i="4" s="1"/>
  <c r="J248" i="70"/>
  <c r="J254" i="70" s="1"/>
  <c r="AJ39" i="30"/>
  <c r="M25" i="29" s="1"/>
  <c r="M32" i="29" s="1"/>
  <c r="M38" i="29" s="1"/>
  <c r="AL45" i="30"/>
  <c r="N39" i="30"/>
  <c r="DU16" i="46" l="1"/>
  <c r="DU156" i="46"/>
  <c r="F39" i="30"/>
  <c r="L39" i="30"/>
  <c r="I25" i="29" s="1"/>
  <c r="N45" i="30"/>
  <c r="AJ45" i="30"/>
  <c r="AL50" i="30"/>
  <c r="AJ50" i="30" l="1"/>
  <c r="D39" i="30"/>
  <c r="F45" i="30"/>
  <c r="C11" i="73"/>
  <c r="F25" i="29"/>
  <c r="I32" i="29"/>
  <c r="N50" i="30"/>
  <c r="L45" i="30"/>
  <c r="G25" i="29" l="1"/>
  <c r="B11" i="73"/>
  <c r="C18" i="73"/>
  <c r="L50" i="30"/>
  <c r="EB19" i="46"/>
  <c r="D45" i="30"/>
  <c r="F50" i="30"/>
  <c r="AK26" i="30"/>
  <c r="AK28" i="30"/>
  <c r="AK30" i="30"/>
  <c r="AK32" i="30"/>
  <c r="AK34" i="30"/>
  <c r="AK36" i="30"/>
  <c r="AK38" i="30"/>
  <c r="AK41" i="30"/>
  <c r="AK43" i="30"/>
  <c r="AK46" i="30"/>
  <c r="AK48" i="30"/>
  <c r="M19" i="29"/>
  <c r="AK45" i="30"/>
  <c r="AK50" i="30"/>
  <c r="AK27" i="30"/>
  <c r="AK29" i="30"/>
  <c r="AK31" i="30"/>
  <c r="AK33" i="30"/>
  <c r="AK35" i="30"/>
  <c r="AK37" i="30"/>
  <c r="AK40" i="30"/>
  <c r="AK42" i="30"/>
  <c r="AK44" i="30"/>
  <c r="AK47" i="30"/>
  <c r="AK49" i="30"/>
  <c r="AK39" i="30"/>
  <c r="I38" i="29"/>
  <c r="F32" i="29"/>
  <c r="O4" i="74"/>
  <c r="O7" i="74" s="1"/>
  <c r="O6" i="74"/>
  <c r="O5" i="74"/>
  <c r="AC250" i="70"/>
  <c r="AD250" i="70" s="1"/>
  <c r="I19" i="29" l="1"/>
  <c r="N21" i="29"/>
  <c r="N24" i="29"/>
  <c r="N30" i="29"/>
  <c r="N32" i="29"/>
  <c r="N35" i="29"/>
  <c r="N39" i="29"/>
  <c r="N23" i="29"/>
  <c r="N27" i="29"/>
  <c r="N34" i="29"/>
  <c r="N38" i="29"/>
  <c r="N22" i="29"/>
  <c r="N26" i="29"/>
  <c r="N29" i="29"/>
  <c r="N31" i="29"/>
  <c r="N33" i="29"/>
  <c r="N37" i="29"/>
  <c r="M40" i="29"/>
  <c r="N40" i="29" s="1"/>
  <c r="N25" i="29"/>
  <c r="N28" i="29"/>
  <c r="N36" i="29"/>
  <c r="G32" i="29"/>
  <c r="F38" i="29"/>
  <c r="D50" i="30"/>
  <c r="M45" i="30"/>
  <c r="M50" i="30"/>
  <c r="M26" i="30"/>
  <c r="M28" i="30"/>
  <c r="M30" i="30"/>
  <c r="M32" i="30"/>
  <c r="M34" i="30"/>
  <c r="M36" i="30"/>
  <c r="M38" i="30"/>
  <c r="M41" i="30"/>
  <c r="M43" i="30"/>
  <c r="M46" i="30"/>
  <c r="M48" i="30"/>
  <c r="M39" i="30"/>
  <c r="M27" i="30"/>
  <c r="M29" i="30"/>
  <c r="M31" i="30"/>
  <c r="M33" i="30"/>
  <c r="M35" i="30"/>
  <c r="M37" i="30"/>
  <c r="M40" i="30"/>
  <c r="M42" i="30"/>
  <c r="M44" i="30"/>
  <c r="M47" i="30"/>
  <c r="M49" i="30"/>
  <c r="B18" i="73"/>
  <c r="G11" i="73"/>
  <c r="G18" i="73" s="1"/>
  <c r="G38" i="29" l="1"/>
  <c r="E26" i="30"/>
  <c r="E28" i="30"/>
  <c r="E30" i="30"/>
  <c r="E32" i="30"/>
  <c r="E34" i="30"/>
  <c r="E36" i="30"/>
  <c r="E38" i="30"/>
  <c r="E41" i="30"/>
  <c r="E43" i="30"/>
  <c r="E46" i="30"/>
  <c r="E48" i="30"/>
  <c r="E45" i="30"/>
  <c r="E50" i="30"/>
  <c r="E27" i="30"/>
  <c r="E29" i="30"/>
  <c r="E31" i="30"/>
  <c r="E33" i="30"/>
  <c r="E35" i="30"/>
  <c r="E37" i="30"/>
  <c r="E40" i="30"/>
  <c r="E42" i="30"/>
  <c r="E44" i="30"/>
  <c r="E47" i="30"/>
  <c r="E49" i="30"/>
  <c r="E39" i="30"/>
  <c r="L241" i="70"/>
  <c r="J241" i="70" s="1"/>
  <c r="G3" i="46"/>
  <c r="J256" i="70"/>
  <c r="J23" i="29"/>
  <c r="J27" i="29"/>
  <c r="J34" i="29"/>
  <c r="I40" i="29"/>
  <c r="F40" i="29" s="1"/>
  <c r="J22" i="29"/>
  <c r="J25" i="29"/>
  <c r="J26" i="29"/>
  <c r="J29" i="29"/>
  <c r="J31" i="29"/>
  <c r="J33" i="29"/>
  <c r="J37" i="29"/>
  <c r="J40" i="29"/>
  <c r="F19" i="29"/>
  <c r="J28" i="29"/>
  <c r="J32" i="29"/>
  <c r="J36" i="29"/>
  <c r="J21" i="29"/>
  <c r="J24" i="29"/>
  <c r="J30" i="29"/>
  <c r="J35" i="29"/>
  <c r="J38" i="29"/>
  <c r="J39" i="29"/>
  <c r="H26" i="29" l="1"/>
  <c r="H29" i="29"/>
  <c r="H37" i="29"/>
  <c r="C9" i="47"/>
  <c r="H36" i="29"/>
  <c r="H21" i="29"/>
  <c r="H24" i="29"/>
  <c r="H35" i="29"/>
  <c r="H39" i="29"/>
  <c r="G19" i="29"/>
  <c r="H23" i="29"/>
  <c r="H27" i="29"/>
  <c r="H34" i="29"/>
  <c r="H25" i="29"/>
  <c r="G40" i="29"/>
  <c r="H40" i="29"/>
  <c r="H38" i="29"/>
  <c r="B35" i="73"/>
  <c r="B26" i="73"/>
  <c r="O18" i="74"/>
  <c r="F47" i="73"/>
  <c r="U52" i="30"/>
  <c r="U45" i="30"/>
  <c r="U57" i="30"/>
  <c r="U54" i="30"/>
  <c r="U28" i="30"/>
  <c r="U44" i="30"/>
  <c r="U41" i="30"/>
  <c r="U31" i="30"/>
  <c r="U27" i="30"/>
  <c r="U64" i="30"/>
  <c r="U33" i="30"/>
  <c r="U39" i="30"/>
  <c r="U42" i="30"/>
  <c r="U62" i="30"/>
  <c r="U56" i="30"/>
  <c r="U68" i="30"/>
  <c r="U48" i="30"/>
  <c r="U53" i="30"/>
  <c r="U34" i="30"/>
  <c r="U49" i="30"/>
  <c r="U32" i="30"/>
  <c r="U50" i="30"/>
  <c r="U36" i="30"/>
  <c r="U38" i="30"/>
  <c r="U37" i="30"/>
  <c r="U61" i="30"/>
  <c r="U43" i="30"/>
  <c r="U69" i="30"/>
  <c r="U63" i="30"/>
  <c r="U47" i="30"/>
  <c r="U55" i="30"/>
  <c r="U46" i="30"/>
  <c r="U26" i="30"/>
  <c r="U40" i="30"/>
  <c r="U67" i="30"/>
  <c r="U35" i="30"/>
  <c r="U30" i="30"/>
  <c r="U66" i="30"/>
  <c r="U58" i="30"/>
  <c r="U29" i="30"/>
  <c r="U60" i="30"/>
  <c r="U59" i="30"/>
  <c r="U65" i="30"/>
  <c r="U51" i="30"/>
  <c r="AC28" i="30"/>
  <c r="AC31" i="30"/>
  <c r="AC63" i="30"/>
  <c r="AC40" i="30"/>
  <c r="AC36" i="30"/>
  <c r="AC35" i="30"/>
  <c r="AC68" i="30"/>
  <c r="AC51" i="30"/>
  <c r="AC64" i="30"/>
  <c r="AC50" i="30"/>
  <c r="AC57" i="30"/>
  <c r="AC37" i="30"/>
  <c r="AC56" i="30"/>
  <c r="AC46" i="30"/>
  <c r="AC61" i="30"/>
  <c r="AC27" i="30"/>
  <c r="AC65" i="30"/>
  <c r="AC62" i="30"/>
  <c r="AC39" i="30"/>
  <c r="AC43" i="30"/>
  <c r="AC26" i="30"/>
  <c r="AC38" i="30"/>
  <c r="AC29" i="30"/>
  <c r="AC44" i="30"/>
  <c r="AC42" i="30"/>
  <c r="AC60" i="30"/>
  <c r="AC32" i="30"/>
  <c r="AC54" i="30"/>
  <c r="AC69" i="30"/>
  <c r="AC49" i="30"/>
  <c r="AC48" i="30"/>
  <c r="AC34" i="30"/>
  <c r="AC47" i="30"/>
  <c r="AC67" i="30"/>
  <c r="AC45" i="30"/>
  <c r="AC41" i="30"/>
  <c r="AC53" i="30"/>
  <c r="AC59" i="30"/>
  <c r="AC52" i="30"/>
  <c r="AC30" i="30"/>
  <c r="AC66" i="30"/>
  <c r="AC33" i="30"/>
  <c r="AC55" i="30"/>
  <c r="AC58" i="30"/>
  <c r="BK66" i="30"/>
  <c r="BK50" i="30"/>
  <c r="BK39" i="30"/>
  <c r="BK34" i="30"/>
  <c r="BK27" i="30"/>
  <c r="BK61" i="30"/>
  <c r="BK52" i="30"/>
  <c r="BK32" i="30"/>
  <c r="BK41" i="30"/>
  <c r="BK28" i="30"/>
  <c r="BK44" i="30"/>
  <c r="BK56" i="30"/>
  <c r="BK63" i="30"/>
  <c r="BK68" i="30"/>
  <c r="BK42" i="30"/>
  <c r="BK45" i="30"/>
  <c r="BK55" i="30"/>
  <c r="BK30" i="30"/>
  <c r="BK60" i="30"/>
  <c r="BK29" i="30"/>
  <c r="BK43" i="30"/>
  <c r="BK46" i="30"/>
  <c r="BK57" i="30"/>
  <c r="BK38" i="30"/>
  <c r="BK67" i="30"/>
  <c r="BK58" i="30"/>
  <c r="BK26" i="30"/>
  <c r="BK59" i="30"/>
  <c r="BK64" i="30"/>
  <c r="BK53" i="30"/>
  <c r="BK35" i="30"/>
  <c r="BK47" i="30"/>
  <c r="BK62" i="30"/>
  <c r="BK48" i="30"/>
  <c r="BK49" i="30"/>
  <c r="BK40" i="30"/>
  <c r="BK54" i="30"/>
  <c r="BK51" i="30"/>
  <c r="BK37" i="30"/>
  <c r="BK36" i="30"/>
  <c r="BK31" i="30"/>
  <c r="BK33" i="30"/>
  <c r="M55" i="30"/>
  <c r="M56" i="30"/>
  <c r="M67" i="30"/>
  <c r="M66" i="30"/>
  <c r="M68" i="30"/>
  <c r="M54" i="30"/>
  <c r="M59" i="30"/>
  <c r="M63" i="30"/>
  <c r="M62" i="30"/>
  <c r="M60" i="30"/>
  <c r="M53" i="30"/>
  <c r="M65" i="30"/>
  <c r="M64" i="30"/>
  <c r="M61" i="30"/>
  <c r="M51" i="30"/>
  <c r="M52" i="30"/>
  <c r="M58" i="30"/>
  <c r="M69" i="30"/>
  <c r="M57" i="30"/>
  <c r="AK62" i="30"/>
  <c r="AK66" i="30"/>
  <c r="AK63" i="30"/>
  <c r="AK51" i="30"/>
  <c r="AK52" i="30"/>
  <c r="AK54" i="30"/>
  <c r="AK53" i="30"/>
  <c r="AK56" i="30"/>
  <c r="AK68" i="30"/>
  <c r="AK65" i="30"/>
  <c r="AK60" i="30"/>
  <c r="AK67" i="30"/>
  <c r="AK61" i="30"/>
  <c r="AK69" i="30"/>
  <c r="AK57" i="30"/>
  <c r="AK58" i="30"/>
  <c r="AK55" i="30"/>
  <c r="AK64" i="30"/>
  <c r="AK59" i="30"/>
  <c r="E57" i="30"/>
  <c r="E67" i="30"/>
  <c r="E51" i="30"/>
  <c r="E68" i="30"/>
  <c r="E58" i="30"/>
  <c r="H33" i="73"/>
  <c r="H21" i="73"/>
  <c r="H24" i="73"/>
  <c r="G47" i="73"/>
  <c r="H10" i="73"/>
  <c r="H37" i="73"/>
  <c r="H23" i="73"/>
  <c r="H26" i="73"/>
  <c r="H39" i="73"/>
  <c r="H35" i="73"/>
  <c r="H29" i="73"/>
  <c r="H32" i="73"/>
  <c r="H28" i="73"/>
  <c r="H43" i="73"/>
  <c r="H9" i="73"/>
  <c r="H31" i="73"/>
  <c r="H15" i="73"/>
  <c r="H12" i="73"/>
  <c r="H7" i="73"/>
  <c r="H16" i="73"/>
  <c r="H5" i="73"/>
  <c r="J5" i="73"/>
  <c r="G26" i="73"/>
  <c r="H14" i="73"/>
  <c r="H13" i="73"/>
  <c r="H8" i="73"/>
  <c r="G35" i="73"/>
  <c r="H47" i="73"/>
  <c r="H45" i="73"/>
  <c r="H42" i="73"/>
  <c r="H38" i="73"/>
  <c r="H22" i="73"/>
  <c r="H11" i="73"/>
  <c r="H44" i="73"/>
  <c r="H41" i="73"/>
  <c r="H18" i="73"/>
  <c r="H30" i="73"/>
  <c r="H40" i="73"/>
  <c r="G5" i="73"/>
  <c r="H20" i="73"/>
  <c r="F39" i="73"/>
  <c r="F22" i="73"/>
  <c r="F37" i="73"/>
  <c r="F29" i="73"/>
  <c r="F18" i="73"/>
  <c r="F30" i="73"/>
  <c r="F28" i="73"/>
  <c r="F21" i="73"/>
  <c r="F8" i="73"/>
  <c r="F44" i="73"/>
  <c r="F40" i="73"/>
  <c r="F42" i="73"/>
  <c r="F38" i="73"/>
  <c r="F41" i="73"/>
  <c r="F16" i="73"/>
  <c r="F7" i="73"/>
  <c r="F45" i="73"/>
  <c r="F10" i="73"/>
  <c r="F15" i="73"/>
  <c r="F35" i="73"/>
  <c r="F33" i="73"/>
  <c r="F14" i="73"/>
  <c r="F13" i="73"/>
  <c r="F32" i="73"/>
  <c r="F43" i="73"/>
  <c r="F31" i="73"/>
  <c r="F26" i="73"/>
  <c r="F24" i="73"/>
  <c r="F9" i="73"/>
  <c r="F12" i="73"/>
  <c r="F20" i="73"/>
  <c r="F27" i="73"/>
  <c r="F23" i="73"/>
  <c r="D35" i="73"/>
  <c r="D28" i="73"/>
  <c r="D47" i="73"/>
  <c r="D26" i="73"/>
  <c r="E35" i="73"/>
  <c r="E28" i="73"/>
  <c r="E42" i="73"/>
  <c r="E47" i="73"/>
  <c r="E26" i="73"/>
  <c r="DW38" i="4"/>
  <c r="DW29" i="4"/>
  <c r="DW48" i="4"/>
  <c r="DW42" i="4"/>
  <c r="DW85" i="4"/>
  <c r="DW25" i="4"/>
  <c r="DW81" i="4"/>
  <c r="DW149" i="4"/>
  <c r="DW40" i="4"/>
  <c r="DW147" i="4"/>
  <c r="DW52" i="4"/>
  <c r="DW129" i="4"/>
  <c r="DW27" i="4"/>
  <c r="DW108" i="4"/>
  <c r="DW80" i="4"/>
  <c r="DW95" i="4"/>
  <c r="DW152" i="4"/>
  <c r="DW30" i="4"/>
  <c r="DW39" i="4"/>
  <c r="DW137" i="4"/>
  <c r="DW103" i="4"/>
  <c r="DW60" i="4"/>
  <c r="DW96" i="4"/>
  <c r="DW72" i="4"/>
  <c r="DW28" i="4"/>
  <c r="DW45" i="4"/>
  <c r="DW50" i="4"/>
  <c r="DW83" i="4"/>
  <c r="DW138" i="4"/>
  <c r="DW146" i="4"/>
  <c r="DW66" i="4"/>
  <c r="DW31" i="4"/>
  <c r="DW93" i="4"/>
  <c r="DW65" i="4"/>
  <c r="DW106" i="4"/>
  <c r="DW134" i="4"/>
  <c r="DW75" i="4"/>
  <c r="DW116" i="4"/>
  <c r="DW139" i="4"/>
  <c r="DW91" i="4"/>
  <c r="DW128" i="4"/>
  <c r="DW54" i="4"/>
  <c r="DW56" i="4"/>
  <c r="DW62" i="4"/>
  <c r="DW78" i="4"/>
  <c r="DW141" i="4"/>
  <c r="DW59" i="4"/>
  <c r="DW110" i="4"/>
  <c r="DW105" i="4"/>
  <c r="DW111" i="4"/>
  <c r="DW64" i="4"/>
  <c r="DW53" i="4"/>
  <c r="DW135" i="4"/>
  <c r="DW88" i="4"/>
  <c r="DW153" i="4"/>
  <c r="DW89" i="4"/>
  <c r="DW127" i="4"/>
  <c r="DW84" i="4"/>
  <c r="DW115" i="4"/>
  <c r="DW37" i="4"/>
  <c r="DW100" i="4"/>
  <c r="DW107" i="4"/>
  <c r="DW112" i="4"/>
  <c r="DW47" i="4"/>
  <c r="DW74" i="4"/>
  <c r="DW104" i="4"/>
  <c r="DW35" i="4"/>
  <c r="DW86" i="4"/>
  <c r="DW26" i="4"/>
  <c r="DW55" i="4"/>
  <c r="DW118" i="4"/>
  <c r="DW117" i="4"/>
  <c r="DW43" i="4"/>
  <c r="DW69" i="4"/>
  <c r="DW144" i="4"/>
  <c r="DW67" i="4"/>
  <c r="DW125" i="4"/>
  <c r="DW113" i="4"/>
  <c r="DW76" i="4"/>
  <c r="DW145" i="4"/>
  <c r="DW87" i="4"/>
  <c r="DW131" i="4"/>
  <c r="DW44" i="4"/>
  <c r="DW150" i="4"/>
  <c r="DW148" i="4"/>
  <c r="DW119" i="4"/>
  <c r="DW102" i="4"/>
  <c r="DW132" i="4"/>
  <c r="DW63" i="4"/>
  <c r="DW122" i="4"/>
  <c r="DW126" i="4"/>
  <c r="DW58" i="4"/>
  <c r="DW97" i="4"/>
  <c r="DW70" i="4"/>
  <c r="DW33" i="4"/>
  <c r="DW120" i="4"/>
  <c r="DW82" i="4"/>
  <c r="DW90" i="4"/>
  <c r="DW98" i="4"/>
  <c r="DW130" i="4"/>
  <c r="DW71" i="4"/>
  <c r="DW73" i="4"/>
  <c r="DW99" i="4"/>
  <c r="DW133" i="4"/>
  <c r="DW36" i="4"/>
  <c r="DW51" i="4"/>
  <c r="DW121" i="4"/>
  <c r="DW68" i="4"/>
  <c r="DW140" i="4"/>
  <c r="DW136" i="4"/>
  <c r="DW34" i="4"/>
  <c r="DW143" i="4"/>
  <c r="DW77" i="4"/>
  <c r="DW109" i="4"/>
  <c r="DW49" i="4"/>
  <c r="DW41" i="4"/>
  <c r="DW61" i="4"/>
  <c r="DW151" i="4"/>
  <c r="DW94" i="4"/>
  <c r="DW57" i="4"/>
  <c r="DW32" i="4"/>
  <c r="DW124" i="4"/>
  <c r="DW101" i="4"/>
  <c r="DW79" i="4"/>
  <c r="DW142" i="4"/>
  <c r="DW114" i="4"/>
  <c r="DW46" i="4"/>
  <c r="DW123" i="4"/>
  <c r="DW92" i="4"/>
  <c r="EA73" i="4"/>
  <c r="EA99" i="4"/>
  <c r="EA117" i="4"/>
  <c r="EA59" i="4"/>
  <c r="EA143" i="4"/>
  <c r="EA35" i="4"/>
  <c r="EA37" i="4"/>
  <c r="EA111" i="4"/>
  <c r="EA129" i="4"/>
  <c r="EA80" i="4"/>
  <c r="EA64" i="4"/>
  <c r="EA127" i="4"/>
  <c r="EA61" i="4"/>
  <c r="EA82" i="4"/>
  <c r="EA65" i="4"/>
  <c r="EA100" i="4"/>
  <c r="EA115" i="4"/>
  <c r="EA110" i="4"/>
  <c r="EA51" i="4"/>
  <c r="EA71" i="4"/>
  <c r="EA43" i="4"/>
  <c r="EA54" i="4"/>
  <c r="EA126" i="4"/>
  <c r="EA97" i="4"/>
  <c r="EA105" i="4"/>
  <c r="EA70" i="4"/>
  <c r="EA142" i="4"/>
  <c r="EA98" i="4"/>
  <c r="EA76" i="4"/>
  <c r="EA44" i="4"/>
  <c r="EA144" i="4"/>
  <c r="EA128" i="4"/>
  <c r="EA152" i="4"/>
  <c r="EA150" i="4"/>
  <c r="EA69" i="4"/>
  <c r="EA104" i="4"/>
  <c r="EA74" i="4"/>
  <c r="EA88" i="4"/>
  <c r="EA34" i="4"/>
  <c r="EA125" i="4"/>
  <c r="EA91" i="4"/>
  <c r="EA116" i="4"/>
  <c r="EA84" i="4"/>
  <c r="EA133" i="4"/>
  <c r="EA79" i="4"/>
  <c r="EA49" i="4"/>
  <c r="EA119" i="4"/>
  <c r="EA53" i="4"/>
  <c r="EA50" i="4"/>
  <c r="EA41" i="4"/>
  <c r="EA28" i="4"/>
  <c r="EA149" i="4"/>
  <c r="EA32" i="4"/>
  <c r="EA95" i="4"/>
  <c r="EA55" i="4"/>
  <c r="EA87" i="4"/>
  <c r="EA30" i="4"/>
  <c r="EA66" i="4"/>
  <c r="EA60" i="4"/>
  <c r="EA52" i="4"/>
  <c r="EA67" i="4"/>
  <c r="EA151" i="4"/>
  <c r="EA107" i="4"/>
  <c r="EA122" i="4"/>
  <c r="EA135" i="4"/>
  <c r="EA46" i="4"/>
  <c r="EA29" i="4"/>
  <c r="EA26" i="4"/>
  <c r="EA27" i="4"/>
  <c r="EA120" i="4"/>
  <c r="EA75" i="4"/>
  <c r="EA106" i="4"/>
  <c r="EA102" i="4"/>
  <c r="EA94" i="4"/>
  <c r="EA68" i="4"/>
  <c r="EA132" i="4"/>
  <c r="EA147" i="4"/>
  <c r="EA146" i="4"/>
  <c r="EA136" i="4"/>
  <c r="EA113" i="4"/>
  <c r="EA38" i="4"/>
  <c r="EA109" i="4"/>
  <c r="EA63" i="4"/>
  <c r="EA138" i="4"/>
  <c r="EA148" i="4"/>
  <c r="EA31" i="4"/>
  <c r="EA56" i="4"/>
  <c r="EA48" i="4"/>
  <c r="EA139" i="4"/>
  <c r="EA145" i="4"/>
  <c r="EA134" i="4"/>
  <c r="EA85" i="4"/>
  <c r="EA93" i="4"/>
  <c r="EA77" i="4"/>
  <c r="EA112" i="4"/>
  <c r="EA78" i="4"/>
  <c r="EA140" i="4"/>
  <c r="EA96" i="4"/>
  <c r="EA42" i="4"/>
  <c r="EA103" i="4"/>
  <c r="EA47" i="4"/>
  <c r="EA131" i="4"/>
  <c r="EA57" i="4"/>
  <c r="EA121" i="4"/>
  <c r="EA40" i="4"/>
  <c r="EA81" i="4"/>
  <c r="EA33" i="4"/>
  <c r="EA72" i="4"/>
  <c r="EA114" i="4"/>
  <c r="EA141" i="4"/>
  <c r="EA92" i="4"/>
  <c r="EA39" i="4"/>
  <c r="EA124" i="4"/>
  <c r="EA86" i="4"/>
  <c r="EA118" i="4"/>
  <c r="EA137" i="4"/>
  <c r="EA25" i="4"/>
  <c r="EA58" i="4"/>
  <c r="EA36" i="4"/>
  <c r="EA83" i="4"/>
  <c r="EA123" i="4"/>
  <c r="EA89" i="4"/>
  <c r="EA130" i="4"/>
  <c r="EA108" i="4"/>
  <c r="EA62" i="4"/>
  <c r="EA153" i="4"/>
  <c r="EA101" i="4"/>
  <c r="EA90" i="4"/>
  <c r="EA45" i="4"/>
  <c r="DT28" i="4"/>
  <c r="DT68" i="4"/>
  <c r="DT90" i="4"/>
  <c r="DT76" i="4"/>
  <c r="DT87" i="4"/>
  <c r="DT31" i="4"/>
  <c r="DT67" i="4"/>
  <c r="DT92" i="4"/>
  <c r="DT75" i="4"/>
  <c r="DT77" i="4"/>
  <c r="DT82" i="4"/>
  <c r="DT70" i="4"/>
  <c r="DT88" i="4"/>
  <c r="DT48" i="4"/>
  <c r="DT64" i="4"/>
  <c r="DT78" i="4"/>
  <c r="DT95" i="4"/>
  <c r="DT74" i="4"/>
  <c r="DT84" i="4"/>
  <c r="DT36" i="4"/>
  <c r="DT32" i="4"/>
  <c r="DT44" i="4"/>
  <c r="DT73" i="4"/>
  <c r="DT86" i="4"/>
  <c r="DT89" i="4"/>
  <c r="DT81" i="4"/>
  <c r="DT94" i="4"/>
  <c r="DT65" i="4"/>
  <c r="DT69" i="4"/>
  <c r="DT83" i="4"/>
  <c r="DT93" i="4"/>
  <c r="DT71" i="4"/>
  <c r="DT80" i="4"/>
  <c r="DT85" i="4"/>
  <c r="DT79" i="4"/>
  <c r="DT66" i="4"/>
  <c r="DT72" i="4"/>
  <c r="DT91" i="4"/>
  <c r="DT60" i="4"/>
  <c r="DX34" i="4"/>
  <c r="DX149" i="4"/>
  <c r="DX72" i="4"/>
  <c r="DX117" i="4"/>
  <c r="DX60" i="4"/>
  <c r="DX122" i="4"/>
  <c r="DX32" i="4"/>
  <c r="DX50" i="4"/>
  <c r="DX123" i="4"/>
  <c r="DX85" i="4"/>
  <c r="DX140" i="4"/>
  <c r="DX47" i="4"/>
  <c r="DX73" i="4"/>
  <c r="DX151" i="4"/>
  <c r="DX110" i="4"/>
  <c r="DX113" i="4"/>
  <c r="DX87" i="4"/>
  <c r="DX121" i="4"/>
  <c r="DX144" i="4"/>
  <c r="DX133" i="4"/>
  <c r="DX36" i="4"/>
  <c r="DX30" i="4"/>
  <c r="DX139" i="4"/>
  <c r="DX65" i="4"/>
  <c r="DX51" i="4"/>
  <c r="DX69" i="4"/>
  <c r="DX108" i="4"/>
  <c r="DX147" i="4"/>
  <c r="DX146" i="4"/>
  <c r="DX41" i="4"/>
  <c r="DX67" i="4"/>
  <c r="DX70" i="4"/>
  <c r="DX89" i="4"/>
  <c r="DX127" i="4"/>
  <c r="DX92" i="4"/>
  <c r="DX106" i="4"/>
  <c r="DX28" i="4"/>
  <c r="DX142" i="4"/>
  <c r="DX35" i="4"/>
  <c r="DX124" i="4"/>
  <c r="DX40" i="4"/>
  <c r="DX111" i="4"/>
  <c r="DX96" i="4"/>
  <c r="DX31" i="4"/>
  <c r="DX98" i="4"/>
  <c r="DX95" i="4"/>
  <c r="DX64" i="4"/>
  <c r="DX80" i="4"/>
  <c r="DX26" i="4"/>
  <c r="DX148" i="4"/>
  <c r="DX66" i="4"/>
  <c r="DX128" i="4"/>
  <c r="DX126" i="4"/>
  <c r="DX102" i="4"/>
  <c r="DX56" i="4"/>
  <c r="DX99" i="4"/>
  <c r="DX68" i="4"/>
  <c r="DX82" i="4"/>
  <c r="DX130" i="4"/>
  <c r="DX107" i="4"/>
  <c r="DX57" i="4"/>
  <c r="DX112" i="4"/>
  <c r="DX25" i="4"/>
  <c r="DX78" i="4"/>
  <c r="DX38" i="4"/>
  <c r="DX118" i="4"/>
  <c r="DX101" i="4"/>
  <c r="DX83" i="4"/>
  <c r="DX54" i="4"/>
  <c r="DX135" i="4"/>
  <c r="DX116" i="4"/>
  <c r="DX153" i="4"/>
  <c r="DX61" i="4"/>
  <c r="DX75" i="4"/>
  <c r="DX86" i="4"/>
  <c r="DX143" i="4"/>
  <c r="DX131" i="4"/>
  <c r="DX59" i="4"/>
  <c r="DX91" i="4"/>
  <c r="DX103" i="4"/>
  <c r="DX100" i="4"/>
  <c r="DX39" i="4"/>
  <c r="DX145" i="4"/>
  <c r="DX109" i="4"/>
  <c r="DX62" i="4"/>
  <c r="DX77" i="4"/>
  <c r="DX45" i="4"/>
  <c r="DX46" i="4"/>
  <c r="DX132" i="4"/>
  <c r="DX115" i="4"/>
  <c r="DX44" i="4"/>
  <c r="DX152" i="4"/>
  <c r="DX49" i="4"/>
  <c r="DX93" i="4"/>
  <c r="DX90" i="4"/>
  <c r="DX141" i="4"/>
  <c r="DX27" i="4"/>
  <c r="DX134" i="4"/>
  <c r="DX120" i="4"/>
  <c r="DX81" i="4"/>
  <c r="DX129" i="4"/>
  <c r="DX48" i="4"/>
  <c r="DX150" i="4"/>
  <c r="DX71" i="4"/>
  <c r="DX84" i="4"/>
  <c r="DX97" i="4"/>
  <c r="DX88" i="4"/>
  <c r="DX125" i="4"/>
  <c r="DX105" i="4"/>
  <c r="DX53" i="4"/>
  <c r="DX58" i="4"/>
  <c r="DX76" i="4"/>
  <c r="DX33" i="4"/>
  <c r="DX74" i="4"/>
  <c r="DX43" i="4"/>
  <c r="DX119" i="4"/>
  <c r="DX104" i="4"/>
  <c r="DX52" i="4"/>
  <c r="DX79" i="4"/>
  <c r="DX136" i="4"/>
  <c r="DX94" i="4"/>
  <c r="DX138" i="4"/>
  <c r="DX29" i="4"/>
  <c r="DX114" i="4"/>
  <c r="DX137" i="4"/>
  <c r="DX63" i="4"/>
  <c r="DX42" i="4"/>
  <c r="DX55" i="4"/>
  <c r="DX37" i="4"/>
  <c r="EL91" i="4"/>
  <c r="EL61" i="4"/>
  <c r="EL36" i="4"/>
  <c r="EL52" i="4"/>
  <c r="EL56" i="4"/>
  <c r="EL152" i="4"/>
  <c r="EL35" i="4"/>
  <c r="EL111" i="4"/>
  <c r="EL74" i="4"/>
  <c r="EL122" i="4"/>
  <c r="EL97" i="4"/>
  <c r="EL106" i="4"/>
  <c r="EL148" i="4"/>
  <c r="EL131" i="4"/>
  <c r="EL79" i="4"/>
  <c r="EL117" i="4"/>
  <c r="EL114" i="4"/>
  <c r="EL84" i="4"/>
  <c r="EL44" i="4"/>
  <c r="EL65" i="4"/>
  <c r="EL144" i="4"/>
  <c r="EL124" i="4"/>
  <c r="EL108" i="4"/>
  <c r="EL28" i="4"/>
  <c r="EL77" i="4"/>
  <c r="EL47" i="4"/>
  <c r="EL64" i="4"/>
  <c r="EL96" i="4"/>
  <c r="EL142" i="4"/>
  <c r="EL100" i="4"/>
  <c r="EL25" i="4"/>
  <c r="EL90" i="4"/>
  <c r="EL55" i="4"/>
  <c r="EL37" i="4"/>
  <c r="EL82" i="4"/>
  <c r="EL41" i="4"/>
  <c r="EL128" i="4"/>
  <c r="EL86" i="4"/>
  <c r="EL57" i="4"/>
  <c r="EL139" i="4"/>
  <c r="EL73" i="4"/>
  <c r="EL45" i="4"/>
  <c r="EL103" i="4"/>
  <c r="EL116" i="4"/>
  <c r="EL129" i="4"/>
  <c r="EL51" i="4"/>
  <c r="EL26" i="4"/>
  <c r="EL85" i="4"/>
  <c r="EL121" i="4"/>
  <c r="EL89" i="4"/>
  <c r="EL150" i="4"/>
  <c r="EL125" i="4"/>
  <c r="EL53" i="4"/>
  <c r="EL29" i="4"/>
  <c r="EL32" i="4"/>
  <c r="EL43" i="4"/>
  <c r="EL48" i="4"/>
  <c r="EL105" i="4"/>
  <c r="EL113" i="4"/>
  <c r="EL136" i="4"/>
  <c r="EL137" i="4"/>
  <c r="EL33" i="4"/>
  <c r="EL107" i="4"/>
  <c r="EL149" i="4"/>
  <c r="EL101" i="4"/>
  <c r="EL87" i="4"/>
  <c r="EL31" i="4"/>
  <c r="EL75" i="4"/>
  <c r="EL81" i="4"/>
  <c r="EL46" i="4"/>
  <c r="EL34" i="4"/>
  <c r="EL138" i="4"/>
  <c r="EL93" i="4"/>
  <c r="EL71" i="4"/>
  <c r="EL143" i="4"/>
  <c r="EL127" i="4"/>
  <c r="EL60" i="4"/>
  <c r="EL102" i="4"/>
  <c r="EL76" i="4"/>
  <c r="EL109" i="4"/>
  <c r="EL30" i="4"/>
  <c r="EL140" i="4"/>
  <c r="EL94" i="4"/>
  <c r="EL133" i="4"/>
  <c r="EL104" i="4"/>
  <c r="EL112" i="4"/>
  <c r="EL132" i="4"/>
  <c r="EL98" i="4"/>
  <c r="EL42" i="4"/>
  <c r="EL49" i="4"/>
  <c r="EL40" i="4"/>
  <c r="EL99" i="4"/>
  <c r="EL88" i="4"/>
  <c r="EL27" i="4"/>
  <c r="EL54" i="4"/>
  <c r="EL78" i="4"/>
  <c r="EL67" i="4"/>
  <c r="EL80" i="4"/>
  <c r="EL62" i="4"/>
  <c r="EL126" i="4"/>
  <c r="EL119" i="4"/>
  <c r="EL39" i="4"/>
  <c r="EL141" i="4"/>
  <c r="EL38" i="4"/>
  <c r="EL120" i="4"/>
  <c r="EL118" i="4"/>
  <c r="EL146" i="4"/>
  <c r="EL147" i="4"/>
  <c r="EL63" i="4"/>
  <c r="EL69" i="4"/>
  <c r="EL68" i="4"/>
  <c r="EL58" i="4"/>
  <c r="EL72" i="4"/>
  <c r="EL70" i="4"/>
  <c r="EL92" i="4"/>
  <c r="EL50" i="4"/>
  <c r="EL95" i="4"/>
  <c r="EL130" i="4"/>
  <c r="EL83" i="4"/>
  <c r="EL153" i="4"/>
  <c r="EL134" i="4"/>
  <c r="EL123" i="4"/>
  <c r="EL66" i="4"/>
  <c r="EL115" i="4"/>
  <c r="EL59" i="4"/>
  <c r="EL135" i="4"/>
  <c r="EL110" i="4"/>
  <c r="EL151" i="4"/>
  <c r="EL145" i="4"/>
  <c r="DU26" i="4"/>
  <c r="DU121" i="4"/>
  <c r="DU67" i="4"/>
  <c r="DU73" i="4"/>
  <c r="DU146" i="4"/>
  <c r="DU80" i="4"/>
  <c r="DU38" i="4"/>
  <c r="DU128" i="4"/>
  <c r="DU151" i="4"/>
  <c r="DU89" i="4"/>
  <c r="DU55" i="4"/>
  <c r="DU78" i="4"/>
  <c r="DU133" i="4"/>
  <c r="DU77" i="4"/>
  <c r="DU114" i="4"/>
  <c r="DU153" i="4"/>
  <c r="DU139" i="4"/>
  <c r="DU124" i="4"/>
  <c r="DU62" i="4"/>
  <c r="DU64" i="4"/>
  <c r="DU109" i="4"/>
  <c r="DU60" i="4"/>
  <c r="DU43" i="4"/>
  <c r="DU53" i="4"/>
  <c r="DU86" i="4"/>
  <c r="DU94" i="4"/>
  <c r="DU129" i="4"/>
  <c r="DU138" i="4"/>
  <c r="DU134" i="4"/>
  <c r="DU72" i="4"/>
  <c r="DU127" i="4"/>
  <c r="DU152" i="4"/>
  <c r="DU149" i="4"/>
  <c r="DU96" i="4"/>
  <c r="DU31" i="4"/>
  <c r="DU34" i="4"/>
  <c r="DU135" i="4"/>
  <c r="DU56" i="4"/>
  <c r="DU69" i="4"/>
  <c r="DU93" i="4"/>
  <c r="DU59" i="4"/>
  <c r="DU70" i="4"/>
  <c r="DU103" i="4"/>
  <c r="DU148" i="4"/>
  <c r="DU95" i="4"/>
  <c r="DU33" i="4"/>
  <c r="DU111" i="4"/>
  <c r="DU49" i="4"/>
  <c r="DU81" i="4"/>
  <c r="DU101" i="4"/>
  <c r="DU85" i="4"/>
  <c r="DU119" i="4"/>
  <c r="DU48" i="4"/>
  <c r="DU82" i="4"/>
  <c r="DU46" i="4"/>
  <c r="DU145" i="4"/>
  <c r="DU41" i="4"/>
  <c r="DU54" i="4"/>
  <c r="DU74" i="4"/>
  <c r="DU66" i="4"/>
  <c r="DU115" i="4"/>
  <c r="DU137" i="4"/>
  <c r="DU50" i="4"/>
  <c r="DU42" i="4"/>
  <c r="DU130" i="4"/>
  <c r="DU107" i="4"/>
  <c r="DU88" i="4"/>
  <c r="DU112" i="4"/>
  <c r="DU37" i="4"/>
  <c r="DU120" i="4"/>
  <c r="DU131" i="4"/>
  <c r="DU28" i="4"/>
  <c r="DU29" i="4"/>
  <c r="DU71" i="4"/>
  <c r="DU122" i="4"/>
  <c r="DU117" i="4"/>
  <c r="DU65" i="4"/>
  <c r="DU108" i="4"/>
  <c r="DU92" i="4"/>
  <c r="DU140" i="4"/>
  <c r="DU91" i="4"/>
  <c r="DU40" i="4"/>
  <c r="DU76" i="4"/>
  <c r="DU45" i="4"/>
  <c r="DU87" i="4"/>
  <c r="DU126" i="4"/>
  <c r="DU47" i="4"/>
  <c r="DU116" i="4"/>
  <c r="DU84" i="4"/>
  <c r="DU150" i="4"/>
  <c r="DU61" i="4"/>
  <c r="DU44" i="4"/>
  <c r="DU83" i="4"/>
  <c r="DU57" i="4"/>
  <c r="DU25" i="4"/>
  <c r="DU123" i="4"/>
  <c r="DU35" i="4"/>
  <c r="DU27" i="4"/>
  <c r="DU105" i="4"/>
  <c r="DU52" i="4"/>
  <c r="DU68" i="4"/>
  <c r="DU132" i="4"/>
  <c r="DU39" i="4"/>
  <c r="DU147" i="4"/>
  <c r="DU118" i="4"/>
  <c r="DU102" i="4"/>
  <c r="DU136" i="4"/>
  <c r="DU30" i="4"/>
  <c r="DU58" i="4"/>
  <c r="DU51" i="4"/>
  <c r="DU99" i="4"/>
  <c r="DU32" i="4"/>
  <c r="DU75" i="4"/>
  <c r="DU63" i="4"/>
  <c r="DU110" i="4"/>
  <c r="DU143" i="4"/>
  <c r="DU141" i="4"/>
  <c r="DU98" i="4"/>
  <c r="DU113" i="4"/>
  <c r="DU79" i="4"/>
  <c r="DU106" i="4"/>
  <c r="DU144" i="4"/>
  <c r="DU142" i="4"/>
  <c r="DU90" i="4"/>
  <c r="DU125" i="4"/>
  <c r="DU97" i="4"/>
  <c r="DU104" i="4"/>
  <c r="DU36" i="4"/>
  <c r="DU100" i="4"/>
  <c r="DY140" i="4"/>
  <c r="DY101" i="4"/>
  <c r="DY32" i="4"/>
  <c r="DY103" i="4"/>
  <c r="DY88" i="4"/>
  <c r="DY128" i="4"/>
  <c r="DY122" i="4"/>
  <c r="DY52" i="4"/>
  <c r="DY48" i="4"/>
  <c r="DY66" i="4"/>
  <c r="DY96" i="4"/>
  <c r="DY27" i="4"/>
  <c r="DY144" i="4"/>
  <c r="DY131" i="4"/>
  <c r="DY46" i="4"/>
  <c r="DY25" i="4"/>
  <c r="DY77" i="4"/>
  <c r="DY113" i="4"/>
  <c r="DY57" i="4"/>
  <c r="DY34" i="4"/>
  <c r="DY105" i="4"/>
  <c r="DY45" i="4"/>
  <c r="DY97" i="4"/>
  <c r="DY98" i="4"/>
  <c r="DY44" i="4"/>
  <c r="DY117" i="4"/>
  <c r="DY90" i="4"/>
  <c r="DY69" i="4"/>
  <c r="DY153" i="4"/>
  <c r="DY55" i="4"/>
  <c r="DY143" i="4"/>
  <c r="DY40" i="4"/>
  <c r="DY75" i="4"/>
  <c r="DY70" i="4"/>
  <c r="DY142" i="4"/>
  <c r="DY152" i="4"/>
  <c r="DY68" i="4"/>
  <c r="DY120" i="4"/>
  <c r="DY102" i="4"/>
  <c r="DY118" i="4"/>
  <c r="DY59" i="4"/>
  <c r="DY127" i="4"/>
  <c r="DY89" i="4"/>
  <c r="DY112" i="4"/>
  <c r="DY133" i="4"/>
  <c r="DY91" i="4"/>
  <c r="DY71" i="4"/>
  <c r="DY83" i="4"/>
  <c r="DY116" i="4"/>
  <c r="DY108" i="4"/>
  <c r="DY31" i="4"/>
  <c r="DY150" i="4"/>
  <c r="DY130" i="4"/>
  <c r="DY86" i="4"/>
  <c r="DY74" i="4"/>
  <c r="DY149" i="4"/>
  <c r="DY107" i="4"/>
  <c r="DY119" i="4"/>
  <c r="DY56" i="4"/>
  <c r="DY84" i="4"/>
  <c r="DY110" i="4"/>
  <c r="DY123" i="4"/>
  <c r="DY100" i="4"/>
  <c r="DY58" i="4"/>
  <c r="DY37" i="4"/>
  <c r="DY147" i="4"/>
  <c r="DY145" i="4"/>
  <c r="DY64" i="4"/>
  <c r="DY72" i="4"/>
  <c r="DY111" i="4"/>
  <c r="DY92" i="4"/>
  <c r="DY85" i="4"/>
  <c r="DY125" i="4"/>
  <c r="DY141" i="4"/>
  <c r="DY39" i="4"/>
  <c r="DY115" i="4"/>
  <c r="DY41" i="4"/>
  <c r="DY87" i="4"/>
  <c r="DY148" i="4"/>
  <c r="DY35" i="4"/>
  <c r="DY26" i="4"/>
  <c r="DY51" i="4"/>
  <c r="DY80" i="4"/>
  <c r="DY134" i="4"/>
  <c r="DY76" i="4"/>
  <c r="DY129" i="4"/>
  <c r="DY60" i="4"/>
  <c r="DY50" i="4"/>
  <c r="DY139" i="4"/>
  <c r="DY62" i="4"/>
  <c r="DY121" i="4"/>
  <c r="DY36" i="4"/>
  <c r="DY132" i="4"/>
  <c r="DY138" i="4"/>
  <c r="DY151" i="4"/>
  <c r="DY124" i="4"/>
  <c r="DY104" i="4"/>
  <c r="DY99" i="4"/>
  <c r="DY94" i="4"/>
  <c r="DY28" i="4"/>
  <c r="DY93" i="4"/>
  <c r="DY63" i="4"/>
  <c r="DY29" i="4"/>
  <c r="DY38" i="4"/>
  <c r="DY53" i="4"/>
  <c r="DY146" i="4"/>
  <c r="DY95" i="4"/>
  <c r="DY136" i="4"/>
  <c r="DY78" i="4"/>
  <c r="DY137" i="4"/>
  <c r="DY33" i="4"/>
  <c r="DY73" i="4"/>
  <c r="DY81" i="4"/>
  <c r="DY114" i="4"/>
  <c r="DY82" i="4"/>
  <c r="DY42" i="4"/>
  <c r="DY79" i="4"/>
  <c r="DY54" i="4"/>
  <c r="DY109" i="4"/>
  <c r="DY49" i="4"/>
  <c r="DY61" i="4"/>
  <c r="DY67" i="4"/>
  <c r="DY106" i="4"/>
  <c r="DY65" i="4"/>
  <c r="DY43" i="4"/>
  <c r="DY135" i="4"/>
  <c r="DY30" i="4"/>
  <c r="DY47" i="4"/>
  <c r="DY126" i="4"/>
  <c r="I34" i="4"/>
  <c r="I133" i="4"/>
  <c r="I128" i="4"/>
  <c r="I32" i="4"/>
  <c r="I63" i="4"/>
  <c r="I41" i="4"/>
  <c r="EF10" i="4"/>
  <c r="I89" i="4"/>
  <c r="I69" i="4"/>
  <c r="I98" i="4"/>
  <c r="I94" i="4"/>
  <c r="I112" i="4"/>
  <c r="I130" i="4"/>
  <c r="I138" i="4"/>
  <c r="I142" i="4"/>
  <c r="I92" i="4"/>
  <c r="I88" i="4"/>
  <c r="I91" i="4"/>
  <c r="I146" i="4"/>
  <c r="I46" i="4"/>
  <c r="I150" i="4"/>
  <c r="I71" i="4"/>
  <c r="I37" i="4"/>
  <c r="I30" i="4"/>
  <c r="I115" i="4"/>
  <c r="I36" i="4"/>
  <c r="I147" i="4"/>
  <c r="I56" i="4"/>
  <c r="I141" i="4"/>
  <c r="I83" i="4"/>
  <c r="I42" i="4"/>
  <c r="I145" i="4"/>
  <c r="I49" i="4"/>
  <c r="I43" i="4"/>
  <c r="I95" i="4"/>
  <c r="I77" i="4"/>
  <c r="I103" i="4"/>
  <c r="I47" i="4"/>
  <c r="I85" i="4"/>
  <c r="I76" i="4"/>
  <c r="I109" i="4"/>
  <c r="I114" i="4"/>
  <c r="I82" i="4"/>
  <c r="I107" i="4"/>
  <c r="I26" i="4"/>
  <c r="I120" i="4"/>
  <c r="I81" i="4"/>
  <c r="I140" i="4"/>
  <c r="I59" i="4"/>
  <c r="I118" i="4"/>
  <c r="I55" i="4"/>
  <c r="I105" i="4"/>
  <c r="I121" i="4"/>
  <c r="I31" i="4"/>
  <c r="I110" i="4"/>
  <c r="I61" i="4"/>
  <c r="I125" i="4"/>
  <c r="I144" i="4"/>
  <c r="I143" i="4"/>
  <c r="I73" i="4"/>
  <c r="I93" i="4"/>
  <c r="I70" i="4"/>
  <c r="I48" i="4"/>
  <c r="I123" i="4"/>
  <c r="I139" i="4"/>
  <c r="I84" i="4"/>
  <c r="I75" i="4"/>
  <c r="I72" i="4"/>
  <c r="I40" i="4"/>
  <c r="J156" i="4"/>
  <c r="I66" i="4"/>
  <c r="I65" i="4"/>
  <c r="I51" i="4"/>
  <c r="I86" i="4"/>
  <c r="I62" i="4"/>
  <c r="I78" i="4"/>
  <c r="I58" i="4"/>
  <c r="I52" i="4"/>
  <c r="I38" i="4"/>
  <c r="I106" i="4"/>
  <c r="I45" i="4"/>
  <c r="I29" i="4"/>
  <c r="I124" i="4"/>
  <c r="I97" i="4"/>
  <c r="I127" i="4"/>
  <c r="I126" i="4"/>
  <c r="I80" i="4"/>
  <c r="I101" i="4"/>
  <c r="I129" i="4"/>
  <c r="I50" i="4"/>
  <c r="I122" i="4"/>
  <c r="I108" i="4"/>
  <c r="I74" i="4"/>
  <c r="I151" i="4"/>
  <c r="I152" i="4"/>
  <c r="I28" i="4"/>
  <c r="I116" i="4"/>
  <c r="I96" i="4"/>
  <c r="I131" i="4"/>
  <c r="I90" i="4"/>
  <c r="I148" i="4"/>
  <c r="I132" i="4"/>
  <c r="I102" i="4"/>
  <c r="I67" i="4"/>
  <c r="I27" i="4"/>
  <c r="I64" i="4"/>
  <c r="I99" i="4"/>
  <c r="I149" i="4"/>
  <c r="I135" i="4"/>
  <c r="I53" i="4"/>
  <c r="I104" i="4"/>
  <c r="I134" i="4"/>
  <c r="I153" i="4"/>
  <c r="I33" i="4"/>
  <c r="I117" i="4"/>
  <c r="I79" i="4"/>
  <c r="I60" i="4"/>
  <c r="I57" i="4"/>
  <c r="I35" i="4"/>
  <c r="I100" i="4"/>
  <c r="I111" i="4"/>
  <c r="I113" i="4"/>
  <c r="I136" i="4"/>
  <c r="I25" i="4"/>
  <c r="I68" i="4"/>
  <c r="I137" i="4"/>
  <c r="I119" i="4"/>
  <c r="I44" i="4"/>
  <c r="I87" i="4"/>
  <c r="I39" i="4"/>
  <c r="I54" i="4"/>
  <c r="DV105" i="4"/>
  <c r="DV35" i="4"/>
  <c r="DV66" i="4"/>
  <c r="DV82" i="4"/>
  <c r="DV146" i="4"/>
  <c r="DV43" i="4"/>
  <c r="DV132" i="4"/>
  <c r="DV129" i="4"/>
  <c r="DV98" i="4"/>
  <c r="DV84" i="4"/>
  <c r="DV65" i="4"/>
  <c r="DV150" i="4"/>
  <c r="DV70" i="4"/>
  <c r="DV55" i="4"/>
  <c r="DV42" i="4"/>
  <c r="DV111" i="4"/>
  <c r="DV44" i="4"/>
  <c r="DV52" i="4"/>
  <c r="DV74" i="4"/>
  <c r="DV80" i="4"/>
  <c r="DV99" i="4"/>
  <c r="DV50" i="4"/>
  <c r="DV85" i="4"/>
  <c r="DV100" i="4"/>
  <c r="DV34" i="4"/>
  <c r="DV142" i="4"/>
  <c r="DV38" i="4"/>
  <c r="DV33" i="4"/>
  <c r="DV75" i="4"/>
  <c r="DV144" i="4"/>
  <c r="DV121" i="4"/>
  <c r="DV41" i="4"/>
  <c r="DV27" i="4"/>
  <c r="DV25" i="4"/>
  <c r="DV61" i="4"/>
  <c r="DV68" i="4"/>
  <c r="DV30" i="4"/>
  <c r="DV39" i="4"/>
  <c r="DV110" i="4"/>
  <c r="DV123" i="4"/>
  <c r="DV48" i="4"/>
  <c r="DV49" i="4"/>
  <c r="DV95" i="4"/>
  <c r="DV96" i="4"/>
  <c r="DV101" i="4"/>
  <c r="DV104" i="4"/>
  <c r="DV53" i="4"/>
  <c r="DV116" i="4"/>
  <c r="DV115" i="4"/>
  <c r="DV149" i="4"/>
  <c r="DV60" i="4"/>
  <c r="DV135" i="4"/>
  <c r="DV109" i="4"/>
  <c r="DV133" i="4"/>
  <c r="DV40" i="4"/>
  <c r="DV140" i="4"/>
  <c r="DV26" i="4"/>
  <c r="DV93" i="4"/>
  <c r="DV128" i="4"/>
  <c r="DV88" i="4"/>
  <c r="DV90" i="4"/>
  <c r="DV37" i="4"/>
  <c r="DV83" i="4"/>
  <c r="DV117" i="4"/>
  <c r="DV47" i="4"/>
  <c r="DV112" i="4"/>
  <c r="DV78" i="4"/>
  <c r="DV69" i="4"/>
  <c r="DV152" i="4"/>
  <c r="DV86" i="4"/>
  <c r="DV94" i="4"/>
  <c r="DV151" i="4"/>
  <c r="DV45" i="4"/>
  <c r="DV36" i="4"/>
  <c r="DV31" i="4"/>
  <c r="DV122" i="4"/>
  <c r="DV127" i="4"/>
  <c r="DV71" i="4"/>
  <c r="DV119" i="4"/>
  <c r="DV57" i="4"/>
  <c r="DV145" i="4"/>
  <c r="DV97" i="4"/>
  <c r="DV67" i="4"/>
  <c r="DV73" i="4"/>
  <c r="DV120" i="4"/>
  <c r="DV62" i="4"/>
  <c r="DV102" i="4"/>
  <c r="DV92" i="4"/>
  <c r="DV125" i="4"/>
  <c r="DV126" i="4"/>
  <c r="DV103" i="4"/>
  <c r="DV130" i="4"/>
  <c r="DV77" i="4"/>
  <c r="DV113" i="4"/>
  <c r="DV147" i="4"/>
  <c r="DV139" i="4"/>
  <c r="DV51" i="4"/>
  <c r="DV153" i="4"/>
  <c r="DV46" i="4"/>
  <c r="DV54" i="4"/>
  <c r="DV143" i="4"/>
  <c r="DV89" i="4"/>
  <c r="DV79" i="4"/>
  <c r="DV72" i="4"/>
  <c r="DV59" i="4"/>
  <c r="DV58" i="4"/>
  <c r="DV91" i="4"/>
  <c r="DV107" i="4"/>
  <c r="DV131" i="4"/>
  <c r="DV64" i="4"/>
  <c r="DV141" i="4"/>
  <c r="DV137" i="4"/>
  <c r="DV138" i="4"/>
  <c r="DV87" i="4"/>
  <c r="DV28" i="4"/>
  <c r="DV148" i="4"/>
  <c r="DV81" i="4"/>
  <c r="DV118" i="4"/>
  <c r="DV32" i="4"/>
  <c r="DV136" i="4"/>
  <c r="DV56" i="4"/>
  <c r="DV29" i="4"/>
  <c r="DV134" i="4"/>
  <c r="DV76" i="4"/>
  <c r="DV108" i="4"/>
  <c r="DV63" i="4"/>
  <c r="DV124" i="4"/>
  <c r="DV106" i="4"/>
  <c r="DV114" i="4"/>
  <c r="DZ103" i="4"/>
  <c r="DZ59" i="4"/>
  <c r="DZ62" i="4"/>
  <c r="DZ25" i="4"/>
  <c r="DZ117" i="4"/>
  <c r="DZ35" i="4"/>
  <c r="DZ29" i="4"/>
  <c r="DZ52" i="4"/>
  <c r="DZ124" i="4"/>
  <c r="DZ92" i="4"/>
  <c r="DZ134" i="4"/>
  <c r="DZ95" i="4"/>
  <c r="DZ43" i="4"/>
  <c r="DZ120" i="4"/>
  <c r="DZ88" i="4"/>
  <c r="DZ72" i="4"/>
  <c r="DZ107" i="4"/>
  <c r="DZ142" i="4"/>
  <c r="DZ121" i="4"/>
  <c r="DZ109" i="4"/>
  <c r="DZ69" i="4"/>
  <c r="DZ27" i="4"/>
  <c r="DZ46" i="4"/>
  <c r="DZ111" i="4"/>
  <c r="DZ105" i="4"/>
  <c r="DZ60" i="4"/>
  <c r="DZ55" i="4"/>
  <c r="DZ53" i="4"/>
  <c r="DZ132" i="4"/>
  <c r="DZ76" i="4"/>
  <c r="DZ139" i="4"/>
  <c r="DZ42" i="4"/>
  <c r="DZ30" i="4"/>
  <c r="DZ106" i="4"/>
  <c r="DZ140" i="4"/>
  <c r="DZ87" i="4"/>
  <c r="DZ56" i="4"/>
  <c r="DZ135" i="4"/>
  <c r="DZ100" i="4"/>
  <c r="DZ96" i="4"/>
  <c r="DZ81" i="4"/>
  <c r="DZ143" i="4"/>
  <c r="DZ151" i="4"/>
  <c r="DZ61" i="4"/>
  <c r="DZ70" i="4"/>
  <c r="DZ112" i="4"/>
  <c r="DZ94" i="4"/>
  <c r="DZ48" i="4"/>
  <c r="DZ115" i="4"/>
  <c r="DZ82" i="4"/>
  <c r="DZ98" i="4"/>
  <c r="DZ39" i="4"/>
  <c r="DZ116" i="4"/>
  <c r="DZ36" i="4"/>
  <c r="DZ45" i="4"/>
  <c r="DZ153" i="4"/>
  <c r="DZ127" i="4"/>
  <c r="DZ74" i="4"/>
  <c r="DZ28" i="4"/>
  <c r="DZ68" i="4"/>
  <c r="DZ104" i="4"/>
  <c r="DZ40" i="4"/>
  <c r="DZ63" i="4"/>
  <c r="DZ147" i="4"/>
  <c r="DZ136" i="4"/>
  <c r="DZ66" i="4"/>
  <c r="DZ125" i="4"/>
  <c r="DZ37" i="4"/>
  <c r="DZ148" i="4"/>
  <c r="DZ118" i="4"/>
  <c r="DZ47" i="4"/>
  <c r="DZ93" i="4"/>
  <c r="DZ101" i="4"/>
  <c r="DZ85" i="4"/>
  <c r="DZ54" i="4"/>
  <c r="DZ150" i="4"/>
  <c r="DZ144" i="4"/>
  <c r="DZ129" i="4"/>
  <c r="DZ138" i="4"/>
  <c r="DZ33" i="4"/>
  <c r="DZ84" i="4"/>
  <c r="DZ51" i="4"/>
  <c r="DZ122" i="4"/>
  <c r="DZ71" i="4"/>
  <c r="DZ123" i="4"/>
  <c r="DZ67" i="4"/>
  <c r="DZ89" i="4"/>
  <c r="DZ79" i="4"/>
  <c r="DZ114" i="4"/>
  <c r="DZ26" i="4"/>
  <c r="DZ110" i="4"/>
  <c r="DZ126" i="4"/>
  <c r="DZ77" i="4"/>
  <c r="DZ31" i="4"/>
  <c r="DZ130" i="4"/>
  <c r="DZ108" i="4"/>
  <c r="DZ64" i="4"/>
  <c r="DZ75" i="4"/>
  <c r="DZ65" i="4"/>
  <c r="DZ73" i="4"/>
  <c r="DZ44" i="4"/>
  <c r="DZ91" i="4"/>
  <c r="DZ86" i="4"/>
  <c r="DZ90" i="4"/>
  <c r="DZ80" i="4"/>
  <c r="DZ133" i="4"/>
  <c r="DZ32" i="4"/>
  <c r="DZ146" i="4"/>
  <c r="DZ97" i="4"/>
  <c r="DZ50" i="4"/>
  <c r="DZ58" i="4"/>
  <c r="DZ128" i="4"/>
  <c r="DZ145" i="4"/>
  <c r="DZ102" i="4"/>
  <c r="DZ41" i="4"/>
  <c r="DZ38" i="4"/>
  <c r="DZ141" i="4"/>
  <c r="DZ149" i="4"/>
  <c r="DZ119" i="4"/>
  <c r="DZ131" i="4"/>
  <c r="DZ83" i="4"/>
  <c r="DZ137" i="4"/>
  <c r="DZ78" i="4"/>
  <c r="DZ152" i="4"/>
  <c r="DZ34" i="4"/>
  <c r="DZ49" i="4"/>
  <c r="DZ57" i="4"/>
  <c r="DZ99" i="4"/>
  <c r="DZ113" i="4"/>
  <c r="DA156" i="4"/>
  <c r="DA60" i="4"/>
  <c r="DA36" i="4"/>
  <c r="DA48" i="4"/>
  <c r="DB73" i="4"/>
  <c r="DB76" i="4"/>
  <c r="DB80" i="4"/>
  <c r="DB74" i="4"/>
  <c r="DB85" i="4"/>
  <c r="DB79" i="4"/>
  <c r="DB87" i="4"/>
  <c r="DB78" i="4"/>
  <c r="DB81" i="4"/>
  <c r="DB82" i="4"/>
  <c r="DB156" i="4"/>
  <c r="DB75" i="4"/>
  <c r="DB77" i="4"/>
  <c r="DB83" i="4"/>
  <c r="DB86" i="4"/>
  <c r="DB84" i="4"/>
  <c r="N14" i="5"/>
  <c r="J14" i="5"/>
  <c r="F15" i="5"/>
  <c r="P14" i="5"/>
  <c r="H14" i="5"/>
  <c r="I14" i="5"/>
  <c r="O14" i="5"/>
  <c r="O15" i="5"/>
  <c r="P15" i="5"/>
  <c r="F16" i="5"/>
  <c r="N15" i="5"/>
  <c r="I15" i="5"/>
  <c r="H15" i="5"/>
  <c r="J15" i="5"/>
  <c r="F17" i="5"/>
  <c r="H16" i="5"/>
  <c r="O16" i="5"/>
  <c r="J16" i="5"/>
  <c r="P16" i="5"/>
  <c r="N16" i="5"/>
  <c r="I16" i="5"/>
  <c r="P17" i="5"/>
  <c r="F18" i="5"/>
  <c r="N17" i="5"/>
  <c r="J17" i="5"/>
  <c r="O17" i="5"/>
  <c r="H17" i="5"/>
  <c r="I17" i="5"/>
  <c r="N18" i="5"/>
  <c r="H18" i="5"/>
  <c r="J18" i="5"/>
  <c r="O18" i="5"/>
  <c r="I18" i="5"/>
  <c r="F19" i="5"/>
  <c r="P18" i="5"/>
  <c r="F20" i="5"/>
  <c r="N19" i="5"/>
  <c r="P19" i="5"/>
  <c r="H19" i="5"/>
  <c r="I19" i="5"/>
  <c r="O19" i="5"/>
  <c r="J19" i="5"/>
  <c r="P20" i="5"/>
  <c r="H20" i="5"/>
  <c r="J20" i="5"/>
  <c r="N20" i="5"/>
  <c r="I20" i="5"/>
  <c r="O20" i="5"/>
  <c r="F21" i="5"/>
  <c r="H21" i="5"/>
  <c r="N21" i="5"/>
  <c r="P21" i="5"/>
  <c r="O21" i="5"/>
  <c r="J21" i="5"/>
  <c r="F22" i="5"/>
  <c r="I21" i="5"/>
  <c r="N22" i="5"/>
  <c r="I22" i="5"/>
  <c r="O22" i="5"/>
  <c r="P22" i="5"/>
  <c r="F23" i="5"/>
  <c r="J22" i="5"/>
  <c r="H22" i="5"/>
  <c r="O23" i="5"/>
  <c r="J23" i="5"/>
  <c r="I23" i="5"/>
  <c r="F24" i="5"/>
  <c r="N23" i="5"/>
  <c r="P23" i="5"/>
  <c r="H23" i="5"/>
  <c r="F25" i="5"/>
  <c r="H24" i="5"/>
  <c r="P24" i="5"/>
  <c r="I24" i="5"/>
  <c r="J24" i="5"/>
  <c r="O24" i="5"/>
  <c r="N24" i="5"/>
  <c r="J25" i="5"/>
  <c r="I25" i="5"/>
  <c r="N25" i="5"/>
  <c r="O25" i="5"/>
  <c r="F26" i="5"/>
  <c r="P25" i="5"/>
  <c r="H25" i="5"/>
  <c r="P26" i="5"/>
  <c r="I26" i="5"/>
  <c r="J26" i="5"/>
  <c r="O26" i="5"/>
  <c r="N26" i="5"/>
  <c r="H26" i="5"/>
  <c r="F27" i="5"/>
  <c r="N27" i="5"/>
  <c r="H27" i="5"/>
  <c r="O27" i="5"/>
  <c r="I27" i="5"/>
  <c r="F28" i="5"/>
  <c r="P27" i="5"/>
  <c r="J27" i="5"/>
  <c r="H28" i="5"/>
  <c r="P28" i="5"/>
  <c r="J28" i="5"/>
  <c r="O28" i="5"/>
  <c r="N28" i="5"/>
  <c r="I28" i="5"/>
  <c r="F29" i="5"/>
  <c r="O29" i="5"/>
  <c r="N29" i="5"/>
  <c r="I29" i="5"/>
  <c r="H29" i="5"/>
  <c r="J29" i="5"/>
  <c r="P29" i="5"/>
  <c r="F30" i="5"/>
  <c r="F31" i="5"/>
  <c r="O30" i="5"/>
  <c r="H30" i="5"/>
  <c r="N30" i="5"/>
  <c r="P30" i="5"/>
  <c r="J30" i="5"/>
  <c r="I30" i="5"/>
  <c r="F32" i="5"/>
  <c r="P31" i="5"/>
  <c r="N31" i="5"/>
  <c r="H31" i="5"/>
  <c r="J31" i="5"/>
  <c r="O31" i="5"/>
  <c r="I31" i="5"/>
  <c r="P32" i="5"/>
  <c r="O32" i="5"/>
  <c r="N32" i="5"/>
  <c r="J32" i="5"/>
  <c r="I32" i="5"/>
  <c r="F33" i="5"/>
  <c r="H32" i="5"/>
  <c r="H33" i="5"/>
  <c r="I33" i="5"/>
  <c r="P33" i="5"/>
  <c r="O33" i="5"/>
  <c r="N33" i="5"/>
  <c r="J33" i="5"/>
  <c r="F34" i="5"/>
  <c r="J34" i="5"/>
  <c r="F35" i="5"/>
  <c r="O34" i="5"/>
  <c r="H34" i="5"/>
  <c r="P34" i="5"/>
  <c r="I34" i="5"/>
  <c r="N34" i="5"/>
  <c r="N35" i="5"/>
  <c r="H35" i="5"/>
  <c r="I35" i="5"/>
  <c r="P35" i="5"/>
  <c r="J35" i="5"/>
  <c r="F36" i="5"/>
  <c r="O35" i="5"/>
  <c r="P36" i="5"/>
  <c r="O36" i="5"/>
  <c r="F37" i="5"/>
  <c r="N36" i="5"/>
  <c r="I36" i="5"/>
  <c r="J36" i="5"/>
  <c r="H36" i="5"/>
  <c r="F38" i="5"/>
  <c r="H37" i="5"/>
  <c r="J37" i="5"/>
  <c r="I37" i="5"/>
  <c r="P37" i="5"/>
  <c r="O37" i="5"/>
  <c r="N37" i="5"/>
  <c r="N38" i="5"/>
  <c r="I38" i="5"/>
  <c r="J38" i="5"/>
  <c r="F39" i="5"/>
  <c r="H38" i="5"/>
  <c r="P38" i="5"/>
  <c r="O38" i="5"/>
  <c r="O39" i="5"/>
  <c r="I39" i="5"/>
  <c r="J39" i="5"/>
  <c r="N39" i="5"/>
  <c r="H39" i="5"/>
  <c r="P39" i="5"/>
  <c r="F40" i="5"/>
  <c r="P40" i="5"/>
  <c r="H40" i="5"/>
  <c r="I40" i="5"/>
  <c r="F41" i="5"/>
  <c r="O40" i="5"/>
  <c r="N40" i="5"/>
  <c r="J40" i="5"/>
  <c r="P41" i="5"/>
  <c r="N41" i="5"/>
  <c r="I41" i="5"/>
  <c r="O41" i="5"/>
  <c r="J41" i="5"/>
  <c r="H41" i="5"/>
  <c r="F42" i="5"/>
  <c r="N42" i="5"/>
  <c r="F43" i="5"/>
  <c r="O42" i="5"/>
  <c r="I42" i="5"/>
  <c r="H42" i="5"/>
  <c r="P42" i="5"/>
  <c r="J42" i="5"/>
  <c r="N43" i="5"/>
  <c r="O43" i="5"/>
  <c r="H43" i="5"/>
  <c r="P43" i="5"/>
  <c r="I43" i="5"/>
  <c r="J43" i="5"/>
  <c r="F44" i="5"/>
  <c r="I44" i="5"/>
  <c r="N44" i="5"/>
  <c r="H44" i="5"/>
  <c r="P44" i="5"/>
  <c r="F45" i="5"/>
  <c r="O44" i="5"/>
  <c r="J44" i="5"/>
  <c r="N45" i="5"/>
  <c r="O45" i="5"/>
  <c r="P45" i="5"/>
  <c r="I45" i="5"/>
  <c r="J45" i="5"/>
  <c r="H45" i="5"/>
  <c r="F46" i="5"/>
  <c r="O46" i="5"/>
  <c r="I46" i="5"/>
  <c r="H46" i="5"/>
  <c r="P46" i="5"/>
  <c r="F47" i="5"/>
  <c r="N46" i="5"/>
  <c r="J46" i="5"/>
  <c r="H47" i="5"/>
  <c r="F48" i="5"/>
  <c r="O47" i="5"/>
  <c r="I47" i="5"/>
  <c r="P47" i="5"/>
  <c r="J47" i="5"/>
  <c r="N47" i="5"/>
  <c r="EF61" i="4"/>
  <c r="EG63" i="4"/>
  <c r="EH65" i="4"/>
  <c r="N48" i="5"/>
  <c r="F49" i="5"/>
  <c r="P48" i="5"/>
  <c r="O48" i="5"/>
  <c r="J48" i="5"/>
  <c r="I48" i="5"/>
  <c r="H48" i="5"/>
  <c r="N49" i="5"/>
  <c r="F50" i="5"/>
  <c r="O49" i="5"/>
  <c r="P49" i="5"/>
  <c r="H49" i="5"/>
  <c r="I49" i="5"/>
  <c r="J49" i="5"/>
  <c r="O50" i="5"/>
  <c r="H50" i="5"/>
  <c r="P50" i="5"/>
  <c r="F51" i="5"/>
  <c r="J50" i="5"/>
  <c r="N50" i="5"/>
  <c r="I50" i="5"/>
  <c r="O51" i="5"/>
  <c r="N51" i="5"/>
  <c r="H51" i="5"/>
  <c r="J51" i="5"/>
  <c r="F52" i="5"/>
  <c r="I51" i="5"/>
  <c r="P51" i="5"/>
  <c r="I52" i="5"/>
  <c r="H52" i="5"/>
  <c r="O52" i="5"/>
  <c r="J52" i="5"/>
  <c r="N52" i="5"/>
  <c r="P52" i="5"/>
  <c r="F53" i="5"/>
  <c r="P53" i="5"/>
  <c r="H53" i="5"/>
  <c r="J53" i="5"/>
  <c r="F54" i="5"/>
  <c r="I53" i="5"/>
  <c r="O53" i="5"/>
  <c r="N53" i="5"/>
  <c r="H54" i="5"/>
  <c r="N54" i="5"/>
  <c r="F55" i="5"/>
  <c r="P54" i="5"/>
  <c r="J54" i="5"/>
  <c r="O54" i="5"/>
  <c r="I54" i="5"/>
  <c r="P55" i="5"/>
  <c r="O55" i="5"/>
  <c r="F56" i="5"/>
  <c r="N55" i="5"/>
  <c r="H55" i="5"/>
  <c r="J55" i="5"/>
  <c r="I55" i="5"/>
  <c r="J56" i="5"/>
  <c r="O56" i="5"/>
  <c r="F57" i="5"/>
  <c r="P56" i="5"/>
  <c r="I56" i="5"/>
  <c r="N56" i="5"/>
  <c r="H56" i="5"/>
  <c r="J57" i="5"/>
  <c r="I57" i="5"/>
  <c r="O57" i="5"/>
  <c r="N57" i="5"/>
  <c r="P57" i="5"/>
  <c r="H57" i="5"/>
  <c r="F58" i="5"/>
  <c r="F59" i="5"/>
  <c r="I58" i="5"/>
  <c r="N58" i="5"/>
  <c r="H58" i="5"/>
  <c r="P58" i="5"/>
  <c r="O58" i="5"/>
  <c r="J58" i="5"/>
  <c r="P59" i="5"/>
  <c r="N59" i="5"/>
  <c r="J59" i="5"/>
  <c r="O59" i="5"/>
  <c r="F60" i="5"/>
  <c r="H59" i="5"/>
  <c r="I59" i="5"/>
  <c r="I60" i="5"/>
  <c r="F61" i="5"/>
  <c r="N60" i="5"/>
  <c r="H60" i="5"/>
  <c r="P60" i="5"/>
  <c r="J60" i="5"/>
  <c r="O60" i="5"/>
  <c r="P61" i="5"/>
  <c r="F62" i="5"/>
  <c r="O61" i="5"/>
  <c r="H61" i="5"/>
  <c r="N61" i="5"/>
  <c r="J61" i="5"/>
  <c r="I61" i="5"/>
  <c r="N62" i="5"/>
  <c r="O62" i="5"/>
  <c r="J62" i="5"/>
  <c r="I62" i="5"/>
  <c r="P62" i="5"/>
  <c r="H62" i="5"/>
  <c r="F63" i="5"/>
  <c r="F64" i="5"/>
  <c r="J63" i="5"/>
  <c r="P63" i="5"/>
  <c r="I63" i="5"/>
  <c r="H63" i="5"/>
  <c r="N63" i="5"/>
  <c r="O63" i="5"/>
  <c r="J64" i="5"/>
  <c r="F65" i="5"/>
  <c r="P64" i="5"/>
  <c r="O64" i="5"/>
  <c r="I64" i="5"/>
  <c r="H64" i="5"/>
  <c r="N64" i="5"/>
  <c r="O65" i="5"/>
  <c r="I65" i="5"/>
  <c r="H65" i="5"/>
  <c r="P65" i="5"/>
  <c r="N65" i="5"/>
  <c r="J65" i="5"/>
  <c r="F66" i="5"/>
  <c r="N66" i="5"/>
  <c r="H66" i="5"/>
  <c r="I66" i="5"/>
  <c r="J66" i="5"/>
  <c r="P66" i="5"/>
  <c r="O66" i="5"/>
  <c r="F67" i="5"/>
  <c r="F68" i="5"/>
  <c r="O67" i="5"/>
  <c r="J67" i="5"/>
  <c r="I67" i="5"/>
  <c r="H67" i="5"/>
  <c r="N67" i="5"/>
  <c r="P67" i="5"/>
  <c r="P68" i="5"/>
  <c r="F69" i="5"/>
  <c r="J68" i="5"/>
  <c r="I68" i="5"/>
  <c r="N68" i="5"/>
  <c r="O68" i="5"/>
  <c r="H68" i="5"/>
  <c r="N69" i="5"/>
  <c r="P69" i="5"/>
  <c r="H69" i="5"/>
  <c r="F70" i="5"/>
  <c r="O69" i="5"/>
  <c r="J69" i="5"/>
  <c r="I69" i="5"/>
  <c r="I70" i="5"/>
  <c r="J70" i="5"/>
  <c r="F71" i="5"/>
  <c r="N70" i="5"/>
  <c r="H70" i="5"/>
  <c r="P70" i="5"/>
  <c r="O70" i="5"/>
  <c r="H71" i="5"/>
  <c r="P71" i="5"/>
  <c r="O71" i="5"/>
  <c r="J71" i="5"/>
  <c r="I71" i="5"/>
  <c r="F72" i="5"/>
  <c r="N71" i="5"/>
  <c r="F73" i="5"/>
  <c r="P72" i="5"/>
  <c r="J72" i="5"/>
  <c r="O72" i="5"/>
  <c r="H72" i="5"/>
  <c r="I72" i="5"/>
  <c r="N72" i="5"/>
  <c r="P73" i="5"/>
  <c r="I73" i="5"/>
  <c r="O73" i="5"/>
  <c r="N73" i="5"/>
  <c r="F74" i="5"/>
  <c r="J73" i="5"/>
  <c r="H73" i="5"/>
  <c r="H74" i="5"/>
  <c r="N74" i="5"/>
  <c r="O74" i="5"/>
  <c r="J74" i="5"/>
  <c r="P74" i="5"/>
  <c r="F75" i="5"/>
  <c r="I74" i="5"/>
  <c r="P75" i="5"/>
  <c r="I75" i="5"/>
  <c r="O75" i="5"/>
  <c r="J75" i="5"/>
  <c r="F76" i="5"/>
  <c r="N75" i="5"/>
  <c r="H75" i="5"/>
  <c r="F77" i="5"/>
  <c r="P76" i="5"/>
  <c r="J76" i="5"/>
  <c r="H76" i="5"/>
  <c r="O76" i="5"/>
  <c r="N76" i="5"/>
  <c r="I76" i="5"/>
  <c r="N77" i="5"/>
  <c r="J77" i="5"/>
  <c r="P77" i="5"/>
  <c r="O77" i="5"/>
  <c r="I77" i="5"/>
  <c r="H77" i="5"/>
  <c r="F78" i="5"/>
  <c r="F79" i="5"/>
  <c r="O78" i="5"/>
  <c r="I78" i="5"/>
  <c r="J78" i="5"/>
  <c r="H78" i="5"/>
  <c r="N78" i="5"/>
  <c r="P78" i="5"/>
  <c r="O79" i="5"/>
  <c r="H79" i="5"/>
  <c r="J79" i="5"/>
  <c r="F80" i="5"/>
  <c r="I79" i="5"/>
  <c r="P79" i="5"/>
  <c r="N79" i="5"/>
  <c r="O80" i="5"/>
  <c r="F81" i="5"/>
  <c r="I80" i="5"/>
  <c r="P80" i="5"/>
  <c r="H80" i="5"/>
  <c r="J80" i="5"/>
  <c r="N80" i="5"/>
  <c r="M107" i="5"/>
  <c r="M26" i="5"/>
  <c r="M77" i="5"/>
  <c r="M50" i="5"/>
  <c r="M122" i="5"/>
  <c r="M74" i="5"/>
  <c r="M57" i="5"/>
  <c r="M71" i="5"/>
  <c r="M64" i="5"/>
  <c r="M104" i="5"/>
  <c r="M76" i="5"/>
  <c r="M41" i="5"/>
  <c r="M142" i="5"/>
  <c r="M72" i="5"/>
  <c r="M130" i="5"/>
  <c r="M68" i="5"/>
  <c r="M129" i="5"/>
  <c r="M80" i="5"/>
  <c r="M117" i="5"/>
  <c r="M28" i="5"/>
  <c r="M121" i="5"/>
  <c r="M134" i="5"/>
  <c r="M47" i="5"/>
  <c r="M55" i="5"/>
  <c r="M132" i="5"/>
  <c r="M85" i="5"/>
  <c r="M70" i="5"/>
  <c r="M69" i="5"/>
  <c r="M105" i="5"/>
  <c r="M125" i="5"/>
  <c r="M75" i="5"/>
  <c r="M90" i="5"/>
  <c r="M92" i="5"/>
  <c r="M35" i="5"/>
  <c r="M58" i="5"/>
  <c r="M60" i="5"/>
  <c r="M96" i="5"/>
  <c r="M45" i="5"/>
  <c r="M62" i="5"/>
  <c r="M94" i="5"/>
  <c r="M110" i="5"/>
  <c r="M100" i="5"/>
  <c r="M133" i="5"/>
  <c r="M36" i="5"/>
  <c r="M33" i="5"/>
  <c r="M42" i="5"/>
  <c r="M126" i="5"/>
  <c r="M46" i="5"/>
  <c r="M67" i="5"/>
  <c r="M112" i="5"/>
  <c r="M81" i="5"/>
  <c r="M17" i="5"/>
  <c r="M89" i="5"/>
  <c r="L144" i="5"/>
  <c r="M138" i="5"/>
  <c r="M116" i="5"/>
  <c r="M32" i="5"/>
  <c r="M82" i="5"/>
  <c r="M113" i="5"/>
  <c r="M93" i="5"/>
  <c r="M24" i="5"/>
  <c r="M83" i="5"/>
  <c r="M20" i="5"/>
  <c r="M16" i="5"/>
  <c r="M43" i="5"/>
  <c r="M44" i="5"/>
  <c r="M39" i="5"/>
  <c r="M29" i="5"/>
  <c r="M88" i="5"/>
  <c r="M101" i="5"/>
  <c r="M59" i="5"/>
  <c r="M109" i="5"/>
  <c r="M139" i="5"/>
  <c r="M37" i="5"/>
  <c r="M136" i="5"/>
  <c r="M63" i="5"/>
  <c r="M48" i="5"/>
  <c r="M15" i="5"/>
  <c r="M102" i="5"/>
  <c r="M40" i="5"/>
  <c r="M30" i="5"/>
  <c r="M87" i="5"/>
  <c r="M141" i="5"/>
  <c r="M54" i="5"/>
  <c r="M19" i="5"/>
  <c r="M61" i="5"/>
  <c r="M135" i="5"/>
  <c r="M86" i="5"/>
  <c r="M131" i="5"/>
  <c r="M123" i="5"/>
  <c r="M27" i="5"/>
  <c r="M115" i="5"/>
  <c r="M52" i="5"/>
  <c r="M120" i="5"/>
  <c r="M103" i="5"/>
  <c r="M56" i="5"/>
  <c r="M34" i="5"/>
  <c r="M18" i="5"/>
  <c r="M99" i="5"/>
  <c r="M25" i="5"/>
  <c r="M66" i="5"/>
  <c r="M21" i="5"/>
  <c r="M14" i="5"/>
  <c r="M97" i="5"/>
  <c r="M51" i="5"/>
  <c r="M78" i="5"/>
  <c r="M73" i="5"/>
  <c r="M111" i="5"/>
  <c r="M22" i="5"/>
  <c r="M49" i="5"/>
  <c r="M137" i="5"/>
  <c r="M128" i="5"/>
  <c r="M124" i="5"/>
  <c r="M91" i="5"/>
  <c r="M84" i="5"/>
  <c r="M119" i="5"/>
  <c r="M140" i="5"/>
  <c r="M118" i="5"/>
  <c r="M95" i="5"/>
  <c r="M108" i="5"/>
  <c r="M31" i="5"/>
  <c r="M114" i="5"/>
  <c r="M98" i="5"/>
  <c r="M106" i="5"/>
  <c r="M79" i="5"/>
  <c r="M65" i="5"/>
  <c r="M38" i="5"/>
  <c r="M23" i="5"/>
  <c r="M53" i="5"/>
  <c r="M127" i="5"/>
  <c r="F82" i="5"/>
  <c r="O81" i="5"/>
  <c r="P81" i="5"/>
  <c r="H81" i="5"/>
  <c r="J81" i="5"/>
  <c r="N81" i="5"/>
  <c r="I81" i="5"/>
  <c r="I82" i="5"/>
  <c r="H82" i="5"/>
  <c r="P82" i="5"/>
  <c r="O82" i="5"/>
  <c r="J82" i="5"/>
  <c r="N82" i="5"/>
  <c r="F83" i="5"/>
  <c r="F84" i="5"/>
  <c r="O83" i="5"/>
  <c r="N83" i="5"/>
  <c r="H83" i="5"/>
  <c r="I83" i="5"/>
  <c r="J83" i="5"/>
  <c r="P83" i="5"/>
  <c r="H84" i="5"/>
  <c r="I84" i="5"/>
  <c r="N84" i="5"/>
  <c r="O84" i="5"/>
  <c r="J84" i="5"/>
  <c r="F85" i="5"/>
  <c r="P84" i="5"/>
  <c r="I85" i="5"/>
  <c r="J85" i="5"/>
  <c r="F86" i="5"/>
  <c r="P85" i="5"/>
  <c r="H85" i="5"/>
  <c r="N85" i="5"/>
  <c r="O85" i="5"/>
  <c r="N86" i="5"/>
  <c r="O86" i="5"/>
  <c r="J86" i="5"/>
  <c r="P86" i="5"/>
  <c r="F87" i="5"/>
  <c r="H86" i="5"/>
  <c r="I86" i="5"/>
  <c r="H87" i="5"/>
  <c r="N87" i="5"/>
  <c r="P87" i="5"/>
  <c r="O87" i="5"/>
  <c r="J87" i="5"/>
  <c r="I87" i="5"/>
  <c r="F88" i="5"/>
  <c r="J88" i="5"/>
  <c r="I88" i="5"/>
  <c r="O88" i="5"/>
  <c r="N88" i="5"/>
  <c r="H88" i="5"/>
  <c r="P88" i="5"/>
  <c r="F89" i="5"/>
  <c r="N89" i="5"/>
  <c r="F90" i="5"/>
  <c r="O89" i="5"/>
  <c r="J89" i="5"/>
  <c r="H89" i="5"/>
  <c r="P89" i="5"/>
  <c r="I89" i="5"/>
  <c r="EG81" i="4"/>
  <c r="EF79" i="4"/>
  <c r="EH83" i="4"/>
  <c r="P90" i="5"/>
  <c r="H90" i="5"/>
  <c r="F91" i="5"/>
  <c r="N90" i="5"/>
  <c r="I90" i="5"/>
  <c r="J90" i="5"/>
  <c r="O90" i="5"/>
  <c r="I91" i="5"/>
  <c r="F92" i="5"/>
  <c r="O91" i="5"/>
  <c r="P91" i="5"/>
  <c r="J91" i="5"/>
  <c r="H91" i="5"/>
  <c r="N91" i="5"/>
  <c r="O92" i="5"/>
  <c r="J92" i="5"/>
  <c r="F93" i="5"/>
  <c r="N92" i="5"/>
  <c r="H92" i="5"/>
  <c r="P92" i="5"/>
  <c r="I92" i="5"/>
  <c r="P93" i="5"/>
  <c r="N93" i="5"/>
  <c r="H93" i="5"/>
  <c r="O93" i="5"/>
  <c r="J93" i="5"/>
  <c r="F94" i="5"/>
  <c r="I93" i="5"/>
  <c r="O94" i="5"/>
  <c r="P94" i="5"/>
  <c r="H94" i="5"/>
  <c r="I94" i="5"/>
  <c r="N94" i="5"/>
  <c r="J94" i="5"/>
  <c r="F95" i="5"/>
  <c r="P95" i="5"/>
  <c r="H95" i="5"/>
  <c r="O95" i="5"/>
  <c r="J95" i="5"/>
  <c r="F96" i="5"/>
  <c r="N95" i="5"/>
  <c r="I95" i="5"/>
  <c r="N96" i="5"/>
  <c r="J96" i="5"/>
  <c r="P96" i="5"/>
  <c r="I96" i="5"/>
  <c r="O96" i="5"/>
  <c r="H96" i="5"/>
  <c r="F97" i="5"/>
  <c r="H97" i="5"/>
  <c r="J97" i="5"/>
  <c r="F98" i="5"/>
  <c r="N97" i="5"/>
  <c r="P97" i="5"/>
  <c r="I97" i="5"/>
  <c r="O97" i="5"/>
  <c r="J98" i="5"/>
  <c r="P98" i="5"/>
  <c r="O98" i="5"/>
  <c r="H98" i="5"/>
  <c r="F99" i="5"/>
  <c r="I98" i="5"/>
  <c r="N98" i="5"/>
  <c r="I99" i="5"/>
  <c r="P99" i="5"/>
  <c r="J99" i="5"/>
  <c r="H99" i="5"/>
  <c r="O99" i="5"/>
  <c r="F100" i="5"/>
  <c r="N99" i="5"/>
  <c r="O100" i="5"/>
  <c r="J100" i="5"/>
  <c r="F101" i="5"/>
  <c r="H100" i="5"/>
  <c r="I100" i="5"/>
  <c r="N100" i="5"/>
  <c r="P100" i="5"/>
  <c r="N101" i="5"/>
  <c r="H101" i="5"/>
  <c r="F102" i="5"/>
  <c r="O101" i="5"/>
  <c r="J101" i="5"/>
  <c r="I101" i="5"/>
  <c r="P101" i="5"/>
  <c r="P102" i="5"/>
  <c r="I102" i="5"/>
  <c r="N102" i="5"/>
  <c r="J102" i="5"/>
  <c r="O102" i="5"/>
  <c r="F103" i="5"/>
  <c r="H102" i="5"/>
  <c r="O103" i="5"/>
  <c r="P103" i="5"/>
  <c r="I103" i="5"/>
  <c r="H103" i="5"/>
  <c r="F104" i="5"/>
  <c r="N103" i="5"/>
  <c r="J103" i="5"/>
  <c r="I104" i="5"/>
  <c r="H104" i="5"/>
  <c r="O104" i="5"/>
  <c r="P104" i="5"/>
  <c r="N104" i="5"/>
  <c r="F105" i="5"/>
  <c r="J104" i="5"/>
  <c r="J105" i="5"/>
  <c r="N105" i="5"/>
  <c r="F106" i="5"/>
  <c r="O105" i="5"/>
  <c r="P105" i="5"/>
  <c r="H105" i="5"/>
  <c r="I105" i="5"/>
  <c r="O106" i="5"/>
  <c r="H106" i="5"/>
  <c r="J106" i="5"/>
  <c r="F107" i="5"/>
  <c r="I106" i="5"/>
  <c r="N106" i="5"/>
  <c r="P106" i="5"/>
  <c r="J107" i="5"/>
  <c r="F108" i="5"/>
  <c r="O107" i="5"/>
  <c r="H107" i="5"/>
  <c r="N107" i="5"/>
  <c r="I107" i="5"/>
  <c r="P107" i="5"/>
  <c r="F109" i="5"/>
  <c r="H108" i="5"/>
  <c r="P108" i="5"/>
  <c r="I108" i="5"/>
  <c r="J108" i="5"/>
  <c r="O108" i="5"/>
  <c r="N108" i="5"/>
  <c r="H109" i="5"/>
  <c r="I109" i="5"/>
  <c r="N109" i="5"/>
  <c r="J109" i="5"/>
  <c r="F110" i="5"/>
  <c r="O109" i="5"/>
  <c r="P109" i="5"/>
  <c r="N110" i="5"/>
  <c r="P110" i="5"/>
  <c r="H110" i="5"/>
  <c r="I110" i="5"/>
  <c r="J110" i="5"/>
  <c r="O110" i="5"/>
  <c r="F111" i="5"/>
  <c r="I111" i="5"/>
  <c r="J111" i="5"/>
  <c r="O111" i="5"/>
  <c r="F112" i="5"/>
  <c r="N111" i="5"/>
  <c r="P111" i="5"/>
  <c r="H111" i="5"/>
  <c r="N112" i="5"/>
  <c r="O112" i="5"/>
  <c r="J112" i="5"/>
  <c r="P112" i="5"/>
  <c r="F113" i="5"/>
  <c r="H112" i="5"/>
  <c r="I112" i="5"/>
  <c r="O113" i="5"/>
  <c r="H113" i="5"/>
  <c r="F114" i="5"/>
  <c r="P113" i="5"/>
  <c r="I113" i="5"/>
  <c r="J113" i="5"/>
  <c r="N113" i="5"/>
  <c r="I114" i="5"/>
  <c r="P114" i="5"/>
  <c r="N114" i="5"/>
  <c r="F115" i="5"/>
  <c r="O114" i="5"/>
  <c r="H114" i="5"/>
  <c r="J114" i="5"/>
  <c r="O115" i="5"/>
  <c r="J115" i="5"/>
  <c r="P115" i="5"/>
  <c r="N115" i="5"/>
  <c r="F116" i="5"/>
  <c r="H115" i="5"/>
  <c r="I115" i="5"/>
  <c r="H116" i="5"/>
  <c r="P116" i="5"/>
  <c r="O116" i="5"/>
  <c r="F117" i="5"/>
  <c r="I116" i="5"/>
  <c r="N116" i="5"/>
  <c r="J116" i="5"/>
  <c r="O117" i="5"/>
  <c r="P117" i="5"/>
  <c r="F118" i="5"/>
  <c r="J117" i="5"/>
  <c r="I117" i="5"/>
  <c r="N117" i="5"/>
  <c r="H117" i="5"/>
  <c r="F119" i="5"/>
  <c r="N118" i="5"/>
  <c r="P118" i="5"/>
  <c r="H118" i="5"/>
  <c r="J118" i="5"/>
  <c r="I118" i="5"/>
  <c r="O118" i="5"/>
  <c r="J119" i="5"/>
  <c r="O119" i="5"/>
  <c r="F120" i="5"/>
  <c r="P119" i="5"/>
  <c r="I119" i="5"/>
  <c r="H119" i="5"/>
  <c r="N119" i="5"/>
  <c r="P120" i="5"/>
  <c r="H120" i="5"/>
  <c r="F121" i="5"/>
  <c r="I120" i="5"/>
  <c r="O120" i="5"/>
  <c r="N120" i="5"/>
  <c r="J120" i="5"/>
  <c r="F122" i="5"/>
  <c r="I121" i="5"/>
  <c r="O121" i="5"/>
  <c r="N121" i="5"/>
  <c r="J121" i="5"/>
  <c r="P121" i="5"/>
  <c r="H121" i="5"/>
  <c r="O122" i="5"/>
  <c r="N122" i="5"/>
  <c r="J122" i="5"/>
  <c r="I122" i="5"/>
  <c r="P122" i="5"/>
  <c r="H122" i="5"/>
  <c r="F123" i="5"/>
  <c r="F124" i="5"/>
  <c r="P123" i="5"/>
  <c r="J123" i="5"/>
  <c r="H123" i="5"/>
  <c r="I123" i="5"/>
  <c r="N123" i="5"/>
  <c r="O123" i="5"/>
  <c r="N124" i="5"/>
  <c r="O124" i="5"/>
  <c r="I124" i="5"/>
  <c r="P124" i="5"/>
  <c r="J124" i="5"/>
  <c r="H124" i="5"/>
  <c r="F125" i="5"/>
  <c r="J125" i="5"/>
  <c r="P125" i="5"/>
  <c r="O125" i="5"/>
  <c r="N125" i="5"/>
  <c r="H125" i="5"/>
  <c r="I125" i="5"/>
  <c r="F126" i="5"/>
  <c r="O126" i="5"/>
  <c r="J126" i="5"/>
  <c r="F127" i="5"/>
  <c r="P126" i="5"/>
  <c r="H126" i="5"/>
  <c r="I126" i="5"/>
  <c r="N126" i="5"/>
  <c r="N127" i="5"/>
  <c r="J127" i="5"/>
  <c r="H127" i="5"/>
  <c r="F128" i="5"/>
  <c r="O127" i="5"/>
  <c r="P127" i="5"/>
  <c r="I127" i="5"/>
  <c r="H128" i="5"/>
  <c r="O128" i="5"/>
  <c r="N128" i="5"/>
  <c r="F129" i="5"/>
  <c r="P128" i="5"/>
  <c r="J128" i="5"/>
  <c r="I128" i="5"/>
  <c r="O129" i="5"/>
  <c r="H129" i="5"/>
  <c r="I129" i="5"/>
  <c r="P129" i="5"/>
  <c r="F130" i="5"/>
  <c r="J129" i="5"/>
  <c r="N129" i="5"/>
  <c r="I130" i="5"/>
  <c r="F131" i="5"/>
  <c r="O130" i="5"/>
  <c r="J130" i="5"/>
  <c r="N130" i="5"/>
  <c r="P130" i="5"/>
  <c r="H130" i="5"/>
  <c r="N131" i="5"/>
  <c r="H131" i="5"/>
  <c r="I131" i="5"/>
  <c r="O131" i="5"/>
  <c r="F132" i="5"/>
  <c r="P131" i="5"/>
  <c r="J131" i="5"/>
  <c r="P132" i="5"/>
  <c r="J132" i="5"/>
  <c r="F133" i="5"/>
  <c r="H132" i="5"/>
  <c r="I132" i="5"/>
  <c r="N132" i="5"/>
  <c r="O132" i="5"/>
  <c r="J133" i="5"/>
  <c r="O133" i="5"/>
  <c r="I133" i="5"/>
  <c r="N133" i="5"/>
  <c r="P133" i="5"/>
  <c r="H133" i="5"/>
  <c r="F134" i="5"/>
  <c r="O134" i="5"/>
  <c r="P134" i="5"/>
  <c r="I134" i="5"/>
  <c r="F135" i="5"/>
  <c r="H134" i="5"/>
  <c r="N134" i="5"/>
  <c r="J134" i="5"/>
  <c r="P135" i="5"/>
  <c r="I135" i="5"/>
  <c r="F136" i="5"/>
  <c r="N135" i="5"/>
  <c r="O135" i="5"/>
  <c r="H135" i="5"/>
  <c r="J135" i="5"/>
  <c r="I136" i="5"/>
  <c r="H136" i="5"/>
  <c r="O136" i="5"/>
  <c r="F137" i="5"/>
  <c r="N136" i="5"/>
  <c r="J136" i="5"/>
  <c r="P136" i="5"/>
  <c r="F138" i="5"/>
  <c r="N137" i="5"/>
  <c r="P137" i="5"/>
  <c r="I137" i="5"/>
  <c r="H137" i="5"/>
  <c r="J137" i="5"/>
  <c r="O137" i="5"/>
  <c r="J138" i="5"/>
  <c r="I138" i="5"/>
  <c r="O138" i="5"/>
  <c r="P138" i="5"/>
  <c r="F139" i="5"/>
  <c r="H138" i="5"/>
  <c r="N138" i="5"/>
  <c r="J139" i="5"/>
  <c r="F140" i="5"/>
  <c r="N139" i="5"/>
  <c r="O139" i="5"/>
  <c r="I139" i="5"/>
  <c r="H139" i="5"/>
  <c r="P139" i="5"/>
  <c r="O140" i="5"/>
  <c r="P140" i="5"/>
  <c r="I140" i="5"/>
  <c r="N140" i="5"/>
  <c r="F141" i="5"/>
  <c r="H140" i="5"/>
  <c r="J140" i="5"/>
  <c r="I142" i="5"/>
  <c r="I141" i="5"/>
  <c r="P142" i="5"/>
  <c r="O141" i="5"/>
  <c r="N141" i="5"/>
  <c r="F142" i="5"/>
  <c r="J141" i="5"/>
  <c r="H141" i="5"/>
  <c r="P141" i="5"/>
  <c r="J142" i="5"/>
  <c r="N142" i="5"/>
  <c r="H142" i="5"/>
  <c r="O142" i="5"/>
  <c r="DT81" i="46"/>
  <c r="DT138" i="46"/>
  <c r="DT149" i="46"/>
  <c r="DT37" i="46"/>
  <c r="DT48" i="46"/>
  <c r="DT52" i="46"/>
  <c r="DT153" i="46"/>
  <c r="DT141" i="46"/>
  <c r="DT96" i="46"/>
  <c r="DT76" i="46"/>
  <c r="DT145" i="46"/>
  <c r="DT122" i="46"/>
  <c r="DT28" i="46"/>
  <c r="DT148" i="46"/>
  <c r="DT68" i="46"/>
  <c r="DT151" i="46"/>
  <c r="DT134" i="46"/>
  <c r="DT111" i="46"/>
  <c r="DT115" i="46"/>
  <c r="DT137" i="46"/>
  <c r="DT90" i="46"/>
  <c r="DT100" i="46"/>
  <c r="DT46" i="46"/>
  <c r="DT84" i="46"/>
  <c r="DT62" i="46"/>
  <c r="DT130" i="46"/>
  <c r="DT152" i="46"/>
  <c r="DT44" i="46"/>
  <c r="DT47" i="46"/>
  <c r="DT70" i="46"/>
  <c r="DT102" i="46"/>
  <c r="DT131" i="46"/>
  <c r="DT31" i="46"/>
  <c r="DT104" i="46"/>
  <c r="DT39" i="46"/>
  <c r="DT72" i="46"/>
  <c r="DT50" i="46"/>
  <c r="DT54" i="46"/>
  <c r="DT71" i="46"/>
  <c r="DT105" i="46"/>
  <c r="DT55" i="46"/>
  <c r="DT133" i="46"/>
  <c r="DT42" i="46"/>
  <c r="DT87" i="46"/>
  <c r="DT150" i="46"/>
  <c r="DT32" i="46"/>
  <c r="DT112" i="46"/>
  <c r="DT97" i="46"/>
  <c r="DT129" i="46"/>
  <c r="DT92" i="46"/>
  <c r="DT110" i="46"/>
  <c r="DT63" i="46"/>
  <c r="DT124" i="46"/>
  <c r="DT146" i="46"/>
  <c r="DT78" i="46"/>
  <c r="DT121" i="46"/>
  <c r="DT64" i="46"/>
  <c r="DT88" i="46"/>
  <c r="DT65" i="46"/>
  <c r="DT33" i="46"/>
  <c r="DT38" i="46"/>
  <c r="DT114" i="46"/>
  <c r="DT66" i="46"/>
  <c r="DT139" i="46"/>
  <c r="DT41" i="46"/>
  <c r="DT34" i="46"/>
  <c r="DT45" i="46"/>
  <c r="DT82" i="46"/>
  <c r="DT119" i="46"/>
  <c r="DT27" i="46"/>
  <c r="DT142" i="46"/>
  <c r="DT144" i="46"/>
  <c r="DT36" i="46"/>
  <c r="DT40" i="46"/>
  <c r="DT69" i="46"/>
  <c r="DT93" i="46"/>
  <c r="DT123" i="46"/>
  <c r="DT126" i="46"/>
  <c r="DT116" i="46"/>
  <c r="DT30" i="46"/>
  <c r="DT94" i="46"/>
  <c r="DT60" i="46"/>
  <c r="DT109" i="46"/>
  <c r="DT143" i="46"/>
  <c r="DT26" i="46"/>
  <c r="DT80" i="46"/>
  <c r="DT107" i="46"/>
  <c r="DT147" i="46"/>
  <c r="DT86" i="46"/>
  <c r="DT57" i="46"/>
  <c r="DT127" i="46"/>
  <c r="DT49" i="46"/>
  <c r="DT106" i="46"/>
  <c r="DT51" i="46"/>
  <c r="DT75" i="46"/>
  <c r="DT103" i="46"/>
  <c r="DT132" i="46"/>
  <c r="DT117" i="46"/>
  <c r="DT98" i="46"/>
  <c r="DT91" i="46"/>
  <c r="DT85" i="46"/>
  <c r="DT67" i="46"/>
  <c r="DT99" i="46"/>
  <c r="DT79" i="46"/>
  <c r="DT74" i="46"/>
  <c r="DT35" i="46"/>
  <c r="DT43" i="46"/>
  <c r="DT83" i="46"/>
  <c r="DT140" i="46"/>
  <c r="DT25" i="46"/>
  <c r="DT53" i="46"/>
  <c r="DT135" i="46"/>
  <c r="DT101" i="46"/>
  <c r="DT113" i="46"/>
  <c r="DT77" i="46"/>
  <c r="DT29" i="46"/>
  <c r="DT120" i="46"/>
  <c r="DT56" i="46"/>
  <c r="DT73" i="46"/>
  <c r="DT95" i="46"/>
  <c r="DT61" i="46"/>
  <c r="DT58" i="46"/>
  <c r="DT128" i="46"/>
  <c r="DT108" i="46"/>
  <c r="DT59" i="46"/>
  <c r="DT118" i="46"/>
  <c r="DT89" i="46"/>
  <c r="DT136" i="46"/>
  <c r="DT125" i="46"/>
  <c r="DX65" i="46"/>
  <c r="DX93" i="46"/>
  <c r="DX47" i="46"/>
  <c r="DX91" i="46"/>
  <c r="DX44" i="46"/>
  <c r="DX39" i="46"/>
  <c r="DX128" i="46"/>
  <c r="DX106" i="46"/>
  <c r="DX82" i="46"/>
  <c r="DX120" i="46"/>
  <c r="DX138" i="46"/>
  <c r="DX92" i="46"/>
  <c r="DX146" i="46"/>
  <c r="DX77" i="46"/>
  <c r="DX45" i="46"/>
  <c r="DX111" i="46"/>
  <c r="DX145" i="46"/>
  <c r="DX69" i="46"/>
  <c r="DX115" i="46"/>
  <c r="DX34" i="46"/>
  <c r="DX133" i="46"/>
  <c r="DX40" i="46"/>
  <c r="DX59" i="46"/>
  <c r="DX140" i="46"/>
  <c r="DX103" i="46"/>
  <c r="DX121" i="46"/>
  <c r="DX147" i="46"/>
  <c r="DX70" i="46"/>
  <c r="DX88" i="46"/>
  <c r="DX72" i="46"/>
  <c r="DX53" i="46"/>
  <c r="DX37" i="46"/>
  <c r="DX29" i="46"/>
  <c r="DX43" i="46"/>
  <c r="DX96" i="46"/>
  <c r="DX67" i="46"/>
  <c r="DX152" i="46"/>
  <c r="DX89" i="46"/>
  <c r="DX148" i="46"/>
  <c r="DX26" i="46"/>
  <c r="DX79" i="46"/>
  <c r="DX123" i="46"/>
  <c r="DX102" i="46"/>
  <c r="DX129" i="46"/>
  <c r="DX153" i="46"/>
  <c r="DX58" i="46"/>
  <c r="DX27" i="46"/>
  <c r="DX104" i="46"/>
  <c r="DX80" i="46"/>
  <c r="DX139" i="46"/>
  <c r="DX71" i="46"/>
  <c r="DX108" i="46"/>
  <c r="DX99" i="46"/>
  <c r="DX137" i="46"/>
  <c r="DX149" i="46"/>
  <c r="DX66" i="46"/>
  <c r="DX98" i="46"/>
  <c r="DX31" i="46"/>
  <c r="DX122" i="46"/>
  <c r="DX130" i="46"/>
  <c r="DX124" i="46"/>
  <c r="DX52" i="46"/>
  <c r="DX68" i="46"/>
  <c r="DX51" i="46"/>
  <c r="DX116" i="46"/>
  <c r="DX131" i="46"/>
  <c r="DX81" i="46"/>
  <c r="DX132" i="46"/>
  <c r="DX143" i="46"/>
  <c r="DX38" i="46"/>
  <c r="DX125" i="46"/>
  <c r="DX78" i="46"/>
  <c r="DX118" i="46"/>
  <c r="DX57" i="46"/>
  <c r="DX109" i="46"/>
  <c r="DX85" i="46"/>
  <c r="DX54" i="46"/>
  <c r="DX63" i="46"/>
  <c r="DX90" i="46"/>
  <c r="DX64" i="46"/>
  <c r="DX41" i="46"/>
  <c r="DX33" i="46"/>
  <c r="DX110" i="46"/>
  <c r="DX83" i="46"/>
  <c r="DX141" i="46"/>
  <c r="DX105" i="46"/>
  <c r="DX95" i="46"/>
  <c r="DX101" i="46"/>
  <c r="DX135" i="46"/>
  <c r="DX117" i="46"/>
  <c r="DX136" i="46"/>
  <c r="DX30" i="46"/>
  <c r="DX126" i="46"/>
  <c r="DX87" i="46"/>
  <c r="DX60" i="46"/>
  <c r="DX151" i="46"/>
  <c r="DX32" i="46"/>
  <c r="DX50" i="46"/>
  <c r="DX42" i="46"/>
  <c r="DX62" i="46"/>
  <c r="DX114" i="46"/>
  <c r="DX74" i="46"/>
  <c r="DX86" i="46"/>
  <c r="DX142" i="46"/>
  <c r="DX46" i="46"/>
  <c r="DX56" i="46"/>
  <c r="DX97" i="46"/>
  <c r="DX84" i="46"/>
  <c r="DX48" i="46"/>
  <c r="DX150" i="46"/>
  <c r="DX113" i="46"/>
  <c r="DX35" i="46"/>
  <c r="DX144" i="46"/>
  <c r="DX107" i="46"/>
  <c r="DX36" i="46"/>
  <c r="DX73" i="46"/>
  <c r="DX127" i="46"/>
  <c r="DX28" i="46"/>
  <c r="DX49" i="46"/>
  <c r="DX100" i="46"/>
  <c r="DX25" i="46"/>
  <c r="DX119" i="46"/>
  <c r="DX55" i="46"/>
  <c r="DX134" i="46"/>
  <c r="DX112" i="46"/>
  <c r="DX76" i="46"/>
  <c r="DX94" i="46"/>
  <c r="DX75" i="46"/>
  <c r="DX61" i="46"/>
  <c r="DU69" i="46"/>
  <c r="DU25" i="46"/>
  <c r="DU90" i="46"/>
  <c r="DU127" i="46"/>
  <c r="DU75" i="46"/>
  <c r="DU82" i="46"/>
  <c r="DU73" i="46"/>
  <c r="DU60" i="46"/>
  <c r="DU38" i="46"/>
  <c r="DU72" i="46"/>
  <c r="DU31" i="46"/>
  <c r="DU50" i="46"/>
  <c r="DU142" i="46"/>
  <c r="DU148" i="46"/>
  <c r="DU59" i="46"/>
  <c r="DU120" i="46"/>
  <c r="DU27" i="46"/>
  <c r="DU36" i="46"/>
  <c r="DU86" i="46"/>
  <c r="DU47" i="46"/>
  <c r="DU54" i="46"/>
  <c r="DU149" i="46"/>
  <c r="DU126" i="46"/>
  <c r="DU61" i="46"/>
  <c r="DU133" i="46"/>
  <c r="DU49" i="46"/>
  <c r="DU45" i="46"/>
  <c r="DU26" i="46"/>
  <c r="DU101" i="46"/>
  <c r="DU68" i="46"/>
  <c r="DU102" i="46"/>
  <c r="DU91" i="46"/>
  <c r="DU55" i="46"/>
  <c r="DU151" i="46"/>
  <c r="DU58" i="46"/>
  <c r="DU107" i="46"/>
  <c r="DU89" i="46"/>
  <c r="DU84" i="46"/>
  <c r="DU109" i="46"/>
  <c r="DU122" i="46"/>
  <c r="DU76" i="46"/>
  <c r="DU143" i="46"/>
  <c r="DU53" i="46"/>
  <c r="DU97" i="46"/>
  <c r="DU44" i="46"/>
  <c r="DU35" i="46"/>
  <c r="DU147" i="46"/>
  <c r="DU48" i="46"/>
  <c r="DU105" i="46"/>
  <c r="DU117" i="46"/>
  <c r="DU62" i="46"/>
  <c r="DU131" i="46"/>
  <c r="DU146" i="46"/>
  <c r="DU141" i="46"/>
  <c r="DU96" i="46"/>
  <c r="DU124" i="46"/>
  <c r="DU57" i="46"/>
  <c r="DU136" i="46"/>
  <c r="DU106" i="46"/>
  <c r="DU110" i="46"/>
  <c r="DU140" i="46"/>
  <c r="DU93" i="46"/>
  <c r="DU28" i="46"/>
  <c r="DU118" i="46"/>
  <c r="DU98" i="46"/>
  <c r="DU92" i="46"/>
  <c r="DU108" i="46"/>
  <c r="DU152" i="46"/>
  <c r="DU121" i="46"/>
  <c r="DU71" i="46"/>
  <c r="DU104" i="46"/>
  <c r="DU37" i="46"/>
  <c r="DU129" i="46"/>
  <c r="DU64" i="46"/>
  <c r="DU132" i="46"/>
  <c r="DU32" i="46"/>
  <c r="DU85" i="46"/>
  <c r="DU81" i="46"/>
  <c r="DU43" i="46"/>
  <c r="DU77" i="46"/>
  <c r="DU42" i="46"/>
  <c r="DU70" i="46"/>
  <c r="DU113" i="46"/>
  <c r="DU123" i="46"/>
  <c r="DU41" i="46"/>
  <c r="DU138" i="46"/>
  <c r="DU56" i="46"/>
  <c r="DU30" i="46"/>
  <c r="DU46" i="46"/>
  <c r="DU52" i="46"/>
  <c r="DU100" i="46"/>
  <c r="DU150" i="46"/>
  <c r="DU135" i="46"/>
  <c r="DU78" i="46"/>
  <c r="DU67" i="46"/>
  <c r="DU33" i="46"/>
  <c r="DU145" i="46"/>
  <c r="DU65" i="46"/>
  <c r="DU51" i="46"/>
  <c r="DU88" i="46"/>
  <c r="DU87" i="46"/>
  <c r="DU139" i="46"/>
  <c r="DU144" i="46"/>
  <c r="DU116" i="46"/>
  <c r="DU63" i="46"/>
  <c r="DU80" i="46"/>
  <c r="DU74" i="46"/>
  <c r="DU34" i="46"/>
  <c r="DU29" i="46"/>
  <c r="DU134" i="46"/>
  <c r="DU130" i="46"/>
  <c r="DU99" i="46"/>
  <c r="DU40" i="46"/>
  <c r="DU83" i="46"/>
  <c r="DU103" i="46"/>
  <c r="DU66" i="46"/>
  <c r="DU128" i="46"/>
  <c r="DU115" i="46"/>
  <c r="DU153" i="46"/>
  <c r="DU125" i="46"/>
  <c r="DU111" i="46"/>
  <c r="DU94" i="46"/>
  <c r="DU95" i="46"/>
  <c r="DU119" i="46"/>
  <c r="DU114" i="46"/>
  <c r="DU79" i="46"/>
  <c r="DU39" i="46"/>
  <c r="DU137" i="46"/>
  <c r="DU112" i="46"/>
  <c r="DY115" i="46"/>
  <c r="DY77" i="46"/>
  <c r="DY86" i="46"/>
  <c r="DY139" i="46"/>
  <c r="DY146" i="46"/>
  <c r="DY123" i="46"/>
  <c r="DY80" i="46"/>
  <c r="DY33" i="46"/>
  <c r="DY55" i="46"/>
  <c r="DY30" i="46"/>
  <c r="DY71" i="46"/>
  <c r="DY114" i="46"/>
  <c r="DY78" i="46"/>
  <c r="DY56" i="46"/>
  <c r="DY29" i="46"/>
  <c r="DY43" i="46"/>
  <c r="DY62" i="46"/>
  <c r="DY72" i="46"/>
  <c r="DY93" i="46"/>
  <c r="DY99" i="46"/>
  <c r="DY103" i="46"/>
  <c r="DY106" i="46"/>
  <c r="DY101" i="46"/>
  <c r="DY65" i="46"/>
  <c r="DY95" i="46"/>
  <c r="DY73" i="46"/>
  <c r="DY100" i="46"/>
  <c r="DY116" i="46"/>
  <c r="DY28" i="46"/>
  <c r="DY84" i="46"/>
  <c r="DY118" i="46"/>
  <c r="DY143" i="46"/>
  <c r="DY37" i="46"/>
  <c r="DY87" i="46"/>
  <c r="DY130" i="46"/>
  <c r="DY129" i="46"/>
  <c r="DY133" i="46"/>
  <c r="DY34" i="46"/>
  <c r="DY50" i="46"/>
  <c r="DY38" i="46"/>
  <c r="DY151" i="46"/>
  <c r="DY64" i="46"/>
  <c r="DY41" i="46"/>
  <c r="DY109" i="46"/>
  <c r="DY140" i="46"/>
  <c r="DY79" i="46"/>
  <c r="DY39" i="46"/>
  <c r="DY149" i="46"/>
  <c r="DY112" i="46"/>
  <c r="DY81" i="46"/>
  <c r="DY66" i="46"/>
  <c r="DY61" i="46"/>
  <c r="DY69" i="46"/>
  <c r="DY113" i="46"/>
  <c r="DY134" i="46"/>
  <c r="DY92" i="46"/>
  <c r="DY117" i="46"/>
  <c r="DY35" i="46"/>
  <c r="DY54" i="46"/>
  <c r="DY147" i="46"/>
  <c r="DY48" i="46"/>
  <c r="DY142" i="46"/>
  <c r="DY132" i="46"/>
  <c r="DY111" i="46"/>
  <c r="DY108" i="46"/>
  <c r="DY67" i="46"/>
  <c r="DY40" i="46"/>
  <c r="DY122" i="46"/>
  <c r="DY53" i="46"/>
  <c r="DY131" i="46"/>
  <c r="DY128" i="46"/>
  <c r="DY51" i="46"/>
  <c r="DY32" i="46"/>
  <c r="DY110" i="46"/>
  <c r="DY126" i="46"/>
  <c r="DY120" i="46"/>
  <c r="DY107" i="46"/>
  <c r="DY119" i="46"/>
  <c r="DY82" i="46"/>
  <c r="DY102" i="46"/>
  <c r="DY36" i="46"/>
  <c r="DY105" i="46"/>
  <c r="DY76" i="46"/>
  <c r="DY148" i="46"/>
  <c r="DY137" i="46"/>
  <c r="DY45" i="46"/>
  <c r="DY59" i="46"/>
  <c r="DY145" i="46"/>
  <c r="DY150" i="46"/>
  <c r="DY58" i="46"/>
  <c r="DY25" i="46"/>
  <c r="DY89" i="46"/>
  <c r="DY94" i="46"/>
  <c r="DY60" i="46"/>
  <c r="DY83" i="46"/>
  <c r="DY90" i="46"/>
  <c r="DY144" i="46"/>
  <c r="DY42" i="46"/>
  <c r="DY68" i="46"/>
  <c r="DY152" i="46"/>
  <c r="DY31" i="46"/>
  <c r="DY121" i="46"/>
  <c r="DY96" i="46"/>
  <c r="DY127" i="46"/>
  <c r="DY26" i="46"/>
  <c r="DY75" i="46"/>
  <c r="DY46" i="46"/>
  <c r="DY135" i="46"/>
  <c r="DY49" i="46"/>
  <c r="DY153" i="46"/>
  <c r="DY44" i="46"/>
  <c r="DY98" i="46"/>
  <c r="DY125" i="46"/>
  <c r="DY57" i="46"/>
  <c r="DY91" i="46"/>
  <c r="DY88" i="46"/>
  <c r="DY63" i="46"/>
  <c r="DY136" i="46"/>
  <c r="DY138" i="46"/>
  <c r="DY52" i="46"/>
  <c r="DY27" i="46"/>
  <c r="DY85" i="46"/>
  <c r="DY141" i="46"/>
  <c r="DY104" i="46"/>
  <c r="DY70" i="46"/>
  <c r="DY124" i="46"/>
  <c r="DY47" i="46"/>
  <c r="DY74" i="46"/>
  <c r="DY97" i="46"/>
  <c r="DR73" i="46"/>
  <c r="DR147" i="46"/>
  <c r="DR126" i="46"/>
  <c r="DR129" i="46"/>
  <c r="DR135" i="46"/>
  <c r="DR91" i="46"/>
  <c r="DR89" i="46"/>
  <c r="DR70" i="46"/>
  <c r="DR75" i="46"/>
  <c r="DR76" i="46"/>
  <c r="DR66" i="46"/>
  <c r="DR120" i="46"/>
  <c r="DR141" i="46"/>
  <c r="DR80" i="46"/>
  <c r="DR138" i="46"/>
  <c r="DR108" i="46"/>
  <c r="DR45" i="46"/>
  <c r="DR114" i="46"/>
  <c r="DR57" i="46"/>
  <c r="DR60" i="46"/>
  <c r="DR82" i="46"/>
  <c r="DR96" i="46"/>
  <c r="DR51" i="46"/>
  <c r="DR87" i="46"/>
  <c r="DR102" i="46"/>
  <c r="DR63" i="46"/>
  <c r="DR117" i="46"/>
  <c r="DR86" i="46"/>
  <c r="DR105" i="46"/>
  <c r="DR99" i="46"/>
  <c r="DR90" i="46"/>
  <c r="DR54" i="46"/>
  <c r="DR72" i="46"/>
  <c r="DR69" i="46"/>
  <c r="DR150" i="46"/>
  <c r="DR28" i="46"/>
  <c r="DR79" i="46"/>
  <c r="DR71" i="46"/>
  <c r="DR35" i="46"/>
  <c r="DR132" i="46"/>
  <c r="DR48" i="46"/>
  <c r="DR93" i="46"/>
  <c r="DR144" i="46"/>
  <c r="DR78" i="46"/>
  <c r="DR41" i="46"/>
  <c r="DR123" i="46"/>
  <c r="DR84" i="46"/>
  <c r="DR81" i="46"/>
  <c r="DR74" i="46"/>
  <c r="DR68" i="46"/>
  <c r="DR77" i="46"/>
  <c r="DR32" i="46"/>
  <c r="DR88" i="46"/>
  <c r="DR111" i="46"/>
  <c r="DR38" i="46"/>
  <c r="DR85" i="46"/>
  <c r="DR153" i="46"/>
  <c r="DR83" i="46"/>
  <c r="DR36" i="46"/>
  <c r="DR42" i="46"/>
  <c r="DV121" i="46"/>
  <c r="DV150" i="46"/>
  <c r="DV74" i="46"/>
  <c r="DV105" i="46"/>
  <c r="DV116" i="46"/>
  <c r="DV34" i="46"/>
  <c r="DV44" i="46"/>
  <c r="DV101" i="46"/>
  <c r="DV82" i="46"/>
  <c r="DV30" i="46"/>
  <c r="DV137" i="46"/>
  <c r="DV141" i="46"/>
  <c r="DV69" i="46"/>
  <c r="DV28" i="46"/>
  <c r="DV148" i="46"/>
  <c r="DV70" i="46"/>
  <c r="DV124" i="46"/>
  <c r="DV99" i="46"/>
  <c r="DV75" i="46"/>
  <c r="DV57" i="46"/>
  <c r="DV85" i="46"/>
  <c r="DV143" i="46"/>
  <c r="DV129" i="46"/>
  <c r="DV84" i="46"/>
  <c r="DV58" i="46"/>
  <c r="DV73" i="46"/>
  <c r="DV152" i="46"/>
  <c r="DV134" i="46"/>
  <c r="DV79" i="46"/>
  <c r="DV55" i="46"/>
  <c r="DV130" i="46"/>
  <c r="DV62" i="46"/>
  <c r="DV115" i="46"/>
  <c r="DV119" i="46"/>
  <c r="DV132" i="46"/>
  <c r="DV114" i="46"/>
  <c r="DV117" i="46"/>
  <c r="DV123" i="46"/>
  <c r="DV43" i="46"/>
  <c r="DV89" i="46"/>
  <c r="DV103" i="46"/>
  <c r="DV147" i="46"/>
  <c r="DV139" i="46"/>
  <c r="DV146" i="46"/>
  <c r="DV153" i="46"/>
  <c r="DV32" i="46"/>
  <c r="DV100" i="46"/>
  <c r="DV94" i="46"/>
  <c r="DV93" i="46"/>
  <c r="DV80" i="46"/>
  <c r="DV77" i="46"/>
  <c r="DV37" i="46"/>
  <c r="DV96" i="46"/>
  <c r="DV66" i="46"/>
  <c r="DV110" i="46"/>
  <c r="DV49" i="46"/>
  <c r="DV131" i="46"/>
  <c r="DV56" i="46"/>
  <c r="DV60" i="46"/>
  <c r="DV64" i="46"/>
  <c r="DV95" i="46"/>
  <c r="DV47" i="46"/>
  <c r="DV53" i="46"/>
  <c r="DV68" i="46"/>
  <c r="DV88" i="46"/>
  <c r="DV109" i="46"/>
  <c r="DV144" i="46"/>
  <c r="DV36" i="46"/>
  <c r="DV91" i="46"/>
  <c r="DV38" i="46"/>
  <c r="DV102" i="46"/>
  <c r="DV111" i="46"/>
  <c r="DV149" i="46"/>
  <c r="DV71" i="46"/>
  <c r="DV27" i="46"/>
  <c r="DV113" i="46"/>
  <c r="DV120" i="46"/>
  <c r="DV33" i="46"/>
  <c r="DV81" i="46"/>
  <c r="DV151" i="46"/>
  <c r="DV136" i="46"/>
  <c r="DV35" i="46"/>
  <c r="DV48" i="46"/>
  <c r="DV50" i="46"/>
  <c r="DV25" i="46"/>
  <c r="DV26" i="46"/>
  <c r="DV65" i="46"/>
  <c r="DV140" i="46"/>
  <c r="DV52" i="46"/>
  <c r="DV112" i="46"/>
  <c r="DV138" i="46"/>
  <c r="DV142" i="46"/>
  <c r="DV126" i="46"/>
  <c r="DV63" i="46"/>
  <c r="DV97" i="46"/>
  <c r="DV108" i="46"/>
  <c r="DV98" i="46"/>
  <c r="DV122" i="46"/>
  <c r="DV145" i="46"/>
  <c r="DV106" i="46"/>
  <c r="DV45" i="46"/>
  <c r="DV59" i="46"/>
  <c r="DV42" i="46"/>
  <c r="DV135" i="46"/>
  <c r="DV118" i="46"/>
  <c r="DV67" i="46"/>
  <c r="DV133" i="46"/>
  <c r="DV86" i="46"/>
  <c r="DV41" i="46"/>
  <c r="DV90" i="46"/>
  <c r="DV61" i="46"/>
  <c r="DV92" i="46"/>
  <c r="DV31" i="46"/>
  <c r="DV54" i="46"/>
  <c r="DV39" i="46"/>
  <c r="DV83" i="46"/>
  <c r="DV46" i="46"/>
  <c r="DV78" i="46"/>
  <c r="DV87" i="46"/>
  <c r="DV76" i="46"/>
  <c r="DV72" i="46"/>
  <c r="DV128" i="46"/>
  <c r="DV125" i="46"/>
  <c r="DV51" i="46"/>
  <c r="DV29" i="46"/>
  <c r="DV104" i="46"/>
  <c r="DV40" i="46"/>
  <c r="DV107" i="46"/>
  <c r="DV127" i="46"/>
  <c r="EJ61" i="46"/>
  <c r="EJ115" i="46"/>
  <c r="EJ114" i="46"/>
  <c r="EJ104" i="46"/>
  <c r="EJ44" i="46"/>
  <c r="EJ124" i="46"/>
  <c r="EJ35" i="46"/>
  <c r="EJ55" i="46"/>
  <c r="EJ45" i="46"/>
  <c r="EJ112" i="46"/>
  <c r="EJ68" i="46"/>
  <c r="EJ129" i="46"/>
  <c r="EJ80" i="46"/>
  <c r="EJ102" i="46"/>
  <c r="EJ87" i="46"/>
  <c r="EJ73" i="46"/>
  <c r="EJ48" i="46"/>
  <c r="EJ96" i="46"/>
  <c r="EJ130" i="46"/>
  <c r="EJ145" i="46"/>
  <c r="EJ97" i="46"/>
  <c r="EJ126" i="46"/>
  <c r="EJ107" i="46"/>
  <c r="EJ62" i="46"/>
  <c r="EJ30" i="46"/>
  <c r="EJ67" i="46"/>
  <c r="EJ47" i="46"/>
  <c r="EJ57" i="46"/>
  <c r="EJ49" i="46"/>
  <c r="EJ98" i="46"/>
  <c r="EJ121" i="46"/>
  <c r="EJ60" i="46"/>
  <c r="EJ39" i="46"/>
  <c r="EJ105" i="46"/>
  <c r="EJ94" i="46"/>
  <c r="EJ72" i="46"/>
  <c r="EJ63" i="46"/>
  <c r="EJ120" i="46"/>
  <c r="EJ58" i="46"/>
  <c r="EJ142" i="46"/>
  <c r="EJ32" i="46"/>
  <c r="EJ76" i="46"/>
  <c r="EJ52" i="46"/>
  <c r="EJ59" i="46"/>
  <c r="EJ149" i="46"/>
  <c r="EJ34" i="46"/>
  <c r="EJ117" i="46"/>
  <c r="EJ71" i="46"/>
  <c r="EJ81" i="46"/>
  <c r="EJ64" i="46"/>
  <c r="EJ132" i="46"/>
  <c r="EJ66" i="46"/>
  <c r="EJ99" i="46"/>
  <c r="EJ134" i="46"/>
  <c r="EJ46" i="46"/>
  <c r="EJ89" i="46"/>
  <c r="EJ106" i="46"/>
  <c r="EJ31" i="46"/>
  <c r="EJ147" i="46"/>
  <c r="EJ70" i="46"/>
  <c r="EJ123" i="46"/>
  <c r="EJ116" i="46"/>
  <c r="EJ84" i="46"/>
  <c r="EJ79" i="46"/>
  <c r="EJ90" i="46"/>
  <c r="EJ92" i="46"/>
  <c r="EJ85" i="46"/>
  <c r="EJ37" i="46"/>
  <c r="EJ33" i="46"/>
  <c r="EJ50" i="46"/>
  <c r="EJ29" i="46"/>
  <c r="EJ143" i="46"/>
  <c r="EJ110" i="46"/>
  <c r="EJ140" i="46"/>
  <c r="EJ69" i="46"/>
  <c r="EJ82" i="46"/>
  <c r="EJ139" i="46"/>
  <c r="EJ93" i="46"/>
  <c r="EJ43" i="46"/>
  <c r="EJ101" i="46"/>
  <c r="EJ42" i="46"/>
  <c r="EJ109" i="46"/>
  <c r="EJ150" i="46"/>
  <c r="EJ78" i="46"/>
  <c r="EJ74" i="46"/>
  <c r="EJ41" i="46"/>
  <c r="EJ144" i="46"/>
  <c r="EJ119" i="46"/>
  <c r="EJ103" i="46"/>
  <c r="EJ91" i="46"/>
  <c r="EJ153" i="46"/>
  <c r="EJ136" i="46"/>
  <c r="EJ131" i="46"/>
  <c r="EJ25" i="46"/>
  <c r="EJ125" i="46"/>
  <c r="EJ146" i="46"/>
  <c r="EJ88" i="46"/>
  <c r="EJ108" i="46"/>
  <c r="EJ53" i="46"/>
  <c r="EJ26" i="46"/>
  <c r="EJ95" i="46"/>
  <c r="EJ83" i="46"/>
  <c r="EJ111" i="46"/>
  <c r="EJ28" i="46"/>
  <c r="EJ75" i="46"/>
  <c r="EJ122" i="46"/>
  <c r="EJ77" i="46"/>
  <c r="EJ65" i="46"/>
  <c r="EJ36" i="46"/>
  <c r="EJ56" i="46"/>
  <c r="EJ40" i="46"/>
  <c r="EJ54" i="46"/>
  <c r="EJ152" i="46"/>
  <c r="EJ148" i="46"/>
  <c r="EJ127" i="46"/>
  <c r="EJ137" i="46"/>
  <c r="EJ135" i="46"/>
  <c r="EJ141" i="46"/>
  <c r="EJ133" i="46"/>
  <c r="EJ86" i="46"/>
  <c r="EJ151" i="46"/>
  <c r="EJ138" i="46"/>
  <c r="EJ38" i="46"/>
  <c r="EJ100" i="46"/>
  <c r="EJ51" i="46"/>
  <c r="EJ27" i="46"/>
  <c r="EJ113" i="46"/>
  <c r="EJ118" i="46"/>
  <c r="EJ128" i="46"/>
  <c r="DS42" i="46"/>
  <c r="DS31" i="46"/>
  <c r="DS142" i="46"/>
  <c r="DS105" i="46"/>
  <c r="DS69" i="46"/>
  <c r="DS37" i="46"/>
  <c r="DS66" i="46"/>
  <c r="DS107" i="46"/>
  <c r="DS114" i="46"/>
  <c r="DS137" i="46"/>
  <c r="DS49" i="46"/>
  <c r="DS111" i="46"/>
  <c r="DS144" i="46"/>
  <c r="DS36" i="46"/>
  <c r="DS68" i="46"/>
  <c r="DS78" i="46"/>
  <c r="DS126" i="46"/>
  <c r="DS96" i="46"/>
  <c r="DS83" i="46"/>
  <c r="DS27" i="46"/>
  <c r="DS38" i="46"/>
  <c r="DS77" i="46"/>
  <c r="DS59" i="46"/>
  <c r="DS100" i="46"/>
  <c r="DS101" i="46"/>
  <c r="DS55" i="46"/>
  <c r="DS64" i="46"/>
  <c r="DS112" i="46"/>
  <c r="DS67" i="46"/>
  <c r="DS61" i="46"/>
  <c r="DS120" i="46"/>
  <c r="DS128" i="46"/>
  <c r="DS109" i="46"/>
  <c r="DS46" i="46"/>
  <c r="DS30" i="46"/>
  <c r="DS48" i="46"/>
  <c r="DS71" i="46"/>
  <c r="DS91" i="46"/>
  <c r="DS72" i="46"/>
  <c r="DS129" i="46"/>
  <c r="DS138" i="46"/>
  <c r="DS32" i="46"/>
  <c r="DS76" i="46"/>
  <c r="DS44" i="46"/>
  <c r="DS28" i="46"/>
  <c r="DS122" i="46"/>
  <c r="DS25" i="46"/>
  <c r="DS73" i="46"/>
  <c r="DS121" i="46"/>
  <c r="DS26" i="46"/>
  <c r="DS65" i="46"/>
  <c r="DS143" i="46"/>
  <c r="DS90" i="46"/>
  <c r="DS52" i="46"/>
  <c r="DS63" i="46"/>
  <c r="DS153" i="46"/>
  <c r="DS75" i="46"/>
  <c r="DS87" i="46"/>
  <c r="DS131" i="46"/>
  <c r="DS79" i="46"/>
  <c r="DS99" i="46"/>
  <c r="DS152" i="46"/>
  <c r="DS145" i="46"/>
  <c r="DS115" i="46"/>
  <c r="DS35" i="46"/>
  <c r="DS51" i="46"/>
  <c r="DS124" i="46"/>
  <c r="DS110" i="46"/>
  <c r="DS98" i="46"/>
  <c r="DS70" i="46"/>
  <c r="DS148" i="46"/>
  <c r="DS119" i="46"/>
  <c r="DS103" i="46"/>
  <c r="DS60" i="46"/>
  <c r="DS57" i="46"/>
  <c r="DS123" i="46"/>
  <c r="DS150" i="46"/>
  <c r="DS136" i="46"/>
  <c r="DS95" i="46"/>
  <c r="DS97" i="46"/>
  <c r="DS104" i="46"/>
  <c r="DS118" i="46"/>
  <c r="DS62" i="46"/>
  <c r="DS39" i="46"/>
  <c r="DS92" i="46"/>
  <c r="DS45" i="46"/>
  <c r="DS151" i="46"/>
  <c r="DS135" i="46"/>
  <c r="DS47" i="46"/>
  <c r="DS33" i="46"/>
  <c r="DS147" i="46"/>
  <c r="DS132" i="46"/>
  <c r="DS116" i="46"/>
  <c r="DS141" i="46"/>
  <c r="DS43" i="46"/>
  <c r="DS117" i="46"/>
  <c r="DS139" i="46"/>
  <c r="DS86" i="46"/>
  <c r="DS84" i="46"/>
  <c r="DS34" i="46"/>
  <c r="DS108" i="46"/>
  <c r="DS140" i="46"/>
  <c r="DS102" i="46"/>
  <c r="DS127" i="46"/>
  <c r="DS130" i="46"/>
  <c r="DS41" i="46"/>
  <c r="DS53" i="46"/>
  <c r="DS89" i="46"/>
  <c r="DS93" i="46"/>
  <c r="DS146" i="46"/>
  <c r="DS133" i="46"/>
  <c r="DS29" i="46"/>
  <c r="DS149" i="46"/>
  <c r="DS54" i="46"/>
  <c r="DS50" i="46"/>
  <c r="DS94" i="46"/>
  <c r="DS40" i="46"/>
  <c r="DS106" i="46"/>
  <c r="DS85" i="46"/>
  <c r="DS58" i="46"/>
  <c r="DS81" i="46"/>
  <c r="DS125" i="46"/>
  <c r="DS134" i="46"/>
  <c r="DS74" i="46"/>
  <c r="DS113" i="46"/>
  <c r="DS88" i="46"/>
  <c r="DS82" i="46"/>
  <c r="DS56" i="46"/>
  <c r="DS80" i="46"/>
  <c r="EH145" i="4"/>
  <c r="EG143" i="4"/>
  <c r="EF141" i="4"/>
  <c r="DW40" i="46"/>
  <c r="DW35" i="46"/>
  <c r="DW138" i="46"/>
  <c r="DW55" i="46"/>
  <c r="DW145" i="46"/>
  <c r="DW89" i="46"/>
  <c r="DW123" i="46"/>
  <c r="DW25" i="46"/>
  <c r="DW96" i="46"/>
  <c r="DW82" i="46"/>
  <c r="DW64" i="46"/>
  <c r="DW28" i="46"/>
  <c r="DW152" i="46"/>
  <c r="DW87" i="46"/>
  <c r="DW77" i="46"/>
  <c r="DW70" i="46"/>
  <c r="DW60" i="46"/>
  <c r="DW42" i="46"/>
  <c r="DW33" i="46"/>
  <c r="DW140" i="46"/>
  <c r="DW147" i="46"/>
  <c r="DW56" i="46"/>
  <c r="DW54" i="46"/>
  <c r="DW76" i="46"/>
  <c r="DW83" i="46"/>
  <c r="DW99" i="46"/>
  <c r="DW43" i="46"/>
  <c r="DW109" i="46"/>
  <c r="DW31" i="46"/>
  <c r="DW36" i="46"/>
  <c r="DW121" i="46"/>
  <c r="DW92" i="46"/>
  <c r="DW32" i="46"/>
  <c r="DW122" i="46"/>
  <c r="DW102" i="46"/>
  <c r="DW59" i="46"/>
  <c r="DW78" i="46"/>
  <c r="DW127" i="46"/>
  <c r="DW93" i="46"/>
  <c r="DW129" i="46"/>
  <c r="DW74" i="46"/>
  <c r="DW134" i="46"/>
  <c r="DW37" i="46"/>
  <c r="DW68" i="46"/>
  <c r="DW126" i="46"/>
  <c r="DW73" i="46"/>
  <c r="DW143" i="46"/>
  <c r="DW150" i="46"/>
  <c r="DW148" i="46"/>
  <c r="DW113" i="46"/>
  <c r="DW48" i="46"/>
  <c r="DW149" i="46"/>
  <c r="DW85" i="46"/>
  <c r="DW49" i="46"/>
  <c r="DW117" i="46"/>
  <c r="DW29" i="46"/>
  <c r="DW63" i="46"/>
  <c r="DW100" i="46"/>
  <c r="DW41" i="46"/>
  <c r="DW95" i="46"/>
  <c r="DW52" i="46"/>
  <c r="DW30" i="46"/>
  <c r="DW112" i="46"/>
  <c r="DW72" i="46"/>
  <c r="DW61" i="46"/>
  <c r="DW119" i="46"/>
  <c r="DW38" i="46"/>
  <c r="DW137" i="46"/>
  <c r="DW139" i="46"/>
  <c r="DW128" i="46"/>
  <c r="DW136" i="46"/>
  <c r="DW131" i="46"/>
  <c r="DW114" i="46"/>
  <c r="DW132" i="46"/>
  <c r="DW108" i="46"/>
  <c r="DW62" i="46"/>
  <c r="DW133" i="46"/>
  <c r="DW116" i="46"/>
  <c r="DW53" i="46"/>
  <c r="DW120" i="46"/>
  <c r="DW26" i="46"/>
  <c r="DW27" i="46"/>
  <c r="DW110" i="46"/>
  <c r="DW130" i="46"/>
  <c r="DW104" i="46"/>
  <c r="DW101" i="46"/>
  <c r="DW51" i="46"/>
  <c r="DW57" i="46"/>
  <c r="DW98" i="46"/>
  <c r="DW44" i="46"/>
  <c r="DW115" i="46"/>
  <c r="DW153" i="46"/>
  <c r="DW39" i="46"/>
  <c r="DW105" i="46"/>
  <c r="DW84" i="46"/>
  <c r="DW107" i="46"/>
  <c r="DW34" i="46"/>
  <c r="DW90" i="46"/>
  <c r="DW66" i="46"/>
  <c r="DW46" i="46"/>
  <c r="DW58" i="46"/>
  <c r="DW71" i="46"/>
  <c r="DW81" i="46"/>
  <c r="DW50" i="46"/>
  <c r="DW86" i="46"/>
  <c r="DW45" i="46"/>
  <c r="DW88" i="46"/>
  <c r="DW80" i="46"/>
  <c r="DW146" i="46"/>
  <c r="DW151" i="46"/>
  <c r="DW125" i="46"/>
  <c r="DW142" i="46"/>
  <c r="DW91" i="46"/>
  <c r="DW97" i="46"/>
  <c r="DW106" i="46"/>
  <c r="DW47" i="46"/>
  <c r="DW124" i="46"/>
  <c r="DW144" i="46"/>
  <c r="DW75" i="46"/>
  <c r="DW65" i="46"/>
  <c r="DW118" i="46"/>
  <c r="DW94" i="46"/>
  <c r="DW135" i="46"/>
  <c r="DW141" i="46"/>
  <c r="DW111" i="46"/>
  <c r="DW103" i="46"/>
  <c r="DW79" i="46"/>
  <c r="DW67" i="46"/>
  <c r="DW69" i="46"/>
  <c r="EF27" i="4"/>
  <c r="EG31" i="4"/>
  <c r="EH33" i="4"/>
  <c r="EH49" i="4"/>
  <c r="EF45" i="4"/>
  <c r="EG47" i="4"/>
  <c r="EF35" i="4"/>
  <c r="EH39" i="4"/>
  <c r="EG37" i="4"/>
  <c r="EF60" i="4"/>
  <c r="EG62" i="4"/>
  <c r="EH64" i="4"/>
  <c r="EH104" i="4"/>
  <c r="EF100" i="4"/>
  <c r="EG102" i="4"/>
  <c r="DA132" i="46"/>
  <c r="DA78" i="46"/>
  <c r="DA87" i="46"/>
  <c r="DA81" i="46"/>
  <c r="DA75" i="46"/>
  <c r="DA120" i="46"/>
  <c r="DA60" i="46"/>
  <c r="DA84" i="46"/>
  <c r="DA48" i="46"/>
  <c r="DA90" i="46"/>
  <c r="DA96" i="46"/>
  <c r="DA144" i="46"/>
  <c r="DA108" i="46"/>
  <c r="DA72" i="46"/>
  <c r="DA69" i="46"/>
  <c r="EF135" i="4"/>
  <c r="EH139" i="4"/>
  <c r="EG137" i="4"/>
  <c r="EF57" i="4"/>
  <c r="EH61" i="4"/>
  <c r="EG59" i="4"/>
  <c r="EH112" i="4"/>
  <c r="EG110" i="4"/>
  <c r="EF108" i="4"/>
  <c r="EG61" i="4"/>
  <c r="EH63" i="4"/>
  <c r="EF59" i="4"/>
  <c r="EG147" i="4"/>
  <c r="EH149" i="4"/>
  <c r="EF145" i="4"/>
  <c r="EG144" i="4"/>
  <c r="EH146" i="4"/>
  <c r="EF142" i="4"/>
  <c r="EG135" i="4"/>
  <c r="EH137" i="4"/>
  <c r="EF133" i="4"/>
  <c r="EF36" i="4"/>
  <c r="EH40" i="4"/>
  <c r="EG38" i="4"/>
  <c r="EF68" i="4"/>
  <c r="EH72" i="4"/>
  <c r="EG70" i="4"/>
  <c r="EF77" i="4"/>
  <c r="EH81" i="4"/>
  <c r="EG79" i="4"/>
  <c r="EG74" i="4"/>
  <c r="EF72" i="4"/>
  <c r="EH76" i="4"/>
  <c r="EF33" i="4"/>
  <c r="EG35" i="4"/>
  <c r="EH37" i="4"/>
  <c r="EF47" i="4"/>
  <c r="EH51" i="4"/>
  <c r="EG49" i="4"/>
  <c r="EF119" i="4"/>
  <c r="EH123" i="4"/>
  <c r="EG121" i="4"/>
  <c r="EF102" i="4"/>
  <c r="EH106" i="4"/>
  <c r="EG104" i="4"/>
  <c r="EF130" i="4"/>
  <c r="EG132" i="4"/>
  <c r="EH134" i="4"/>
  <c r="EF125" i="4"/>
  <c r="EH129" i="4"/>
  <c r="EG127" i="4"/>
  <c r="EH103" i="4"/>
  <c r="EG101" i="4"/>
  <c r="EF99" i="4"/>
  <c r="EG118" i="4"/>
  <c r="EH120" i="4"/>
  <c r="EF116" i="4"/>
  <c r="EF93" i="4"/>
  <c r="EH97" i="4"/>
  <c r="EG95" i="4"/>
  <c r="EG56" i="4"/>
  <c r="EF54" i="4"/>
  <c r="EH58" i="4"/>
  <c r="EG34" i="4"/>
  <c r="EF32" i="4"/>
  <c r="EH36" i="4"/>
  <c r="U80" i="5"/>
  <c r="T80" i="5"/>
  <c r="V80" i="5"/>
  <c r="EF80" i="4"/>
  <c r="EG82" i="4"/>
  <c r="EH84" i="4"/>
  <c r="C35" i="73"/>
  <c r="B5" i="73"/>
  <c r="C26" i="73"/>
  <c r="Q107" i="47"/>
  <c r="C107" i="47"/>
  <c r="EG68" i="4"/>
  <c r="EH70" i="4"/>
  <c r="EF66" i="4"/>
  <c r="EG99" i="4"/>
  <c r="EF97" i="4"/>
  <c r="EH101" i="4"/>
  <c r="EH94" i="4"/>
  <c r="EG92" i="4"/>
  <c r="EF90" i="4"/>
  <c r="EF25" i="4"/>
  <c r="EH31" i="4"/>
  <c r="EG29" i="4"/>
  <c r="EF107" i="4"/>
  <c r="EG109" i="4"/>
  <c r="EH111" i="4"/>
  <c r="Q40" i="47"/>
  <c r="C40" i="47"/>
  <c r="EF26" i="4"/>
  <c r="EH32" i="4"/>
  <c r="EG30" i="4"/>
  <c r="EF131" i="4"/>
  <c r="EH135" i="4"/>
  <c r="EG133" i="4"/>
  <c r="EH142" i="4"/>
  <c r="EF138" i="4"/>
  <c r="EG140" i="4"/>
  <c r="EF126" i="4"/>
  <c r="EH130" i="4"/>
  <c r="EG128" i="4"/>
  <c r="U104" i="5"/>
  <c r="T104" i="5"/>
  <c r="V104" i="5"/>
  <c r="EG73" i="4"/>
  <c r="EH75" i="4"/>
  <c r="EF71" i="4"/>
  <c r="V92" i="5"/>
  <c r="T92" i="5"/>
  <c r="U92" i="5"/>
  <c r="EF113" i="4"/>
  <c r="EG115" i="4"/>
  <c r="EH117" i="4"/>
  <c r="EF132" i="4"/>
  <c r="EG134" i="4"/>
  <c r="EH136" i="4"/>
  <c r="U79" i="5"/>
  <c r="T79" i="5"/>
  <c r="V79" i="5"/>
  <c r="V26" i="5"/>
  <c r="T26" i="5"/>
  <c r="U26" i="5"/>
  <c r="Q112" i="47"/>
  <c r="C112" i="47"/>
  <c r="EB22" i="4"/>
  <c r="CY156" i="4"/>
  <c r="EG85" i="4"/>
  <c r="EF83" i="4"/>
  <c r="EH87" i="4"/>
  <c r="CX72" i="46"/>
  <c r="CX156" i="46"/>
  <c r="CX84" i="46"/>
  <c r="U52" i="5"/>
  <c r="T52" i="5"/>
  <c r="V52" i="5"/>
  <c r="EG138" i="4"/>
  <c r="EH140" i="4"/>
  <c r="EF136" i="4"/>
  <c r="EG66" i="4"/>
  <c r="EH68" i="4"/>
  <c r="EF64" i="4"/>
  <c r="EG43" i="4"/>
  <c r="EH45" i="4"/>
  <c r="EF41" i="4"/>
  <c r="V33" i="5"/>
  <c r="T33" i="5"/>
  <c r="U33" i="5"/>
  <c r="U36" i="5"/>
  <c r="T36" i="5"/>
  <c r="V36" i="5"/>
  <c r="EF140" i="4"/>
  <c r="EH144" i="4"/>
  <c r="EG142" i="4"/>
  <c r="V93" i="5"/>
  <c r="T93" i="5"/>
  <c r="U93" i="5"/>
  <c r="D98" i="46"/>
  <c r="F144" i="5"/>
  <c r="Q125" i="47"/>
  <c r="C125" i="47"/>
  <c r="H365" i="3"/>
  <c r="H364" i="3"/>
  <c r="AB68" i="30"/>
  <c r="EF104" i="4"/>
  <c r="EH108" i="4"/>
  <c r="EG106" i="4"/>
  <c r="EF85" i="4"/>
  <c r="EG87" i="4"/>
  <c r="EH89" i="4"/>
  <c r="EG112" i="4"/>
  <c r="EF110" i="4"/>
  <c r="EH114" i="4"/>
  <c r="EG120" i="4"/>
  <c r="EH122" i="4"/>
  <c r="EF118" i="4"/>
  <c r="EF51" i="4"/>
  <c r="EH55" i="4"/>
  <c r="EG53" i="4"/>
  <c r="V107" i="5"/>
  <c r="T107" i="5"/>
  <c r="U107" i="5"/>
  <c r="EF146" i="4"/>
  <c r="EG148" i="4"/>
  <c r="EH150" i="4"/>
  <c r="EH42" i="4"/>
  <c r="EG40" i="4"/>
  <c r="EF38" i="4"/>
  <c r="V136" i="5"/>
  <c r="T136" i="5"/>
  <c r="U136" i="5"/>
  <c r="EF122" i="4"/>
  <c r="EG124" i="4"/>
  <c r="EH126" i="4"/>
  <c r="V39" i="5"/>
  <c r="T39" i="5"/>
  <c r="U39" i="5"/>
  <c r="EG84" i="4"/>
  <c r="EF82" i="4"/>
  <c r="EH86" i="4"/>
  <c r="EF65" i="4"/>
  <c r="EH69" i="4"/>
  <c r="EG67" i="4"/>
  <c r="EG65" i="4"/>
  <c r="EF63" i="4"/>
  <c r="EH67" i="4"/>
  <c r="EF101" i="4"/>
  <c r="EG103" i="4"/>
  <c r="EH105" i="4"/>
  <c r="C137" i="47"/>
  <c r="Q137" i="47"/>
  <c r="V51" i="5"/>
  <c r="T51" i="5"/>
  <c r="U51" i="5"/>
  <c r="EH153" i="4"/>
  <c r="EG151" i="4"/>
  <c r="EF149" i="4"/>
  <c r="EH96" i="4"/>
  <c r="EG94" i="4"/>
  <c r="EF92" i="4"/>
  <c r="C49" i="47"/>
  <c r="Q49" i="47"/>
  <c r="C99" i="47"/>
  <c r="Q99" i="47"/>
  <c r="U87" i="5"/>
  <c r="T87" i="5"/>
  <c r="V87" i="5"/>
  <c r="EG45" i="4"/>
  <c r="EH47" i="4"/>
  <c r="EF43" i="4"/>
  <c r="EH115" i="4"/>
  <c r="EG113" i="4"/>
  <c r="EF111" i="4"/>
  <c r="Q64" i="47"/>
  <c r="C64" i="47"/>
  <c r="V139" i="5"/>
  <c r="T139" i="5"/>
  <c r="U139" i="5"/>
  <c r="U89" i="5"/>
  <c r="T89" i="5"/>
  <c r="V89" i="5"/>
  <c r="C123" i="47"/>
  <c r="Q123" i="47"/>
  <c r="C19" i="47"/>
  <c r="Q19" i="47"/>
  <c r="Q83" i="47"/>
  <c r="C83" i="47"/>
  <c r="G126" i="5"/>
  <c r="P126" i="47"/>
  <c r="EH88" i="4"/>
  <c r="EF84" i="4"/>
  <c r="EG86" i="4"/>
  <c r="V117" i="5"/>
  <c r="T117" i="5"/>
  <c r="U117" i="5"/>
  <c r="Q82" i="47"/>
  <c r="C82" i="47"/>
  <c r="U70" i="5"/>
  <c r="T70" i="5"/>
  <c r="V70" i="5"/>
  <c r="C77" i="47"/>
  <c r="Q77" i="47"/>
  <c r="Q21" i="47"/>
  <c r="C21" i="47"/>
  <c r="EF70" i="4"/>
  <c r="EG72" i="4"/>
  <c r="EH74" i="4"/>
  <c r="C47" i="47"/>
  <c r="Q47" i="47"/>
  <c r="V133" i="5"/>
  <c r="T133" i="5"/>
  <c r="U133" i="5"/>
  <c r="EH35" i="4"/>
  <c r="EG33" i="4"/>
  <c r="EF31" i="4"/>
  <c r="EG98" i="4"/>
  <c r="EF96" i="4"/>
  <c r="EH100" i="4"/>
  <c r="EH52" i="4"/>
  <c r="EF48" i="4"/>
  <c r="EG50" i="4"/>
  <c r="U61" i="5"/>
  <c r="T61" i="5"/>
  <c r="V61" i="5"/>
  <c r="EF106" i="4"/>
  <c r="EH110" i="4"/>
  <c r="EG108" i="4"/>
  <c r="EG97" i="4"/>
  <c r="EH99" i="4"/>
  <c r="EF95" i="4"/>
  <c r="U100" i="5"/>
  <c r="T100" i="5"/>
  <c r="V100" i="5"/>
  <c r="C61" i="47"/>
  <c r="Q61" i="47"/>
  <c r="E37" i="5"/>
  <c r="EG60" i="4"/>
  <c r="EF58" i="4"/>
  <c r="EH62" i="4"/>
  <c r="EF89" i="4"/>
  <c r="EH93" i="4"/>
  <c r="EG91" i="4"/>
  <c r="V22" i="5"/>
  <c r="T22" i="5"/>
  <c r="U22" i="5"/>
  <c r="C28" i="47"/>
  <c r="Q28" i="47"/>
  <c r="C140" i="47"/>
  <c r="Q140" i="47"/>
  <c r="EF129" i="4"/>
  <c r="EH133" i="4"/>
  <c r="EG131" i="4"/>
  <c r="EG51" i="4"/>
  <c r="EF49" i="4"/>
  <c r="EH53" i="4"/>
  <c r="EG126" i="4"/>
  <c r="EH128" i="4"/>
  <c r="EF124" i="4"/>
  <c r="EH38" i="4"/>
  <c r="EG36" i="4"/>
  <c r="EF34" i="4"/>
  <c r="EH102" i="4"/>
  <c r="EF98" i="4"/>
  <c r="EG100" i="4"/>
  <c r="EF137" i="4"/>
  <c r="EG139" i="4"/>
  <c r="EH141" i="4"/>
  <c r="Q58" i="47"/>
  <c r="C58" i="47"/>
  <c r="EG150" i="4"/>
  <c r="EH152" i="4"/>
  <c r="EF148" i="4"/>
  <c r="EG107" i="4"/>
  <c r="EF105" i="4"/>
  <c r="EH109" i="4"/>
  <c r="EF74" i="4"/>
  <c r="EH78" i="4"/>
  <c r="EG76" i="4"/>
  <c r="EG119" i="4"/>
  <c r="EH121" i="4"/>
  <c r="EF117" i="4"/>
  <c r="EF30" i="4"/>
  <c r="EG32" i="4"/>
  <c r="EH34" i="4"/>
  <c r="EH44" i="4"/>
  <c r="EG42" i="4"/>
  <c r="EF40" i="4"/>
  <c r="U67" i="5"/>
  <c r="T67" i="5"/>
  <c r="V67" i="5"/>
  <c r="C55" i="47"/>
  <c r="Q55" i="47"/>
  <c r="Q98" i="47"/>
  <c r="C98" i="47"/>
  <c r="Q31" i="47"/>
  <c r="C31" i="47"/>
  <c r="V141" i="5"/>
  <c r="T141" i="5"/>
  <c r="U141" i="5"/>
  <c r="U68" i="5"/>
  <c r="T68" i="5"/>
  <c r="V68" i="5"/>
  <c r="C62" i="47"/>
  <c r="Q62" i="47"/>
  <c r="V45" i="5"/>
  <c r="T45" i="5"/>
  <c r="U45" i="5"/>
  <c r="U21" i="5"/>
  <c r="T21" i="5"/>
  <c r="V21" i="5"/>
  <c r="Q18" i="47"/>
  <c r="C18" i="47"/>
  <c r="EG48" i="4"/>
  <c r="EF46" i="4"/>
  <c r="EH50" i="4"/>
  <c r="U49" i="5"/>
  <c r="T49" i="5"/>
  <c r="V49" i="5"/>
  <c r="V130" i="5"/>
  <c r="T130" i="5"/>
  <c r="U130" i="5"/>
  <c r="U42" i="5"/>
  <c r="T42" i="5"/>
  <c r="V42" i="5"/>
  <c r="Q71" i="47"/>
  <c r="C71" i="47"/>
  <c r="C78" i="47"/>
  <c r="Q78" i="47"/>
  <c r="C88" i="47"/>
  <c r="Q88" i="47"/>
  <c r="C104" i="47"/>
  <c r="Q104" i="47"/>
  <c r="C108" i="47"/>
  <c r="Q108" i="47"/>
  <c r="G138" i="46"/>
  <c r="EG122" i="4"/>
  <c r="EH124" i="4"/>
  <c r="EF120" i="4"/>
  <c r="EG125" i="4"/>
  <c r="EF123" i="4"/>
  <c r="EH127" i="4"/>
  <c r="EF86" i="4"/>
  <c r="EG88" i="4"/>
  <c r="EH90" i="4"/>
  <c r="EH41" i="4"/>
  <c r="EG39" i="4"/>
  <c r="EF37" i="4"/>
  <c r="L72" i="5"/>
  <c r="V138" i="5"/>
  <c r="T138" i="5"/>
  <c r="U138" i="5"/>
  <c r="Q14" i="47"/>
  <c r="C14" i="47"/>
  <c r="U64" i="5"/>
  <c r="T64" i="5"/>
  <c r="V64" i="5"/>
  <c r="Q74" i="47"/>
  <c r="C74" i="47"/>
  <c r="Q45" i="47"/>
  <c r="C45" i="47"/>
  <c r="EE121" i="4"/>
  <c r="V40" i="5"/>
  <c r="T40" i="5"/>
  <c r="U40" i="5"/>
  <c r="V55" i="5"/>
  <c r="T55" i="5"/>
  <c r="U55" i="5"/>
  <c r="EH48" i="4"/>
  <c r="EF44" i="4"/>
  <c r="EG46" i="4"/>
  <c r="V46" i="5"/>
  <c r="T46" i="5"/>
  <c r="U46" i="5"/>
  <c r="U24" i="5"/>
  <c r="T24" i="5"/>
  <c r="V24" i="5"/>
  <c r="C86" i="47"/>
  <c r="Q86" i="47"/>
  <c r="D37" i="4"/>
  <c r="EE72" i="4"/>
  <c r="C57" i="47"/>
  <c r="Q57" i="47"/>
  <c r="Q113" i="47"/>
  <c r="C113" i="47"/>
  <c r="D122" i="4"/>
  <c r="C22" i="47"/>
  <c r="Q22" i="47"/>
  <c r="ED101" i="46"/>
  <c r="D112" i="47"/>
  <c r="L126" i="5"/>
  <c r="G93" i="46"/>
  <c r="EE70" i="4"/>
  <c r="G40" i="46"/>
  <c r="G76" i="46"/>
  <c r="G132" i="5"/>
  <c r="P132" i="47"/>
  <c r="T69" i="30"/>
  <c r="EE139" i="4"/>
  <c r="D99" i="47"/>
  <c r="ED128" i="46"/>
  <c r="E29" i="5"/>
  <c r="D134" i="46"/>
  <c r="U15" i="5"/>
  <c r="T15" i="5"/>
  <c r="V15" i="5"/>
  <c r="V95" i="5"/>
  <c r="T95" i="5"/>
  <c r="U95" i="5"/>
  <c r="V69" i="5"/>
  <c r="T69" i="5"/>
  <c r="U69" i="5"/>
  <c r="V43" i="5"/>
  <c r="T43" i="5"/>
  <c r="U43" i="5"/>
  <c r="C133" i="47"/>
  <c r="Q133" i="47"/>
  <c r="G80" i="46"/>
  <c r="EF81" i="4"/>
  <c r="EH85" i="4"/>
  <c r="EG83" i="4"/>
  <c r="V66" i="5"/>
  <c r="T66" i="5"/>
  <c r="U66" i="5"/>
  <c r="U84" i="5"/>
  <c r="T84" i="5"/>
  <c r="V84" i="5"/>
  <c r="EG152" i="4"/>
  <c r="EF150" i="4"/>
  <c r="D58" i="47"/>
  <c r="D117" i="4"/>
  <c r="P5" i="74"/>
  <c r="P6" i="74"/>
  <c r="Q65" i="47"/>
  <c r="C65" i="47"/>
  <c r="Q130" i="47"/>
  <c r="C130" i="47"/>
  <c r="Q53" i="47"/>
  <c r="C53" i="47"/>
  <c r="D67" i="4"/>
  <c r="D91" i="4"/>
  <c r="AJ61" i="30"/>
  <c r="E62" i="5"/>
  <c r="ED34" i="46"/>
  <c r="C131" i="47"/>
  <c r="Q131" i="47"/>
  <c r="U119" i="5"/>
  <c r="T119" i="5"/>
  <c r="V119" i="5"/>
  <c r="V44" i="5"/>
  <c r="T44" i="5"/>
  <c r="U44" i="5"/>
  <c r="V41" i="5"/>
  <c r="T41" i="5"/>
  <c r="U41" i="5"/>
  <c r="Q59" i="47"/>
  <c r="C59" i="47"/>
  <c r="EH57" i="4"/>
  <c r="EG55" i="4"/>
  <c r="EF53" i="4"/>
  <c r="EF88" i="4"/>
  <c r="EH92" i="4"/>
  <c r="EG90" i="4"/>
  <c r="EH125" i="4"/>
  <c r="EG123" i="4"/>
  <c r="EF121" i="4"/>
  <c r="EG58" i="4"/>
  <c r="EF56" i="4"/>
  <c r="EH60" i="4"/>
  <c r="Q111" i="47"/>
  <c r="C111" i="47"/>
  <c r="EF94" i="4"/>
  <c r="EG96" i="4"/>
  <c r="EH98" i="4"/>
  <c r="EH79" i="4"/>
  <c r="EF75" i="4"/>
  <c r="EG77" i="4"/>
  <c r="EG93" i="4"/>
  <c r="EH95" i="4"/>
  <c r="EF91" i="4"/>
  <c r="Q20" i="47"/>
  <c r="C20" i="47"/>
  <c r="EF134" i="4"/>
  <c r="EH138" i="4"/>
  <c r="EE132" i="4"/>
  <c r="EG136" i="4"/>
  <c r="U60" i="5"/>
  <c r="T60" i="5"/>
  <c r="V60" i="5"/>
  <c r="V106" i="5"/>
  <c r="T106" i="5"/>
  <c r="U106" i="5"/>
  <c r="EH91" i="4"/>
  <c r="EF87" i="4"/>
  <c r="EG89" i="4"/>
  <c r="V58" i="5"/>
  <c r="T58" i="5"/>
  <c r="U58" i="5"/>
  <c r="EH71" i="4"/>
  <c r="EG69" i="4"/>
  <c r="EF67" i="4"/>
  <c r="V103" i="5"/>
  <c r="T103" i="5"/>
  <c r="U103" i="5"/>
  <c r="EF73" i="4"/>
  <c r="EH77" i="4"/>
  <c r="EG75" i="4"/>
  <c r="EH119" i="4"/>
  <c r="EG117" i="4"/>
  <c r="EF115" i="4"/>
  <c r="EF109" i="4"/>
  <c r="EH113" i="4"/>
  <c r="EG111" i="4"/>
  <c r="U135" i="5"/>
  <c r="T135" i="5"/>
  <c r="V135" i="5"/>
  <c r="EH147" i="4"/>
  <c r="EG145" i="4"/>
  <c r="EF143" i="4"/>
  <c r="Q129" i="47"/>
  <c r="C129" i="47"/>
  <c r="V71" i="5"/>
  <c r="T71" i="5"/>
  <c r="U71" i="5"/>
  <c r="Q79" i="47"/>
  <c r="C79" i="47"/>
  <c r="EF39" i="4"/>
  <c r="EG41" i="4"/>
  <c r="EH43" i="4"/>
  <c r="U30" i="5"/>
  <c r="T30" i="5"/>
  <c r="V30" i="5"/>
  <c r="Q44" i="47"/>
  <c r="C44" i="47"/>
  <c r="EH82" i="4"/>
  <c r="EG80" i="4"/>
  <c r="EF78" i="4"/>
  <c r="EF62" i="4"/>
  <c r="EG64" i="4"/>
  <c r="EH66" i="4"/>
  <c r="EG78" i="4"/>
  <c r="EF76" i="4"/>
  <c r="EH80" i="4"/>
  <c r="U78" i="5"/>
  <c r="T78" i="5"/>
  <c r="V78" i="5"/>
  <c r="EF139" i="4"/>
  <c r="EG141" i="4"/>
  <c r="EH143" i="4"/>
  <c r="EH73" i="4"/>
  <c r="EG71" i="4"/>
  <c r="EF69" i="4"/>
  <c r="V128" i="5"/>
  <c r="T128" i="5"/>
  <c r="U128" i="5"/>
  <c r="U142" i="5"/>
  <c r="T142" i="5"/>
  <c r="V142" i="5"/>
  <c r="EF112" i="4"/>
  <c r="EH116" i="4"/>
  <c r="EG114" i="4"/>
  <c r="U34" i="5"/>
  <c r="T34" i="5"/>
  <c r="V34" i="5"/>
  <c r="U98" i="5"/>
  <c r="T98" i="5"/>
  <c r="V98" i="5"/>
  <c r="V38" i="5"/>
  <c r="T38" i="5"/>
  <c r="U38" i="5"/>
  <c r="D43" i="46"/>
  <c r="EH107" i="4"/>
  <c r="EF103" i="4"/>
  <c r="EG105" i="4"/>
  <c r="Q27" i="47"/>
  <c r="C27" i="47"/>
  <c r="U85" i="5"/>
  <c r="T85" i="5"/>
  <c r="V85" i="5"/>
  <c r="V131" i="5"/>
  <c r="T131" i="5"/>
  <c r="U131" i="5"/>
  <c r="C124" i="47"/>
  <c r="Q124" i="47"/>
  <c r="G82" i="5"/>
  <c r="P82" i="47"/>
  <c r="G35" i="5"/>
  <c r="P35" i="47"/>
  <c r="EF147" i="4"/>
  <c r="EG149" i="4"/>
  <c r="EH151" i="4"/>
  <c r="V29" i="5"/>
  <c r="T29" i="5"/>
  <c r="U29" i="5"/>
  <c r="U86" i="5"/>
  <c r="T86" i="5"/>
  <c r="V86" i="5"/>
  <c r="C135" i="47"/>
  <c r="Q135" i="47"/>
  <c r="U54" i="5"/>
  <c r="T54" i="5"/>
  <c r="V54" i="5"/>
  <c r="D40" i="4"/>
  <c r="R29" i="5"/>
  <c r="D29" i="5"/>
  <c r="V83" i="5"/>
  <c r="T83" i="5"/>
  <c r="U83" i="5"/>
  <c r="U112" i="5"/>
  <c r="T112" i="5"/>
  <c r="V112" i="5"/>
  <c r="Q54" i="47"/>
  <c r="C54" i="47"/>
  <c r="G59" i="46"/>
  <c r="V97" i="5"/>
  <c r="T97" i="5"/>
  <c r="U97" i="5"/>
  <c r="EF50" i="4"/>
  <c r="EH54" i="4"/>
  <c r="EG52" i="4"/>
  <c r="G135" i="5"/>
  <c r="P135" i="47"/>
  <c r="EG146" i="4"/>
  <c r="EF144" i="4"/>
  <c r="EH148" i="4"/>
  <c r="U74" i="5"/>
  <c r="T74" i="5"/>
  <c r="V74" i="5"/>
  <c r="C17" i="47"/>
  <c r="Q17" i="47"/>
  <c r="U108" i="5"/>
  <c r="T108" i="5"/>
  <c r="V108" i="5"/>
  <c r="U101" i="5"/>
  <c r="T101" i="5"/>
  <c r="V101" i="5"/>
  <c r="U129" i="5"/>
  <c r="T129" i="5"/>
  <c r="V129" i="5"/>
  <c r="V65" i="5"/>
  <c r="T65" i="5"/>
  <c r="U65" i="5"/>
  <c r="C128" i="47"/>
  <c r="Q128" i="47"/>
  <c r="V57" i="5"/>
  <c r="T57" i="5"/>
  <c r="U57" i="5"/>
  <c r="U105" i="5"/>
  <c r="T105" i="5"/>
  <c r="V105" i="5"/>
  <c r="Q122" i="47"/>
  <c r="C122" i="47"/>
  <c r="U114" i="5"/>
  <c r="T114" i="5"/>
  <c r="V114" i="5"/>
  <c r="U127" i="5"/>
  <c r="T127" i="5"/>
  <c r="V127" i="5"/>
  <c r="D37" i="5"/>
  <c r="R37" i="5"/>
  <c r="D48" i="4"/>
  <c r="D64" i="46"/>
  <c r="C73" i="47"/>
  <c r="Q73" i="47"/>
  <c r="E39" i="5"/>
  <c r="EG130" i="4"/>
  <c r="EH132" i="4"/>
  <c r="EF128" i="4"/>
  <c r="U121" i="5"/>
  <c r="T121" i="5"/>
  <c r="V121" i="5"/>
  <c r="EG129" i="4"/>
  <c r="EF127" i="4"/>
  <c r="EH131" i="4"/>
  <c r="U72" i="5"/>
  <c r="T72" i="5"/>
  <c r="V72" i="5"/>
  <c r="V96" i="5"/>
  <c r="T96" i="5"/>
  <c r="U96" i="5"/>
  <c r="U59" i="5"/>
  <c r="T59" i="5"/>
  <c r="V59" i="5"/>
  <c r="C91" i="47"/>
  <c r="Q91" i="47"/>
  <c r="D110" i="46"/>
  <c r="U116" i="5"/>
  <c r="T116" i="5"/>
  <c r="V116" i="5"/>
  <c r="D34" i="46"/>
  <c r="D136" i="46"/>
  <c r="L129" i="5"/>
  <c r="EE138" i="4"/>
  <c r="ED74" i="46"/>
  <c r="E51" i="5"/>
  <c r="D32" i="4"/>
  <c r="ED94" i="46"/>
  <c r="G153" i="46"/>
  <c r="DB157" i="4"/>
  <c r="G45" i="46"/>
  <c r="D52" i="46"/>
  <c r="AJ57" i="30"/>
  <c r="D113" i="4"/>
  <c r="G93" i="5"/>
  <c r="P93" i="47"/>
  <c r="D99" i="4"/>
  <c r="G101" i="46"/>
  <c r="Q69" i="47"/>
  <c r="C69" i="47"/>
  <c r="V56" i="5"/>
  <c r="T56" i="5"/>
  <c r="U56" i="5"/>
  <c r="U122" i="5"/>
  <c r="T122" i="5"/>
  <c r="V122" i="5"/>
  <c r="V125" i="5"/>
  <c r="T125" i="5"/>
  <c r="U125" i="5"/>
  <c r="EF52" i="4"/>
  <c r="EG54" i="4"/>
  <c r="EH56" i="4"/>
  <c r="Q90" i="47"/>
  <c r="C90" i="47"/>
  <c r="V102" i="5"/>
  <c r="T102" i="5"/>
  <c r="U102" i="5"/>
  <c r="U140" i="5"/>
  <c r="T140" i="5"/>
  <c r="V140" i="5"/>
  <c r="U90" i="5"/>
  <c r="T90" i="5"/>
  <c r="V90" i="5"/>
  <c r="C60" i="47"/>
  <c r="Q60" i="47"/>
  <c r="E41" i="4"/>
  <c r="E130" i="5"/>
  <c r="Q114" i="47"/>
  <c r="C114" i="47"/>
  <c r="G61" i="5"/>
  <c r="P61" i="47"/>
  <c r="D38" i="46"/>
  <c r="L138" i="5"/>
  <c r="C101" i="47"/>
  <c r="Q101" i="47"/>
  <c r="V23" i="5"/>
  <c r="T23" i="5"/>
  <c r="U23" i="5"/>
  <c r="U53" i="5"/>
  <c r="T53" i="5"/>
  <c r="V53" i="5"/>
  <c r="U134" i="5"/>
  <c r="T134" i="5"/>
  <c r="V134" i="5"/>
  <c r="EF42" i="4"/>
  <c r="EH46" i="4"/>
  <c r="EG44" i="4"/>
  <c r="V115" i="5"/>
  <c r="T115" i="5"/>
  <c r="U115" i="5"/>
  <c r="U124" i="5"/>
  <c r="T124" i="5"/>
  <c r="V124" i="5"/>
  <c r="Q117" i="47"/>
  <c r="C117" i="47"/>
  <c r="U28" i="5"/>
  <c r="T28" i="5"/>
  <c r="V28" i="5"/>
  <c r="Q100" i="47"/>
  <c r="C100" i="47"/>
  <c r="V137" i="5"/>
  <c r="T137" i="5"/>
  <c r="U137" i="5"/>
  <c r="U110" i="5"/>
  <c r="T110" i="5"/>
  <c r="V110" i="5"/>
  <c r="C134" i="47"/>
  <c r="Q134" i="47"/>
  <c r="D39" i="5"/>
  <c r="E51" i="4"/>
  <c r="R39" i="5"/>
  <c r="D50" i="4"/>
  <c r="Q120" i="47"/>
  <c r="C120" i="47"/>
  <c r="C33" i="47"/>
  <c r="Q33" i="47"/>
  <c r="D138" i="46"/>
  <c r="C35" i="47"/>
  <c r="Q35" i="47"/>
  <c r="Q126" i="47"/>
  <c r="C126" i="47"/>
  <c r="C51" i="47"/>
  <c r="Q51" i="47"/>
  <c r="O13" i="5"/>
  <c r="N144" i="5"/>
  <c r="Q16" i="47"/>
  <c r="D16" i="47"/>
  <c r="C16" i="47"/>
  <c r="EC97" i="46"/>
  <c r="ED99" i="46"/>
  <c r="D111" i="46"/>
  <c r="D72" i="4"/>
  <c r="Q92" i="47"/>
  <c r="C92" i="47"/>
  <c r="Q70" i="47"/>
  <c r="C70" i="47"/>
  <c r="D121" i="4"/>
  <c r="L50" i="5"/>
  <c r="C132" i="47"/>
  <c r="Q132" i="47"/>
  <c r="C75" i="47"/>
  <c r="Q75" i="47"/>
  <c r="C139" i="47"/>
  <c r="Q139" i="47"/>
  <c r="C25" i="47"/>
  <c r="Q25" i="47"/>
  <c r="C102" i="47"/>
  <c r="Q102" i="47"/>
  <c r="R111" i="5"/>
  <c r="D111" i="5"/>
  <c r="E111" i="5"/>
  <c r="D141" i="46"/>
  <c r="E73" i="5"/>
  <c r="G109" i="5"/>
  <c r="P109" i="47"/>
  <c r="C38" i="47"/>
  <c r="Q38" i="47"/>
  <c r="Q36" i="47"/>
  <c r="C36" i="47"/>
  <c r="Q32" i="47"/>
  <c r="C32" i="47"/>
  <c r="D62" i="46"/>
  <c r="Q42" i="47"/>
  <c r="C42" i="47"/>
  <c r="D55" i="4"/>
  <c r="C66" i="47"/>
  <c r="Q66" i="47"/>
  <c r="D146" i="46"/>
  <c r="L53" i="30"/>
  <c r="D151" i="46"/>
  <c r="D91" i="46"/>
  <c r="ED131" i="46"/>
  <c r="D108" i="47"/>
  <c r="D58" i="4"/>
  <c r="ED80" i="46"/>
  <c r="ED110" i="46"/>
  <c r="D54" i="30"/>
  <c r="E114" i="4"/>
  <c r="R102" i="5"/>
  <c r="D102" i="5"/>
  <c r="E102" i="5"/>
  <c r="D153" i="46"/>
  <c r="Q68" i="47"/>
  <c r="C68" i="47"/>
  <c r="C30" i="47"/>
  <c r="Q30" i="47"/>
  <c r="ED76" i="46"/>
  <c r="Q56" i="47"/>
  <c r="C56" i="47"/>
  <c r="EE99" i="4"/>
  <c r="E71" i="5"/>
  <c r="V48" i="5"/>
  <c r="T48" i="5"/>
  <c r="U48" i="5"/>
  <c r="V18" i="5"/>
  <c r="T18" i="5"/>
  <c r="U18" i="5"/>
  <c r="V77" i="5"/>
  <c r="T77" i="5"/>
  <c r="U77" i="5"/>
  <c r="V20" i="5"/>
  <c r="T20" i="5"/>
  <c r="U20" i="5"/>
  <c r="G75" i="5"/>
  <c r="P75" i="47"/>
  <c r="EH59" i="4"/>
  <c r="EF55" i="4"/>
  <c r="EE53" i="4"/>
  <c r="EG57" i="4"/>
  <c r="U82" i="5"/>
  <c r="T82" i="5"/>
  <c r="V82" i="5"/>
  <c r="E133" i="5"/>
  <c r="D90" i="4"/>
  <c r="D144" i="46"/>
  <c r="L141" i="5"/>
  <c r="D73" i="4"/>
  <c r="R62" i="5"/>
  <c r="D62" i="5"/>
  <c r="D58" i="46"/>
  <c r="G37" i="5"/>
  <c r="P37" i="47"/>
  <c r="L123" i="5"/>
  <c r="D70" i="46"/>
  <c r="EE51" i="4"/>
  <c r="D43" i="4"/>
  <c r="D71" i="5"/>
  <c r="E83" i="4"/>
  <c r="R71" i="5"/>
  <c r="D82" i="4"/>
  <c r="EE115" i="4"/>
  <c r="G56" i="46"/>
  <c r="U118" i="5"/>
  <c r="T118" i="5"/>
  <c r="V118" i="5"/>
  <c r="V47" i="5"/>
  <c r="T47" i="5"/>
  <c r="U47" i="5"/>
  <c r="U123" i="5"/>
  <c r="T123" i="5"/>
  <c r="V123" i="5"/>
  <c r="U35" i="5"/>
  <c r="T35" i="5"/>
  <c r="V35" i="5"/>
  <c r="Q93" i="47"/>
  <c r="C93" i="47"/>
  <c r="U76" i="5"/>
  <c r="T76" i="5"/>
  <c r="V76" i="5"/>
  <c r="U25" i="5"/>
  <c r="T25" i="5"/>
  <c r="V25" i="5"/>
  <c r="V17" i="5"/>
  <c r="T17" i="5"/>
  <c r="U17" i="5"/>
  <c r="V111" i="5"/>
  <c r="E123" i="4"/>
  <c r="T111" i="5"/>
  <c r="U111" i="5"/>
  <c r="D102" i="46"/>
  <c r="H58" i="30"/>
  <c r="H51" i="30"/>
  <c r="C46" i="47"/>
  <c r="Q46" i="47"/>
  <c r="L111" i="5"/>
  <c r="C106" i="47"/>
  <c r="Q106" i="47"/>
  <c r="G42" i="5"/>
  <c r="P42" i="47"/>
  <c r="D106" i="4"/>
  <c r="E120" i="5"/>
  <c r="D77" i="47"/>
  <c r="ED50" i="46"/>
  <c r="E131" i="5"/>
  <c r="E59" i="4"/>
  <c r="R47" i="5"/>
  <c r="D47" i="5"/>
  <c r="E47" i="5"/>
  <c r="DC156" i="4"/>
  <c r="EE133" i="4"/>
  <c r="EE44" i="4"/>
  <c r="G49" i="46"/>
  <c r="L16" i="5"/>
  <c r="D53" i="46"/>
  <c r="D100" i="4"/>
  <c r="EF114" i="4"/>
  <c r="EG116" i="4"/>
  <c r="EH118" i="4"/>
  <c r="V109" i="5"/>
  <c r="T109" i="5"/>
  <c r="U109" i="5"/>
  <c r="U75" i="5"/>
  <c r="T75" i="5"/>
  <c r="V75" i="5"/>
  <c r="C118" i="47"/>
  <c r="Q118" i="47"/>
  <c r="U73" i="5"/>
  <c r="T73" i="5"/>
  <c r="V73" i="5"/>
  <c r="U63" i="5"/>
  <c r="T63" i="5"/>
  <c r="V63" i="5"/>
  <c r="U16" i="5"/>
  <c r="T16" i="5"/>
  <c r="V16" i="5"/>
  <c r="G86" i="46"/>
  <c r="E118" i="4"/>
  <c r="R106" i="5"/>
  <c r="D106" i="5"/>
  <c r="E106" i="5"/>
  <c r="G137" i="5"/>
  <c r="P137" i="47"/>
  <c r="C15" i="47"/>
  <c r="Q15" i="47"/>
  <c r="D127" i="4"/>
  <c r="D114" i="47"/>
  <c r="ED52" i="46"/>
  <c r="DA157" i="4"/>
  <c r="D63" i="30"/>
  <c r="ED106" i="46"/>
  <c r="D101" i="4"/>
  <c r="V126" i="5"/>
  <c r="T126" i="5"/>
  <c r="U126" i="5"/>
  <c r="D59" i="47"/>
  <c r="G64" i="5"/>
  <c r="P64" i="47"/>
  <c r="G76" i="5"/>
  <c r="P76" i="47"/>
  <c r="EE39" i="4"/>
  <c r="D46" i="46"/>
  <c r="L52" i="30"/>
  <c r="ED105" i="46"/>
  <c r="D120" i="46"/>
  <c r="Q94" i="47"/>
  <c r="C94" i="47"/>
  <c r="Q67" i="47"/>
  <c r="C67" i="47"/>
  <c r="Q24" i="47"/>
  <c r="C24" i="47"/>
  <c r="Q115" i="47"/>
  <c r="C115" i="47"/>
  <c r="EE81" i="4"/>
  <c r="D132" i="46"/>
  <c r="L119" i="5"/>
  <c r="C48" i="47"/>
  <c r="Q48" i="47"/>
  <c r="C95" i="47"/>
  <c r="Q95" i="47"/>
  <c r="C13" i="47"/>
  <c r="Q13" i="47"/>
  <c r="G26" i="5"/>
  <c r="P26" i="47"/>
  <c r="L68" i="30"/>
  <c r="C96" i="47"/>
  <c r="Q96" i="47"/>
  <c r="Q110" i="47"/>
  <c r="C110" i="47"/>
  <c r="L107" i="5"/>
  <c r="E72" i="5"/>
  <c r="D59" i="46"/>
  <c r="ED142" i="46"/>
  <c r="EE45" i="4"/>
  <c r="D26" i="4"/>
  <c r="D56" i="46"/>
  <c r="DW24" i="4"/>
  <c r="DW155" i="4"/>
  <c r="DW157" i="4"/>
  <c r="D85" i="4"/>
  <c r="D66" i="4"/>
  <c r="D131" i="46"/>
  <c r="CY156" i="46"/>
  <c r="EE142" i="4"/>
  <c r="CX157" i="46"/>
  <c r="G44" i="5"/>
  <c r="P44" i="47"/>
  <c r="D93" i="4"/>
  <c r="EE49" i="4"/>
  <c r="D131" i="4"/>
  <c r="R120" i="5"/>
  <c r="D120" i="5"/>
  <c r="D29" i="4"/>
  <c r="D61" i="4"/>
  <c r="D101" i="46"/>
  <c r="D133" i="5"/>
  <c r="E145" i="4"/>
  <c r="R133" i="5"/>
  <c r="D144" i="4"/>
  <c r="D49" i="46"/>
  <c r="G40" i="5"/>
  <c r="P40" i="47"/>
  <c r="T51" i="30"/>
  <c r="AJ59" i="30"/>
  <c r="D112" i="4"/>
  <c r="D46" i="4"/>
  <c r="G149" i="46"/>
  <c r="G66" i="46"/>
  <c r="D97" i="4"/>
  <c r="EE128" i="4"/>
  <c r="L57" i="30"/>
  <c r="D134" i="4"/>
  <c r="EC155" i="46"/>
  <c r="G73" i="46"/>
  <c r="D27" i="4"/>
  <c r="G43" i="46"/>
  <c r="L139" i="5"/>
  <c r="EE40" i="4"/>
  <c r="G60" i="46"/>
  <c r="AJ65" i="30"/>
  <c r="D80" i="4"/>
  <c r="D60" i="47"/>
  <c r="D119" i="4"/>
  <c r="D130" i="4"/>
  <c r="D152" i="46"/>
  <c r="G112" i="46"/>
  <c r="D83" i="47"/>
  <c r="G117" i="46"/>
  <c r="G24" i="5"/>
  <c r="P24" i="47"/>
  <c r="D151" i="4"/>
  <c r="D69" i="4"/>
  <c r="D74" i="46"/>
  <c r="EE93" i="4"/>
  <c r="ED61" i="46"/>
  <c r="T145" i="5"/>
  <c r="ED40" i="46"/>
  <c r="AJ62" i="30"/>
  <c r="D69" i="47"/>
  <c r="E86" i="4"/>
  <c r="R74" i="5"/>
  <c r="D74" i="5"/>
  <c r="E74" i="5"/>
  <c r="G25" i="5"/>
  <c r="P25" i="47"/>
  <c r="E92" i="5"/>
  <c r="D137" i="4"/>
  <c r="D73" i="46"/>
  <c r="D94" i="46"/>
  <c r="ED90" i="46"/>
  <c r="EC59" i="46"/>
  <c r="CZ156" i="4"/>
  <c r="L110" i="5"/>
  <c r="ED32" i="46"/>
  <c r="Q103" i="47"/>
  <c r="C103" i="47"/>
  <c r="C87" i="47"/>
  <c r="Q87" i="47"/>
  <c r="EE38" i="4"/>
  <c r="ED140" i="46"/>
  <c r="C76" i="47"/>
  <c r="Q76" i="47"/>
  <c r="D98" i="4"/>
  <c r="EE52" i="4"/>
  <c r="P4" i="74"/>
  <c r="P7" i="74"/>
  <c r="J155" i="4"/>
  <c r="Q41" i="47"/>
  <c r="C41" i="47"/>
  <c r="G32" i="5"/>
  <c r="P32" i="47"/>
  <c r="L97" i="5"/>
  <c r="D54" i="4"/>
  <c r="EE43" i="4"/>
  <c r="D89" i="4"/>
  <c r="ED97" i="46"/>
  <c r="EC152" i="46"/>
  <c r="D63" i="46"/>
  <c r="G45" i="73"/>
  <c r="G120" i="46"/>
  <c r="D83" i="4"/>
  <c r="E84" i="4"/>
  <c r="R72" i="5"/>
  <c r="D72" i="5"/>
  <c r="D65" i="46"/>
  <c r="L137" i="5"/>
  <c r="D47" i="46"/>
  <c r="G147" i="46"/>
  <c r="BJ65" i="30"/>
  <c r="D139" i="47"/>
  <c r="E28" i="5"/>
  <c r="ED148" i="46"/>
  <c r="D96" i="47"/>
  <c r="D25" i="4"/>
  <c r="ED79" i="46"/>
  <c r="D140" i="47"/>
  <c r="EE118" i="4"/>
  <c r="G116" i="5"/>
  <c r="P116" i="47"/>
  <c r="ED78" i="46"/>
  <c r="G122" i="5"/>
  <c r="P122" i="47"/>
  <c r="G36" i="5"/>
  <c r="P36" i="47"/>
  <c r="D142" i="4"/>
  <c r="E143" i="4"/>
  <c r="R131" i="5"/>
  <c r="D131" i="5"/>
  <c r="D79" i="47"/>
  <c r="F60" i="47"/>
  <c r="E98" i="4"/>
  <c r="R86" i="5"/>
  <c r="D86" i="5"/>
  <c r="E86" i="5"/>
  <c r="D33" i="4"/>
  <c r="C89" i="47"/>
  <c r="Q89" i="47"/>
  <c r="C34" i="47"/>
  <c r="Q34" i="47"/>
  <c r="C80" i="47"/>
  <c r="Q80" i="47"/>
  <c r="D139" i="46"/>
  <c r="U37" i="5"/>
  <c r="E49" i="4"/>
  <c r="T37" i="5"/>
  <c r="V37" i="5"/>
  <c r="L53" i="5"/>
  <c r="ED123" i="46"/>
  <c r="D42" i="4"/>
  <c r="N61" i="30"/>
  <c r="L61" i="30"/>
  <c r="E17" i="5"/>
  <c r="D110" i="4"/>
  <c r="L134" i="5"/>
  <c r="EE130" i="4"/>
  <c r="ED81" i="46"/>
  <c r="D149" i="4"/>
  <c r="G80" i="5"/>
  <c r="P80" i="47"/>
  <c r="L106" i="5"/>
  <c r="G130" i="5"/>
  <c r="P130" i="47"/>
  <c r="U113" i="5"/>
  <c r="T113" i="5"/>
  <c r="V113" i="5"/>
  <c r="D135" i="46"/>
  <c r="P13" i="5"/>
  <c r="L13" i="5"/>
  <c r="M13" i="5"/>
  <c r="N13" i="5"/>
  <c r="ED66" i="46"/>
  <c r="V88" i="5"/>
  <c r="T88" i="5"/>
  <c r="U88" i="5"/>
  <c r="V81" i="5"/>
  <c r="T81" i="5"/>
  <c r="U81" i="5"/>
  <c r="G129" i="46"/>
  <c r="U27" i="5"/>
  <c r="T27" i="5"/>
  <c r="V27" i="5"/>
  <c r="U32" i="5"/>
  <c r="T32" i="5"/>
  <c r="V32" i="5"/>
  <c r="V14" i="5"/>
  <c r="T14" i="5"/>
  <c r="U14" i="5"/>
  <c r="EE143" i="4"/>
  <c r="EE108" i="4"/>
  <c r="AJ64" i="30"/>
  <c r="D125" i="4"/>
  <c r="AJ68" i="30"/>
  <c r="EE125" i="4"/>
  <c r="L127" i="5"/>
  <c r="D102" i="4"/>
  <c r="D71" i="46"/>
  <c r="E60" i="47"/>
  <c r="ED75" i="46"/>
  <c r="ED38" i="46"/>
  <c r="D33" i="46"/>
  <c r="G82" i="46"/>
  <c r="D65" i="4"/>
  <c r="EE112" i="4"/>
  <c r="V31" i="5"/>
  <c r="T31" i="5"/>
  <c r="U31" i="5"/>
  <c r="V120" i="5"/>
  <c r="E132" i="4"/>
  <c r="T120" i="5"/>
  <c r="U120" i="5"/>
  <c r="V94" i="5"/>
  <c r="T94" i="5"/>
  <c r="U94" i="5"/>
  <c r="U99" i="5"/>
  <c r="T99" i="5"/>
  <c r="V99" i="5"/>
  <c r="V132" i="5"/>
  <c r="T132" i="5"/>
  <c r="U132" i="5"/>
  <c r="V19" i="5"/>
  <c r="T19" i="5"/>
  <c r="U19" i="5"/>
  <c r="U50" i="5"/>
  <c r="T50" i="5"/>
  <c r="V50" i="5"/>
  <c r="E32" i="47"/>
  <c r="F32" i="47"/>
  <c r="D32" i="47"/>
  <c r="L131" i="5"/>
  <c r="D130" i="47"/>
  <c r="L99" i="5"/>
  <c r="J93" i="4"/>
  <c r="L82" i="5"/>
  <c r="D104" i="47"/>
  <c r="J26" i="4"/>
  <c r="L15" i="5"/>
  <c r="L55" i="30"/>
  <c r="EE75" i="4"/>
  <c r="DU24" i="46"/>
  <c r="DU155" i="46"/>
  <c r="DU157" i="46"/>
  <c r="EG157" i="4"/>
  <c r="D49" i="4"/>
  <c r="AL61" i="30"/>
  <c r="F61" i="30"/>
  <c r="D61" i="30"/>
  <c r="G33" i="5"/>
  <c r="P33" i="47"/>
  <c r="EE46" i="4"/>
  <c r="G118" i="46"/>
  <c r="D29" i="46"/>
  <c r="D94" i="4"/>
  <c r="D153" i="4"/>
  <c r="N58" i="30"/>
  <c r="L58" i="30"/>
  <c r="V91" i="5"/>
  <c r="T91" i="5"/>
  <c r="U91" i="5"/>
  <c r="Q109" i="47"/>
  <c r="C109" i="47"/>
  <c r="L67" i="30"/>
  <c r="D67" i="47"/>
  <c r="D89" i="46"/>
  <c r="EE37" i="4"/>
  <c r="E136" i="5"/>
  <c r="EE31" i="4"/>
  <c r="D95" i="47"/>
  <c r="G21" i="5"/>
  <c r="P21" i="47"/>
  <c r="F13" i="47"/>
  <c r="D13" i="47"/>
  <c r="D92" i="46"/>
  <c r="ED63" i="46"/>
  <c r="D130" i="5"/>
  <c r="E142" i="4"/>
  <c r="R130" i="5"/>
  <c r="D141" i="4"/>
  <c r="D31" i="4"/>
  <c r="EE105" i="4"/>
  <c r="D132" i="47"/>
  <c r="D92" i="47"/>
  <c r="E53" i="5"/>
  <c r="E27" i="4"/>
  <c r="R15" i="5"/>
  <c r="D15" i="5"/>
  <c r="E15" i="5"/>
  <c r="E55" i="4"/>
  <c r="R43" i="5"/>
  <c r="D43" i="5"/>
  <c r="E43" i="5"/>
  <c r="AJ52" i="30"/>
  <c r="EC36" i="46"/>
  <c r="DY24" i="46"/>
  <c r="DY155" i="46"/>
  <c r="DY157" i="46"/>
  <c r="EE87" i="4"/>
  <c r="G129" i="5"/>
  <c r="P129" i="47"/>
  <c r="E109" i="5"/>
  <c r="L37" i="5"/>
  <c r="D108" i="46"/>
  <c r="AD58" i="30"/>
  <c r="AB58" i="30"/>
  <c r="L95" i="5"/>
  <c r="D100" i="46"/>
  <c r="D106" i="46"/>
  <c r="D71" i="4"/>
  <c r="EC130" i="46"/>
  <c r="ED132" i="46"/>
  <c r="G41" i="46"/>
  <c r="G54" i="46"/>
  <c r="AJ63" i="30"/>
  <c r="ED116" i="46"/>
  <c r="E113" i="4"/>
  <c r="R101" i="5"/>
  <c r="D101" i="5"/>
  <c r="E101" i="5"/>
  <c r="DT24" i="46"/>
  <c r="DT155" i="46"/>
  <c r="DT157" i="46"/>
  <c r="EE80" i="4"/>
  <c r="E30" i="4"/>
  <c r="R18" i="5"/>
  <c r="D18" i="5"/>
  <c r="E18" i="5"/>
  <c r="D66" i="46"/>
  <c r="E94" i="4"/>
  <c r="R82" i="5"/>
  <c r="D82" i="5"/>
  <c r="E82" i="5"/>
  <c r="N67" i="30"/>
  <c r="N68" i="30"/>
  <c r="N51" i="30"/>
  <c r="L51" i="30"/>
  <c r="D34" i="4"/>
  <c r="D78" i="46"/>
  <c r="D101" i="47"/>
  <c r="L70" i="5"/>
  <c r="L112" i="5"/>
  <c r="EE82" i="4"/>
  <c r="E152" i="4"/>
  <c r="R140" i="5"/>
  <c r="D140" i="5"/>
  <c r="E140" i="5"/>
  <c r="BJ67" i="30"/>
  <c r="D123" i="46"/>
  <c r="D52" i="30"/>
  <c r="D56" i="4"/>
  <c r="G125" i="46"/>
  <c r="EC82" i="46"/>
  <c r="ED84" i="46"/>
  <c r="E81" i="4"/>
  <c r="R69" i="5"/>
  <c r="D69" i="5"/>
  <c r="E69" i="5"/>
  <c r="G57" i="46"/>
  <c r="E131" i="4"/>
  <c r="R119" i="5"/>
  <c r="D119" i="5"/>
  <c r="E119" i="5"/>
  <c r="L36" i="5"/>
  <c r="G58" i="5"/>
  <c r="P58" i="47"/>
  <c r="D86" i="46"/>
  <c r="EE62" i="4"/>
  <c r="D115" i="4"/>
  <c r="EK93" i="4"/>
  <c r="EM93" i="4"/>
  <c r="EE27" i="4"/>
  <c r="EE74" i="4"/>
  <c r="D48" i="46"/>
  <c r="EC72" i="46"/>
  <c r="EE109" i="4"/>
  <c r="J122" i="4"/>
  <c r="E83" i="47"/>
  <c r="F83" i="47"/>
  <c r="H101" i="46"/>
  <c r="G128" i="5"/>
  <c r="P128" i="47"/>
  <c r="EE34" i="4"/>
  <c r="AJ56" i="30"/>
  <c r="D90" i="46"/>
  <c r="L116" i="5"/>
  <c r="C29" i="47"/>
  <c r="Q29" i="47"/>
  <c r="EE148" i="4"/>
  <c r="EE63" i="4"/>
  <c r="DZ22" i="46"/>
  <c r="CW156" i="46"/>
  <c r="EE77" i="4"/>
  <c r="D48" i="47"/>
  <c r="EE147" i="4"/>
  <c r="ED157" i="46"/>
  <c r="D30" i="4"/>
  <c r="D66" i="30"/>
  <c r="D70" i="4"/>
  <c r="L90" i="5"/>
  <c r="ED69" i="46"/>
  <c r="D124" i="4"/>
  <c r="L74" i="5"/>
  <c r="L44" i="5"/>
  <c r="EE94" i="4"/>
  <c r="EE127" i="4"/>
  <c r="CW157" i="46"/>
  <c r="L109" i="5"/>
  <c r="E26" i="4"/>
  <c r="R14" i="5"/>
  <c r="D14" i="5"/>
  <c r="E14" i="5"/>
  <c r="G31" i="5"/>
  <c r="P31" i="47"/>
  <c r="EK155" i="46"/>
  <c r="G148" i="46"/>
  <c r="L47" i="5"/>
  <c r="ED51" i="46"/>
  <c r="D42" i="46"/>
  <c r="L31" i="5"/>
  <c r="D143" i="4"/>
  <c r="G58" i="46"/>
  <c r="H50" i="46"/>
  <c r="G50" i="46"/>
  <c r="D69" i="46"/>
  <c r="D35" i="47"/>
  <c r="C121" i="47"/>
  <c r="Q121" i="47"/>
  <c r="C141" i="47"/>
  <c r="Q141" i="47"/>
  <c r="G29" i="5"/>
  <c r="P29" i="47"/>
  <c r="D80" i="47"/>
  <c r="D68" i="46"/>
  <c r="Q37" i="47"/>
  <c r="C37" i="47"/>
  <c r="ED129" i="46"/>
  <c r="G65" i="5"/>
  <c r="P65" i="47"/>
  <c r="EE32" i="4"/>
  <c r="L128" i="5"/>
  <c r="G32" i="46"/>
  <c r="D44" i="4"/>
  <c r="ED139" i="46"/>
  <c r="D38" i="47"/>
  <c r="L42" i="5"/>
  <c r="G115" i="5"/>
  <c r="P115" i="47"/>
  <c r="EC140" i="46"/>
  <c r="EE41" i="4"/>
  <c r="D55" i="46"/>
  <c r="D63" i="4"/>
  <c r="EC50" i="46"/>
  <c r="G51" i="5"/>
  <c r="P51" i="47"/>
  <c r="D135" i="47"/>
  <c r="G102" i="5"/>
  <c r="P102" i="47"/>
  <c r="D120" i="4"/>
  <c r="E121" i="4"/>
  <c r="R109" i="5"/>
  <c r="D109" i="5"/>
  <c r="L101" i="5"/>
  <c r="EE65" i="4"/>
  <c r="T68" i="30"/>
  <c r="V51" i="30"/>
  <c r="D124" i="46"/>
  <c r="EE57" i="4"/>
  <c r="D137" i="46"/>
  <c r="D103" i="46"/>
  <c r="G92" i="46"/>
  <c r="J27" i="4"/>
  <c r="G43" i="5"/>
  <c r="P43" i="47"/>
  <c r="EE114" i="4"/>
  <c r="D61" i="46"/>
  <c r="G111" i="5"/>
  <c r="P111" i="47"/>
  <c r="D36" i="4"/>
  <c r="L66" i="5"/>
  <c r="E124" i="47"/>
  <c r="F124" i="47"/>
  <c r="D124" i="47"/>
  <c r="C142" i="47"/>
  <c r="Q142" i="47"/>
  <c r="G132" i="46"/>
  <c r="D112" i="46"/>
  <c r="AN51" i="30"/>
  <c r="AN58" i="30"/>
  <c r="EE85" i="4"/>
  <c r="G88" i="5"/>
  <c r="P88" i="47"/>
  <c r="D125" i="46"/>
  <c r="EK155" i="4"/>
  <c r="EE153" i="4"/>
  <c r="G100" i="46"/>
  <c r="ED114" i="46"/>
  <c r="D62" i="30"/>
  <c r="D122" i="46"/>
  <c r="ED138" i="46"/>
  <c r="U62" i="5"/>
  <c r="E74" i="4"/>
  <c r="T62" i="5"/>
  <c r="V62" i="5"/>
  <c r="E133" i="47"/>
  <c r="F133" i="47"/>
  <c r="D133" i="47"/>
  <c r="Q39" i="47"/>
  <c r="D39" i="47"/>
  <c r="C39" i="47"/>
  <c r="P51" i="30"/>
  <c r="P58" i="30"/>
  <c r="D25" i="47"/>
  <c r="C127" i="47"/>
  <c r="Q127" i="47"/>
  <c r="G23" i="5"/>
  <c r="P23" i="47"/>
  <c r="D116" i="46"/>
  <c r="Q81" i="47"/>
  <c r="D81" i="47"/>
  <c r="C81" i="47"/>
  <c r="Q138" i="47"/>
  <c r="C138" i="47"/>
  <c r="EE100" i="4"/>
  <c r="D96" i="46"/>
  <c r="D107" i="47"/>
  <c r="AJ66" i="30"/>
  <c r="D152" i="4"/>
  <c r="E28" i="4"/>
  <c r="R16" i="5"/>
  <c r="D16" i="5"/>
  <c r="E16" i="5"/>
  <c r="G133" i="5"/>
  <c r="P133" i="47"/>
  <c r="EC93" i="46"/>
  <c r="ED95" i="46"/>
  <c r="D80" i="46"/>
  <c r="E57" i="4"/>
  <c r="R45" i="5"/>
  <c r="D45" i="5"/>
  <c r="E45" i="5"/>
  <c r="AJ54" i="30"/>
  <c r="Q43" i="47"/>
  <c r="C43" i="47"/>
  <c r="EF151" i="4"/>
  <c r="EE149" i="4"/>
  <c r="EG153" i="4"/>
  <c r="D30" i="46"/>
  <c r="L64" i="5"/>
  <c r="Q52" i="47"/>
  <c r="C52" i="47"/>
  <c r="Q85" i="47"/>
  <c r="C85" i="47"/>
  <c r="H98" i="46"/>
  <c r="G98" i="46"/>
  <c r="EE155" i="4"/>
  <c r="H31" i="46"/>
  <c r="G31" i="46"/>
  <c r="H63" i="46"/>
  <c r="G63" i="46"/>
  <c r="F82" i="47"/>
  <c r="D82" i="47"/>
  <c r="D67" i="46"/>
  <c r="G84" i="5"/>
  <c r="P84" i="47"/>
  <c r="D83" i="46"/>
  <c r="ED102" i="46"/>
  <c r="D35" i="4"/>
  <c r="EE26" i="4"/>
  <c r="D116" i="4"/>
  <c r="L46" i="5"/>
  <c r="D76" i="4"/>
  <c r="EC31" i="46"/>
  <c r="ED33" i="46"/>
  <c r="EE50" i="4"/>
  <c r="D127" i="47"/>
  <c r="D39" i="4"/>
  <c r="E40" i="4"/>
  <c r="R28" i="5"/>
  <c r="D28" i="5"/>
  <c r="D15" i="47"/>
  <c r="EC89" i="46"/>
  <c r="ED91" i="46"/>
  <c r="E128" i="4"/>
  <c r="R116" i="5"/>
  <c r="D116" i="5"/>
  <c r="E116" i="5"/>
  <c r="E120" i="47"/>
  <c r="F120" i="47"/>
  <c r="D120" i="47"/>
  <c r="G138" i="5"/>
  <c r="P138" i="47"/>
  <c r="G26" i="46"/>
  <c r="E122" i="5"/>
  <c r="G36" i="46"/>
  <c r="D27" i="46"/>
  <c r="E100" i="4"/>
  <c r="R88" i="5"/>
  <c r="D88" i="5"/>
  <c r="E88" i="5"/>
  <c r="EE33" i="4"/>
  <c r="D119" i="46"/>
  <c r="E90" i="4"/>
  <c r="R78" i="5"/>
  <c r="D78" i="5"/>
  <c r="E78" i="5"/>
  <c r="G65" i="46"/>
  <c r="D127" i="46"/>
  <c r="D131" i="47"/>
  <c r="D129" i="4"/>
  <c r="E68" i="5"/>
  <c r="J152" i="4"/>
  <c r="ED62" i="46"/>
  <c r="E112" i="47"/>
  <c r="F112" i="47"/>
  <c r="ED83" i="46"/>
  <c r="G88" i="46"/>
  <c r="D108" i="4"/>
  <c r="EC120" i="46"/>
  <c r="ED122" i="46"/>
  <c r="E42" i="47"/>
  <c r="F42" i="47"/>
  <c r="D42" i="47"/>
  <c r="D24" i="47"/>
  <c r="D123" i="4"/>
  <c r="ED125" i="46"/>
  <c r="EE55" i="4"/>
  <c r="G17" i="5"/>
  <c r="P17" i="47"/>
  <c r="G22" i="5"/>
  <c r="P22" i="47"/>
  <c r="D146" i="4"/>
  <c r="EE84" i="4"/>
  <c r="L135" i="5"/>
  <c r="E47" i="4"/>
  <c r="R35" i="5"/>
  <c r="D35" i="5"/>
  <c r="E35" i="5"/>
  <c r="D35" i="46"/>
  <c r="EC123" i="46"/>
  <c r="E62" i="47"/>
  <c r="F62" i="47"/>
  <c r="D62" i="47"/>
  <c r="D82" i="46"/>
  <c r="EE101" i="4"/>
  <c r="H26" i="46"/>
  <c r="EL156" i="4"/>
  <c r="C84" i="47"/>
  <c r="Q84" i="47"/>
  <c r="Q136" i="47"/>
  <c r="C136" i="47"/>
  <c r="C97" i="47"/>
  <c r="Q97" i="47"/>
  <c r="C50" i="47"/>
  <c r="D50" i="47"/>
  <c r="Q50" i="47"/>
  <c r="D28" i="46"/>
  <c r="EC55" i="46"/>
  <c r="ED57" i="46"/>
  <c r="L27" i="5"/>
  <c r="ED141" i="46"/>
  <c r="L104" i="5"/>
  <c r="L59" i="30"/>
  <c r="H129" i="46"/>
  <c r="EC101" i="46"/>
  <c r="ED103" i="46"/>
  <c r="G55" i="5"/>
  <c r="P55" i="47"/>
  <c r="EC83" i="46"/>
  <c r="ED85" i="46"/>
  <c r="G28" i="5"/>
  <c r="P28" i="47"/>
  <c r="J118" i="4"/>
  <c r="D73" i="5"/>
  <c r="E85" i="4"/>
  <c r="R73" i="5"/>
  <c r="D84" i="4"/>
  <c r="L91" i="5"/>
  <c r="D64" i="4"/>
  <c r="E65" i="4"/>
  <c r="R53" i="5"/>
  <c r="D53" i="5"/>
  <c r="D88" i="4"/>
  <c r="H54" i="46"/>
  <c r="T144" i="5"/>
  <c r="J150" i="4"/>
  <c r="E130" i="47"/>
  <c r="F130" i="47"/>
  <c r="L29" i="5"/>
  <c r="D93" i="47"/>
  <c r="EF9" i="4"/>
  <c r="G50" i="5"/>
  <c r="P50" i="47"/>
  <c r="D32" i="46"/>
  <c r="H73" i="46"/>
  <c r="D78" i="47"/>
  <c r="H45" i="46"/>
  <c r="D17" i="5"/>
  <c r="E29" i="4"/>
  <c r="R17" i="5"/>
  <c r="D28" i="4"/>
  <c r="G127" i="5"/>
  <c r="P127" i="47"/>
  <c r="EC146" i="46"/>
  <c r="D107" i="46"/>
  <c r="G144" i="46"/>
  <c r="N57" i="30"/>
  <c r="ED19" i="4"/>
  <c r="ED11" i="4"/>
  <c r="G105" i="5"/>
  <c r="P105" i="47"/>
  <c r="EK45" i="4"/>
  <c r="EM45" i="4"/>
  <c r="J45" i="4"/>
  <c r="L34" i="5"/>
  <c r="D37" i="46"/>
  <c r="J76" i="4"/>
  <c r="L65" i="5"/>
  <c r="F46" i="47"/>
  <c r="D46" i="47"/>
  <c r="EI101" i="46"/>
  <c r="EK101" i="46"/>
  <c r="EE124" i="4"/>
  <c r="AJ67" i="30"/>
  <c r="EC122" i="46"/>
  <c r="ED124" i="46"/>
  <c r="Q23" i="47"/>
  <c r="D23" i="47"/>
  <c r="C23" i="47"/>
  <c r="C72" i="47"/>
  <c r="Q72" i="47"/>
  <c r="J54" i="4"/>
  <c r="L43" i="5"/>
  <c r="L68" i="5"/>
  <c r="L124" i="5"/>
  <c r="D59" i="4"/>
  <c r="G125" i="5"/>
  <c r="P125" i="47"/>
  <c r="ED68" i="46"/>
  <c r="E45" i="4"/>
  <c r="R33" i="5"/>
  <c r="D33" i="5"/>
  <c r="E33" i="5"/>
  <c r="E71" i="4"/>
  <c r="R59" i="5"/>
  <c r="D59" i="5"/>
  <c r="E59" i="5"/>
  <c r="D148" i="4"/>
  <c r="L125" i="5"/>
  <c r="F28" i="47"/>
  <c r="D28" i="47"/>
  <c r="D88" i="47"/>
  <c r="EC33" i="46"/>
  <c r="ED35" i="46"/>
  <c r="EC81" i="46"/>
  <c r="G70" i="5"/>
  <c r="P70" i="47"/>
  <c r="D92" i="4"/>
  <c r="EE150" i="4"/>
  <c r="EF152" i="4"/>
  <c r="EC113" i="46"/>
  <c r="ED115" i="46"/>
  <c r="D142" i="46"/>
  <c r="J97" i="4"/>
  <c r="L86" i="5"/>
  <c r="H44" i="46"/>
  <c r="G44" i="46"/>
  <c r="J107" i="4"/>
  <c r="L96" i="5"/>
  <c r="E116" i="4"/>
  <c r="R104" i="5"/>
  <c r="D104" i="5"/>
  <c r="E104" i="5"/>
  <c r="E99" i="47"/>
  <c r="F99" i="47"/>
  <c r="H148" i="46"/>
  <c r="E67" i="47"/>
  <c r="F67" i="47"/>
  <c r="EM76" i="4"/>
  <c r="J140" i="4"/>
  <c r="E13" i="47"/>
  <c r="D24" i="46"/>
  <c r="J53" i="4"/>
  <c r="E138" i="4"/>
  <c r="R126" i="5"/>
  <c r="D126" i="5"/>
  <c r="E126" i="5"/>
  <c r="BJ68" i="30"/>
  <c r="BK65" i="30"/>
  <c r="BM65" i="30"/>
  <c r="BM67" i="30"/>
  <c r="BM68" i="30"/>
  <c r="BM58" i="30"/>
  <c r="BJ58" i="30"/>
  <c r="ED54" i="46"/>
  <c r="G74" i="46"/>
  <c r="EC91" i="46"/>
  <c r="ED93" i="46"/>
  <c r="G81" i="46"/>
  <c r="EJ24" i="46"/>
  <c r="EJ155" i="46"/>
  <c r="EJ157" i="46"/>
  <c r="DA22" i="4"/>
  <c r="DA28" i="4"/>
  <c r="DA155" i="4"/>
  <c r="D38" i="4"/>
  <c r="EC104" i="46"/>
  <c r="L120" i="5"/>
  <c r="DA156" i="46"/>
  <c r="G62" i="5"/>
  <c r="P62" i="47"/>
  <c r="G123" i="5"/>
  <c r="P123" i="47"/>
  <c r="G113" i="46"/>
  <c r="E68" i="4"/>
  <c r="R56" i="5"/>
  <c r="D56" i="5"/>
  <c r="E56" i="5"/>
  <c r="EE136" i="4"/>
  <c r="CZ157" i="46"/>
  <c r="D72" i="46"/>
  <c r="H75" i="46"/>
  <c r="G75" i="46"/>
  <c r="EE90" i="4"/>
  <c r="ED150" i="46"/>
  <c r="EC74" i="46"/>
  <c r="D145" i="46"/>
  <c r="D142" i="47"/>
  <c r="D135" i="4"/>
  <c r="D126" i="4"/>
  <c r="D87" i="4"/>
  <c r="EC148" i="46"/>
  <c r="EB22" i="46"/>
  <c r="D87" i="46"/>
  <c r="EA22" i="4"/>
  <c r="EA156" i="4"/>
  <c r="EE28" i="4"/>
  <c r="EC121" i="46"/>
  <c r="E150" i="4"/>
  <c r="R138" i="5"/>
  <c r="D138" i="5"/>
  <c r="E138" i="5"/>
  <c r="G119" i="46"/>
  <c r="D19" i="47"/>
  <c r="J57" i="4"/>
  <c r="L71" i="5"/>
  <c r="EE86" i="4"/>
  <c r="E35" i="4"/>
  <c r="R23" i="5"/>
  <c r="D23" i="5"/>
  <c r="E23" i="5"/>
  <c r="AD51" i="30"/>
  <c r="AB51" i="30"/>
  <c r="J34" i="4"/>
  <c r="L23" i="5"/>
  <c r="E67" i="4"/>
  <c r="R55" i="5"/>
  <c r="D55" i="5"/>
  <c r="E55" i="5"/>
  <c r="E66" i="4"/>
  <c r="R54" i="5"/>
  <c r="D54" i="5"/>
  <c r="E54" i="5"/>
  <c r="ED126" i="46"/>
  <c r="D78" i="4"/>
  <c r="D53" i="30"/>
  <c r="D51" i="4"/>
  <c r="D114" i="46"/>
  <c r="G78" i="5"/>
  <c r="P78" i="47"/>
  <c r="E99" i="4"/>
  <c r="R87" i="5"/>
  <c r="D87" i="5"/>
  <c r="E87" i="5"/>
  <c r="EE134" i="4"/>
  <c r="J94" i="4"/>
  <c r="L83" i="5"/>
  <c r="EC39" i="46"/>
  <c r="ED41" i="46"/>
  <c r="G121" i="5"/>
  <c r="P121" i="47"/>
  <c r="G71" i="46"/>
  <c r="DB72" i="4"/>
  <c r="DB155" i="4"/>
  <c r="G63" i="5"/>
  <c r="P63" i="47"/>
  <c r="ED39" i="46"/>
  <c r="D104" i="4"/>
  <c r="E153" i="46"/>
  <c r="E142" i="47"/>
  <c r="F142" i="47"/>
  <c r="G18" i="5"/>
  <c r="P18" i="47"/>
  <c r="EE25" i="4"/>
  <c r="D121" i="46"/>
  <c r="D136" i="4"/>
  <c r="H68" i="30"/>
  <c r="Q105" i="47"/>
  <c r="C105" i="47"/>
  <c r="ED108" i="46"/>
  <c r="G151" i="46"/>
  <c r="Q63" i="47"/>
  <c r="C63" i="47"/>
  <c r="G53" i="5"/>
  <c r="P53" i="47"/>
  <c r="D150" i="4"/>
  <c r="D62" i="4"/>
  <c r="E63" i="4"/>
  <c r="R51" i="5"/>
  <c r="D51" i="5"/>
  <c r="L60" i="5"/>
  <c r="D57" i="46"/>
  <c r="E46" i="47"/>
  <c r="D45" i="47"/>
  <c r="L14" i="5"/>
  <c r="D79" i="4"/>
  <c r="E80" i="4"/>
  <c r="R68" i="5"/>
  <c r="D68" i="5"/>
  <c r="H132" i="46"/>
  <c r="EE36" i="4"/>
  <c r="E60" i="4"/>
  <c r="R48" i="5"/>
  <c r="D48" i="5"/>
  <c r="E48" i="5"/>
  <c r="L79" i="5"/>
  <c r="E66" i="5"/>
  <c r="EE129" i="4"/>
  <c r="D100" i="47"/>
  <c r="L19" i="5"/>
  <c r="G71" i="5"/>
  <c r="P71" i="47"/>
  <c r="L105" i="5"/>
  <c r="E107" i="4"/>
  <c r="R95" i="5"/>
  <c r="D95" i="5"/>
  <c r="E95" i="5"/>
  <c r="D139" i="4"/>
  <c r="D91" i="47"/>
  <c r="D128" i="4"/>
  <c r="L45" i="5"/>
  <c r="F153" i="46"/>
  <c r="J85" i="4"/>
  <c r="EE73" i="4"/>
  <c r="J149" i="4"/>
  <c r="EE64" i="4"/>
  <c r="E92" i="47"/>
  <c r="F92" i="47"/>
  <c r="EE76" i="4"/>
  <c r="EK76" i="4"/>
  <c r="J83" i="4"/>
  <c r="EE83" i="4"/>
  <c r="ED37" i="46"/>
  <c r="D25" i="46"/>
  <c r="E101" i="47"/>
  <c r="F101" i="47"/>
  <c r="G94" i="5"/>
  <c r="P94" i="47"/>
  <c r="L56" i="30"/>
  <c r="G131" i="46"/>
  <c r="D97" i="47"/>
  <c r="J127" i="4"/>
  <c r="D29" i="47"/>
  <c r="D118" i="46"/>
  <c r="D30" i="47"/>
  <c r="EM155" i="4"/>
  <c r="EM24" i="4"/>
  <c r="J24" i="4"/>
  <c r="E48" i="47"/>
  <c r="F48" i="47"/>
  <c r="L136" i="5"/>
  <c r="E127" i="4"/>
  <c r="R115" i="5"/>
  <c r="D115" i="5"/>
  <c r="E115" i="5"/>
  <c r="EC48" i="46"/>
  <c r="EK129" i="46"/>
  <c r="ED46" i="46"/>
  <c r="G87" i="5"/>
  <c r="P87" i="47"/>
  <c r="E32" i="4"/>
  <c r="R20" i="5"/>
  <c r="D20" i="5"/>
  <c r="E20" i="5"/>
  <c r="E88" i="4"/>
  <c r="R76" i="5"/>
  <c r="D76" i="5"/>
  <c r="E76" i="5"/>
  <c r="H120" i="46"/>
  <c r="L103" i="5"/>
  <c r="H93" i="46"/>
  <c r="D128" i="47"/>
  <c r="H100" i="46"/>
  <c r="EI31" i="46"/>
  <c r="EK31" i="46"/>
  <c r="J137" i="4"/>
  <c r="CZ60" i="4"/>
  <c r="Q116" i="47"/>
  <c r="C116" i="47"/>
  <c r="ED127" i="46"/>
  <c r="D117" i="47"/>
  <c r="D109" i="46"/>
  <c r="EC92" i="46"/>
  <c r="D14" i="47"/>
  <c r="G47" i="5"/>
  <c r="P47" i="47"/>
  <c r="G47" i="46"/>
  <c r="D94" i="47"/>
  <c r="EC106" i="46"/>
  <c r="DX24" i="4"/>
  <c r="DX155" i="4"/>
  <c r="DX157" i="4"/>
  <c r="D75" i="4"/>
  <c r="D133" i="46"/>
  <c r="AJ60" i="30"/>
  <c r="D56" i="47"/>
  <c r="E42" i="5"/>
  <c r="ED104" i="46"/>
  <c r="G72" i="46"/>
  <c r="G114" i="5"/>
  <c r="P114" i="47"/>
  <c r="D111" i="47"/>
  <c r="H71" i="46"/>
  <c r="D147" i="46"/>
  <c r="D74" i="4"/>
  <c r="EC64" i="46"/>
  <c r="ED119" i="46"/>
  <c r="L39" i="5"/>
  <c r="E103" i="5"/>
  <c r="L114" i="5"/>
  <c r="J90" i="4"/>
  <c r="J81" i="4"/>
  <c r="G96" i="46"/>
  <c r="L100" i="5"/>
  <c r="D68" i="4"/>
  <c r="D138" i="4"/>
  <c r="D105" i="46"/>
  <c r="E130" i="4"/>
  <c r="R118" i="5"/>
  <c r="D118" i="5"/>
  <c r="E118" i="5"/>
  <c r="D88" i="46"/>
  <c r="D60" i="30"/>
  <c r="J106" i="4"/>
  <c r="D41" i="46"/>
  <c r="ED43" i="46"/>
  <c r="J136" i="4"/>
  <c r="EC103" i="46"/>
  <c r="H66" i="46"/>
  <c r="D86" i="47"/>
  <c r="L41" i="5"/>
  <c r="D84" i="46"/>
  <c r="J50" i="4"/>
  <c r="V13" i="5"/>
  <c r="V144" i="5"/>
  <c r="E139" i="4"/>
  <c r="R127" i="5"/>
  <c r="D127" i="5"/>
  <c r="E127" i="5"/>
  <c r="EC136" i="46"/>
  <c r="H113" i="46"/>
  <c r="G128" i="46"/>
  <c r="EC30" i="46"/>
  <c r="G29" i="46"/>
  <c r="EK150" i="4"/>
  <c r="EM150" i="4"/>
  <c r="H125" i="46"/>
  <c r="ED73" i="46"/>
  <c r="EE113" i="4"/>
  <c r="J77" i="4"/>
  <c r="D89" i="47"/>
  <c r="E107" i="5"/>
  <c r="EC76" i="46"/>
  <c r="E121" i="5"/>
  <c r="E23" i="47"/>
  <c r="F23" i="47"/>
  <c r="EE42" i="4"/>
  <c r="D113" i="47"/>
  <c r="F63" i="30"/>
  <c r="AL63" i="30"/>
  <c r="N63" i="30"/>
  <c r="L63" i="30"/>
  <c r="D60" i="46"/>
  <c r="L76" i="5"/>
  <c r="D148" i="46"/>
  <c r="H147" i="46"/>
  <c r="E70" i="5"/>
  <c r="E113" i="47"/>
  <c r="F113" i="47"/>
  <c r="G60" i="5"/>
  <c r="P60" i="47"/>
  <c r="D110" i="47"/>
  <c r="D109" i="4"/>
  <c r="EI155" i="46"/>
  <c r="F93" i="47"/>
  <c r="J123" i="4"/>
  <c r="EM152" i="4"/>
  <c r="E75" i="5"/>
  <c r="EE119" i="4"/>
  <c r="G33" i="73"/>
  <c r="J115" i="4"/>
  <c r="E95" i="4"/>
  <c r="R83" i="5"/>
  <c r="D83" i="5"/>
  <c r="E83" i="5"/>
  <c r="G108" i="46"/>
  <c r="G87" i="46"/>
  <c r="CZ155" i="46"/>
  <c r="AJ55" i="30"/>
  <c r="E36" i="4"/>
  <c r="R24" i="5"/>
  <c r="D24" i="5"/>
  <c r="E24" i="5"/>
  <c r="DT155" i="4"/>
  <c r="DT157" i="4"/>
  <c r="D64" i="47"/>
  <c r="AN68" i="30"/>
  <c r="D57" i="4"/>
  <c r="EM137" i="4"/>
  <c r="G27" i="46"/>
  <c r="ED146" i="46"/>
  <c r="E25" i="4"/>
  <c r="F14" i="5"/>
  <c r="E36" i="5"/>
  <c r="DT45" i="4"/>
  <c r="ED45" i="4"/>
  <c r="D75" i="46"/>
  <c r="L133" i="5"/>
  <c r="EE66" i="4"/>
  <c r="J71" i="4"/>
  <c r="D66" i="47"/>
  <c r="G52" i="46"/>
  <c r="G34" i="46"/>
  <c r="G53" i="46"/>
  <c r="EE54" i="4"/>
  <c r="EE95" i="4"/>
  <c r="J117" i="4"/>
  <c r="EC88" i="46"/>
  <c r="D85" i="46"/>
  <c r="EK85" i="4"/>
  <c r="EM85" i="4"/>
  <c r="EE60" i="4"/>
  <c r="D138" i="47"/>
  <c r="D115" i="46"/>
  <c r="L54" i="30"/>
  <c r="G142" i="5"/>
  <c r="P142" i="47"/>
  <c r="EC67" i="46"/>
  <c r="D44" i="47"/>
  <c r="ED64" i="46"/>
  <c r="EF11" i="4"/>
  <c r="D55" i="30"/>
  <c r="EC135" i="46"/>
  <c r="ED137" i="46"/>
  <c r="E129" i="5"/>
  <c r="L113" i="5"/>
  <c r="ED30" i="46"/>
  <c r="E137" i="4"/>
  <c r="R125" i="5"/>
  <c r="D125" i="5"/>
  <c r="E125" i="5"/>
  <c r="EE48" i="4"/>
  <c r="EC60" i="46"/>
  <c r="L40" i="5"/>
  <c r="EE141" i="4"/>
  <c r="EE135" i="4"/>
  <c r="H36" i="46"/>
  <c r="CW155" i="46"/>
  <c r="H144" i="46"/>
  <c r="DT41" i="4"/>
  <c r="ED41" i="4"/>
  <c r="EK41" i="4"/>
  <c r="EM41" i="4"/>
  <c r="J41" i="4"/>
  <c r="L30" i="5"/>
  <c r="D77" i="4"/>
  <c r="E78" i="4"/>
  <c r="R66" i="5"/>
  <c r="D66" i="5"/>
  <c r="E37" i="4"/>
  <c r="R25" i="5"/>
  <c r="D25" i="5"/>
  <c r="E25" i="5"/>
  <c r="H61" i="46"/>
  <c r="G61" i="46"/>
  <c r="H144" i="5"/>
  <c r="R145" i="5"/>
  <c r="EC145" i="46"/>
  <c r="ED147" i="46"/>
  <c r="EC94" i="46"/>
  <c r="ED96" i="46"/>
  <c r="EE29" i="4"/>
  <c r="D113" i="46"/>
  <c r="EC153" i="46"/>
  <c r="D57" i="47"/>
  <c r="H62" i="46"/>
  <c r="G62" i="46"/>
  <c r="H137" i="46"/>
  <c r="G137" i="46"/>
  <c r="D93" i="46"/>
  <c r="E82" i="47"/>
  <c r="D33" i="47"/>
  <c r="EE140" i="4"/>
  <c r="D104" i="46"/>
  <c r="E93" i="47"/>
  <c r="D20" i="47"/>
  <c r="EC38" i="46"/>
  <c r="D73" i="47"/>
  <c r="ED82" i="46"/>
  <c r="D42" i="73"/>
  <c r="B42" i="73"/>
  <c r="G42" i="73"/>
  <c r="EC118" i="46"/>
  <c r="ED120" i="46"/>
  <c r="E123" i="47"/>
  <c r="F123" i="47"/>
  <c r="D123" i="47"/>
  <c r="DR155" i="46"/>
  <c r="DR157" i="46"/>
  <c r="EI50" i="46"/>
  <c r="EK50" i="46"/>
  <c r="D114" i="4"/>
  <c r="E115" i="4"/>
  <c r="R103" i="5"/>
  <c r="D103" i="5"/>
  <c r="EC127" i="46"/>
  <c r="D24" i="4"/>
  <c r="EC99" i="46"/>
  <c r="E79" i="4"/>
  <c r="R67" i="5"/>
  <c r="D67" i="5"/>
  <c r="E67" i="5"/>
  <c r="CZ44" i="4"/>
  <c r="ED44" i="4"/>
  <c r="EK44" i="4"/>
  <c r="EM44" i="4"/>
  <c r="J44" i="4"/>
  <c r="L33" i="5"/>
  <c r="EC137" i="46"/>
  <c r="E28" i="47"/>
  <c r="D39" i="46"/>
  <c r="EC45" i="46"/>
  <c r="ED47" i="46"/>
  <c r="H153" i="46"/>
  <c r="J99" i="4"/>
  <c r="L88" i="5"/>
  <c r="D37" i="47"/>
  <c r="E109" i="4"/>
  <c r="R97" i="5"/>
  <c r="D97" i="5"/>
  <c r="E97" i="5"/>
  <c r="EE145" i="4"/>
  <c r="G136" i="5"/>
  <c r="P136" i="47"/>
  <c r="EK142" i="4"/>
  <c r="EM142" i="4"/>
  <c r="J142" i="4"/>
  <c r="EC111" i="46"/>
  <c r="ED113" i="46"/>
  <c r="V69" i="30"/>
  <c r="V68" i="30"/>
  <c r="V58" i="30"/>
  <c r="T58" i="30"/>
  <c r="EK99" i="4"/>
  <c r="EM99" i="4"/>
  <c r="EC61" i="46"/>
  <c r="EC109" i="46"/>
  <c r="ED111" i="46"/>
  <c r="E122" i="47"/>
  <c r="F122" i="47"/>
  <c r="D122" i="47"/>
  <c r="E50" i="4"/>
  <c r="R38" i="5"/>
  <c r="D38" i="5"/>
  <c r="E38" i="5"/>
  <c r="E105" i="4"/>
  <c r="R93" i="5"/>
  <c r="D93" i="5"/>
  <c r="E93" i="5"/>
  <c r="U13" i="5"/>
  <c r="U144" i="5"/>
  <c r="G73" i="5"/>
  <c r="P73" i="47"/>
  <c r="J146" i="4"/>
  <c r="D47" i="4"/>
  <c r="E48" i="4"/>
  <c r="R36" i="5"/>
  <c r="D36" i="5"/>
  <c r="EK133" i="46"/>
  <c r="H133" i="46"/>
  <c r="G133" i="46"/>
  <c r="H121" i="46"/>
  <c r="G121" i="46"/>
  <c r="D121" i="47"/>
  <c r="E152" i="46"/>
  <c r="E141" i="47"/>
  <c r="F141" i="47"/>
  <c r="D141" i="47"/>
  <c r="EC51" i="46"/>
  <c r="ED53" i="46"/>
  <c r="D60" i="4"/>
  <c r="J113" i="4"/>
  <c r="L102" i="5"/>
  <c r="EE104" i="4"/>
  <c r="G37" i="46"/>
  <c r="EC57" i="46"/>
  <c r="ED59" i="46"/>
  <c r="D84" i="47"/>
  <c r="D36" i="46"/>
  <c r="J100" i="4"/>
  <c r="L89" i="5"/>
  <c r="G106" i="5"/>
  <c r="P106" i="47"/>
  <c r="F34" i="47"/>
  <c r="D34" i="47"/>
  <c r="D134" i="47"/>
  <c r="G110" i="5"/>
  <c r="P110" i="47"/>
  <c r="G99" i="46"/>
  <c r="EK41" i="46"/>
  <c r="H41" i="46"/>
  <c r="EE137" i="4"/>
  <c r="EK137" i="4"/>
  <c r="EC98" i="46"/>
  <c r="ED100" i="46"/>
  <c r="EC43" i="46"/>
  <c r="ED45" i="46"/>
  <c r="J116" i="4"/>
  <c r="J92" i="4"/>
  <c r="L81" i="5"/>
  <c r="D41" i="4"/>
  <c r="E125" i="4"/>
  <c r="R113" i="5"/>
  <c r="D113" i="5"/>
  <c r="E113" i="5"/>
  <c r="E93" i="4"/>
  <c r="R81" i="5"/>
  <c r="D81" i="5"/>
  <c r="E81" i="5"/>
  <c r="D115" i="47"/>
  <c r="D47" i="47"/>
  <c r="E58" i="47"/>
  <c r="F58" i="47"/>
  <c r="EE117" i="4"/>
  <c r="E131" i="47"/>
  <c r="F131" i="47"/>
  <c r="EC54" i="46"/>
  <c r="ED56" i="46"/>
  <c r="G103" i="5"/>
  <c r="P103" i="47"/>
  <c r="D132" i="4"/>
  <c r="E133" i="4"/>
  <c r="R121" i="5"/>
  <c r="D121" i="5"/>
  <c r="D50" i="46"/>
  <c r="ED71" i="46"/>
  <c r="EE69" i="4"/>
  <c r="H105" i="46"/>
  <c r="G105" i="46"/>
  <c r="EC141" i="46"/>
  <c r="ED143" i="46"/>
  <c r="D68" i="47"/>
  <c r="D65" i="30"/>
  <c r="EJ22" i="46"/>
  <c r="EJ156" i="46"/>
  <c r="E102" i="4"/>
  <c r="R90" i="5"/>
  <c r="D90" i="5"/>
  <c r="E90" i="5"/>
  <c r="EC142" i="46"/>
  <c r="ED144" i="46"/>
  <c r="EC47" i="46"/>
  <c r="ED49" i="46"/>
  <c r="EE68" i="4"/>
  <c r="D72" i="47"/>
  <c r="G77" i="5"/>
  <c r="P77" i="47"/>
  <c r="EI133" i="46"/>
  <c r="EK130" i="4"/>
  <c r="EM130" i="4"/>
  <c r="J130" i="4"/>
  <c r="EE103" i="4"/>
  <c r="D118" i="4"/>
  <c r="E119" i="4"/>
  <c r="R107" i="5"/>
  <c r="D107" i="5"/>
  <c r="DB93" i="4"/>
  <c r="ED93" i="4"/>
  <c r="CY155" i="4"/>
  <c r="CY157" i="4"/>
  <c r="J40" i="4"/>
  <c r="G85" i="5"/>
  <c r="P85" i="47"/>
  <c r="EI132" i="46"/>
  <c r="EK132" i="46"/>
  <c r="E73" i="4"/>
  <c r="R61" i="5"/>
  <c r="D61" i="5"/>
  <c r="E61" i="5"/>
  <c r="E44" i="4"/>
  <c r="R32" i="5"/>
  <c r="D32" i="5"/>
  <c r="E32" i="5"/>
  <c r="EE47" i="4"/>
  <c r="H130" i="46"/>
  <c r="G130" i="46"/>
  <c r="E140" i="47"/>
  <c r="F140" i="47"/>
  <c r="G107" i="5"/>
  <c r="P107" i="47"/>
  <c r="EK86" i="4"/>
  <c r="EM86" i="4"/>
  <c r="J86" i="4"/>
  <c r="L75" i="5"/>
  <c r="EE97" i="4"/>
  <c r="EC49" i="46"/>
  <c r="E31" i="47"/>
  <c r="F31" i="47"/>
  <c r="D31" i="47"/>
  <c r="EE98" i="4"/>
  <c r="EC108" i="46"/>
  <c r="EK34" i="4"/>
  <c r="EM34" i="4"/>
  <c r="G89" i="46"/>
  <c r="EC86" i="46"/>
  <c r="ED88" i="46"/>
  <c r="E69" i="4"/>
  <c r="R57" i="5"/>
  <c r="D57" i="5"/>
  <c r="E57" i="5"/>
  <c r="E127" i="47"/>
  <c r="F127" i="47"/>
  <c r="E76" i="4"/>
  <c r="R64" i="5"/>
  <c r="D64" i="5"/>
  <c r="E64" i="5"/>
  <c r="H117" i="46"/>
  <c r="EE107" i="4"/>
  <c r="EC58" i="46"/>
  <c r="ED60" i="46"/>
  <c r="L108" i="5"/>
  <c r="L49" i="5"/>
  <c r="H32" i="46"/>
  <c r="D51" i="46"/>
  <c r="F118" i="47"/>
  <c r="D118" i="47"/>
  <c r="H99" i="46"/>
  <c r="H97" i="46"/>
  <c r="G97" i="46"/>
  <c r="G84" i="46"/>
  <c r="EK57" i="4"/>
  <c r="EM57" i="4"/>
  <c r="EE120" i="4"/>
  <c r="D98" i="47"/>
  <c r="E75" i="4"/>
  <c r="R63" i="5"/>
  <c r="D63" i="5"/>
  <c r="E63" i="5"/>
  <c r="CX155" i="46"/>
  <c r="EI93" i="46"/>
  <c r="EK93" i="46"/>
  <c r="D17" i="47"/>
  <c r="EC71" i="46"/>
  <c r="D54" i="46"/>
  <c r="EE35" i="4"/>
  <c r="G100" i="5"/>
  <c r="P100" i="47"/>
  <c r="D133" i="4"/>
  <c r="E134" i="4"/>
  <c r="R122" i="5"/>
  <c r="D122" i="5"/>
  <c r="ED55" i="46"/>
  <c r="E43" i="4"/>
  <c r="R31" i="5"/>
  <c r="D31" i="5"/>
  <c r="E31" i="5"/>
  <c r="E33" i="4"/>
  <c r="R21" i="5"/>
  <c r="D21" i="5"/>
  <c r="E21" i="5"/>
  <c r="ED70" i="46"/>
  <c r="H43" i="46"/>
  <c r="E94" i="47"/>
  <c r="F94" i="47"/>
  <c r="H89" i="46"/>
  <c r="CZ155" i="4"/>
  <c r="CZ157" i="4"/>
  <c r="G94" i="46"/>
  <c r="J133" i="4"/>
  <c r="L122" i="5"/>
  <c r="E30" i="47"/>
  <c r="F30" i="47"/>
  <c r="J33" i="4"/>
  <c r="L22" i="5"/>
  <c r="J135" i="4"/>
  <c r="E149" i="4"/>
  <c r="R137" i="5"/>
  <c r="D137" i="5"/>
  <c r="E137" i="5"/>
  <c r="E73" i="47"/>
  <c r="F73" i="47"/>
  <c r="D40" i="46"/>
  <c r="E57" i="47"/>
  <c r="F57" i="47"/>
  <c r="G104" i="5"/>
  <c r="P104" i="47"/>
  <c r="EC102" i="46"/>
  <c r="D53" i="47"/>
  <c r="EC29" i="46"/>
  <c r="ED31" i="46"/>
  <c r="F51" i="30"/>
  <c r="D51" i="30"/>
  <c r="CW120" i="46"/>
  <c r="EB120" i="46"/>
  <c r="EI120" i="46"/>
  <c r="EK120" i="46"/>
  <c r="D149" i="46"/>
  <c r="G49" i="5"/>
  <c r="P49" i="47"/>
  <c r="EB155" i="46"/>
  <c r="EK113" i="4"/>
  <c r="EM113" i="4"/>
  <c r="EK108" i="4"/>
  <c r="EM108" i="4"/>
  <c r="J108" i="4"/>
  <c r="D40" i="47"/>
  <c r="EC66" i="46"/>
  <c r="EE126" i="4"/>
  <c r="EC114" i="46"/>
  <c r="E102" i="47"/>
  <c r="F102" i="47"/>
  <c r="D102" i="47"/>
  <c r="E52" i="4"/>
  <c r="R40" i="5"/>
  <c r="D40" i="5"/>
  <c r="E40" i="5"/>
  <c r="E77" i="47"/>
  <c r="F77" i="47"/>
  <c r="D143" i="46"/>
  <c r="F129" i="47"/>
  <c r="D129" i="47"/>
  <c r="G131" i="5"/>
  <c r="P131" i="47"/>
  <c r="EC85" i="46"/>
  <c r="ED87" i="46"/>
  <c r="E110" i="4"/>
  <c r="R98" i="5"/>
  <c r="D98" i="5"/>
  <c r="E98" i="5"/>
  <c r="J151" i="4"/>
  <c r="L140" i="5"/>
  <c r="E77" i="4"/>
  <c r="R65" i="5"/>
  <c r="D65" i="5"/>
  <c r="E65" i="5"/>
  <c r="G79" i="5"/>
  <c r="P79" i="47"/>
  <c r="E81" i="47"/>
  <c r="F81" i="47"/>
  <c r="G118" i="5"/>
  <c r="P118" i="47"/>
  <c r="EM79" i="4"/>
  <c r="J79" i="4"/>
  <c r="E58" i="4"/>
  <c r="R46" i="5"/>
  <c r="D46" i="5"/>
  <c r="E46" i="5"/>
  <c r="EE61" i="4"/>
  <c r="EE110" i="4"/>
  <c r="EC62" i="46"/>
  <c r="EH30" i="4"/>
  <c r="EH155" i="4"/>
  <c r="EH157" i="4"/>
  <c r="N64" i="30"/>
  <c r="L64" i="30"/>
  <c r="EC117" i="46"/>
  <c r="EE122" i="4"/>
  <c r="EE144" i="4"/>
  <c r="EE88" i="4"/>
  <c r="E37" i="47"/>
  <c r="F37" i="47"/>
  <c r="E72" i="4"/>
  <c r="R60" i="5"/>
  <c r="D60" i="5"/>
  <c r="E60" i="5"/>
  <c r="EE58" i="4"/>
  <c r="DA93" i="46"/>
  <c r="EB93" i="46"/>
  <c r="D76" i="46"/>
  <c r="E107" i="47"/>
  <c r="F107" i="47"/>
  <c r="E121" i="47"/>
  <c r="F121" i="47"/>
  <c r="D95" i="4"/>
  <c r="EC52" i="46"/>
  <c r="EK81" i="4"/>
  <c r="EM81" i="4"/>
  <c r="EK96" i="46"/>
  <c r="H96" i="46"/>
  <c r="J89" i="4"/>
  <c r="L78" i="5"/>
  <c r="EK54" i="4"/>
  <c r="EM54" i="4"/>
  <c r="F58" i="30"/>
  <c r="D58" i="30"/>
  <c r="E109" i="47"/>
  <c r="F109" i="47"/>
  <c r="D109" i="47"/>
  <c r="EK80" i="46"/>
  <c r="H80" i="46"/>
  <c r="H79" i="46"/>
  <c r="G79" i="46"/>
  <c r="EI54" i="46"/>
  <c r="EK54" i="46"/>
  <c r="E56" i="47"/>
  <c r="F56" i="47"/>
  <c r="E104" i="47"/>
  <c r="F104" i="47"/>
  <c r="D52" i="4"/>
  <c r="D130" i="46"/>
  <c r="DT34" i="4"/>
  <c r="ED34" i="4"/>
  <c r="DT150" i="4"/>
  <c r="ED150" i="4"/>
  <c r="E35" i="47"/>
  <c r="F35" i="47"/>
  <c r="EK138" i="46"/>
  <c r="H138" i="46"/>
  <c r="G98" i="5"/>
  <c r="P98" i="47"/>
  <c r="EA24" i="4"/>
  <c r="EA155" i="4"/>
  <c r="EA157" i="4"/>
  <c r="DC155" i="4"/>
  <c r="DC157" i="4"/>
  <c r="E134" i="47"/>
  <c r="F134" i="47"/>
  <c r="E34" i="4"/>
  <c r="R22" i="5"/>
  <c r="D22" i="5"/>
  <c r="E22" i="5"/>
  <c r="EK65" i="46"/>
  <c r="H65" i="46"/>
  <c r="EK135" i="4"/>
  <c r="EM135" i="4"/>
  <c r="G72" i="5"/>
  <c r="P72" i="47"/>
  <c r="H104" i="46"/>
  <c r="G104" i="46"/>
  <c r="L38" i="5"/>
  <c r="DY24" i="4"/>
  <c r="DY155" i="4"/>
  <c r="DY157" i="4"/>
  <c r="J52" i="4"/>
  <c r="H366" i="3"/>
  <c r="G34" i="5"/>
  <c r="P34" i="47"/>
  <c r="K2" i="74"/>
  <c r="G139" i="5"/>
  <c r="P139" i="47"/>
  <c r="L63" i="5"/>
  <c r="D97" i="46"/>
  <c r="EC26" i="46"/>
  <c r="ED26" i="46"/>
  <c r="G122" i="46"/>
  <c r="EK46" i="4"/>
  <c r="EM46" i="4"/>
  <c r="J46" i="4"/>
  <c r="L35" i="5"/>
  <c r="ED44" i="46"/>
  <c r="D81" i="46"/>
  <c r="EE111" i="4"/>
  <c r="G14" i="5"/>
  <c r="P14" i="47"/>
  <c r="EI59" i="46"/>
  <c r="EK59" i="46"/>
  <c r="H59" i="46"/>
  <c r="D55" i="47"/>
  <c r="AL58" i="30"/>
  <c r="AJ58" i="30"/>
  <c r="EI149" i="46"/>
  <c r="EK149" i="46"/>
  <c r="H149" i="46"/>
  <c r="EE146" i="4"/>
  <c r="EC133" i="46"/>
  <c r="ED135" i="46"/>
  <c r="D96" i="4"/>
  <c r="EE151" i="4"/>
  <c r="EF153" i="4"/>
  <c r="D99" i="46"/>
  <c r="EC119" i="46"/>
  <c r="ED121" i="46"/>
  <c r="DR146" i="46"/>
  <c r="EB146" i="46"/>
  <c r="EI146" i="46"/>
  <c r="EK146" i="46"/>
  <c r="H146" i="46"/>
  <c r="G146" i="46"/>
  <c r="D92" i="5"/>
  <c r="E104" i="4"/>
  <c r="R92" i="5"/>
  <c r="D103" i="4"/>
  <c r="EI106" i="46"/>
  <c r="EK106" i="46"/>
  <c r="H106" i="46"/>
  <c r="G106" i="46"/>
  <c r="E151" i="4"/>
  <c r="R139" i="5"/>
  <c r="D139" i="5"/>
  <c r="E139" i="5"/>
  <c r="G127" i="46"/>
  <c r="G108" i="5"/>
  <c r="P108" i="47"/>
  <c r="EI122" i="46"/>
  <c r="EK122" i="46"/>
  <c r="H122" i="46"/>
  <c r="L132" i="5"/>
  <c r="G74" i="5"/>
  <c r="P74" i="47"/>
  <c r="J138" i="4"/>
  <c r="EI118" i="46"/>
  <c r="EK118" i="46"/>
  <c r="H118" i="46"/>
  <c r="EC100" i="46"/>
  <c r="L98" i="5"/>
  <c r="G109" i="46"/>
  <c r="E92" i="4"/>
  <c r="R80" i="5"/>
  <c r="D80" i="5"/>
  <c r="E80" i="5"/>
  <c r="EM78" i="4"/>
  <c r="J78" i="4"/>
  <c r="L67" i="5"/>
  <c r="G56" i="5"/>
  <c r="P56" i="47"/>
  <c r="J96" i="4"/>
  <c r="L85" i="5"/>
  <c r="EC78" i="46"/>
  <c r="G141" i="46"/>
  <c r="G91" i="5"/>
  <c r="P91" i="47"/>
  <c r="E136" i="47"/>
  <c r="F136" i="47"/>
  <c r="D136" i="47"/>
  <c r="DT145" i="4"/>
  <c r="ED145" i="4"/>
  <c r="EK145" i="4"/>
  <c r="EM145" i="4"/>
  <c r="J145" i="4"/>
  <c r="P13" i="47"/>
  <c r="J110" i="4"/>
  <c r="L18" i="5"/>
  <c r="E96" i="47"/>
  <c r="F96" i="47"/>
  <c r="EK94" i="4"/>
  <c r="EM94" i="4"/>
  <c r="G96" i="5"/>
  <c r="P96" i="47"/>
  <c r="L93" i="5"/>
  <c r="E90" i="47"/>
  <c r="F90" i="47"/>
  <c r="D90" i="47"/>
  <c r="G23" i="73"/>
  <c r="EE30" i="4"/>
  <c r="D136" i="5"/>
  <c r="E148" i="4"/>
  <c r="R136" i="5"/>
  <c r="D147" i="4"/>
  <c r="C26" i="47"/>
  <c r="D26" i="47"/>
  <c r="Q26" i="47"/>
  <c r="EE71" i="4"/>
  <c r="EE89" i="4"/>
  <c r="H150" i="46"/>
  <c r="G150" i="46"/>
  <c r="E120" i="4"/>
  <c r="R108" i="5"/>
  <c r="D108" i="5"/>
  <c r="E108" i="5"/>
  <c r="E61" i="47"/>
  <c r="F61" i="47"/>
  <c r="D61" i="47"/>
  <c r="J65" i="4"/>
  <c r="L54" i="5"/>
  <c r="E25" i="47"/>
  <c r="F25" i="47"/>
  <c r="EC124" i="46"/>
  <c r="D31" i="46"/>
  <c r="E108" i="47"/>
  <c r="F108" i="47"/>
  <c r="EE78" i="4"/>
  <c r="EK78" i="4"/>
  <c r="J102" i="4"/>
  <c r="D57" i="30"/>
  <c r="E144" i="4"/>
  <c r="R132" i="5"/>
  <c r="D132" i="5"/>
  <c r="E132" i="5"/>
  <c r="D26" i="46"/>
  <c r="E39" i="4"/>
  <c r="R27" i="5"/>
  <c r="D27" i="5"/>
  <c r="E27" i="5"/>
  <c r="DS24" i="46"/>
  <c r="DS155" i="46"/>
  <c r="DS157" i="46"/>
  <c r="E147" i="4"/>
  <c r="R135" i="5"/>
  <c r="D135" i="5"/>
  <c r="E135" i="5"/>
  <c r="EI39" i="46"/>
  <c r="EK39" i="46"/>
  <c r="H39" i="46"/>
  <c r="G39" i="46"/>
  <c r="EC126" i="46"/>
  <c r="EC42" i="46"/>
  <c r="EC132" i="46"/>
  <c r="ED134" i="46"/>
  <c r="E38" i="4"/>
  <c r="R26" i="5"/>
  <c r="D26" i="5"/>
  <c r="E26" i="5"/>
  <c r="E59" i="47"/>
  <c r="F59" i="47"/>
  <c r="EE91" i="4"/>
  <c r="E75" i="47"/>
  <c r="F75" i="47"/>
  <c r="D75" i="47"/>
  <c r="E39" i="47"/>
  <c r="F39" i="47"/>
  <c r="D59" i="30"/>
  <c r="EL22" i="4"/>
  <c r="E103" i="47"/>
  <c r="F103" i="47"/>
  <c r="D103" i="47"/>
  <c r="EC138" i="46"/>
  <c r="EI138" i="46"/>
  <c r="G66" i="5"/>
  <c r="P66" i="47"/>
  <c r="J38" i="4"/>
  <c r="EK24" i="4"/>
  <c r="EE116" i="4"/>
  <c r="EI67" i="46"/>
  <c r="EK67" i="46"/>
  <c r="H67" i="46"/>
  <c r="G67" i="46"/>
  <c r="DV24" i="46"/>
  <c r="DV155" i="46"/>
  <c r="DV157" i="46"/>
  <c r="G52" i="5"/>
  <c r="P52" i="47"/>
  <c r="H70" i="46"/>
  <c r="G70" i="46"/>
  <c r="E31" i="4"/>
  <c r="R19" i="5"/>
  <c r="D19" i="5"/>
  <c r="E19" i="5"/>
  <c r="H127" i="46"/>
  <c r="H114" i="46"/>
  <c r="G114" i="46"/>
  <c r="G134" i="5"/>
  <c r="P134" i="47"/>
  <c r="EC69" i="46"/>
  <c r="EK55" i="4"/>
  <c r="EM55" i="4"/>
  <c r="J55" i="4"/>
  <c r="D43" i="47"/>
  <c r="E70" i="4"/>
  <c r="R58" i="5"/>
  <c r="D58" i="5"/>
  <c r="E58" i="5"/>
  <c r="E91" i="4"/>
  <c r="R79" i="5"/>
  <c r="D79" i="5"/>
  <c r="E79" i="5"/>
  <c r="DR31" i="46"/>
  <c r="EB31" i="46"/>
  <c r="G46" i="46"/>
  <c r="EI81" i="46"/>
  <c r="EK81" i="46"/>
  <c r="H81" i="46"/>
  <c r="D44" i="46"/>
  <c r="D117" i="46"/>
  <c r="G69" i="5"/>
  <c r="P69" i="47"/>
  <c r="EI38" i="46"/>
  <c r="EK38" i="46"/>
  <c r="H38" i="46"/>
  <c r="G38" i="46"/>
  <c r="EC77" i="46"/>
  <c r="D86" i="4"/>
  <c r="E87" i="4"/>
  <c r="R75" i="5"/>
  <c r="D75" i="5"/>
  <c r="D95" i="46"/>
  <c r="EK74" i="4"/>
  <c r="EM74" i="4"/>
  <c r="J74" i="4"/>
  <c r="EK95" i="4"/>
  <c r="EM95" i="4"/>
  <c r="J95" i="4"/>
  <c r="L84" i="5"/>
  <c r="EK97" i="4"/>
  <c r="EM97" i="4"/>
  <c r="AN67" i="30"/>
  <c r="EK48" i="4"/>
  <c r="EM48" i="4"/>
  <c r="J48" i="4"/>
  <c r="EK95" i="46"/>
  <c r="H95" i="46"/>
  <c r="G95" i="46"/>
  <c r="G20" i="5"/>
  <c r="P20" i="47"/>
  <c r="J30" i="4"/>
  <c r="L21" i="5"/>
  <c r="I155" i="4"/>
  <c r="EE152" i="4"/>
  <c r="EK152" i="4"/>
  <c r="EE102" i="4"/>
  <c r="G48" i="5"/>
  <c r="P48" i="47"/>
  <c r="EC131" i="46"/>
  <c r="ED133" i="46"/>
  <c r="EK107" i="4"/>
  <c r="EM107" i="4"/>
  <c r="E43" i="47"/>
  <c r="F43" i="47"/>
  <c r="E24" i="47"/>
  <c r="F24" i="47"/>
  <c r="EC32" i="46"/>
  <c r="EC37" i="46"/>
  <c r="Q119" i="47"/>
  <c r="C119" i="47"/>
  <c r="DB94" i="4"/>
  <c r="ED94" i="4"/>
  <c r="DA155" i="46"/>
  <c r="DA157" i="46"/>
  <c r="G124" i="5"/>
  <c r="P124" i="47"/>
  <c r="EK139" i="46"/>
  <c r="H139" i="46"/>
  <c r="G139" i="46"/>
  <c r="G85" i="46"/>
  <c r="E111" i="4"/>
  <c r="R99" i="5"/>
  <c r="D99" i="5"/>
  <c r="E99" i="5"/>
  <c r="N53" i="30"/>
  <c r="F53" i="30"/>
  <c r="AL53" i="30"/>
  <c r="AJ53" i="30"/>
  <c r="H126" i="46"/>
  <c r="G126" i="46"/>
  <c r="EC139" i="46"/>
  <c r="EI139" i="46"/>
  <c r="EC73" i="46"/>
  <c r="D54" i="47"/>
  <c r="DR58" i="46"/>
  <c r="EB58" i="46"/>
  <c r="EI58" i="46"/>
  <c r="EK58" i="46"/>
  <c r="H58" i="46"/>
  <c r="F60" i="30"/>
  <c r="AL60" i="30"/>
  <c r="N60" i="30"/>
  <c r="L60" i="30"/>
  <c r="L130" i="5"/>
  <c r="G117" i="5"/>
  <c r="P117" i="47"/>
  <c r="D81" i="4"/>
  <c r="E82" i="4"/>
  <c r="R70" i="5"/>
  <c r="D70" i="5"/>
  <c r="EK53" i="4"/>
  <c r="EM53" i="4"/>
  <c r="G33" i="46"/>
  <c r="EC79" i="46"/>
  <c r="E29" i="47"/>
  <c r="F29" i="47"/>
  <c r="G89" i="5"/>
  <c r="P89" i="47"/>
  <c r="G68" i="5"/>
  <c r="P68" i="47"/>
  <c r="EI65" i="46"/>
  <c r="E122" i="4"/>
  <c r="R110" i="5"/>
  <c r="D110" i="5"/>
  <c r="E110" i="5"/>
  <c r="G45" i="5"/>
  <c r="P45" i="47"/>
  <c r="E151" i="46"/>
  <c r="D150" i="46"/>
  <c r="EC125" i="46"/>
  <c r="DT142" i="4"/>
  <c r="ED142" i="4"/>
  <c r="E70" i="47"/>
  <c r="F70" i="47"/>
  <c r="D70" i="47"/>
  <c r="J58" i="4"/>
  <c r="EE79" i="4"/>
  <c r="EK79" i="4"/>
  <c r="DT138" i="4"/>
  <c r="ED138" i="4"/>
  <c r="EK138" i="4"/>
  <c r="EM138" i="4"/>
  <c r="EI114" i="46"/>
  <c r="EK114" i="46"/>
  <c r="EE56" i="4"/>
  <c r="DT42" i="4"/>
  <c r="ED42" i="4"/>
  <c r="EK42" i="4"/>
  <c r="EM42" i="4"/>
  <c r="J42" i="4"/>
  <c r="EE92" i="4"/>
  <c r="EK64" i="4"/>
  <c r="EM64" i="4"/>
  <c r="J64" i="4"/>
  <c r="E49" i="47"/>
  <c r="F49" i="47"/>
  <c r="D49" i="47"/>
  <c r="H35" i="46"/>
  <c r="G35" i="46"/>
  <c r="D105" i="4"/>
  <c r="E137" i="47"/>
  <c r="F137" i="47"/>
  <c r="D137" i="47"/>
  <c r="E40" i="47"/>
  <c r="F40" i="47"/>
  <c r="E132" i="47"/>
  <c r="F132" i="47"/>
  <c r="J59" i="4"/>
  <c r="L48" i="5"/>
  <c r="H155" i="46"/>
  <c r="J43" i="4"/>
  <c r="L32" i="5"/>
  <c r="T13" i="5"/>
  <c r="DX24" i="46"/>
  <c r="DX155" i="46"/>
  <c r="DX157" i="46"/>
  <c r="EC87" i="46"/>
  <c r="ED89" i="46"/>
  <c r="DT97" i="4"/>
  <c r="ED97" i="4"/>
  <c r="EE123" i="4"/>
  <c r="D45" i="46"/>
  <c r="E34" i="47"/>
  <c r="DR122" i="46"/>
  <c r="EB122" i="46"/>
  <c r="DR133" i="46"/>
  <c r="EB133" i="46"/>
  <c r="EE131" i="4"/>
  <c r="D126" i="46"/>
  <c r="E91" i="47"/>
  <c r="F91" i="47"/>
  <c r="EI90" i="46"/>
  <c r="EK90" i="46"/>
  <c r="H90" i="46"/>
  <c r="G90" i="46"/>
  <c r="E129" i="4"/>
  <c r="R117" i="5"/>
  <c r="D117" i="5"/>
  <c r="E117" i="5"/>
  <c r="E140" i="4"/>
  <c r="R128" i="5"/>
  <c r="D128" i="5"/>
  <c r="E128" i="5"/>
  <c r="E124" i="4"/>
  <c r="R112" i="5"/>
  <c r="D112" i="5"/>
  <c r="E112" i="5"/>
  <c r="E19" i="47"/>
  <c r="F19" i="47"/>
  <c r="DR113" i="46"/>
  <c r="EB113" i="46"/>
  <c r="EI113" i="46"/>
  <c r="EK113" i="46"/>
  <c r="DT108" i="4"/>
  <c r="ED108" i="4"/>
  <c r="H67" i="30"/>
  <c r="EI109" i="46"/>
  <c r="EK109" i="46"/>
  <c r="H109" i="46"/>
  <c r="EC56" i="46"/>
  <c r="ED58" i="46"/>
  <c r="E87" i="47"/>
  <c r="F87" i="47"/>
  <c r="D87" i="47"/>
  <c r="G83" i="5"/>
  <c r="P83" i="47"/>
  <c r="EI148" i="46"/>
  <c r="EK148" i="46"/>
  <c r="DT149" i="4"/>
  <c r="ED149" i="4"/>
  <c r="EK149" i="4"/>
  <c r="EM149" i="4"/>
  <c r="DT110" i="4"/>
  <c r="ED110" i="4"/>
  <c r="EK110" i="4"/>
  <c r="EM110" i="4"/>
  <c r="EI62" i="46"/>
  <c r="EK62" i="46"/>
  <c r="CX77" i="46"/>
  <c r="EB77" i="46"/>
  <c r="EI77" i="46"/>
  <c r="EK77" i="46"/>
  <c r="H77" i="46"/>
  <c r="G77" i="46"/>
  <c r="H37" i="46"/>
  <c r="DA117" i="46"/>
  <c r="EB117" i="46"/>
  <c r="EI117" i="46"/>
  <c r="EK117" i="46"/>
  <c r="EK122" i="4"/>
  <c r="EM122" i="4"/>
  <c r="DT58" i="4"/>
  <c r="ED58" i="4"/>
  <c r="EK58" i="4"/>
  <c r="EM58" i="4"/>
  <c r="D77" i="46"/>
  <c r="G97" i="5"/>
  <c r="P97" i="47"/>
  <c r="G16" i="5"/>
  <c r="P16" i="47"/>
  <c r="EI92" i="46"/>
  <c r="EK92" i="46"/>
  <c r="H92" i="46"/>
  <c r="E96" i="4"/>
  <c r="R84" i="5"/>
  <c r="D84" i="5"/>
  <c r="E84" i="5"/>
  <c r="CZ86" i="4"/>
  <c r="ED86" i="4"/>
  <c r="G57" i="5"/>
  <c r="P57" i="47"/>
  <c r="EC40" i="46"/>
  <c r="ED42" i="46"/>
  <c r="CZ76" i="4"/>
  <c r="ED76" i="4"/>
  <c r="EI88" i="46"/>
  <c r="EK88" i="46"/>
  <c r="H88" i="46"/>
  <c r="D111" i="4"/>
  <c r="EC46" i="46"/>
  <c r="ED48" i="46"/>
  <c r="DT100" i="4"/>
  <c r="ED100" i="4"/>
  <c r="EK100" i="4"/>
  <c r="EM100" i="4"/>
  <c r="D128" i="46"/>
  <c r="EK60" i="4"/>
  <c r="EM60" i="4"/>
  <c r="J60" i="4"/>
  <c r="F62" i="30"/>
  <c r="AL62" i="30"/>
  <c r="N62" i="30"/>
  <c r="L62" i="30"/>
  <c r="C5" i="73"/>
  <c r="C28" i="73"/>
  <c r="B28" i="73"/>
  <c r="G28" i="73"/>
  <c r="G54" i="5"/>
  <c r="P54" i="47"/>
  <c r="DT57" i="4"/>
  <c r="ED57" i="4"/>
  <c r="E98" i="47"/>
  <c r="F98" i="47"/>
  <c r="E128" i="47"/>
  <c r="F128" i="47"/>
  <c r="E53" i="4"/>
  <c r="R41" i="5"/>
  <c r="D41" i="5"/>
  <c r="E41" i="5"/>
  <c r="DR62" i="46"/>
  <c r="EB62" i="46"/>
  <c r="D107" i="4"/>
  <c r="DR142" i="46"/>
  <c r="EB142" i="46"/>
  <c r="EI142" i="46"/>
  <c r="EK142" i="46"/>
  <c r="H142" i="46"/>
  <c r="G142" i="46"/>
  <c r="DT38" i="4"/>
  <c r="ED38" i="4"/>
  <c r="EK38" i="4"/>
  <c r="EM38" i="4"/>
  <c r="DT26" i="4"/>
  <c r="ED26" i="4"/>
  <c r="EK26" i="4"/>
  <c r="EM26" i="4"/>
  <c r="EC115" i="46"/>
  <c r="ED117" i="46"/>
  <c r="DT113" i="4"/>
  <c r="ED113" i="4"/>
  <c r="G19" i="5"/>
  <c r="P19" i="47"/>
  <c r="EI83" i="46"/>
  <c r="EK83" i="46"/>
  <c r="H83" i="46"/>
  <c r="G83" i="46"/>
  <c r="DA138" i="46"/>
  <c r="EB138" i="46"/>
  <c r="DA57" i="46"/>
  <c r="EB57" i="46"/>
  <c r="EI57" i="46"/>
  <c r="EK57" i="46"/>
  <c r="H57" i="46"/>
  <c r="C23" i="73"/>
  <c r="B23" i="73"/>
  <c r="E16" i="47"/>
  <c r="F16" i="47"/>
  <c r="L61" i="5"/>
  <c r="EK70" i="4"/>
  <c r="EM70" i="4"/>
  <c r="J70" i="4"/>
  <c r="L59" i="5"/>
  <c r="CX89" i="46"/>
  <c r="EB89" i="46"/>
  <c r="EI89" i="46"/>
  <c r="EK89" i="46"/>
  <c r="E54" i="47"/>
  <c r="F54" i="47"/>
  <c r="F152" i="46"/>
  <c r="CZ78" i="4"/>
  <c r="ED78" i="4"/>
  <c r="EK27" i="4"/>
  <c r="EM27" i="4"/>
  <c r="DR97" i="46"/>
  <c r="EB97" i="46"/>
  <c r="EI97" i="46"/>
  <c r="EK97" i="46"/>
  <c r="EK141" i="4"/>
  <c r="EM141" i="4"/>
  <c r="J141" i="4"/>
  <c r="DT136" i="4"/>
  <c r="ED136" i="4"/>
  <c r="EK136" i="4"/>
  <c r="EM136" i="4"/>
  <c r="E72" i="47"/>
  <c r="F72" i="47"/>
  <c r="EE59" i="4"/>
  <c r="EC44" i="46"/>
  <c r="EC144" i="46"/>
  <c r="J82" i="4"/>
  <c r="J101" i="4"/>
  <c r="EI33" i="46"/>
  <c r="EK33" i="46"/>
  <c r="H33" i="46"/>
  <c r="CW132" i="46"/>
  <c r="EB132" i="46"/>
  <c r="H152" i="46"/>
  <c r="G152" i="46"/>
  <c r="EC147" i="46"/>
  <c r="ED149" i="46"/>
  <c r="H351" i="3"/>
  <c r="DX22" i="4"/>
  <c r="DX156" i="4"/>
  <c r="DW24" i="46"/>
  <c r="DW155" i="46"/>
  <c r="DW157" i="46"/>
  <c r="EC75" i="46"/>
  <c r="ED77" i="46"/>
  <c r="E134" i="5"/>
  <c r="L20" i="5"/>
  <c r="DT135" i="4"/>
  <c r="ED135" i="4"/>
  <c r="G140" i="5"/>
  <c r="P140" i="47"/>
  <c r="EI37" i="46"/>
  <c r="EK37" i="46"/>
  <c r="J49" i="4"/>
  <c r="H53" i="46"/>
  <c r="CY157" i="46"/>
  <c r="EC28" i="46"/>
  <c r="EC112" i="46"/>
  <c r="DT99" i="4"/>
  <c r="ED99" i="4"/>
  <c r="EK82" i="4"/>
  <c r="EM82" i="4"/>
  <c r="E34" i="5"/>
  <c r="DR139" i="46"/>
  <c r="EB139" i="46"/>
  <c r="EK129" i="4"/>
  <c r="EM129" i="4"/>
  <c r="J129" i="4"/>
  <c r="L118" i="5"/>
  <c r="DT126" i="4"/>
  <c r="ED126" i="4"/>
  <c r="EK126" i="4"/>
  <c r="EM126" i="4"/>
  <c r="J126" i="4"/>
  <c r="L115" i="5"/>
  <c r="D45" i="4"/>
  <c r="E46" i="4"/>
  <c r="R34" i="5"/>
  <c r="D34" i="5"/>
  <c r="D85" i="47"/>
  <c r="DR140" i="46"/>
  <c r="EB140" i="46"/>
  <c r="EI140" i="46"/>
  <c r="EK140" i="46"/>
  <c r="H140" i="46"/>
  <c r="G140" i="46"/>
  <c r="E89" i="4"/>
  <c r="R77" i="5"/>
  <c r="D77" i="5"/>
  <c r="E77" i="5"/>
  <c r="G141" i="5"/>
  <c r="P141" i="47"/>
  <c r="L57" i="5"/>
  <c r="D129" i="46"/>
  <c r="E118" i="47"/>
  <c r="E69" i="47"/>
  <c r="F69" i="47"/>
  <c r="E105" i="47"/>
  <c r="F105" i="47"/>
  <c r="D105" i="47"/>
  <c r="H123" i="46"/>
  <c r="G123" i="46"/>
  <c r="DT25" i="4"/>
  <c r="ED25" i="4"/>
  <c r="EK25" i="4"/>
  <c r="EM25" i="4"/>
  <c r="J25" i="4"/>
  <c r="DZ24" i="4"/>
  <c r="DZ155" i="4"/>
  <c r="DZ157" i="4"/>
  <c r="EC128" i="46"/>
  <c r="ED130" i="46"/>
  <c r="EC149" i="46"/>
  <c r="ED151" i="46"/>
  <c r="E135" i="4"/>
  <c r="R123" i="5"/>
  <c r="D123" i="5"/>
  <c r="E123" i="5"/>
  <c r="E55" i="47"/>
  <c r="F55" i="47"/>
  <c r="D140" i="4"/>
  <c r="E141" i="4"/>
  <c r="R129" i="5"/>
  <c r="D129" i="5"/>
  <c r="EC134" i="46"/>
  <c r="ED136" i="46"/>
  <c r="EC35" i="46"/>
  <c r="CZ156" i="46"/>
  <c r="CZ22" i="46"/>
  <c r="CZ28" i="46"/>
  <c r="EE106" i="4"/>
  <c r="EI129" i="46"/>
  <c r="DA129" i="46"/>
  <c r="EB129" i="46"/>
  <c r="EC129" i="46"/>
  <c r="E26" i="47"/>
  <c r="F26" i="47"/>
  <c r="E33" i="47"/>
  <c r="F33" i="47"/>
  <c r="DT143" i="4"/>
  <c r="ED143" i="4"/>
  <c r="EK143" i="4"/>
  <c r="EM143" i="4"/>
  <c r="J143" i="4"/>
  <c r="DR119" i="46"/>
  <c r="EB119" i="46"/>
  <c r="EI119" i="46"/>
  <c r="EK119" i="46"/>
  <c r="H119" i="46"/>
  <c r="E78" i="47"/>
  <c r="F78" i="47"/>
  <c r="DR106" i="46"/>
  <c r="EB106" i="46"/>
  <c r="G101" i="5"/>
  <c r="P101" i="47"/>
  <c r="D140" i="46"/>
  <c r="E129" i="47"/>
  <c r="E111" i="47"/>
  <c r="F111" i="47"/>
  <c r="EI105" i="46"/>
  <c r="EK105" i="46"/>
  <c r="L121" i="5"/>
  <c r="E74" i="47"/>
  <c r="F74" i="47"/>
  <c r="D74" i="47"/>
  <c r="J114" i="4"/>
  <c r="H28" i="46"/>
  <c r="G28" i="46"/>
  <c r="CX76" i="46"/>
  <c r="EB76" i="46"/>
  <c r="EI76" i="46"/>
  <c r="EK76" i="46"/>
  <c r="H76" i="46"/>
  <c r="D36" i="47"/>
  <c r="E150" i="46"/>
  <c r="E139" i="47"/>
  <c r="F139" i="47"/>
  <c r="E97" i="4"/>
  <c r="R85" i="5"/>
  <c r="D85" i="5"/>
  <c r="E85" i="5"/>
  <c r="CZ77" i="4"/>
  <c r="ED77" i="4"/>
  <c r="EK77" i="4"/>
  <c r="EM77" i="4"/>
  <c r="EK119" i="4"/>
  <c r="EM119" i="4"/>
  <c r="J119" i="4"/>
  <c r="EC68" i="46"/>
  <c r="EK115" i="4"/>
  <c r="EM115" i="4"/>
  <c r="E64" i="47"/>
  <c r="F64" i="47"/>
  <c r="DR149" i="46"/>
  <c r="EB149" i="46"/>
  <c r="EK66" i="4"/>
  <c r="EM66" i="4"/>
  <c r="J66" i="4"/>
  <c r="L55" i="5"/>
  <c r="E65" i="47"/>
  <c r="F65" i="47"/>
  <c r="D65" i="47"/>
  <c r="DR52" i="46"/>
  <c r="EB52" i="46"/>
  <c r="EI52" i="46"/>
  <c r="EK52" i="46"/>
  <c r="H52" i="46"/>
  <c r="DA105" i="46"/>
  <c r="EB105" i="46"/>
  <c r="EC105" i="46"/>
  <c r="ED107" i="46"/>
  <c r="E112" i="4"/>
  <c r="R100" i="5"/>
  <c r="D100" i="5"/>
  <c r="E100" i="5"/>
  <c r="EI143" i="46"/>
  <c r="EK143" i="46"/>
  <c r="H143" i="46"/>
  <c r="G143" i="46"/>
  <c r="DR137" i="46"/>
  <c r="EB137" i="46"/>
  <c r="EI137" i="46"/>
  <c r="EK137" i="46"/>
  <c r="DR67" i="46"/>
  <c r="EB67" i="46"/>
  <c r="EI150" i="46"/>
  <c r="EK150" i="46"/>
  <c r="EI75" i="46"/>
  <c r="EK75" i="46"/>
  <c r="CY48" i="4"/>
  <c r="ED48" i="4"/>
  <c r="EK47" i="4"/>
  <c r="EM47" i="4"/>
  <c r="J47" i="4"/>
  <c r="DR59" i="46"/>
  <c r="EB59" i="46"/>
  <c r="EI121" i="46"/>
  <c r="EK121" i="46"/>
  <c r="DT134" i="4"/>
  <c r="ED134" i="4"/>
  <c r="EK134" i="4"/>
  <c r="EM134" i="4"/>
  <c r="J134" i="4"/>
  <c r="DR46" i="46"/>
  <c r="EB46" i="46"/>
  <c r="EI46" i="46"/>
  <c r="EK46" i="46"/>
  <c r="H46" i="46"/>
  <c r="DR98" i="46"/>
  <c r="EB98" i="46"/>
  <c r="EI98" i="46"/>
  <c r="EK98" i="46"/>
  <c r="AD68" i="30"/>
  <c r="AD69" i="30"/>
  <c r="AB69" i="30"/>
  <c r="DR50" i="46"/>
  <c r="EB50" i="46"/>
  <c r="CZ81" i="4"/>
  <c r="ED81" i="4"/>
  <c r="J31" i="4"/>
  <c r="DT46" i="4"/>
  <c r="ED46" i="4"/>
  <c r="DR33" i="46"/>
  <c r="EB33" i="46"/>
  <c r="H34" i="46"/>
  <c r="EI127" i="46"/>
  <c r="EK127" i="46"/>
  <c r="D79" i="46"/>
  <c r="EK101" i="4"/>
  <c r="EM101" i="4"/>
  <c r="E53" i="47"/>
  <c r="F53" i="47"/>
  <c r="DA38" i="46"/>
  <c r="EB38" i="46"/>
  <c r="EI104" i="46"/>
  <c r="EK104" i="46"/>
  <c r="CX88" i="46"/>
  <c r="EB88" i="46"/>
  <c r="DR37" i="46"/>
  <c r="EB37" i="46"/>
  <c r="DR127" i="46"/>
  <c r="EB127" i="46"/>
  <c r="EE96" i="4"/>
  <c r="EI96" i="46"/>
  <c r="AL64" i="30"/>
  <c r="F64" i="30"/>
  <c r="D64" i="30"/>
  <c r="CW72" i="46"/>
  <c r="EB72" i="46"/>
  <c r="EI72" i="46"/>
  <c r="EK72" i="46"/>
  <c r="H72" i="46"/>
  <c r="DT40" i="4"/>
  <c r="ED40" i="4"/>
  <c r="EK40" i="4"/>
  <c r="EM40" i="4"/>
  <c r="EI111" i="46"/>
  <c r="EK111" i="46"/>
  <c r="H111" i="46"/>
  <c r="G111" i="46"/>
  <c r="DT51" i="4"/>
  <c r="ED51" i="4"/>
  <c r="EK51" i="4"/>
  <c r="EM51" i="4"/>
  <c r="J51" i="4"/>
  <c r="EK104" i="4"/>
  <c r="EM104" i="4"/>
  <c r="J104" i="4"/>
  <c r="EK50" i="4"/>
  <c r="EM50" i="4"/>
  <c r="D134" i="5"/>
  <c r="E146" i="4"/>
  <c r="R134" i="5"/>
  <c r="D145" i="4"/>
  <c r="EI85" i="46"/>
  <c r="EK85" i="46"/>
  <c r="H85" i="46"/>
  <c r="DR39" i="46"/>
  <c r="EB39" i="46"/>
  <c r="DA66" i="46"/>
  <c r="EB66" i="46"/>
  <c r="EI66" i="46"/>
  <c r="EK66" i="46"/>
  <c r="J109" i="4"/>
  <c r="DT53" i="4"/>
  <c r="ED53" i="4"/>
  <c r="DT107" i="4"/>
  <c r="ED107" i="4"/>
  <c r="L25" i="5"/>
  <c r="E101" i="4"/>
  <c r="R89" i="5"/>
  <c r="D89" i="5"/>
  <c r="E89" i="5"/>
  <c r="EI152" i="46"/>
  <c r="EK152" i="46"/>
  <c r="DT137" i="4"/>
  <c r="ED137" i="4"/>
  <c r="CZ82" i="4"/>
  <c r="ED82" i="4"/>
  <c r="F55" i="30"/>
  <c r="AL55" i="30"/>
  <c r="N55" i="30"/>
  <c r="CY22" i="46"/>
  <c r="CY28" i="46"/>
  <c r="CY155" i="46"/>
  <c r="DR136" i="46"/>
  <c r="EB136" i="46"/>
  <c r="EI136" i="46"/>
  <c r="EK136" i="46"/>
  <c r="H136" i="46"/>
  <c r="G136" i="46"/>
  <c r="EL24" i="4"/>
  <c r="EL155" i="4"/>
  <c r="EL157" i="4"/>
  <c r="G155" i="46"/>
  <c r="CZ84" i="4"/>
  <c r="ED84" i="4"/>
  <c r="EK84" i="4"/>
  <c r="EM84" i="4"/>
  <c r="J84" i="4"/>
  <c r="L73" i="5"/>
  <c r="G27" i="5"/>
  <c r="P27" i="47"/>
  <c r="B45" i="73"/>
  <c r="F11" i="73"/>
  <c r="K1" i="74"/>
  <c r="EI116" i="46"/>
  <c r="EK116" i="46"/>
  <c r="H116" i="46"/>
  <c r="G116" i="46"/>
  <c r="EI63" i="46"/>
  <c r="EK63" i="46"/>
  <c r="CZ73" i="4"/>
  <c r="ED73" i="4"/>
  <c r="EK73" i="4"/>
  <c r="EM73" i="4"/>
  <c r="J73" i="4"/>
  <c r="L62" i="5"/>
  <c r="E71" i="47"/>
  <c r="F71" i="47"/>
  <c r="D71" i="47"/>
  <c r="DT112" i="4"/>
  <c r="ED112" i="4"/>
  <c r="EK112" i="4"/>
  <c r="EM112" i="4"/>
  <c r="J112" i="4"/>
  <c r="DR115" i="46"/>
  <c r="EB115" i="46"/>
  <c r="EI115" i="46"/>
  <c r="EK115" i="46"/>
  <c r="H115" i="46"/>
  <c r="G115" i="46"/>
  <c r="CZ80" i="4"/>
  <c r="ED80" i="4"/>
  <c r="EK80" i="4"/>
  <c r="EM80" i="4"/>
  <c r="J80" i="4"/>
  <c r="L69" i="5"/>
  <c r="E125" i="47"/>
  <c r="F125" i="47"/>
  <c r="D125" i="47"/>
  <c r="EC27" i="46"/>
  <c r="ED27" i="46"/>
  <c r="E100" i="47"/>
  <c r="F100" i="47"/>
  <c r="DT98" i="4"/>
  <c r="ED98" i="4"/>
  <c r="EK98" i="4"/>
  <c r="EM98" i="4"/>
  <c r="J98" i="4"/>
  <c r="L87" i="5"/>
  <c r="D126" i="47"/>
  <c r="D53" i="4"/>
  <c r="E54" i="4"/>
  <c r="R42" i="5"/>
  <c r="D42" i="5"/>
  <c r="E85" i="47"/>
  <c r="F85" i="47"/>
  <c r="DT147" i="4"/>
  <c r="ED147" i="4"/>
  <c r="EK147" i="4"/>
  <c r="EM147" i="4"/>
  <c r="J147" i="4"/>
  <c r="EK148" i="4"/>
  <c r="EM148" i="4"/>
  <c r="J148" i="4"/>
  <c r="EC116" i="46"/>
  <c r="ED118" i="46"/>
  <c r="DA63" i="46"/>
  <c r="EB63" i="46"/>
  <c r="EC63" i="46"/>
  <c r="ED65" i="46"/>
  <c r="EK75" i="4"/>
  <c r="EM75" i="4"/>
  <c r="J75" i="4"/>
  <c r="E14" i="47"/>
  <c r="F14" i="47"/>
  <c r="CX69" i="46"/>
  <c r="EB69" i="46"/>
  <c r="EI69" i="46"/>
  <c r="EK69" i="46"/>
  <c r="H69" i="46"/>
  <c r="G69" i="46"/>
  <c r="DT146" i="4"/>
  <c r="ED146" i="4"/>
  <c r="EK146" i="4"/>
  <c r="EM146" i="4"/>
  <c r="CX71" i="46"/>
  <c r="EB71" i="46"/>
  <c r="EI71" i="46"/>
  <c r="EK71" i="46"/>
  <c r="EK120" i="4"/>
  <c r="EM120" i="4"/>
  <c r="J120" i="4"/>
  <c r="EG28" i="4"/>
  <c r="EG155" i="4"/>
  <c r="E106" i="47"/>
  <c r="F106" i="47"/>
  <c r="D106" i="47"/>
  <c r="DR100" i="46"/>
  <c r="EB100" i="46"/>
  <c r="EI100" i="46"/>
  <c r="EK100" i="46"/>
  <c r="DT148" i="4"/>
  <c r="ED148" i="4"/>
  <c r="E47" i="47"/>
  <c r="F47" i="47"/>
  <c r="E80" i="47"/>
  <c r="F80" i="47"/>
  <c r="E117" i="47"/>
  <c r="F117" i="47"/>
  <c r="D56" i="30"/>
  <c r="E22" i="47"/>
  <c r="F22" i="47"/>
  <c r="D22" i="47"/>
  <c r="EC110" i="46"/>
  <c r="ED112" i="46"/>
  <c r="G41" i="5"/>
  <c r="P41" i="47"/>
  <c r="DR125" i="46"/>
  <c r="EB125" i="46"/>
  <c r="EI125" i="46"/>
  <c r="EK125" i="46"/>
  <c r="E89" i="47"/>
  <c r="F89" i="47"/>
  <c r="EK87" i="4"/>
  <c r="EM87" i="4"/>
  <c r="J87" i="4"/>
  <c r="EI70" i="46"/>
  <c r="EK70" i="46"/>
  <c r="J37" i="4"/>
  <c r="L26" i="5"/>
  <c r="EE67" i="4"/>
  <c r="DT123" i="4"/>
  <c r="ED123" i="4"/>
  <c r="EK123" i="4"/>
  <c r="EM123" i="4"/>
  <c r="B21" i="73"/>
  <c r="G21" i="73"/>
  <c r="G24" i="73"/>
  <c r="DR145" i="46"/>
  <c r="EB145" i="46"/>
  <c r="EI145" i="46"/>
  <c r="EK145" i="46"/>
  <c r="H145" i="46"/>
  <c r="G145" i="46"/>
  <c r="E114" i="47"/>
  <c r="F114" i="47"/>
  <c r="DR118" i="46"/>
  <c r="EB118" i="46"/>
  <c r="DA99" i="46"/>
  <c r="EB99" i="46"/>
  <c r="EI99" i="46"/>
  <c r="EK99" i="46"/>
  <c r="DT130" i="4"/>
  <c r="ED130" i="4"/>
  <c r="H47" i="46"/>
  <c r="DT152" i="4"/>
  <c r="ED152" i="4"/>
  <c r="CY60" i="4"/>
  <c r="ED60" i="4"/>
  <c r="EB32" i="46"/>
  <c r="EI32" i="46"/>
  <c r="EK32" i="46"/>
  <c r="E44" i="47"/>
  <c r="F44" i="47"/>
  <c r="E108" i="4"/>
  <c r="R96" i="5"/>
  <c r="D96" i="5"/>
  <c r="E96" i="5"/>
  <c r="AL57" i="30"/>
  <c r="AL67" i="30"/>
  <c r="AL68" i="30"/>
  <c r="AL51" i="30"/>
  <c r="AJ51" i="30"/>
  <c r="DT124" i="4"/>
  <c r="ED124" i="4"/>
  <c r="EK124" i="4"/>
  <c r="EM124" i="4"/>
  <c r="J124" i="4"/>
  <c r="EC53" i="46"/>
  <c r="R142" i="5"/>
  <c r="D142" i="5"/>
  <c r="E142" i="5"/>
  <c r="J153" i="4"/>
  <c r="L142" i="5"/>
  <c r="DT140" i="4"/>
  <c r="ED140" i="4"/>
  <c r="EK140" i="4"/>
  <c r="EM140" i="4"/>
  <c r="DT29" i="4"/>
  <c r="ED29" i="4"/>
  <c r="EK29" i="4"/>
  <c r="EM29" i="4"/>
  <c r="J29" i="4"/>
  <c r="G90" i="5"/>
  <c r="P90" i="47"/>
  <c r="DT59" i="4"/>
  <c r="ED59" i="4"/>
  <c r="EK59" i="4"/>
  <c r="EM59" i="4"/>
  <c r="DT119" i="4"/>
  <c r="ED119" i="4"/>
  <c r="CX78" i="46"/>
  <c r="EB78" i="46"/>
  <c r="EI78" i="46"/>
  <c r="EK78" i="46"/>
  <c r="H78" i="46"/>
  <c r="G78" i="46"/>
  <c r="DR43" i="46"/>
  <c r="EB43" i="46"/>
  <c r="EI43" i="46"/>
  <c r="EK43" i="46"/>
  <c r="DT50" i="4"/>
  <c r="ED50" i="4"/>
  <c r="DA141" i="46"/>
  <c r="EB141" i="46"/>
  <c r="EI141" i="46"/>
  <c r="EK141" i="46"/>
  <c r="H141" i="46"/>
  <c r="H13" i="5"/>
  <c r="I13" i="5"/>
  <c r="J13" i="5"/>
  <c r="CX85" i="46"/>
  <c r="EB85" i="46"/>
  <c r="G68" i="46"/>
  <c r="E117" i="4"/>
  <c r="R105" i="5"/>
  <c r="D105" i="5"/>
  <c r="E105" i="5"/>
  <c r="EC150" i="46"/>
  <c r="ED152" i="46"/>
  <c r="L56" i="5"/>
  <c r="E68" i="47"/>
  <c r="F68" i="47"/>
  <c r="EI124" i="46"/>
  <c r="EK124" i="46"/>
  <c r="H124" i="46"/>
  <c r="G124" i="46"/>
  <c r="CZ70" i="4"/>
  <c r="ED70" i="4"/>
  <c r="DR112" i="46"/>
  <c r="EB112" i="46"/>
  <c r="EI112" i="46"/>
  <c r="EK112" i="46"/>
  <c r="H112" i="46"/>
  <c r="E36" i="47"/>
  <c r="F36" i="47"/>
  <c r="G92" i="5"/>
  <c r="P92" i="47"/>
  <c r="H102" i="46"/>
  <c r="G102" i="46"/>
  <c r="CZ87" i="4"/>
  <c r="ED87" i="4"/>
  <c r="DT101" i="4"/>
  <c r="ED101" i="4"/>
  <c r="E147" i="46"/>
  <c r="E148" i="46"/>
  <c r="E149" i="46"/>
  <c r="E138" i="47"/>
  <c r="F138" i="47"/>
  <c r="EI147" i="46"/>
  <c r="EK147" i="46"/>
  <c r="EI61" i="46"/>
  <c r="EK61" i="46"/>
  <c r="E63" i="47"/>
  <c r="F63" i="47"/>
  <c r="D63" i="47"/>
  <c r="DT122" i="4"/>
  <c r="ED122" i="4"/>
  <c r="DR124" i="46"/>
  <c r="EB124" i="46"/>
  <c r="CZ79" i="4"/>
  <c r="ED79" i="4"/>
  <c r="DR152" i="46"/>
  <c r="EB152" i="46"/>
  <c r="G95" i="5"/>
  <c r="P95" i="47"/>
  <c r="EI34" i="46"/>
  <c r="EK34" i="46"/>
  <c r="DR104" i="46"/>
  <c r="EB104" i="46"/>
  <c r="EK132" i="4"/>
  <c r="EM132" i="4"/>
  <c r="J132" i="4"/>
  <c r="EK96" i="4"/>
  <c r="EM96" i="4"/>
  <c r="DT153" i="4"/>
  <c r="ED153" i="4"/>
  <c r="EK153" i="4"/>
  <c r="EM153" i="4"/>
  <c r="EC96" i="46"/>
  <c r="ED98" i="46"/>
  <c r="CZ65" i="4"/>
  <c r="ED65" i="4"/>
  <c r="EK65" i="4"/>
  <c r="EM65" i="4"/>
  <c r="CZ75" i="4"/>
  <c r="ED75" i="4"/>
  <c r="E126" i="47"/>
  <c r="F126" i="47"/>
  <c r="EI41" i="46"/>
  <c r="DA41" i="46"/>
  <c r="EB41" i="46"/>
  <c r="EC41" i="46"/>
  <c r="E64" i="4"/>
  <c r="R52" i="5"/>
  <c r="D52" i="5"/>
  <c r="E52" i="5"/>
  <c r="EI153" i="46"/>
  <c r="EK153" i="46"/>
  <c r="G120" i="5"/>
  <c r="P120" i="47"/>
  <c r="G107" i="46"/>
  <c r="E106" i="4"/>
  <c r="R94" i="5"/>
  <c r="D94" i="5"/>
  <c r="E94" i="5"/>
  <c r="E110" i="47"/>
  <c r="F110" i="47"/>
  <c r="DR64" i="46"/>
  <c r="EB64" i="46"/>
  <c r="EI64" i="46"/>
  <c r="EK64" i="46"/>
  <c r="H64" i="46"/>
  <c r="G64" i="46"/>
  <c r="DR55" i="46"/>
  <c r="EB55" i="46"/>
  <c r="EI55" i="46"/>
  <c r="EK55" i="46"/>
  <c r="H55" i="46"/>
  <c r="G55" i="46"/>
  <c r="CX87" i="46"/>
  <c r="EB87" i="46"/>
  <c r="EI87" i="46"/>
  <c r="EK87" i="46"/>
  <c r="H87" i="46"/>
  <c r="DT61" i="4"/>
  <c r="ED61" i="4"/>
  <c r="EK61" i="4"/>
  <c r="EM61" i="4"/>
  <c r="J61" i="4"/>
  <c r="DU24" i="4"/>
  <c r="DU155" i="4"/>
  <c r="DU157" i="4"/>
  <c r="E66" i="47"/>
  <c r="F66" i="47"/>
  <c r="E79" i="47"/>
  <c r="F79" i="47"/>
  <c r="CZ83" i="4"/>
  <c r="ED83" i="4"/>
  <c r="EK83" i="4"/>
  <c r="EM83" i="4"/>
  <c r="DA54" i="46"/>
  <c r="EB54" i="46"/>
  <c r="ED155" i="4"/>
  <c r="ED22" i="4"/>
  <c r="DT125" i="4"/>
  <c r="ED125" i="4"/>
  <c r="EK125" i="4"/>
  <c r="EM125" i="4"/>
  <c r="J125" i="4"/>
  <c r="CW144" i="46"/>
  <c r="EB144" i="46"/>
  <c r="EI144" i="46"/>
  <c r="EK144" i="46"/>
  <c r="DC22" i="4"/>
  <c r="DC31" i="4"/>
  <c r="ED31" i="4"/>
  <c r="EK31" i="4"/>
  <c r="EM31" i="4"/>
  <c r="DA126" i="46"/>
  <c r="EB126" i="46"/>
  <c r="EI126" i="46"/>
  <c r="EK126" i="46"/>
  <c r="EK106" i="4"/>
  <c r="EM106" i="4"/>
  <c r="G39" i="5"/>
  <c r="P39" i="47"/>
  <c r="CX74" i="46"/>
  <c r="EB74" i="46"/>
  <c r="EI74" i="46"/>
  <c r="EK74" i="46"/>
  <c r="H74" i="46"/>
  <c r="E38" i="47"/>
  <c r="F38" i="47"/>
  <c r="CZ66" i="4"/>
  <c r="ED66" i="4"/>
  <c r="DA45" i="46"/>
  <c r="EB45" i="46"/>
  <c r="EI45" i="46"/>
  <c r="EK45" i="46"/>
  <c r="CX83" i="46"/>
  <c r="EB83" i="46"/>
  <c r="H94" i="46"/>
  <c r="G13" i="5"/>
  <c r="R13" i="5"/>
  <c r="D13" i="5"/>
  <c r="E13" i="5"/>
  <c r="DT104" i="4"/>
  <c r="ED104" i="4"/>
  <c r="DA147" i="46"/>
  <c r="EB147" i="46"/>
  <c r="G103" i="46"/>
  <c r="DB90" i="4"/>
  <c r="ED90" i="4"/>
  <c r="EK90" i="4"/>
  <c r="EM90" i="4"/>
  <c r="CZ85" i="4"/>
  <c r="ED85" i="4"/>
  <c r="J67" i="4"/>
  <c r="DR116" i="46"/>
  <c r="EB116" i="46"/>
  <c r="H29" i="46"/>
  <c r="EC151" i="46"/>
  <c r="ED153" i="46"/>
  <c r="CW96" i="46"/>
  <c r="EB96" i="46"/>
  <c r="DR56" i="46"/>
  <c r="EB56" i="46"/>
  <c r="EI56" i="46"/>
  <c r="EK56" i="46"/>
  <c r="H56" i="46"/>
  <c r="G59" i="5"/>
  <c r="P59" i="47"/>
  <c r="J62" i="4"/>
  <c r="L51" i="5"/>
  <c r="E62" i="4"/>
  <c r="R50" i="5"/>
  <c r="D50" i="5"/>
  <c r="E50" i="5"/>
  <c r="EI91" i="46"/>
  <c r="EK91" i="46"/>
  <c r="H91" i="46"/>
  <c r="G91" i="46"/>
  <c r="E56" i="4"/>
  <c r="R44" i="5"/>
  <c r="D44" i="5"/>
  <c r="E44" i="5"/>
  <c r="DR143" i="46"/>
  <c r="EB143" i="46"/>
  <c r="EC143" i="46"/>
  <c r="ED145" i="46"/>
  <c r="P68" i="30"/>
  <c r="DR101" i="46"/>
  <c r="EB101" i="46"/>
  <c r="DT63" i="4"/>
  <c r="ED63" i="4"/>
  <c r="EK63" i="4"/>
  <c r="EM63" i="4"/>
  <c r="J63" i="4"/>
  <c r="L52" i="5"/>
  <c r="DR151" i="46"/>
  <c r="EB151" i="46"/>
  <c r="EI151" i="46"/>
  <c r="EK151" i="46"/>
  <c r="H151" i="46"/>
  <c r="DA135" i="46"/>
  <c r="EB135" i="46"/>
  <c r="EI135" i="46"/>
  <c r="EK135" i="46"/>
  <c r="H135" i="46"/>
  <c r="G135" i="46"/>
  <c r="CX90" i="46"/>
  <c r="EB90" i="46"/>
  <c r="EC90" i="46"/>
  <c r="ED92" i="46"/>
  <c r="G38" i="5"/>
  <c r="P38" i="47"/>
  <c r="DR110" i="46"/>
  <c r="EB110" i="46"/>
  <c r="EI110" i="46"/>
  <c r="EK110" i="46"/>
  <c r="H110" i="46"/>
  <c r="G110" i="46"/>
  <c r="DT35" i="4"/>
  <c r="ED35" i="4"/>
  <c r="EK35" i="4"/>
  <c r="EM35" i="4"/>
  <c r="J35" i="4"/>
  <c r="L24" i="5"/>
  <c r="E51" i="47"/>
  <c r="F51" i="47"/>
  <c r="D51" i="47"/>
  <c r="J56" i="4"/>
  <c r="DR134" i="46"/>
  <c r="EB134" i="46"/>
  <c r="EI134" i="46"/>
  <c r="EK134" i="46"/>
  <c r="H134" i="46"/>
  <c r="G134" i="46"/>
  <c r="E136" i="4"/>
  <c r="R124" i="5"/>
  <c r="D124" i="5"/>
  <c r="E124" i="5"/>
  <c r="DT131" i="4"/>
  <c r="ED131" i="4"/>
  <c r="EK131" i="4"/>
  <c r="EM131" i="4"/>
  <c r="J131" i="4"/>
  <c r="DR131" i="46"/>
  <c r="EB131" i="46"/>
  <c r="EI131" i="46"/>
  <c r="EK131" i="46"/>
  <c r="H131" i="46"/>
  <c r="DT127" i="4"/>
  <c r="ED127" i="4"/>
  <c r="EK127" i="4"/>
  <c r="EM127" i="4"/>
  <c r="E41" i="47"/>
  <c r="F41" i="47"/>
  <c r="D41" i="47"/>
  <c r="E61" i="4"/>
  <c r="R49" i="5"/>
  <c r="D49" i="5"/>
  <c r="E49" i="5"/>
  <c r="E52" i="47"/>
  <c r="F52" i="47"/>
  <c r="D52" i="47"/>
  <c r="EC95" i="46"/>
  <c r="DR95" i="46"/>
  <c r="EB95" i="46"/>
  <c r="EI95" i="46"/>
  <c r="E153" i="4"/>
  <c r="R141" i="5"/>
  <c r="D141" i="5"/>
  <c r="E141" i="5"/>
  <c r="G119" i="5"/>
  <c r="P119" i="47"/>
  <c r="E116" i="47"/>
  <c r="F116" i="47"/>
  <c r="D116" i="47"/>
  <c r="CZ74" i="4"/>
  <c r="ED74" i="4"/>
  <c r="E10" i="47"/>
  <c r="C10" i="47"/>
  <c r="DT102" i="4"/>
  <c r="ED102" i="4"/>
  <c r="EK102" i="4"/>
  <c r="EM102" i="4"/>
  <c r="E20" i="47"/>
  <c r="F20" i="47"/>
  <c r="DA42" i="46"/>
  <c r="EB42" i="46"/>
  <c r="EI42" i="46"/>
  <c r="EK42" i="46"/>
  <c r="H42" i="46"/>
  <c r="G42" i="46"/>
  <c r="DR34" i="46"/>
  <c r="EB34" i="46"/>
  <c r="EC34" i="46"/>
  <c r="ED36" i="46"/>
  <c r="DT121" i="4"/>
  <c r="ED121" i="4"/>
  <c r="EK121" i="4"/>
  <c r="EM121" i="4"/>
  <c r="J121" i="4"/>
  <c r="G99" i="5"/>
  <c r="P99" i="47"/>
  <c r="E88" i="47"/>
  <c r="F88" i="47"/>
  <c r="E95" i="47"/>
  <c r="F95" i="47"/>
  <c r="E126" i="4"/>
  <c r="R114" i="5"/>
  <c r="D114" i="5"/>
  <c r="E114" i="5"/>
  <c r="DV24" i="4"/>
  <c r="DV155" i="4"/>
  <c r="DV157" i="4"/>
  <c r="EC80" i="46"/>
  <c r="CX80" i="46"/>
  <c r="EB80" i="46"/>
  <c r="EI80" i="46"/>
  <c r="E103" i="4"/>
  <c r="R91" i="5"/>
  <c r="D91" i="5"/>
  <c r="E91" i="5"/>
  <c r="CX91" i="46"/>
  <c r="EB91" i="46"/>
  <c r="DR30" i="46"/>
  <c r="EB30" i="46"/>
  <c r="EI30" i="46"/>
  <c r="EK30" i="46"/>
  <c r="H30" i="46"/>
  <c r="G30" i="46"/>
  <c r="DT120" i="4"/>
  <c r="ED120" i="4"/>
  <c r="DT56" i="4"/>
  <c r="ED56" i="4"/>
  <c r="EK56" i="4"/>
  <c r="EM56" i="4"/>
  <c r="DB92" i="4"/>
  <c r="ED92" i="4"/>
  <c r="EK92" i="4"/>
  <c r="EM92" i="4"/>
  <c r="H153" i="4"/>
  <c r="DT151" i="4"/>
  <c r="ED151" i="4"/>
  <c r="EK151" i="4"/>
  <c r="EM151" i="4"/>
  <c r="CW108" i="46"/>
  <c r="EB108" i="46"/>
  <c r="EI108" i="46"/>
  <c r="EK108" i="46"/>
  <c r="H108" i="46"/>
  <c r="E115" i="47"/>
  <c r="F115" i="47"/>
  <c r="DR27" i="46"/>
  <c r="EB27" i="46"/>
  <c r="EI27" i="46"/>
  <c r="EK27" i="46"/>
  <c r="H27" i="46"/>
  <c r="DT144" i="4"/>
  <c r="ED144" i="4"/>
  <c r="EK144" i="4"/>
  <c r="EM144" i="4"/>
  <c r="J144" i="4"/>
  <c r="CZ71" i="4"/>
  <c r="ED71" i="4"/>
  <c r="EK71" i="4"/>
  <c r="EM71" i="4"/>
  <c r="CX70" i="46"/>
  <c r="EB70" i="46"/>
  <c r="EC70" i="46"/>
  <c r="ED72" i="46"/>
  <c r="DR92" i="46"/>
  <c r="EB92" i="46"/>
  <c r="EI84" i="46"/>
  <c r="EK84" i="46"/>
  <c r="H84" i="46"/>
  <c r="DB89" i="4"/>
  <c r="ED89" i="4"/>
  <c r="EK89" i="4"/>
  <c r="EM89" i="4"/>
  <c r="DT117" i="4"/>
  <c r="ED117" i="4"/>
  <c r="EK117" i="4"/>
  <c r="EM117" i="4"/>
  <c r="CX82" i="46"/>
  <c r="EB82" i="46"/>
  <c r="EI82" i="46"/>
  <c r="EK82" i="46"/>
  <c r="H82" i="46"/>
  <c r="DT115" i="4"/>
  <c r="ED115" i="4"/>
  <c r="DA123" i="46"/>
  <c r="EB123" i="46"/>
  <c r="EI123" i="46"/>
  <c r="EK123" i="46"/>
  <c r="E17" i="47"/>
  <c r="F17" i="47"/>
  <c r="DA51" i="46"/>
  <c r="EB51" i="46"/>
  <c r="EI51" i="46"/>
  <c r="EK51" i="46"/>
  <c r="H51" i="46"/>
  <c r="G51" i="46"/>
  <c r="DA114" i="46"/>
  <c r="EB114" i="46"/>
  <c r="G112" i="5"/>
  <c r="P112" i="47"/>
  <c r="EC107" i="46"/>
  <c r="ED109" i="46"/>
  <c r="CX79" i="46"/>
  <c r="EB79" i="46"/>
  <c r="EI79" i="46"/>
  <c r="EK79" i="46"/>
  <c r="CW36" i="46"/>
  <c r="EB36" i="46"/>
  <c r="EI36" i="46"/>
  <c r="EK36" i="46"/>
  <c r="DT114" i="4"/>
  <c r="ED114" i="4"/>
  <c r="EK114" i="4"/>
  <c r="EM114" i="4"/>
  <c r="DR44" i="46"/>
  <c r="EB44" i="46"/>
  <c r="EI44" i="46"/>
  <c r="EK44" i="46"/>
  <c r="DR107" i="46"/>
  <c r="EB107" i="46"/>
  <c r="EI107" i="46"/>
  <c r="EK107" i="46"/>
  <c r="H107" i="46"/>
  <c r="EB28" i="46"/>
  <c r="EI28" i="46"/>
  <c r="EK28" i="46"/>
  <c r="DT27" i="4"/>
  <c r="ED27" i="4"/>
  <c r="EI128" i="46"/>
  <c r="EK128" i="46"/>
  <c r="H128" i="46"/>
  <c r="CZ68" i="4"/>
  <c r="ED68" i="4"/>
  <c r="EK68" i="4"/>
  <c r="EM68" i="4"/>
  <c r="J68" i="4"/>
  <c r="DT47" i="4"/>
  <c r="ED47" i="4"/>
  <c r="DT103" i="4"/>
  <c r="ED103" i="4"/>
  <c r="EK103" i="4"/>
  <c r="EM103" i="4"/>
  <c r="J103" i="4"/>
  <c r="L92" i="5"/>
  <c r="CX81" i="46"/>
  <c r="EB81" i="46"/>
  <c r="DR121" i="46"/>
  <c r="EB121" i="46"/>
  <c r="ED24" i="4"/>
  <c r="EE24" i="4"/>
  <c r="EF24" i="4"/>
  <c r="EF155" i="4"/>
  <c r="EF157" i="4"/>
  <c r="DT52" i="4"/>
  <c r="ED52" i="4"/>
  <c r="EK52" i="4"/>
  <c r="EM52" i="4"/>
  <c r="J91" i="4"/>
  <c r="L80" i="5"/>
  <c r="EI25" i="46"/>
  <c r="EK25" i="46"/>
  <c r="H25" i="46"/>
  <c r="G25" i="46"/>
  <c r="DT109" i="4"/>
  <c r="ED109" i="4"/>
  <c r="EK109" i="4"/>
  <c r="EM109" i="4"/>
  <c r="E50" i="47"/>
  <c r="F50" i="47"/>
  <c r="DT30" i="4"/>
  <c r="ED30" i="4"/>
  <c r="EK30" i="4"/>
  <c r="EM30" i="4"/>
  <c r="EC84" i="46"/>
  <c r="ED86" i="46"/>
  <c r="CZ69" i="4"/>
  <c r="ED69" i="4"/>
  <c r="EK69" i="4"/>
  <c r="EM69" i="4"/>
  <c r="J69" i="4"/>
  <c r="L58" i="5"/>
  <c r="H149" i="4"/>
  <c r="H150" i="4"/>
  <c r="H151" i="4"/>
  <c r="H152" i="4"/>
  <c r="CX68" i="46"/>
  <c r="EB68" i="46"/>
  <c r="EI68" i="46"/>
  <c r="EK68" i="46"/>
  <c r="H68" i="46"/>
  <c r="DA150" i="46"/>
  <c r="EB150" i="46"/>
  <c r="DT111" i="4"/>
  <c r="ED111" i="4"/>
  <c r="EK111" i="4"/>
  <c r="EM111" i="4"/>
  <c r="J111" i="4"/>
  <c r="DR25" i="46"/>
  <c r="EB25" i="46"/>
  <c r="EC25" i="46"/>
  <c r="ED25" i="46"/>
  <c r="E97" i="47"/>
  <c r="F97" i="47"/>
  <c r="DT106" i="4"/>
  <c r="ED106" i="4"/>
  <c r="DR94" i="46"/>
  <c r="EB94" i="46"/>
  <c r="EI94" i="46"/>
  <c r="EK94" i="46"/>
  <c r="DR103" i="46"/>
  <c r="EB103" i="46"/>
  <c r="EI103" i="46"/>
  <c r="EK103" i="46"/>
  <c r="H103" i="46"/>
  <c r="DT141" i="4"/>
  <c r="ED141" i="4"/>
  <c r="EK36" i="4"/>
  <c r="EM36" i="4"/>
  <c r="J36" i="4"/>
  <c r="E15" i="47"/>
  <c r="F15" i="47"/>
  <c r="DT49" i="4"/>
  <c r="ED49" i="4"/>
  <c r="EK49" i="4"/>
  <c r="EM49" i="4"/>
  <c r="CZ67" i="4"/>
  <c r="ED67" i="4"/>
  <c r="EK67" i="4"/>
  <c r="EM67" i="4"/>
  <c r="E86" i="47"/>
  <c r="F86" i="47"/>
  <c r="DR29" i="46"/>
  <c r="EB29" i="46"/>
  <c r="EI29" i="46"/>
  <c r="EK29" i="46"/>
  <c r="D33" i="73"/>
  <c r="D45" i="73"/>
  <c r="D5" i="73"/>
  <c r="D21" i="73"/>
  <c r="D24" i="73"/>
  <c r="DT132" i="4"/>
  <c r="ED132" i="4"/>
  <c r="DA35" i="46"/>
  <c r="EB35" i="46"/>
  <c r="EI35" i="46"/>
  <c r="EK35" i="46"/>
  <c r="H146" i="4"/>
  <c r="H147" i="4"/>
  <c r="H148" i="4"/>
  <c r="DB88" i="4"/>
  <c r="ED88" i="4"/>
  <c r="EK88" i="4"/>
  <c r="EM88" i="4"/>
  <c r="J88" i="4"/>
  <c r="L77" i="5"/>
  <c r="G67" i="5"/>
  <c r="P67" i="47"/>
  <c r="G15" i="5"/>
  <c r="P15" i="47"/>
  <c r="F66" i="30"/>
  <c r="AL66" i="30"/>
  <c r="N66" i="30"/>
  <c r="L66" i="30"/>
  <c r="E76" i="47"/>
  <c r="F76" i="47"/>
  <c r="D76" i="47"/>
  <c r="J139" i="4"/>
  <c r="E131" i="46"/>
  <c r="E132" i="46"/>
  <c r="E133" i="46"/>
  <c r="E134" i="46"/>
  <c r="E135" i="46"/>
  <c r="E136" i="46"/>
  <c r="E137" i="46"/>
  <c r="E138" i="46"/>
  <c r="E139" i="46"/>
  <c r="E140" i="46"/>
  <c r="E141" i="46"/>
  <c r="E142" i="46"/>
  <c r="E143" i="46"/>
  <c r="E144" i="46"/>
  <c r="E145" i="46"/>
  <c r="E146" i="46"/>
  <c r="E135" i="47"/>
  <c r="F135" i="47"/>
  <c r="E27" i="47"/>
  <c r="F27" i="47"/>
  <c r="D27" i="47"/>
  <c r="L17" i="5"/>
  <c r="E18" i="47"/>
  <c r="F18" i="47"/>
  <c r="D18" i="47"/>
  <c r="DT39" i="4"/>
  <c r="ED39" i="4"/>
  <c r="EK39" i="4"/>
  <c r="EM39" i="4"/>
  <c r="J39" i="4"/>
  <c r="L28" i="5"/>
  <c r="E45" i="47"/>
  <c r="F45" i="47"/>
  <c r="DR65" i="46"/>
  <c r="EB65" i="46"/>
  <c r="EC65" i="46"/>
  <c r="ED67" i="46"/>
  <c r="DT105" i="4"/>
  <c r="ED105" i="4"/>
  <c r="EK105" i="4"/>
  <c r="EM105" i="4"/>
  <c r="J105" i="4"/>
  <c r="L94" i="5"/>
  <c r="G86" i="5"/>
  <c r="P86" i="47"/>
  <c r="E21" i="47"/>
  <c r="F21" i="47"/>
  <c r="D21" i="47"/>
  <c r="G30" i="5"/>
  <c r="P30" i="47"/>
  <c r="CW60" i="46"/>
  <c r="EB60" i="46"/>
  <c r="EI60" i="46"/>
  <c r="EK60" i="46"/>
  <c r="H60" i="46"/>
  <c r="DT129" i="4"/>
  <c r="ED129" i="4"/>
  <c r="G81" i="5"/>
  <c r="P81" i="47"/>
  <c r="G46" i="5"/>
  <c r="P46" i="47"/>
  <c r="DT62" i="4"/>
  <c r="ED62" i="4"/>
  <c r="EK62" i="4"/>
  <c r="EM62" i="4"/>
  <c r="F65" i="30"/>
  <c r="AL65" i="30"/>
  <c r="N65" i="30"/>
  <c r="L65" i="30"/>
  <c r="CW48" i="46"/>
  <c r="EB48" i="46"/>
  <c r="EI48" i="46"/>
  <c r="EK48" i="46"/>
  <c r="H48" i="46"/>
  <c r="G48" i="46"/>
  <c r="DT139" i="4"/>
  <c r="ED139" i="4"/>
  <c r="EK139" i="4"/>
  <c r="EM139" i="4"/>
  <c r="DT118" i="4"/>
  <c r="ED118" i="4"/>
  <c r="EK118" i="4"/>
  <c r="EM118" i="4"/>
  <c r="DT55" i="4"/>
  <c r="ED55" i="4"/>
  <c r="C33" i="73"/>
  <c r="C45" i="73"/>
  <c r="C21" i="73"/>
  <c r="C24" i="73"/>
  <c r="B24" i="73"/>
  <c r="B33" i="73"/>
  <c r="DR130" i="46"/>
  <c r="EB130" i="46"/>
  <c r="EI130" i="46"/>
  <c r="EK130" i="46"/>
  <c r="CX86" i="46"/>
  <c r="EB86" i="46"/>
  <c r="EI86" i="46"/>
  <c r="EK86" i="46"/>
  <c r="H86" i="46"/>
  <c r="H59" i="30"/>
  <c r="AN59" i="30"/>
  <c r="P59" i="30"/>
  <c r="P67" i="30"/>
  <c r="DR40" i="46"/>
  <c r="EB40" i="46"/>
  <c r="EI40" i="46"/>
  <c r="EK40" i="46"/>
  <c r="H40" i="46"/>
  <c r="CX73" i="46"/>
  <c r="EB73" i="46"/>
  <c r="EI73" i="46"/>
  <c r="EK73" i="46"/>
  <c r="E42" i="4"/>
  <c r="R30" i="5"/>
  <c r="D30" i="5"/>
  <c r="E30" i="5"/>
  <c r="DT116" i="4"/>
  <c r="ED116" i="4"/>
  <c r="EK116" i="4"/>
  <c r="EM116" i="4"/>
  <c r="DT128" i="4"/>
  <c r="ED128" i="4"/>
  <c r="EK128" i="4"/>
  <c r="EM128" i="4"/>
  <c r="J128" i="4"/>
  <c r="L117" i="5"/>
  <c r="CZ32" i="4"/>
  <c r="ED32" i="4"/>
  <c r="EK32" i="4"/>
  <c r="EM32" i="4"/>
  <c r="J32" i="4"/>
  <c r="G113" i="5"/>
  <c r="P113" i="47"/>
  <c r="EC24" i="46"/>
  <c r="ED24" i="46"/>
  <c r="ED155" i="46"/>
  <c r="DR49" i="46"/>
  <c r="EB49" i="46"/>
  <c r="EI49" i="46"/>
  <c r="EK49" i="46"/>
  <c r="H49" i="46"/>
  <c r="CZ64" i="4"/>
  <c r="ED64" i="4"/>
  <c r="DR109" i="46"/>
  <c r="EB109" i="46"/>
  <c r="DT54" i="4"/>
  <c r="ED54" i="4"/>
  <c r="E96" i="46"/>
  <c r="E97" i="46"/>
  <c r="E98" i="46"/>
  <c r="E99" i="46"/>
  <c r="E100" i="46"/>
  <c r="E101" i="46"/>
  <c r="E102" i="46"/>
  <c r="E103" i="46"/>
  <c r="E104" i="46"/>
  <c r="E105" i="46"/>
  <c r="E106" i="46"/>
  <c r="E107" i="46"/>
  <c r="E108" i="46"/>
  <c r="E109" i="46"/>
  <c r="E110" i="46"/>
  <c r="E111" i="46"/>
  <c r="E112" i="46"/>
  <c r="E113" i="46"/>
  <c r="E114" i="46"/>
  <c r="E115" i="46"/>
  <c r="E116" i="46"/>
  <c r="E117" i="46"/>
  <c r="E118" i="46"/>
  <c r="E119" i="46"/>
  <c r="E120" i="46"/>
  <c r="E121" i="46"/>
  <c r="E122" i="46"/>
  <c r="E123" i="46"/>
  <c r="E124" i="46"/>
  <c r="E125" i="46"/>
  <c r="E126" i="46"/>
  <c r="E127" i="46"/>
  <c r="E128" i="46"/>
  <c r="E129" i="46"/>
  <c r="E130" i="46"/>
  <c r="E119" i="47"/>
  <c r="F119" i="47"/>
  <c r="D119" i="47"/>
  <c r="E24" i="46"/>
  <c r="E25" i="46"/>
  <c r="E26" i="46"/>
  <c r="E27" i="46"/>
  <c r="E28" i="46"/>
  <c r="E29" i="46"/>
  <c r="E30" i="46"/>
  <c r="E31" i="46"/>
  <c r="E32" i="46"/>
  <c r="E33" i="46"/>
  <c r="E34" i="46"/>
  <c r="E35" i="46"/>
  <c r="E36" i="46"/>
  <c r="E37" i="46"/>
  <c r="E38" i="46"/>
  <c r="E39" i="46"/>
  <c r="E40" i="46"/>
  <c r="E41" i="46"/>
  <c r="E42" i="46"/>
  <c r="E43" i="46"/>
  <c r="E44" i="46"/>
  <c r="E45" i="46"/>
  <c r="E46" i="46"/>
  <c r="E47" i="46"/>
  <c r="E48" i="46"/>
  <c r="E49" i="46"/>
  <c r="E50" i="46"/>
  <c r="E51" i="46"/>
  <c r="E52" i="46"/>
  <c r="E53" i="46"/>
  <c r="E54" i="46"/>
  <c r="E55" i="46"/>
  <c r="E56" i="46"/>
  <c r="E57" i="46"/>
  <c r="E58" i="46"/>
  <c r="E59" i="46"/>
  <c r="E60" i="46"/>
  <c r="E61" i="46"/>
  <c r="E62" i="46"/>
  <c r="E63" i="46"/>
  <c r="E64" i="46"/>
  <c r="E65" i="46"/>
  <c r="E66" i="46"/>
  <c r="E67" i="46"/>
  <c r="E68" i="46"/>
  <c r="E69" i="46"/>
  <c r="E70" i="46"/>
  <c r="E71" i="46"/>
  <c r="E72" i="46"/>
  <c r="E73" i="46"/>
  <c r="E74" i="46"/>
  <c r="E75" i="46"/>
  <c r="E76" i="46"/>
  <c r="E77" i="46"/>
  <c r="E78" i="46"/>
  <c r="E79" i="46"/>
  <c r="E80" i="46"/>
  <c r="E81" i="46"/>
  <c r="E82" i="46"/>
  <c r="E83" i="46"/>
  <c r="E84" i="46"/>
  <c r="E85" i="46"/>
  <c r="E86" i="46"/>
  <c r="E87" i="46"/>
  <c r="E88" i="46"/>
  <c r="E89" i="46"/>
  <c r="E90" i="46"/>
  <c r="E91" i="46"/>
  <c r="E92" i="46"/>
  <c r="E93" i="46"/>
  <c r="E94" i="46"/>
  <c r="E95" i="46"/>
  <c r="E84" i="47"/>
  <c r="F84" i="47"/>
  <c r="DR148" i="46"/>
  <c r="EB148" i="46"/>
  <c r="DT33" i="4"/>
  <c r="ED33" i="4"/>
  <c r="EK33" i="4"/>
  <c r="EM33" i="4"/>
  <c r="CX22" i="46"/>
  <c r="CX75" i="46"/>
  <c r="EB75" i="46"/>
  <c r="DR128" i="46"/>
  <c r="EB128" i="46"/>
  <c r="F144" i="46"/>
  <c r="F145" i="46"/>
  <c r="F146" i="46"/>
  <c r="F147" i="46"/>
  <c r="F148" i="46"/>
  <c r="F149" i="46"/>
  <c r="F150" i="46"/>
  <c r="F151" i="46"/>
  <c r="F54" i="30"/>
  <c r="AL54" i="30"/>
  <c r="N54" i="30"/>
  <c r="CZ22" i="4"/>
  <c r="CZ72" i="4"/>
  <c r="ED72" i="4"/>
  <c r="EK72" i="4"/>
  <c r="EM72" i="4"/>
  <c r="J72" i="4"/>
  <c r="E33" i="73"/>
  <c r="E45" i="73"/>
  <c r="E5" i="73"/>
  <c r="E21" i="73"/>
  <c r="E24" i="73"/>
  <c r="DA102" i="46"/>
  <c r="EB102" i="46"/>
  <c r="EI102" i="46"/>
  <c r="EK102" i="46"/>
  <c r="DB95" i="4"/>
  <c r="ED95" i="4"/>
  <c r="DA153" i="46"/>
  <c r="EB153" i="46"/>
  <c r="DR61" i="46"/>
  <c r="EB61" i="46"/>
  <c r="DT37" i="4"/>
  <c r="ED37" i="4"/>
  <c r="EK37" i="4"/>
  <c r="EM37" i="4"/>
  <c r="F59" i="30"/>
  <c r="AL59" i="30"/>
  <c r="N59" i="30"/>
  <c r="DA22" i="46"/>
  <c r="DA32" i="46"/>
  <c r="DA111" i="46"/>
  <c r="EB111" i="46"/>
  <c r="DT133" i="4"/>
  <c r="ED133" i="4"/>
  <c r="EK133" i="4"/>
  <c r="EM133" i="4"/>
  <c r="DR47" i="46"/>
  <c r="EB47" i="46"/>
  <c r="EI47" i="46"/>
  <c r="EK47" i="46"/>
  <c r="CY36" i="4"/>
  <c r="ED36" i="4"/>
  <c r="D68" i="30"/>
  <c r="I4" i="4"/>
  <c r="E24" i="4"/>
  <c r="F13" i="5"/>
  <c r="DT43" i="4"/>
  <c r="ED43" i="4"/>
  <c r="EK43" i="4"/>
  <c r="EM43" i="4"/>
  <c r="F132" i="46"/>
  <c r="F133" i="46"/>
  <c r="F134" i="46"/>
  <c r="F135" i="46"/>
  <c r="F136" i="46"/>
  <c r="F137" i="46"/>
  <c r="F138" i="46"/>
  <c r="F139" i="46"/>
  <c r="F140" i="46"/>
  <c r="F141" i="46"/>
  <c r="F142" i="46"/>
  <c r="F143" i="46"/>
  <c r="CW22" i="46"/>
  <c r="CW28" i="46"/>
  <c r="CW84" i="46"/>
  <c r="EB84" i="46"/>
  <c r="DR26" i="46"/>
  <c r="EB26" i="46"/>
  <c r="EI26" i="46"/>
  <c r="EK26" i="46"/>
  <c r="AL52" i="30"/>
  <c r="N52" i="30"/>
  <c r="CY22" i="4"/>
  <c r="CY28" i="4"/>
  <c r="ED28" i="4"/>
  <c r="EK28" i="4"/>
  <c r="EM28" i="4"/>
  <c r="J28" i="4"/>
  <c r="DR53" i="46"/>
  <c r="EB53" i="46"/>
  <c r="EI53" i="46"/>
  <c r="EK53" i="46"/>
  <c r="F56" i="30"/>
  <c r="AL56" i="30"/>
  <c r="N56" i="30"/>
  <c r="DB22" i="4"/>
  <c r="DB91" i="4"/>
  <c r="ED91" i="4"/>
  <c r="EK91" i="4"/>
  <c r="EM91" i="4"/>
  <c r="DT24" i="4"/>
  <c r="DT96" i="4"/>
  <c r="ED96" i="4"/>
  <c r="H139" i="4"/>
  <c r="H140" i="4"/>
  <c r="H141" i="4"/>
  <c r="H142" i="4"/>
  <c r="H143" i="4"/>
  <c r="H144" i="4"/>
  <c r="H145" i="4"/>
  <c r="F125" i="46"/>
  <c r="F126" i="46"/>
  <c r="F127" i="46"/>
  <c r="F128" i="46"/>
  <c r="F129" i="46"/>
  <c r="F130" i="46"/>
  <c r="F131" i="46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77" i="4"/>
  <c r="H78" i="4"/>
  <c r="H79" i="4"/>
  <c r="H80" i="4"/>
  <c r="F93" i="46"/>
  <c r="F94" i="46"/>
  <c r="F95" i="46"/>
  <c r="F96" i="46"/>
  <c r="F97" i="46"/>
  <c r="F98" i="46"/>
  <c r="F99" i="46"/>
  <c r="F100" i="46"/>
  <c r="F101" i="46"/>
  <c r="F102" i="46"/>
  <c r="F103" i="46"/>
  <c r="F104" i="46"/>
  <c r="F105" i="46"/>
  <c r="F106" i="46"/>
  <c r="F107" i="46"/>
  <c r="F108" i="46"/>
  <c r="F109" i="46"/>
  <c r="F110" i="46"/>
  <c r="F111" i="46"/>
  <c r="F112" i="46"/>
  <c r="F113" i="46"/>
  <c r="F114" i="46"/>
  <c r="F115" i="46"/>
  <c r="F116" i="46"/>
  <c r="F117" i="46"/>
  <c r="F118" i="46"/>
  <c r="F119" i="46"/>
  <c r="F120" i="46"/>
  <c r="F121" i="46"/>
  <c r="F122" i="46"/>
  <c r="F123" i="46"/>
  <c r="F124" i="46"/>
  <c r="F84" i="46"/>
  <c r="F85" i="46"/>
  <c r="F86" i="46"/>
  <c r="F87" i="46"/>
  <c r="F88" i="46"/>
  <c r="F89" i="46"/>
  <c r="F90" i="46"/>
  <c r="F91" i="46"/>
  <c r="F92" i="46"/>
  <c r="F62" i="46"/>
  <c r="F63" i="46"/>
  <c r="F64" i="46"/>
  <c r="F65" i="46"/>
  <c r="F66" i="46"/>
  <c r="F67" i="46"/>
  <c r="F68" i="46"/>
  <c r="F69" i="46"/>
  <c r="F70" i="46"/>
  <c r="F71" i="46"/>
  <c r="F72" i="46"/>
  <c r="F73" i="46"/>
  <c r="F74" i="46"/>
  <c r="F75" i="46"/>
  <c r="F76" i="46"/>
  <c r="F77" i="46"/>
  <c r="F78" i="46"/>
  <c r="F79" i="46"/>
  <c r="F80" i="46"/>
  <c r="F81" i="46"/>
  <c r="F82" i="46"/>
  <c r="F83" i="46"/>
  <c r="F31" i="46"/>
  <c r="F32" i="46"/>
  <c r="F33" i="46"/>
  <c r="F34" i="46"/>
  <c r="F35" i="46"/>
  <c r="F36" i="46"/>
  <c r="F37" i="46"/>
  <c r="F38" i="46"/>
  <c r="F39" i="46"/>
  <c r="F40" i="46"/>
  <c r="F41" i="46"/>
  <c r="F42" i="46"/>
  <c r="F43" i="46"/>
  <c r="F44" i="46"/>
  <c r="F45" i="46"/>
  <c r="F46" i="46"/>
  <c r="F47" i="46"/>
  <c r="F48" i="46"/>
  <c r="F49" i="46"/>
  <c r="F50" i="46"/>
  <c r="F51" i="46"/>
  <c r="F52" i="46"/>
  <c r="F53" i="46"/>
  <c r="F54" i="46"/>
  <c r="F55" i="46"/>
  <c r="F56" i="46"/>
  <c r="F57" i="46"/>
  <c r="F58" i="46"/>
  <c r="F59" i="46"/>
  <c r="F60" i="46"/>
  <c r="F61" i="46"/>
  <c r="DR24" i="46"/>
  <c r="EB24" i="46"/>
  <c r="EI24" i="46"/>
  <c r="EK24" i="46"/>
  <c r="H24" i="46"/>
  <c r="G24" i="46"/>
  <c r="F24" i="46"/>
  <c r="F25" i="46"/>
  <c r="F26" i="46"/>
  <c r="F27" i="46"/>
  <c r="F28" i="46"/>
  <c r="F29" i="46"/>
  <c r="F30" i="46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F68" i="30"/>
  <c r="F52" i="30"/>
  <c r="F57" i="30"/>
  <c r="F67" i="30"/>
  <c r="D67" i="30"/>
  <c r="I3" i="4"/>
  <c r="I24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Alstom</author>
  </authors>
  <commentList>
    <comment ref="A4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 xml:space="preserve">Cost Position to which the Cost Item
belongs. The code must be used.
e.g. 050101,050105 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u/>
            <sz val="8"/>
            <color indexed="81"/>
            <rFont val="Tahoma"/>
            <family val="2"/>
          </rPr>
          <t>Note</t>
        </r>
        <r>
          <rPr>
            <sz val="8"/>
            <color indexed="81"/>
            <rFont val="Tahoma"/>
            <family val="2"/>
          </rPr>
          <t>: You can (optionally) set the Cost Position 
value to '[EOF]' to define the end of the import 
range</t>
        </r>
      </text>
    </comment>
    <comment ref="B4" authorId="0" shapeId="0" xr:uid="{00000000-0006-0000-0A00-000002000000}">
      <text>
        <r>
          <rPr>
            <b/>
            <sz val="8"/>
            <color indexed="81"/>
            <rFont val="Tahoma"/>
            <family val="2"/>
          </rPr>
          <t>The code which identifies the Cost Item.
e.g. 01-01-050101-01,01-01-050105-01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u/>
            <sz val="8"/>
            <color indexed="81"/>
            <rFont val="Tahoma"/>
            <family val="2"/>
          </rPr>
          <t>Note</t>
        </r>
        <r>
          <rPr>
            <sz val="8"/>
            <color indexed="81"/>
            <rFont val="Tahoma"/>
            <family val="2"/>
          </rPr>
          <t>: If left empty, the code will be generated
automatically by the import routine.</t>
        </r>
      </text>
    </comment>
    <comment ref="C4" authorId="0" shapeId="0" xr:uid="{00000000-0006-0000-0A00-000003000000}">
      <text>
        <r>
          <rPr>
            <b/>
            <sz val="8"/>
            <color indexed="81"/>
            <rFont val="Tahoma"/>
            <family val="2"/>
          </rPr>
          <t>By setting the value to 'Yes' in this column, it is possible to delete a
Cost Item existing in the PCDB. The Cost Item must be identified
by its Cost Item Code.
Accepted values are:
Yes</t>
        </r>
        <r>
          <rPr>
            <sz val="8"/>
            <color indexed="81"/>
            <rFont val="Tahoma"/>
            <family val="2"/>
          </rPr>
          <t xml:space="preserve">   (delete the existing cost item with the specified code)
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 xml:space="preserve">     (update the existing cost item with the specified code)
</t>
        </r>
        <r>
          <rPr>
            <u/>
            <sz val="8"/>
            <color indexed="81"/>
            <rFont val="Tahoma"/>
            <family val="2"/>
          </rPr>
          <t>Note</t>
        </r>
        <r>
          <rPr>
            <sz val="8"/>
            <color indexed="81"/>
            <rFont val="Tahoma"/>
            <family val="2"/>
          </rPr>
          <t>: If the cell is left empty it is considered as 'No'</t>
        </r>
      </text>
    </comment>
    <comment ref="D4" authorId="0" shapeId="0" xr:uid="{00000000-0006-0000-0A00-000004000000}">
      <text>
        <r>
          <rPr>
            <b/>
            <sz val="8"/>
            <color indexed="81"/>
            <rFont val="Tahoma"/>
            <family val="2"/>
          </rPr>
          <t>Mention 'Base' if the cost belongs to
the Base Scope or the Option Code.
e.g. 110VDC</t>
        </r>
      </text>
    </comment>
    <comment ref="E4" authorId="0" shapeId="0" xr:uid="{00000000-0006-0000-0A00-000005000000}">
      <text>
        <r>
          <rPr>
            <b/>
            <sz val="8"/>
            <color indexed="81"/>
            <rFont val="Tahoma"/>
            <family val="2"/>
          </rPr>
          <t>Detailed description
of the Cost Item</t>
        </r>
      </text>
    </comment>
    <comment ref="F4" authorId="0" shapeId="0" xr:uid="{00000000-0006-0000-0A00-000006000000}">
      <text>
        <r>
          <rPr>
            <b/>
            <sz val="8"/>
            <color indexed="81"/>
            <rFont val="Tahoma"/>
            <family val="2"/>
          </rPr>
          <t>The type of the Cost Item.
Accepted values are:
MAT/HW
MAT/PAC
MAT/TRA
MAT/SUP
MAT/ERE
MAT/COM
OES/SW
OES/AL
OCO/SW
OCO/AL
ENG/INT
ENG/EXT</t>
        </r>
      </text>
    </comment>
    <comment ref="G4" authorId="0" shapeId="0" xr:uid="{00000000-0006-0000-0A00-000007000000}">
      <text>
        <r>
          <rPr>
            <b/>
            <sz val="8"/>
            <color indexed="81"/>
            <rFont val="Tahoma"/>
            <family val="2"/>
          </rPr>
          <t>The supplier name as defined in the
SAM tool.
e.g. KSB Singapore (Asia Pacific) Pte.Ltd.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u/>
            <sz val="8"/>
            <color indexed="81"/>
            <rFont val="Tahoma"/>
            <family val="2"/>
          </rPr>
          <t>Note</t>
        </r>
        <r>
          <rPr>
            <sz val="8"/>
            <color indexed="81"/>
            <rFont val="Tahoma"/>
            <family val="2"/>
          </rPr>
          <t>: if the supplier is not defined in SAM, a
project-specific supplier will be created.</t>
        </r>
      </text>
    </comment>
    <comment ref="H4" authorId="0" shapeId="0" xr:uid="{00000000-0006-0000-0A00-000008000000}">
      <text>
        <r>
          <rPr>
            <b/>
            <sz val="8"/>
            <color indexed="81"/>
            <rFont val="Tahoma"/>
            <family val="2"/>
          </rPr>
          <t>Supplier type.
Accepted values are: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ext</t>
        </r>
        <r>
          <rPr>
            <sz val="8"/>
            <color indexed="81"/>
            <rFont val="Tahoma"/>
            <family val="2"/>
          </rPr>
          <t xml:space="preserve">    (PCDB Supplier)
</t>
        </r>
        <r>
          <rPr>
            <b/>
            <sz val="8"/>
            <color indexed="81"/>
            <rFont val="Tahoma"/>
            <family val="2"/>
          </rPr>
          <t>int</t>
        </r>
        <r>
          <rPr>
            <sz val="8"/>
            <color indexed="81"/>
            <rFont val="Tahoma"/>
            <family val="2"/>
          </rPr>
          <t xml:space="preserve">      (Internal Supplier)
</t>
        </r>
        <r>
          <rPr>
            <b/>
            <sz val="8"/>
            <color indexed="81"/>
            <rFont val="Tahoma"/>
            <family val="2"/>
          </rPr>
          <t>P</t>
        </r>
        <r>
          <rPr>
            <sz val="8"/>
            <color indexed="81"/>
            <rFont val="Tahoma"/>
            <family val="2"/>
          </rPr>
          <t xml:space="preserve">         (Alstom Sector "Power Turbo Systems")
</t>
        </r>
        <r>
          <rPr>
            <b/>
            <sz val="8"/>
            <color indexed="81"/>
            <rFont val="Tahoma"/>
            <family val="2"/>
          </rPr>
          <t>B</t>
        </r>
        <r>
          <rPr>
            <sz val="8"/>
            <color indexed="81"/>
            <rFont val="Tahoma"/>
            <family val="2"/>
          </rPr>
          <t xml:space="preserve">         (Sector "Power Enviroment" Supplies (Boiler or Hydro))
</t>
        </r>
        <r>
          <rPr>
            <b/>
            <sz val="8"/>
            <color indexed="81"/>
            <rFont val="Tahoma"/>
            <family val="2"/>
          </rPr>
          <t>C</t>
        </r>
        <r>
          <rPr>
            <sz val="8"/>
            <color indexed="81"/>
            <rFont val="Tahoma"/>
            <family val="2"/>
          </rPr>
          <t xml:space="preserve">         (Sector "Power Service" Supplies)
</t>
        </r>
        <r>
          <rPr>
            <b/>
            <sz val="8"/>
            <color indexed="81"/>
            <rFont val="Tahoma"/>
            <family val="2"/>
          </rPr>
          <t>3rd</t>
        </r>
        <r>
          <rPr>
            <sz val="8"/>
            <color indexed="81"/>
            <rFont val="Tahoma"/>
            <family val="2"/>
          </rPr>
          <t xml:space="preserve">     (3rd Supplier)
</t>
        </r>
        <r>
          <rPr>
            <b/>
            <sz val="8"/>
            <color indexed="81"/>
            <rFont val="Tahoma"/>
            <family val="2"/>
          </rPr>
          <t>ABB</t>
        </r>
        <r>
          <rPr>
            <sz val="8"/>
            <color indexed="81"/>
            <rFont val="Tahoma"/>
            <family val="2"/>
          </rPr>
          <t xml:space="preserve">    (ABB Supplier)
</t>
        </r>
        <r>
          <rPr>
            <b/>
            <sz val="8"/>
            <color indexed="81"/>
            <rFont val="Tahoma"/>
            <family val="2"/>
          </rPr>
          <t>MPS</t>
        </r>
        <r>
          <rPr>
            <sz val="8"/>
            <color indexed="81"/>
            <rFont val="Tahoma"/>
            <family val="2"/>
          </rPr>
          <t xml:space="preserve">    (MPS Supplier)
</t>
        </r>
        <r>
          <rPr>
            <b/>
            <sz val="8"/>
            <color indexed="81"/>
            <rFont val="Tahoma"/>
            <family val="2"/>
          </rPr>
          <t>TPC</t>
        </r>
        <r>
          <rPr>
            <sz val="8"/>
            <color indexed="81"/>
            <rFont val="Tahoma"/>
            <family val="2"/>
          </rPr>
          <t xml:space="preserve">    (CAT/TPC Supplier)</t>
        </r>
      </text>
    </comment>
    <comment ref="I4" authorId="0" shapeId="0" xr:uid="{00000000-0006-0000-0A00-000009000000}">
      <text>
        <r>
          <rPr>
            <b/>
            <sz val="8"/>
            <color indexed="81"/>
            <rFont val="Tahoma"/>
            <family val="2"/>
          </rPr>
          <t>Country code as per ISO 
definition.
e.g. CH</t>
        </r>
        <r>
          <rPr>
            <sz val="8"/>
            <color indexed="81"/>
            <rFont val="Tahoma"/>
            <family val="2"/>
          </rPr>
          <t xml:space="preserve"> (for Switzerland)</t>
        </r>
      </text>
    </comment>
    <comment ref="J4" authorId="0" shapeId="0" xr:uid="{00000000-0006-0000-0A00-00000A000000}">
      <text>
        <r>
          <rPr>
            <b/>
            <sz val="8"/>
            <color indexed="81"/>
            <rFont val="Tahoma"/>
            <family val="2"/>
          </rPr>
          <t>Quantity of items (related 
to the unit).
E.g. 4</t>
        </r>
        <r>
          <rPr>
            <sz val="8"/>
            <color indexed="81"/>
            <rFont val="Tahoma"/>
            <family val="2"/>
          </rPr>
          <t xml:space="preserve"> (for instance 4 kg)</t>
        </r>
      </text>
    </comment>
    <comment ref="K4" authorId="0" shapeId="0" xr:uid="{00000000-0006-0000-0A00-00000B000000}">
      <text>
        <r>
          <rPr>
            <b/>
            <sz val="8"/>
            <color indexed="81"/>
            <rFont val="Tahoma"/>
            <family val="2"/>
          </rPr>
          <t>Unit qualifying the
Cost Item quantity.
e.g. kg</t>
        </r>
      </text>
    </comment>
    <comment ref="L4" authorId="0" shapeId="0" xr:uid="{00000000-0006-0000-0A00-00000C000000}">
      <text>
        <r>
          <rPr>
            <b/>
            <sz val="8"/>
            <color indexed="81"/>
            <rFont val="Tahoma"/>
            <family val="2"/>
          </rPr>
          <t>Cost rate per unit.
e.g. 450</t>
        </r>
      </text>
    </comment>
    <comment ref="M4" authorId="0" shapeId="0" xr:uid="{00000000-0006-0000-0A00-00000D000000}">
      <text>
        <r>
          <rPr>
            <b/>
            <sz val="8"/>
            <color indexed="81"/>
            <rFont val="Tahoma"/>
            <family val="2"/>
          </rPr>
          <t>Currency linked to
the UnitRate.
E.g. EUR</t>
        </r>
      </text>
    </comment>
    <comment ref="N4" authorId="0" shapeId="0" xr:uid="{00000000-0006-0000-0A00-00000E000000}">
      <text>
        <r>
          <rPr>
            <b/>
            <sz val="8"/>
            <color indexed="81"/>
            <rFont val="Tahoma"/>
            <family val="2"/>
          </rPr>
          <t>Responsible partner
e.g. TYGSP, EBN, ECO</t>
        </r>
      </text>
    </comment>
    <comment ref="O4" authorId="0" shapeId="0" xr:uid="{00000000-0006-0000-0A00-00000F000000}">
      <text>
        <r>
          <rPr>
            <b/>
            <sz val="8"/>
            <color indexed="81"/>
            <rFont val="Tahoma"/>
            <family val="2"/>
          </rPr>
          <t>Cost Allocation.
E.g. CHAP</t>
        </r>
      </text>
    </comment>
    <comment ref="P4" authorId="0" shapeId="0" xr:uid="{00000000-0006-0000-0A00-000010000000}">
      <text>
        <r>
          <rPr>
            <b/>
            <sz val="8"/>
            <color indexed="81"/>
            <rFont val="Tahoma"/>
            <family val="2"/>
          </rPr>
          <t>Cost Solidity.
Accepted values are: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A</t>
        </r>
        <r>
          <rPr>
            <sz val="8"/>
            <color indexed="81"/>
            <rFont val="Tahoma"/>
            <family val="2"/>
          </rPr>
          <t xml:space="preserve"> (+/-1%; Firm Bid - BOQ defined; LTSA)
</t>
        </r>
        <r>
          <rPr>
            <b/>
            <sz val="8"/>
            <color indexed="81"/>
            <rFont val="Tahoma"/>
            <family val="2"/>
          </rPr>
          <t>B</t>
        </r>
        <r>
          <rPr>
            <sz val="8"/>
            <color indexed="81"/>
            <rFont val="Tahoma"/>
            <family val="2"/>
          </rPr>
          <t xml:space="preserve"> (+/-3%; Firm Bid - some open items in BOQ / LTSA)
</t>
        </r>
        <r>
          <rPr>
            <b/>
            <sz val="8"/>
            <color indexed="81"/>
            <rFont val="Tahoma"/>
            <family val="2"/>
          </rPr>
          <t>C</t>
        </r>
        <r>
          <rPr>
            <sz val="8"/>
            <color indexed="81"/>
            <rFont val="Tahoma"/>
            <family val="2"/>
          </rPr>
          <t xml:space="preserve"> (+/-6%;Firm Bid - uncertainty in BOQ or functional Spec)
</t>
        </r>
        <r>
          <rPr>
            <b/>
            <sz val="8"/>
            <color indexed="81"/>
            <rFont val="Tahoma"/>
            <family val="2"/>
          </rPr>
          <t>D</t>
        </r>
        <r>
          <rPr>
            <sz val="8"/>
            <color indexed="81"/>
            <rFont val="Tahoma"/>
            <family val="2"/>
          </rPr>
          <t xml:space="preserve"> (+/-10%;Firm Bid-uncert. in BOQ and local rates estimated /
not binding)
</t>
        </r>
        <r>
          <rPr>
            <b/>
            <sz val="8"/>
            <color indexed="81"/>
            <rFont val="Tahoma"/>
            <family val="2"/>
          </rPr>
          <t>E</t>
        </r>
        <r>
          <rPr>
            <sz val="8"/>
            <color indexed="81"/>
            <rFont val="Tahoma"/>
            <family val="2"/>
          </rPr>
          <t xml:space="preserve"> (+/-20%;Budget Bid)
</t>
        </r>
        <r>
          <rPr>
            <b/>
            <sz val="8"/>
            <color indexed="81"/>
            <rFont val="Tahoma"/>
            <family val="2"/>
          </rPr>
          <t>N</t>
        </r>
        <r>
          <rPr>
            <sz val="8"/>
            <color indexed="81"/>
            <rFont val="Tahoma"/>
            <family val="2"/>
          </rPr>
          <t xml:space="preserve"> (No Cost Variation or excluded)</t>
        </r>
      </text>
    </comment>
    <comment ref="Q4" authorId="0" shapeId="0" xr:uid="{00000000-0006-0000-0A00-000011000000}">
      <text>
        <r>
          <rPr>
            <b/>
            <sz val="8"/>
            <color indexed="81"/>
            <rFont val="Tahoma"/>
            <family val="2"/>
          </rPr>
          <t>Transport Type.
Accepted values are: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CIF</t>
        </r>
        <r>
          <rPr>
            <sz val="8"/>
            <color indexed="81"/>
            <rFont val="Tahoma"/>
            <family val="2"/>
          </rPr>
          <t xml:space="preserve"> (Cost, insurance, freight)
</t>
        </r>
        <r>
          <rPr>
            <b/>
            <sz val="8"/>
            <color indexed="81"/>
            <rFont val="Tahoma"/>
            <family val="2"/>
          </rPr>
          <t>DDP</t>
        </r>
        <r>
          <rPr>
            <sz val="8"/>
            <color indexed="81"/>
            <rFont val="Tahoma"/>
            <family val="2"/>
          </rPr>
          <t xml:space="preserve"> (Delivered, duty paid)
</t>
        </r>
        <r>
          <rPr>
            <b/>
            <sz val="8"/>
            <color indexed="81"/>
            <rFont val="Tahoma"/>
            <family val="2"/>
          </rPr>
          <t>DDU</t>
        </r>
        <r>
          <rPr>
            <sz val="8"/>
            <color indexed="81"/>
            <rFont val="Tahoma"/>
            <family val="2"/>
          </rPr>
          <t xml:space="preserve"> (Delivered, duty unpaid)
</t>
        </r>
        <r>
          <rPr>
            <b/>
            <sz val="8"/>
            <color indexed="81"/>
            <rFont val="Tahoma"/>
            <family val="2"/>
          </rPr>
          <t>EXW</t>
        </r>
        <r>
          <rPr>
            <sz val="8"/>
            <color indexed="81"/>
            <rFont val="Tahoma"/>
            <family val="2"/>
          </rPr>
          <t xml:space="preserve"> (Ex-work)
</t>
        </r>
        <r>
          <rPr>
            <b/>
            <sz val="8"/>
            <color indexed="81"/>
            <rFont val="Tahoma"/>
            <family val="2"/>
          </rPr>
          <t>FAS</t>
        </r>
        <r>
          <rPr>
            <sz val="8"/>
            <color indexed="81"/>
            <rFont val="Tahoma"/>
            <family val="2"/>
          </rPr>
          <t xml:space="preserve"> (Free alongside ship)
</t>
        </r>
        <r>
          <rPr>
            <b/>
            <sz val="8"/>
            <color indexed="81"/>
            <rFont val="Tahoma"/>
            <family val="2"/>
          </rPr>
          <t>FOB</t>
        </r>
        <r>
          <rPr>
            <sz val="8"/>
            <color indexed="81"/>
            <rFont val="Tahoma"/>
            <family val="2"/>
          </rPr>
          <t xml:space="preserve"> (Free on board)
</t>
        </r>
        <r>
          <rPr>
            <b/>
            <sz val="8"/>
            <color indexed="81"/>
            <rFont val="Tahoma"/>
            <family val="2"/>
          </rPr>
          <t>CPT</t>
        </r>
        <r>
          <rPr>
            <sz val="8"/>
            <color indexed="81"/>
            <rFont val="Tahoma"/>
            <family val="2"/>
          </rPr>
          <t xml:space="preserve"> Carriage Paid To (Site))
</t>
        </r>
        <r>
          <rPr>
            <b/>
            <sz val="8"/>
            <color indexed="81"/>
            <rFont val="Tahoma"/>
            <family val="2"/>
          </rPr>
          <t>CFR</t>
        </r>
        <r>
          <rPr>
            <sz val="8"/>
            <color indexed="81"/>
            <rFont val="Tahoma"/>
            <family val="2"/>
          </rPr>
          <t xml:space="preserve"> (Cost and freight)</t>
        </r>
      </text>
    </comment>
    <comment ref="R4" authorId="0" shapeId="0" xr:uid="{00000000-0006-0000-0A00-000012000000}">
      <text>
        <r>
          <rPr>
            <b/>
            <sz val="8"/>
            <color indexed="81"/>
            <rFont val="Tahoma"/>
            <family val="2"/>
          </rPr>
          <t>Country were the equipment 
will be picked-up.
E.g. DE</t>
        </r>
      </text>
    </comment>
    <comment ref="S4" authorId="0" shapeId="0" xr:uid="{00000000-0006-0000-0A00-000013000000}">
      <text>
        <r>
          <rPr>
            <b/>
            <sz val="8"/>
            <color indexed="81"/>
            <rFont val="Tahoma"/>
            <family val="2"/>
          </rPr>
          <t>Define whether the Packing 
is included or not.
Accepted values are:
Yes</t>
        </r>
        <r>
          <rPr>
            <sz val="8"/>
            <color indexed="81"/>
            <rFont val="Tahoma"/>
            <family val="2"/>
          </rPr>
          <t xml:space="preserve">  (included)
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 xml:space="preserve">    (not included)</t>
        </r>
      </text>
    </comment>
    <comment ref="T4" authorId="0" shapeId="0" xr:uid="{00000000-0006-0000-0A00-000014000000}">
      <text>
        <r>
          <rPr>
            <b/>
            <sz val="8"/>
            <color indexed="81"/>
            <rFont val="Tahoma"/>
            <family val="2"/>
          </rPr>
          <t>Inflation date.
E.g. 2010-06-13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u/>
            <sz val="8"/>
            <color indexed="81"/>
            <rFont val="Tahoma"/>
            <family val="2"/>
          </rPr>
          <t>Note</t>
        </r>
        <r>
          <rPr>
            <sz val="8"/>
            <color indexed="81"/>
            <rFont val="Tahoma"/>
            <family val="2"/>
          </rPr>
          <t>: The date format has to 
be yyyy-mm-dd.</t>
        </r>
      </text>
    </comment>
    <comment ref="U4" authorId="0" shapeId="0" xr:uid="{00000000-0006-0000-0A00-000015000000}">
      <text>
        <r>
          <rPr>
            <b/>
            <sz val="8"/>
            <color indexed="81"/>
            <rFont val="Tahoma"/>
            <family val="2"/>
          </rPr>
          <t>Any remark related to 
the Cost Item.</t>
        </r>
      </text>
    </comment>
    <comment ref="V4" authorId="0" shapeId="0" xr:uid="{00000000-0006-0000-0A00-000016000000}">
      <text>
        <r>
          <rPr>
            <b/>
            <sz val="8"/>
            <color indexed="81"/>
            <rFont val="Tahoma"/>
            <family val="2"/>
          </rPr>
          <t>Full WBS link to a Scope Item</t>
        </r>
        <r>
          <rPr>
            <sz val="8"/>
            <color indexed="81"/>
            <rFont val="Tahoma"/>
            <family val="2"/>
          </rPr>
          <t xml:space="preserve">  
E.g. A--D2-H-N01-01</t>
        </r>
      </text>
    </comment>
    <comment ref="W4" authorId="0" shapeId="0" xr:uid="{00000000-0006-0000-0A00-000017000000}">
      <text>
        <r>
          <rPr>
            <b/>
            <sz val="8"/>
            <color indexed="81"/>
            <rFont val="Tahoma"/>
            <family val="2"/>
          </rPr>
          <t>ERP Account Number</t>
        </r>
        <r>
          <rPr>
            <sz val="8"/>
            <color indexed="81"/>
            <rFont val="Tahoma"/>
            <family val="2"/>
          </rPr>
          <t xml:space="preserve">
E.g. A-611-2002-0000-11910-04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dcalkin</author>
    <author>Alstom Power User</author>
    <author>Diane</author>
  </authors>
  <commentList>
    <comment ref="CY13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dcalkin:</t>
        </r>
        <r>
          <rPr>
            <sz val="8"/>
            <color indexed="81"/>
            <rFont val="Tahoma"/>
            <family val="2"/>
          </rPr>
          <t xml:space="preserve">
Whole years only</t>
        </r>
      </text>
    </comment>
    <comment ref="C24" authorId="1" shapeId="0" xr:uid="{00000000-0006-0000-0B00-000002000000}">
      <text>
        <r>
          <rPr>
            <b/>
            <sz val="8"/>
            <color indexed="81"/>
            <rFont val="Tahoma"/>
            <family val="2"/>
          </rPr>
          <t>Alstom Power User:</t>
        </r>
        <r>
          <rPr>
            <sz val="8"/>
            <color indexed="81"/>
            <rFont val="Tahoma"/>
            <family val="2"/>
          </rPr>
          <t xml:space="preserve">
Added 5 days to eliminate repeating months</t>
        </r>
      </text>
    </comment>
    <comment ref="J24" authorId="2" shapeId="0" xr:uid="{00000000-0006-0000-0B00-000003000000}">
      <text>
        <r>
          <rPr>
            <b/>
            <sz val="8"/>
            <color indexed="81"/>
            <rFont val="Tahoma"/>
            <family val="2"/>
          </rPr>
          <t>Diane:</t>
        </r>
        <r>
          <rPr>
            <sz val="8"/>
            <color indexed="81"/>
            <rFont val="Tahoma"/>
            <family val="2"/>
          </rPr>
          <t xml:space="preserve">
added .001 so formula in Col H will work in all conditions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dcalkin</author>
    <author>Alstom Power User</author>
  </authors>
  <commentList>
    <comment ref="CU13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dcalkin:</t>
        </r>
        <r>
          <rPr>
            <sz val="8"/>
            <color indexed="81"/>
            <rFont val="Tahoma"/>
            <family val="2"/>
          </rPr>
          <t xml:space="preserve">
Whole years only</t>
        </r>
      </text>
    </comment>
    <comment ref="C24" authorId="1" shapeId="0" xr:uid="{00000000-0006-0000-0C00-000002000000}">
      <text>
        <r>
          <rPr>
            <b/>
            <sz val="8"/>
            <color indexed="81"/>
            <rFont val="Tahoma"/>
            <family val="2"/>
          </rPr>
          <t>Alstom Power User:</t>
        </r>
        <r>
          <rPr>
            <sz val="8"/>
            <color indexed="81"/>
            <rFont val="Tahoma"/>
            <family val="2"/>
          </rPr>
          <t xml:space="preserve">
Added 5 days to eliminate repeating months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DING Tao</author>
  </authors>
  <commentList>
    <comment ref="M93" authorId="0" shapeId="0" xr:uid="{00000000-0006-0000-1400-000001000000}">
      <text>
        <r>
          <rPr>
            <b/>
            <sz val="9"/>
            <color indexed="81"/>
            <rFont val="宋体"/>
            <family val="3"/>
            <charset val="134"/>
          </rPr>
          <t>DING Tao:</t>
        </r>
        <r>
          <rPr>
            <sz val="9"/>
            <color indexed="81"/>
            <rFont val="宋体"/>
            <family val="3"/>
            <charset val="134"/>
          </rPr>
          <t xml:space="preserve">
待定</t>
        </r>
      </text>
    </comment>
    <comment ref="M94" authorId="0" shapeId="0" xr:uid="{00000000-0006-0000-1400-000002000000}">
      <text>
        <r>
          <rPr>
            <b/>
            <sz val="9"/>
            <color indexed="81"/>
            <rFont val="宋体"/>
            <family val="3"/>
            <charset val="134"/>
          </rPr>
          <t>DING Tao:</t>
        </r>
        <r>
          <rPr>
            <sz val="9"/>
            <color indexed="81"/>
            <rFont val="宋体"/>
            <family val="3"/>
            <charset val="134"/>
          </rPr>
          <t xml:space="preserve">
待定</t>
        </r>
      </text>
    </comment>
    <comment ref="M96" authorId="0" shapeId="0" xr:uid="{00000000-0006-0000-1400-000003000000}">
      <text>
        <r>
          <rPr>
            <b/>
            <sz val="9"/>
            <color indexed="81"/>
            <rFont val="宋体"/>
            <family val="3"/>
            <charset val="134"/>
          </rPr>
          <t>DING Tao:</t>
        </r>
        <r>
          <rPr>
            <sz val="9"/>
            <color indexed="81"/>
            <rFont val="宋体"/>
            <family val="3"/>
            <charset val="134"/>
          </rPr>
          <t xml:space="preserve">
待定</t>
        </r>
      </text>
    </comment>
    <comment ref="M97" authorId="0" shapeId="0" xr:uid="{00000000-0006-0000-1400-000004000000}">
      <text>
        <r>
          <rPr>
            <b/>
            <sz val="9"/>
            <color indexed="81"/>
            <rFont val="宋体"/>
            <family val="3"/>
            <charset val="134"/>
          </rPr>
          <t>DING Tao:</t>
        </r>
        <r>
          <rPr>
            <sz val="9"/>
            <color indexed="81"/>
            <rFont val="宋体"/>
            <family val="3"/>
            <charset val="134"/>
          </rPr>
          <t xml:space="preserve">
待定</t>
        </r>
      </text>
    </comment>
    <comment ref="M99" authorId="0" shapeId="0" xr:uid="{00000000-0006-0000-1400-000005000000}">
      <text>
        <r>
          <rPr>
            <b/>
            <sz val="9"/>
            <color indexed="81"/>
            <rFont val="宋体"/>
            <family val="3"/>
            <charset val="134"/>
          </rPr>
          <t>DING Tao:</t>
        </r>
        <r>
          <rPr>
            <sz val="9"/>
            <color indexed="81"/>
            <rFont val="宋体"/>
            <family val="3"/>
            <charset val="134"/>
          </rPr>
          <t xml:space="preserve">
待定</t>
        </r>
      </text>
    </comment>
  </commentList>
</comments>
</file>

<file path=xl/sharedStrings.xml><?xml version="1.0" encoding="utf-8"?>
<sst xmlns="http://schemas.openxmlformats.org/spreadsheetml/2006/main" count="10568" uniqueCount="1679">
  <si>
    <t>WUHAN BOILER COMPANY LTD.</t>
    <phoneticPr fontId="10" type="noConversion"/>
  </si>
  <si>
    <t>Payments from Customer</t>
  </si>
  <si>
    <t>Unit 6</t>
  </si>
  <si>
    <t>Total Refractory, Insulation &amp; Lagging</t>
  </si>
  <si>
    <t xml:space="preserve">Directions:  </t>
  </si>
  <si>
    <t>Copy formula to blue space</t>
  </si>
  <si>
    <t>Start Mo</t>
  </si>
  <si>
    <t>Outdoor</t>
  </si>
  <si>
    <t>For CCS</t>
  </si>
  <si>
    <t xml:space="preserve"> % of Sell</t>
  </si>
  <si>
    <t>Unit 1</t>
  </si>
  <si>
    <t>Unit 2</t>
  </si>
  <si>
    <t>Unit 3</t>
  </si>
  <si>
    <t>Unit 4</t>
  </si>
  <si>
    <t>Accum Payments Cash In</t>
  </si>
  <si>
    <t>Current Period Int Income</t>
  </si>
  <si>
    <t>NOTE:  If you add more rows to CF, you must add the same number to INT, Consortium INT &amp; Cancellation Tabs</t>
  </si>
  <si>
    <t>earn</t>
  </si>
  <si>
    <t>borrow</t>
  </si>
  <si>
    <t xml:space="preserve"> Date:</t>
  </si>
  <si>
    <t>CASH IN</t>
  </si>
  <si>
    <t>CASH OUT</t>
  </si>
  <si>
    <t>NET MONTHLY INTEREST &amp; EXPENSE CALCULATION</t>
  </si>
  <si>
    <t>Month</t>
  </si>
  <si>
    <t>Interest Rate from Altair Page</t>
  </si>
  <si>
    <t>Compd Mthly Int Rate</t>
  </si>
  <si>
    <t>Accum Expense Cash Out</t>
  </si>
  <si>
    <t>Current Period Int Expense</t>
  </si>
  <si>
    <t>Accum Int Expense</t>
  </si>
  <si>
    <t>Grand Total</t>
  </si>
  <si>
    <t>Quoted</t>
  </si>
  <si>
    <t>Estimated</t>
  </si>
  <si>
    <t>Material
source</t>
  </si>
  <si>
    <t>Total Man-hours</t>
  </si>
  <si>
    <t>STRUCTURAL STEEL</t>
  </si>
  <si>
    <t>Custom Cost/Lc</t>
    <phoneticPr fontId="42" type="noConversion"/>
  </si>
  <si>
    <t>Process Cost</t>
    <phoneticPr fontId="42" type="noConversion"/>
  </si>
  <si>
    <t>Fabricated  Steel</t>
  </si>
  <si>
    <t>Firing Equipment</t>
  </si>
  <si>
    <t>Airheaters</t>
  </si>
  <si>
    <t>Valves &amp; Trim</t>
  </si>
  <si>
    <t>Refractory &amp; Insulation</t>
  </si>
  <si>
    <t>Additional Purchased Items</t>
  </si>
  <si>
    <t>Sub-Total AP Sub-Contractors:</t>
  </si>
  <si>
    <t>Remark</t>
    <phoneticPr fontId="42" type="noConversion"/>
  </si>
  <si>
    <t>Steel &amp; Equipment</t>
    <phoneticPr fontId="42" type="noConversion"/>
  </si>
  <si>
    <t>Component</t>
  </si>
  <si>
    <t>per kg</t>
  </si>
  <si>
    <t xml:space="preserve"> WUHAN BOILER COMPANY LTD.</t>
    <phoneticPr fontId="42" type="noConversion"/>
  </si>
  <si>
    <t>CNY and EURO in Thousands</t>
    <phoneticPr fontId="42" type="noConversion"/>
  </si>
  <si>
    <t>Total Project</t>
    <phoneticPr fontId="42" type="noConversion"/>
  </si>
  <si>
    <t>Signature by DGMs &amp; Directors:</t>
    <phoneticPr fontId="42" type="noConversion"/>
  </si>
  <si>
    <t>Date:</t>
    <phoneticPr fontId="42" type="noConversion"/>
  </si>
  <si>
    <t xml:space="preserve">Approved by: </t>
    <phoneticPr fontId="42" type="noConversion"/>
  </si>
  <si>
    <r>
      <t>P</t>
    </r>
    <r>
      <rPr>
        <sz val="10"/>
        <rFont val="Arial"/>
        <family val="2"/>
      </rPr>
      <t>ump</t>
    </r>
    <phoneticPr fontId="0" type="noConversion"/>
  </si>
  <si>
    <t>Transport Weight</t>
  </si>
  <si>
    <r>
      <t>Q</t>
    </r>
    <r>
      <rPr>
        <sz val="8"/>
        <rFont val="Arial"/>
        <family val="2"/>
      </rPr>
      <t>uoted</t>
    </r>
  </si>
  <si>
    <r>
      <t>R</t>
    </r>
    <r>
      <rPr>
        <sz val="8"/>
        <rFont val="Arial"/>
        <family val="2"/>
      </rPr>
      <t>ate Sheet</t>
    </r>
  </si>
  <si>
    <r>
      <t>E</t>
    </r>
    <r>
      <rPr>
        <sz val="8"/>
        <rFont val="Arial"/>
        <family val="2"/>
      </rPr>
      <t>stimated</t>
    </r>
  </si>
  <si>
    <r>
      <t>D</t>
    </r>
    <r>
      <rPr>
        <sz val="10"/>
        <rFont val="Arial"/>
        <family val="2"/>
      </rPr>
      <t>uckwork</t>
    </r>
    <phoneticPr fontId="0" type="noConversion"/>
  </si>
  <si>
    <t>kCNY</t>
  </si>
  <si>
    <t>% of SP</t>
  </si>
  <si>
    <t>Total Equipment Cost</t>
  </si>
  <si>
    <t>Material</t>
  </si>
  <si>
    <t>QC</t>
    <phoneticPr fontId="42" type="noConversion"/>
  </si>
  <si>
    <t>CNY</t>
    <phoneticPr fontId="42" type="noConversion"/>
  </si>
  <si>
    <t>Unit 6</t>
    <phoneticPr fontId="42" type="noConversion"/>
  </si>
  <si>
    <t xml:space="preserve">Cost Breakdown </t>
    <phoneticPr fontId="42" type="noConversion"/>
  </si>
  <si>
    <t xml:space="preserve">Total </t>
    <phoneticPr fontId="42" type="noConversion"/>
  </si>
  <si>
    <t>Unit 6</t>
    <phoneticPr fontId="42" type="noConversion"/>
  </si>
  <si>
    <t>Raw material of WBC component</t>
    <phoneticPr fontId="42" type="noConversion"/>
  </si>
  <si>
    <t>Spares</t>
    <phoneticPr fontId="42" type="noConversion"/>
  </si>
  <si>
    <t xml:space="preserve">Transport </t>
    <phoneticPr fontId="42" type="noConversion"/>
  </si>
  <si>
    <t>CNY/t.km</t>
    <phoneticPr fontId="42" type="noConversion"/>
  </si>
  <si>
    <t>Erection Execution</t>
  </si>
  <si>
    <t>Other</t>
  </si>
  <si>
    <t>Transport</t>
  </si>
  <si>
    <t>Row 12</t>
  </si>
  <si>
    <t>Custom
 Rate</t>
    <phoneticPr fontId="42" type="noConversion"/>
  </si>
  <si>
    <t>Plate</t>
  </si>
  <si>
    <t>Tranport &amp; Logistics</t>
    <phoneticPr fontId="10" type="noConversion"/>
  </si>
  <si>
    <t>Unit 7</t>
  </si>
  <si>
    <t>Plasma ignition equipment</t>
    <phoneticPr fontId="0" type="noConversion"/>
  </si>
  <si>
    <t>Supplier</t>
  </si>
  <si>
    <t>Q/R/E</t>
  </si>
  <si>
    <t xml:space="preserve">FX </t>
  </si>
  <si>
    <t>(CASH INFLOWS - Based on Sell)</t>
  </si>
  <si>
    <t>(CASH OUTFLOWS)</t>
  </si>
  <si>
    <t>Unit 1, Pf:</t>
  </si>
  <si>
    <t>=</t>
  </si>
  <si>
    <t>%</t>
  </si>
  <si>
    <t>Project Year</t>
  </si>
  <si>
    <t>Project Month</t>
  </si>
  <si>
    <t>Date</t>
  </si>
  <si>
    <t>NET CASH FLOW</t>
  </si>
  <si>
    <t>Customer Payment
($/Month)</t>
  </si>
  <si>
    <t>Customer Payment
(%/Month)</t>
  </si>
  <si>
    <t>Cumulative Customer 
Payments
(% of Sell)</t>
  </si>
  <si>
    <t>Cumulative
Full Cost Expense
(%)</t>
  </si>
  <si>
    <t>Full Cost Expense
(%/Month)</t>
  </si>
  <si>
    <t>Total Sea of Green = Full Cost Expense
($/Month)</t>
  </si>
  <si>
    <t xml:space="preserve">Date
  </t>
  </si>
  <si>
    <t>Mo</t>
  </si>
  <si>
    <t>Unit 1 Total</t>
  </si>
  <si>
    <t>Unit 2 Total</t>
  </si>
  <si>
    <t>Unit 3 Total</t>
  </si>
  <si>
    <t>Unit 4 Total</t>
  </si>
  <si>
    <t>Unit 5 Total</t>
  </si>
  <si>
    <t>Unit 6 Total</t>
  </si>
  <si>
    <t>Total All Units  Production Cost</t>
  </si>
  <si>
    <t>SG&amp;A</t>
  </si>
  <si>
    <t>Total All Units
  Full Cost</t>
  </si>
  <si>
    <t>Yr 1</t>
  </si>
  <si>
    <t>Yr 2</t>
  </si>
  <si>
    <t>Yr 3</t>
  </si>
  <si>
    <t>Yr 4</t>
  </si>
  <si>
    <t>Yr 5</t>
  </si>
  <si>
    <t>Yr6</t>
  </si>
  <si>
    <t>Totals:</t>
  </si>
  <si>
    <t>CF Column Totals:</t>
  </si>
  <si>
    <t>Est. Sheet Totals:</t>
  </si>
  <si>
    <t>Q</t>
    <phoneticPr fontId="42" type="noConversion"/>
  </si>
  <si>
    <t>Engineering</t>
  </si>
  <si>
    <t>Project Management</t>
  </si>
  <si>
    <t>Yuan/hr</t>
    <phoneticPr fontId="42" type="noConversion"/>
  </si>
  <si>
    <t>Total Material</t>
  </si>
  <si>
    <t>Total Firming</t>
  </si>
  <si>
    <t>Q</t>
  </si>
  <si>
    <t>R</t>
  </si>
  <si>
    <t>E</t>
  </si>
  <si>
    <t>Accum Expense + Int</t>
  </si>
  <si>
    <t>Cash In Accum - Cash Out Accum
(F-L)</t>
  </si>
  <si>
    <t>Interest on Accumulated Net Cash Flow Position</t>
  </si>
  <si>
    <t>Monthly Interest Income</t>
  </si>
  <si>
    <t>Monthly Interest Expense</t>
  </si>
  <si>
    <t>Rod</t>
  </si>
  <si>
    <t>Mark-up Multiplier</t>
  </si>
  <si>
    <t>Total Margin</t>
  </si>
  <si>
    <t>Mark-up = 1 - Total Margin</t>
  </si>
  <si>
    <t>Check</t>
    <phoneticPr fontId="0" type="noConversion"/>
  </si>
  <si>
    <t>Piping</t>
  </si>
  <si>
    <t>Tubing</t>
  </si>
  <si>
    <t>Edit and delete ' mark</t>
  </si>
  <si>
    <t>End Mo</t>
  </si>
  <si>
    <t>Copy formula down page</t>
  </si>
  <si>
    <t>Months from Unit 1</t>
  </si>
  <si>
    <t>ERECTION</t>
    <phoneticPr fontId="42" type="noConversion"/>
  </si>
  <si>
    <t>CCB</t>
  </si>
  <si>
    <t>Accum Int Income</t>
  </si>
  <si>
    <t>Accum Payments + Int</t>
  </si>
  <si>
    <t>Full Cost Expense Cash Out</t>
  </si>
  <si>
    <t>Neg Margin Rate</t>
    <phoneticPr fontId="42" type="noConversion"/>
  </si>
  <si>
    <t>Actual Purchse wgt (kg)</t>
    <phoneticPr fontId="42" type="noConversion"/>
  </si>
  <si>
    <t>Quote Date</t>
    <phoneticPr fontId="42" type="noConversion"/>
  </si>
  <si>
    <t>Quote Validity Duration</t>
    <phoneticPr fontId="42" type="noConversion"/>
  </si>
  <si>
    <t>Quote Validity Date</t>
    <phoneticPr fontId="42" type="noConversion"/>
  </si>
  <si>
    <t xml:space="preserve">Prop. Name:   </t>
  </si>
  <si>
    <t>Commodity Inspection Fees</t>
  </si>
  <si>
    <t>Mfg Cost</t>
  </si>
  <si>
    <t>Q/R/Est</t>
  </si>
  <si>
    <t>INR</t>
  </si>
  <si>
    <t>Col H? Total Prod All Units</t>
  </si>
  <si>
    <t>Total</t>
  </si>
  <si>
    <t>Neg Margin</t>
  </si>
  <si>
    <t>Custom &amp; Logistic</t>
    <phoneticPr fontId="42" type="noConversion"/>
  </si>
  <si>
    <t>Forgings</t>
  </si>
  <si>
    <t>Last Ship  Month</t>
  </si>
  <si>
    <t xml:space="preserve">  I3 CF Full Cost</t>
  </si>
  <si>
    <t xml:space="preserve">     Should all be same</t>
  </si>
  <si>
    <t>Units 1-6 &amp; SG&amp;A Row 19</t>
  </si>
  <si>
    <t>NTP Month</t>
  </si>
  <si>
    <t>P.O./Mat'l Rel</t>
  </si>
  <si>
    <t>Yrs</t>
  </si>
  <si>
    <t>Fab Rel</t>
  </si>
  <si>
    <t>1 JPY=</t>
    <phoneticPr fontId="42" type="noConversion"/>
  </si>
  <si>
    <t>1 CNY=</t>
    <phoneticPr fontId="42" type="noConversion"/>
  </si>
  <si>
    <t>Total Hrs/Unit</t>
    <phoneticPr fontId="10" type="noConversion"/>
  </si>
  <si>
    <t>Miscellaneous Exp (Travel, Accomodation, Documentation)</t>
    <phoneticPr fontId="42" type="noConversion"/>
  </si>
  <si>
    <t>Remarks</t>
  </si>
  <si>
    <t>EUR</t>
  </si>
  <si>
    <t>D</t>
  </si>
  <si>
    <t>CNY</t>
  </si>
  <si>
    <t>Factory Procurement</t>
    <phoneticPr fontId="10" type="noConversion"/>
  </si>
  <si>
    <t>Unit 5</t>
  </si>
  <si>
    <t>Project Name:</t>
  </si>
  <si>
    <t>Proposal No.:</t>
  </si>
  <si>
    <t>Yuan</t>
  </si>
  <si>
    <t>Reference Summary</t>
    <phoneticPr fontId="10" type="noConversion"/>
  </si>
  <si>
    <t xml:space="preserve">Ship Date </t>
    <phoneticPr fontId="10" type="noConversion"/>
  </si>
  <si>
    <t>Sub-Total Third Party Sub-Contractors:</t>
  </si>
  <si>
    <t>Total Structural Steel</t>
  </si>
  <si>
    <t>Total Fabricated Steel Items</t>
  </si>
  <si>
    <t>Pchs 
Cost/Fc</t>
  </si>
  <si>
    <t>Pchs 
Cost/Lc</t>
  </si>
  <si>
    <t>Total cost</t>
    <phoneticPr fontId="70" type="noConversion"/>
  </si>
  <si>
    <t>1 EUR=</t>
    <phoneticPr fontId="42" type="noConversion"/>
  </si>
  <si>
    <t>Quote Unit</t>
  </si>
  <si>
    <t>Total Pump</t>
    <phoneticPr fontId="10" type="noConversion"/>
  </si>
  <si>
    <t>Total SCR  System</t>
    <phoneticPr fontId="10" type="noConversion"/>
  </si>
  <si>
    <r>
      <t>S</t>
    </r>
    <r>
      <rPr>
        <sz val="10"/>
        <rFont val="Arial"/>
        <family val="2"/>
      </rPr>
      <t>CR System</t>
    </r>
    <phoneticPr fontId="0" type="noConversion"/>
  </si>
  <si>
    <t>Firm NTP date</t>
    <phoneticPr fontId="42" type="noConversion"/>
  </si>
  <si>
    <t>FX Rate: 1 CNY = Euro:</t>
    <phoneticPr fontId="42" type="noConversion"/>
  </si>
  <si>
    <t>Total Erection</t>
  </si>
  <si>
    <t>Total Civil Works</t>
  </si>
  <si>
    <t xml:space="preserve">Raw material </t>
  </si>
  <si>
    <t>Spare Parts</t>
  </si>
  <si>
    <t>Steel &amp; Equipment</t>
  </si>
  <si>
    <t>Miscellaneous items</t>
    <phoneticPr fontId="0" type="noConversion"/>
  </si>
  <si>
    <t>Rev No.:</t>
  </si>
  <si>
    <t>Proposal No:</t>
  </si>
  <si>
    <t>Rev Notes:</t>
  </si>
  <si>
    <t>Unit Type:</t>
  </si>
  <si>
    <t>MW:</t>
  </si>
  <si>
    <t>No. of Units:</t>
  </si>
  <si>
    <t>Rev Date:</t>
  </si>
  <si>
    <t>Bid Date:</t>
  </si>
  <si>
    <t>Bid Validity:</t>
  </si>
  <si>
    <t>Award Date:</t>
  </si>
  <si>
    <t>Estimate</t>
  </si>
  <si>
    <t>CIVIL WORKS</t>
    <phoneticPr fontId="42" type="noConversion"/>
  </si>
  <si>
    <t>Tot Mo</t>
  </si>
  <si>
    <t>Economizer</t>
  </si>
  <si>
    <t>Reheater</t>
  </si>
  <si>
    <t>WARNING:  DO NOT COPY FORMULAS FROM YELLOW ROW!</t>
  </si>
  <si>
    <t>CHECK :  Q74 MUST EQUAL S74</t>
  </si>
  <si>
    <t>Tot Full Cost (w/o interest expense) =</t>
  </si>
  <si>
    <t>P.O./Mat'l Rel %</t>
  </si>
  <si>
    <t xml:space="preserve">Prop. No.:   </t>
  </si>
  <si>
    <t>Management Sell Price (SELL) =</t>
  </si>
  <si>
    <t>Fab Rel %</t>
  </si>
  <si>
    <t xml:space="preserve">Rev. No.:   </t>
  </si>
  <si>
    <t>Ship  Month 1</t>
  </si>
  <si>
    <t xml:space="preserve">Rev. Date:   </t>
  </si>
  <si>
    <t>Ship  Month 2</t>
  </si>
  <si>
    <t>Ship  Month 3</t>
  </si>
  <si>
    <t>Ship  Month 4</t>
  </si>
  <si>
    <t>Tot Full Cost</t>
  </si>
  <si>
    <t>Ship  Month 5</t>
  </si>
  <si>
    <t>Transportation</t>
  </si>
  <si>
    <t>Site Costs</t>
  </si>
  <si>
    <t>Civil Works</t>
  </si>
  <si>
    <t>Financial Cost</t>
  </si>
  <si>
    <t>Risk Coverage</t>
  </si>
  <si>
    <t>Forward Points</t>
  </si>
  <si>
    <t>Total Hrs</t>
  </si>
  <si>
    <t>Yuan/hr</t>
  </si>
  <si>
    <t>Total Project Management</t>
  </si>
  <si>
    <t>Factory Engineering</t>
    <phoneticPr fontId="10" type="noConversion"/>
  </si>
  <si>
    <t>Mfg Cost</t>
    <phoneticPr fontId="42" type="noConversion"/>
  </si>
  <si>
    <t>Engineering</t>
    <phoneticPr fontId="42" type="noConversion"/>
  </si>
  <si>
    <t>Project Management</t>
    <phoneticPr fontId="42" type="noConversion"/>
  </si>
  <si>
    <t xml:space="preserve">Field Representatives &amp; Training </t>
    <phoneticPr fontId="42" type="noConversion"/>
  </si>
  <si>
    <t>Erection Execution</t>
    <phoneticPr fontId="42" type="noConversion"/>
  </si>
  <si>
    <t>Civil Works</t>
    <phoneticPr fontId="42" type="noConversion"/>
  </si>
  <si>
    <t>Bid Bond</t>
    <phoneticPr fontId="42" type="noConversion"/>
  </si>
  <si>
    <t>Currency</t>
  </si>
  <si>
    <t>Equipment</t>
  </si>
  <si>
    <t>USD</t>
  </si>
  <si>
    <t>Structural Steel</t>
  </si>
  <si>
    <t>SA-106C</t>
  </si>
  <si>
    <t>Kcny</t>
    <phoneticPr fontId="42" type="noConversion"/>
  </si>
  <si>
    <r>
      <t>Pressure Parts</t>
    </r>
    <r>
      <rPr>
        <sz val="10"/>
        <rFont val="Arial"/>
        <family val="2"/>
      </rPr>
      <t xml:space="preserve"> Material</t>
    </r>
    <phoneticPr fontId="0" type="noConversion"/>
  </si>
  <si>
    <r>
      <t>Rate Sheet</t>
    </r>
    <r>
      <rPr>
        <sz val="10"/>
        <rFont val="Arial"/>
        <family val="2"/>
      </rPr>
      <t>/Inventory</t>
    </r>
    <phoneticPr fontId="0" type="noConversion"/>
  </si>
  <si>
    <t>QC</t>
  </si>
  <si>
    <t>Profiled Bar</t>
  </si>
  <si>
    <t>Firming NTP Date</t>
    <phoneticPr fontId="42" type="noConversion"/>
  </si>
  <si>
    <t>Various</t>
  </si>
  <si>
    <t>R</t>
    <phoneticPr fontId="42" type="noConversion"/>
  </si>
  <si>
    <t>Finning</t>
  </si>
  <si>
    <t>Total cost</t>
  </si>
  <si>
    <t>Custom &amp; Logistic</t>
  </si>
  <si>
    <t>Mhrs</t>
    <phoneticPr fontId="42" type="noConversion"/>
  </si>
  <si>
    <t>Unit Cost</t>
    <phoneticPr fontId="42" type="noConversion"/>
  </si>
  <si>
    <t>Total</t>
    <phoneticPr fontId="42" type="noConversion"/>
  </si>
  <si>
    <t>Rev</t>
  </si>
  <si>
    <t>Bid Date:</t>
    <phoneticPr fontId="42" type="noConversion"/>
  </si>
  <si>
    <t>Bid Validity:</t>
    <phoneticPr fontId="42" type="noConversion"/>
  </si>
  <si>
    <t>Expected Award Date:</t>
    <phoneticPr fontId="42" type="noConversion"/>
  </si>
  <si>
    <t>1 USD=</t>
    <phoneticPr fontId="42" type="noConversion"/>
  </si>
  <si>
    <t>1.1</t>
    <phoneticPr fontId="42" type="noConversion"/>
  </si>
  <si>
    <t>1=1.1+1.2+1.3+1.4</t>
    <phoneticPr fontId="42" type="noConversion"/>
  </si>
  <si>
    <t>Gross Wgt
(kg)</t>
    <phoneticPr fontId="42" type="noConversion"/>
  </si>
  <si>
    <t xml:space="preserve">Purchase Wgt (kg) </t>
    <phoneticPr fontId="42" type="noConversion"/>
  </si>
  <si>
    <t>Inventory wgt</t>
    <phoneticPr fontId="42" type="noConversion"/>
  </si>
  <si>
    <t>Inventory unit price</t>
    <phoneticPr fontId="42" type="noConversion"/>
  </si>
  <si>
    <t>Inventory cost</t>
    <phoneticPr fontId="42" type="noConversion"/>
  </si>
  <si>
    <t>Process Y/N</t>
    <phoneticPr fontId="42" type="noConversion"/>
  </si>
  <si>
    <t>Mark-up Multiplier (MuM) = 1 / Mark-up</t>
    <phoneticPr fontId="10" type="noConversion"/>
  </si>
  <si>
    <t>Unit 2</t>
    <phoneticPr fontId="10" type="noConversion"/>
  </si>
  <si>
    <t>Total Ductwork Systems</t>
  </si>
  <si>
    <t>Total Firing Equipment</t>
  </si>
  <si>
    <t>Total Airheater</t>
  </si>
  <si>
    <t>Total Valves &amp; Trim</t>
  </si>
  <si>
    <t>Customer:</t>
  </si>
  <si>
    <t>Site:</t>
  </si>
  <si>
    <t>Rev. Date:</t>
  </si>
  <si>
    <t>AP Sub-Contractors:</t>
  </si>
  <si>
    <t>Specific Items</t>
  </si>
  <si>
    <t xml:space="preserve">   Comments</t>
  </si>
  <si>
    <t>Pressure Parts</t>
  </si>
  <si>
    <t>Valves</t>
  </si>
  <si>
    <t>COMPANY CONFIDENTIAL</t>
    <phoneticPr fontId="42" type="noConversion"/>
  </si>
  <si>
    <t>QC</t>
    <phoneticPr fontId="42" type="noConversion"/>
  </si>
  <si>
    <t>kCNY</t>
    <phoneticPr fontId="10" type="noConversion"/>
  </si>
  <si>
    <t>Rate</t>
    <phoneticPr fontId="42" type="noConversion"/>
  </si>
  <si>
    <t>Pipe</t>
  </si>
  <si>
    <t>https://online.alstom.com/Functions/Finance/Applications/Teranga/Pages/Teranga.aspx</t>
    <phoneticPr fontId="70" type="noConversion"/>
  </si>
  <si>
    <t>Currency</t>
    <phoneticPr fontId="125" type="noConversion"/>
  </si>
  <si>
    <t>Mill</t>
    <phoneticPr fontId="125" type="noConversion"/>
  </si>
  <si>
    <t>Lead Time</t>
    <phoneticPr fontId="125" type="noConversion"/>
  </si>
  <si>
    <t>Quote date</t>
    <phoneticPr fontId="125" type="noConversion"/>
  </si>
  <si>
    <t>Validity</t>
    <phoneticPr fontId="125" type="noConversion"/>
  </si>
  <si>
    <t>Assistant</t>
  </si>
  <si>
    <t>Q/E</t>
    <phoneticPr fontId="125" type="noConversion"/>
  </si>
  <si>
    <t>Type</t>
  </si>
  <si>
    <t>Size</t>
  </si>
  <si>
    <t>=$CP24*CR$22</t>
    <phoneticPr fontId="10" type="noConversion"/>
  </si>
  <si>
    <t>'=$CP24*CS$22</t>
    <phoneticPr fontId="10" type="noConversion"/>
  </si>
  <si>
    <t>'=$CP24*CT$22</t>
    <phoneticPr fontId="10" type="noConversion"/>
  </si>
  <si>
    <t>'=$CP24*CU$22</t>
    <phoneticPr fontId="10" type="noConversion"/>
  </si>
  <si>
    <r>
      <t>Q</t>
    </r>
    <r>
      <rPr>
        <sz val="9"/>
        <rFont val="Arial"/>
        <family val="2"/>
      </rPr>
      <t>uote</t>
    </r>
    <phoneticPr fontId="18" type="noConversion"/>
  </si>
  <si>
    <r>
      <t>I</t>
    </r>
    <r>
      <rPr>
        <sz val="9"/>
        <rFont val="Arial"/>
        <family val="2"/>
      </rPr>
      <t>mport</t>
    </r>
    <phoneticPr fontId="18" type="noConversion"/>
  </si>
  <si>
    <r>
      <t>R</t>
    </r>
    <r>
      <rPr>
        <sz val="9"/>
        <rFont val="Arial"/>
        <family val="2"/>
      </rPr>
      <t>ate Sheet</t>
    </r>
    <phoneticPr fontId="18" type="noConversion"/>
  </si>
  <si>
    <r>
      <t>D</t>
    </r>
    <r>
      <rPr>
        <sz val="9"/>
        <rFont val="Arial"/>
        <family val="2"/>
      </rPr>
      <t>omestic</t>
    </r>
    <phoneticPr fontId="18" type="noConversion"/>
  </si>
  <si>
    <r>
      <t>E</t>
    </r>
    <r>
      <rPr>
        <sz val="9"/>
        <rFont val="Arial"/>
        <family val="2"/>
      </rPr>
      <t>stimate</t>
    </r>
    <phoneticPr fontId="18" type="noConversion"/>
  </si>
  <si>
    <t>Project Name:</t>
    <phoneticPr fontId="42" type="noConversion"/>
  </si>
  <si>
    <r>
      <t>CCS</t>
    </r>
    <r>
      <rPr>
        <sz val="9"/>
        <rFont val="宋体"/>
        <family val="3"/>
        <charset val="134"/>
      </rPr>
      <t>价格</t>
    </r>
    <phoneticPr fontId="125" type="noConversion"/>
  </si>
  <si>
    <r>
      <t>CCS</t>
    </r>
    <r>
      <rPr>
        <sz val="10"/>
        <rFont val="宋体"/>
        <family val="3"/>
        <charset val="134"/>
      </rPr>
      <t>价格
元</t>
    </r>
    <r>
      <rPr>
        <sz val="10"/>
        <rFont val="Arial"/>
        <family val="2"/>
      </rPr>
      <t>/</t>
    </r>
    <r>
      <rPr>
        <sz val="10"/>
        <rFont val="宋体"/>
        <family val="3"/>
        <charset val="134"/>
      </rPr>
      <t>吨</t>
    </r>
    <phoneticPr fontId="125" type="noConversion"/>
  </si>
  <si>
    <r>
      <rPr>
        <b/>
        <sz val="10"/>
        <rFont val="宋体"/>
        <family val="3"/>
        <charset val="134"/>
      </rPr>
      <t>武汉锅炉股份有限公司询价函</t>
    </r>
    <phoneticPr fontId="125" type="noConversion"/>
  </si>
  <si>
    <r>
      <rPr>
        <sz val="10"/>
        <rFont val="宋体"/>
        <family val="3"/>
        <charset val="134"/>
      </rPr>
      <t>序号</t>
    </r>
    <phoneticPr fontId="42" type="noConversion"/>
  </si>
  <si>
    <r>
      <rPr>
        <sz val="10"/>
        <rFont val="宋体"/>
        <family val="3"/>
        <charset val="134"/>
      </rPr>
      <t>材料名称</t>
    </r>
  </si>
  <si>
    <r>
      <rPr>
        <sz val="10"/>
        <rFont val="宋体"/>
        <family val="3"/>
        <charset val="134"/>
      </rPr>
      <t>材质</t>
    </r>
  </si>
  <si>
    <t>Air Preheater</t>
  </si>
  <si>
    <t>Third Party Sub-Contractors:</t>
    <phoneticPr fontId="0" type="noConversion"/>
  </si>
  <si>
    <t>Spares</t>
  </si>
  <si>
    <t>Tube</t>
  </si>
  <si>
    <t>Fin</t>
  </si>
  <si>
    <t>I</t>
  </si>
  <si>
    <t>Weight/kg</t>
    <phoneticPr fontId="42" type="noConversion"/>
  </si>
  <si>
    <r>
      <t>CCS</t>
    </r>
    <r>
      <rPr>
        <sz val="9"/>
        <rFont val="宋体"/>
        <family val="3"/>
        <charset val="134"/>
      </rPr>
      <t>价格</t>
    </r>
    <phoneticPr fontId="42" type="noConversion"/>
  </si>
  <si>
    <t>Width/mm</t>
    <phoneticPr fontId="42" type="noConversion"/>
  </si>
  <si>
    <t>Thick/mm</t>
    <phoneticPr fontId="42" type="noConversion"/>
  </si>
  <si>
    <t>Material</t>
    <phoneticPr fontId="42" type="noConversion"/>
  </si>
  <si>
    <t>OD</t>
    <phoneticPr fontId="42" type="noConversion"/>
  </si>
  <si>
    <t>WT</t>
    <phoneticPr fontId="42" type="noConversion"/>
  </si>
  <si>
    <t>工艺余量margin</t>
  </si>
  <si>
    <t>WBC/OUT</t>
  </si>
  <si>
    <t>Diameter</t>
    <phoneticPr fontId="129" type="noConversion"/>
  </si>
  <si>
    <t>OD/mm</t>
  </si>
  <si>
    <t>JPY</t>
  </si>
  <si>
    <t>Outsourcing</t>
  </si>
  <si>
    <t>=$CP24*CQ$22</t>
    <phoneticPr fontId="10" type="noConversion"/>
  </si>
  <si>
    <t>Total Net Weight (kg)</t>
  </si>
  <si>
    <t>WT/mm</t>
  </si>
  <si>
    <t>Sum of Pchs 
Cost/Fc</t>
  </si>
  <si>
    <t>Sell Price =</t>
  </si>
  <si>
    <t>=$CP24*CQ$22</t>
    <phoneticPr fontId="9" type="noConversion"/>
  </si>
  <si>
    <t>=$CP24*CR$22</t>
    <phoneticPr fontId="9" type="noConversion"/>
  </si>
  <si>
    <t>'=$CP24*CS$22</t>
    <phoneticPr fontId="9" type="noConversion"/>
  </si>
  <si>
    <t>'=$CP24*CT$22</t>
    <phoneticPr fontId="9" type="noConversion"/>
  </si>
  <si>
    <t>'=$CP24*CU$22</t>
    <phoneticPr fontId="9" type="noConversion"/>
  </si>
  <si>
    <t>Reference Summary</t>
    <phoneticPr fontId="9" type="noConversion"/>
  </si>
  <si>
    <t>Customer Cancellation</t>
  </si>
  <si>
    <t>Raw Cancellation</t>
    <phoneticPr fontId="0" type="noConversion"/>
  </si>
  <si>
    <t>Proposed Cumulative</t>
    <phoneticPr fontId="42" type="noConversion"/>
  </si>
  <si>
    <t>Make Adjustments in this Column
 Proposed Cumulative %</t>
  </si>
  <si>
    <t>Cumulative %</t>
  </si>
  <si>
    <t xml:space="preserve">
(%/Month)</t>
  </si>
  <si>
    <t xml:space="preserve">
(CNY/Month)</t>
    <phoneticPr fontId="42" type="noConversion"/>
  </si>
  <si>
    <t>Consortium Cancellation Calculations</t>
  </si>
  <si>
    <t>These should match</t>
  </si>
  <si>
    <t>from CCS</t>
  </si>
  <si>
    <t>sum</t>
  </si>
  <si>
    <t>Sell</t>
  </si>
  <si>
    <t xml:space="preserve">               For Exposure Chart Lines</t>
  </si>
  <si>
    <t>Total Consortium Cancellation</t>
  </si>
  <si>
    <t>WBC</t>
    <phoneticPr fontId="42" type="noConversion"/>
  </si>
  <si>
    <t>Consortium Payments from Customer, cummul</t>
  </si>
  <si>
    <t>Net Cancellation Payments - Exposure</t>
  </si>
  <si>
    <t>Cancellation, Cumm  Percent</t>
  </si>
  <si>
    <t>Cancellation, Cumm  $</t>
  </si>
  <si>
    <t>Customer Payments In</t>
  </si>
  <si>
    <t>Net</t>
  </si>
  <si>
    <t xml:space="preserve">Sum of Purchase Wgt (kg) </t>
  </si>
  <si>
    <t>Sum of Pchs 
Cost/Lc</t>
  </si>
  <si>
    <t>内径  ID (mm)</t>
  </si>
  <si>
    <t>ID/mm</t>
  </si>
  <si>
    <t>Bid Validity date:</t>
  </si>
  <si>
    <t>Payment date</t>
  </si>
  <si>
    <t>From PO to NTP duration Mons</t>
  </si>
  <si>
    <t>From PD to PO duration Mons</t>
  </si>
  <si>
    <t>MMI</t>
  </si>
  <si>
    <t>PO</t>
  </si>
  <si>
    <t>1 EUR=</t>
  </si>
  <si>
    <t>1 JPY=</t>
  </si>
  <si>
    <t>1 USD=</t>
  </si>
  <si>
    <t>Sourcing Pchs 
Cost/Fc</t>
  </si>
  <si>
    <t>Sourcing Pchs 
Cost/Lc</t>
  </si>
  <si>
    <t>Sum of Sourcing Pchs 
Cost/Fc</t>
  </si>
  <si>
    <t>Sum of Sourcing Pchs 
Cost/Lc</t>
  </si>
  <si>
    <t>Piping-CS</t>
  </si>
  <si>
    <t>Tubing-CS</t>
  </si>
  <si>
    <t>Tubing Rifled-CS</t>
  </si>
  <si>
    <t>Raw Material Costs</t>
  </si>
  <si>
    <t>Pressure Parts other material</t>
  </si>
  <si>
    <t>Manufacture Mhrs</t>
  </si>
  <si>
    <t xml:space="preserve">Welding Engineering </t>
  </si>
  <si>
    <t>Air preheater</t>
  </si>
  <si>
    <t>DIRECT PRODUCTION COST</t>
  </si>
  <si>
    <t>Months</t>
    <phoneticPr fontId="7" type="noConversion"/>
  </si>
  <si>
    <t>Validity Date</t>
    <phoneticPr fontId="7" type="noConversion"/>
  </si>
  <si>
    <t>PO Date</t>
    <phoneticPr fontId="7" type="noConversion"/>
  </si>
  <si>
    <t xml:space="preserve">Quote </t>
    <phoneticPr fontId="34" type="noConversion"/>
  </si>
  <si>
    <t>Nego. Margin</t>
  </si>
  <si>
    <t>Custom Rate</t>
  </si>
  <si>
    <t>Custom Cost/Lc</t>
    <phoneticPr fontId="34" type="noConversion"/>
  </si>
  <si>
    <t>Port Charge</t>
  </si>
  <si>
    <t>Inspection Fees</t>
  </si>
  <si>
    <t>Freight Cost</t>
  </si>
  <si>
    <t>Yuan/Ton</t>
    <phoneticPr fontId="34" type="noConversion"/>
  </si>
  <si>
    <t>SCR</t>
  </si>
  <si>
    <t>PM</t>
  </si>
  <si>
    <t>Coal</t>
  </si>
  <si>
    <t>Domestic/Import</t>
  </si>
  <si>
    <t>WBC</t>
  </si>
  <si>
    <t>Wuhan Beifang</t>
  </si>
  <si>
    <t>Jiangsu Baojinlai</t>
  </si>
  <si>
    <t>Offshore</t>
  </si>
  <si>
    <t>Onshore</t>
  </si>
  <si>
    <t xml:space="preserve">as of </t>
  </si>
  <si>
    <t>Total Project</t>
  </si>
  <si>
    <t>Off shore</t>
    <phoneticPr fontId="35" type="noConversion"/>
  </si>
  <si>
    <t>On shore</t>
    <phoneticPr fontId="35" type="noConversion"/>
  </si>
  <si>
    <t>Sum of Total cost</t>
  </si>
  <si>
    <t>Reason</t>
  </si>
  <si>
    <t>Description</t>
  </si>
  <si>
    <t>Windsor (Onshore)</t>
  </si>
  <si>
    <t>Wuhan Onshore</t>
  </si>
  <si>
    <t xml:space="preserve"> </t>
  </si>
  <si>
    <t>Lead time</t>
  </si>
  <si>
    <t>Unit price w/o VAT</t>
  </si>
  <si>
    <t>Add of Standard %</t>
  </si>
  <si>
    <t>下降比例</t>
  </si>
  <si>
    <t>One Unit</t>
    <phoneticPr fontId="21" type="noConversion"/>
  </si>
  <si>
    <t>Raw Material price (excl. Custom and transportation)</t>
    <phoneticPr fontId="28" type="noConversion"/>
  </si>
  <si>
    <t>Raw Material price
 (Incl. Custom and transportation)</t>
    <phoneticPr fontId="28" type="noConversion"/>
  </si>
  <si>
    <t>Category</t>
    <phoneticPr fontId="28" type="noConversion"/>
  </si>
  <si>
    <t>SPECN.</t>
  </si>
  <si>
    <t>Purchasing 
Wgt (KG)</t>
    <phoneticPr fontId="28" type="noConversion"/>
  </si>
  <si>
    <t xml:space="preserve">Unit  Price </t>
    <phoneticPr fontId="28" type="noConversion"/>
  </si>
  <si>
    <r>
      <t xml:space="preserve">Negotiation
 </t>
    </r>
    <r>
      <rPr>
        <sz val="10"/>
        <rFont val="Arial"/>
        <family val="2"/>
      </rPr>
      <t>Total cost</t>
    </r>
  </si>
  <si>
    <t>Disconnt</t>
    <phoneticPr fontId="28" type="noConversion"/>
  </si>
  <si>
    <t>Total cost
(CNY)</t>
    <phoneticPr fontId="28" type="noConversion"/>
  </si>
  <si>
    <t>Unit  Price
(CNY/Kg)</t>
    <phoneticPr fontId="28" type="noConversion"/>
  </si>
  <si>
    <t>Note</t>
    <phoneticPr fontId="28" type="noConversion"/>
  </si>
  <si>
    <t>小计</t>
    <phoneticPr fontId="28" type="noConversion"/>
  </si>
  <si>
    <t>总计</t>
    <phoneticPr fontId="28" type="noConversion"/>
  </si>
  <si>
    <t>kcny</t>
  </si>
  <si>
    <t>Items</t>
  </si>
  <si>
    <t>Sum of Process Cost</t>
  </si>
  <si>
    <t>材料单价
元/吨</t>
  </si>
  <si>
    <t>currency</t>
    <phoneticPr fontId="5" type="noConversion"/>
  </si>
  <si>
    <t>Mill</t>
    <phoneticPr fontId="5" type="noConversion"/>
  </si>
  <si>
    <t>Lead Time</t>
    <phoneticPr fontId="5" type="noConversion"/>
  </si>
  <si>
    <t>Quote date</t>
    <phoneticPr fontId="5" type="noConversion"/>
  </si>
  <si>
    <t>Validity</t>
    <phoneticPr fontId="5" type="noConversion"/>
  </si>
  <si>
    <t>Q/E</t>
    <phoneticPr fontId="5" type="noConversion"/>
  </si>
  <si>
    <t>Process</t>
  </si>
  <si>
    <r>
      <t>GB</t>
    </r>
    <r>
      <rPr>
        <sz val="8"/>
        <rFont val="宋体"/>
        <family val="3"/>
        <charset val="134"/>
      </rPr>
      <t>项目</t>
    </r>
    <r>
      <rPr>
        <sz val="8"/>
        <rFont val="Arial"/>
        <family val="2"/>
      </rPr>
      <t>(W/O VAT)</t>
    </r>
  </si>
  <si>
    <r>
      <t>ASME</t>
    </r>
    <r>
      <rPr>
        <sz val="8"/>
        <rFont val="宋体"/>
        <family val="3"/>
        <charset val="134"/>
      </rPr>
      <t>项目</t>
    </r>
    <r>
      <rPr>
        <sz val="8"/>
        <rFont val="Arial"/>
        <family val="2"/>
      </rPr>
      <t>(W/O VAT)</t>
    </r>
  </si>
  <si>
    <t>Carbon</t>
  </si>
  <si>
    <t>low Alloy</t>
  </si>
  <si>
    <t>Stainless</t>
  </si>
  <si>
    <t>Low Alloy</t>
  </si>
  <si>
    <t>D&amp;R</t>
  </si>
  <si>
    <t>Avros</t>
  </si>
  <si>
    <t>FAN</t>
  </si>
  <si>
    <t>Pulverizer</t>
  </si>
  <si>
    <t>Torishima</t>
  </si>
  <si>
    <t>HP Valve</t>
  </si>
  <si>
    <t>锅炉本体范围设备</t>
    <phoneticPr fontId="42" type="noConversion"/>
  </si>
  <si>
    <t>Unit Wt</t>
  </si>
  <si>
    <t>HS CODE</t>
    <phoneticPr fontId="42" type="noConversion"/>
  </si>
  <si>
    <t>Export VAT Refund 
as of May 17, 2012</t>
  </si>
  <si>
    <t xml:space="preserve">Update VAT Refund as Jan.2015  </t>
  </si>
  <si>
    <t>VAT Refund Cost</t>
    <phoneticPr fontId="42" type="noConversion"/>
  </si>
  <si>
    <t>HS CODE
By Chenwan</t>
  </si>
  <si>
    <t>Export VAT Refund 
as of Jan 08, 2015</t>
    <phoneticPr fontId="42" type="noConversion"/>
  </si>
  <si>
    <t>Remark</t>
    <phoneticPr fontId="42" type="noConversion"/>
  </si>
  <si>
    <t>Item No.</t>
  </si>
  <si>
    <t>kg</t>
  </si>
  <si>
    <t>Rate</t>
    <phoneticPr fontId="42" type="noConversion"/>
  </si>
  <si>
    <t>PRESSURE PARTS</t>
  </si>
  <si>
    <t>视发运实物和状态而定</t>
    <phoneticPr fontId="42" type="noConversion"/>
  </si>
  <si>
    <t>07</t>
    <phoneticPr fontId="42" type="noConversion"/>
  </si>
  <si>
    <t>08</t>
    <phoneticPr fontId="42" type="noConversion"/>
  </si>
  <si>
    <r>
      <rPr>
        <b/>
        <sz val="11"/>
        <color indexed="10"/>
        <rFont val="宋体"/>
        <family val="3"/>
        <charset val="134"/>
      </rPr>
      <t>平台扶梯需和构架一起发运才可归入</t>
    </r>
    <r>
      <rPr>
        <b/>
        <sz val="11"/>
        <color indexed="10"/>
        <rFont val="Arial"/>
        <family val="2"/>
      </rPr>
      <t>84029000</t>
    </r>
    <r>
      <rPr>
        <b/>
        <sz val="11"/>
        <color indexed="10"/>
        <rFont val="宋体"/>
        <family val="3"/>
        <charset val="134"/>
      </rPr>
      <t>，如单独发运要视发运状态来定</t>
    </r>
    <r>
      <rPr>
        <b/>
        <sz val="11"/>
        <color indexed="10"/>
        <rFont val="Arial"/>
        <family val="2"/>
      </rPr>
      <t>HS CODE.</t>
    </r>
  </si>
  <si>
    <t>33</t>
    <phoneticPr fontId="42" type="noConversion"/>
  </si>
  <si>
    <t>65</t>
    <phoneticPr fontId="42" type="noConversion"/>
  </si>
  <si>
    <t>FABRICATED STEEL ITEMS</t>
  </si>
  <si>
    <t>09</t>
    <phoneticPr fontId="42" type="noConversion"/>
  </si>
  <si>
    <t>76061259/72103000</t>
  </si>
  <si>
    <r>
      <t>AWBC</t>
    </r>
    <r>
      <rPr>
        <sz val="11"/>
        <rFont val="宋体"/>
        <family val="3"/>
        <charset val="134"/>
      </rPr>
      <t>未申报出口过</t>
    </r>
  </si>
  <si>
    <t>23</t>
    <phoneticPr fontId="42" type="noConversion"/>
  </si>
  <si>
    <t>32</t>
    <phoneticPr fontId="42" type="noConversion"/>
  </si>
  <si>
    <t>34</t>
    <phoneticPr fontId="42" type="noConversion"/>
  </si>
  <si>
    <t>35</t>
    <phoneticPr fontId="42" type="noConversion"/>
  </si>
  <si>
    <t>DUCTWORK SYSTEMS</t>
  </si>
  <si>
    <t>11</t>
    <phoneticPr fontId="42" type="noConversion"/>
  </si>
  <si>
    <t>FIRING EQUIPMENT</t>
  </si>
  <si>
    <t>12</t>
    <phoneticPr fontId="42" type="noConversion"/>
  </si>
  <si>
    <t>84162090 90</t>
  </si>
  <si>
    <t>58</t>
    <phoneticPr fontId="42" type="noConversion"/>
  </si>
  <si>
    <r>
      <t>AWBC</t>
    </r>
    <r>
      <rPr>
        <sz val="11"/>
        <rFont val="宋体"/>
        <family val="3"/>
        <charset val="134"/>
      </rPr>
      <t>未申报出口过</t>
    </r>
    <r>
      <rPr>
        <sz val="11"/>
        <rFont val="Arial"/>
        <family val="2"/>
      </rPr>
      <t>(Est.)</t>
    </r>
  </si>
  <si>
    <t>Plasma ignitiong equipment</t>
  </si>
  <si>
    <t>等离子点火装置 Plasma ignition equipment</t>
  </si>
  <si>
    <t>PUMP</t>
  </si>
  <si>
    <t>Total Pump</t>
  </si>
  <si>
    <t>SCR SYSTEM</t>
  </si>
  <si>
    <t>SCR System</t>
  </si>
  <si>
    <t>Total SCR  System</t>
  </si>
  <si>
    <t>AIRHEATER</t>
  </si>
  <si>
    <t>06</t>
    <phoneticPr fontId="42" type="noConversion"/>
  </si>
  <si>
    <t>空气预热器 Air Preheater</t>
  </si>
  <si>
    <t>8402900000/8404101000</t>
    <phoneticPr fontId="42" type="noConversion"/>
  </si>
  <si>
    <t>17%/17%</t>
    <phoneticPr fontId="42" type="noConversion"/>
  </si>
  <si>
    <t>VALVES &amp; TRIM</t>
  </si>
  <si>
    <t>24</t>
    <phoneticPr fontId="42" type="noConversion"/>
  </si>
  <si>
    <t>阀门及仪表 Valves &amp; Instrumentation</t>
  </si>
  <si>
    <t>8481801090/8481400000/8481300000/8481201000/8481100000/8481901000</t>
    <phoneticPr fontId="42" type="noConversion"/>
  </si>
  <si>
    <t>其他阀门</t>
    <phoneticPr fontId="42" type="noConversion"/>
  </si>
  <si>
    <t>Including instrucmentation</t>
  </si>
  <si>
    <t>安全阀或溢流阀</t>
    <phoneticPr fontId="42" type="noConversion"/>
  </si>
  <si>
    <t>止回阀</t>
    <phoneticPr fontId="42" type="noConversion"/>
  </si>
  <si>
    <t>油压传动阀</t>
    <phoneticPr fontId="42" type="noConversion"/>
  </si>
  <si>
    <t>减压阀</t>
    <phoneticPr fontId="42" type="noConversion"/>
  </si>
  <si>
    <t>8481100001/8481100090</t>
  </si>
  <si>
    <t>阀门用零件</t>
    <phoneticPr fontId="42" type="noConversion"/>
  </si>
  <si>
    <t>53</t>
    <phoneticPr fontId="42" type="noConversion"/>
  </si>
  <si>
    <t>排放管道 Vent Piping &amp; Silencer</t>
  </si>
  <si>
    <t>REFRACTORY, INSULATION &amp; LAGGING</t>
  </si>
  <si>
    <r>
      <t>炉墙</t>
    </r>
    <r>
      <rPr>
        <sz val="11"/>
        <rFont val="Arial"/>
        <family val="2"/>
      </rPr>
      <t xml:space="preserve"> 金属零件 Insulation &amp; Refractory Studs</t>
    </r>
  </si>
  <si>
    <t>MISCELLANEOUS ITEMS</t>
  </si>
  <si>
    <t>20</t>
    <phoneticPr fontId="42" type="noConversion"/>
  </si>
  <si>
    <t>Sootblower(Included Gas-temperature probe)</t>
  </si>
  <si>
    <t>21</t>
    <phoneticPr fontId="42" type="noConversion"/>
  </si>
  <si>
    <t>水封插板 Hopper Seal Plate</t>
  </si>
  <si>
    <t>61</t>
    <phoneticPr fontId="42" type="noConversion"/>
  </si>
  <si>
    <t>炉顶吊杆装置 Hangers</t>
  </si>
  <si>
    <t>AWBC未申报出口过(Est.)</t>
  </si>
  <si>
    <t>69</t>
    <phoneticPr fontId="42" type="noConversion"/>
  </si>
  <si>
    <t xml:space="preserve">单轨吊及电动葫芦 Electric lift for the maintenance </t>
  </si>
  <si>
    <t>70</t>
    <phoneticPr fontId="42" type="noConversion"/>
  </si>
  <si>
    <t>工业电视 Camera</t>
  </si>
  <si>
    <t>80</t>
    <phoneticPr fontId="42" type="noConversion"/>
  </si>
  <si>
    <t>门类部分 Door</t>
  </si>
  <si>
    <t>螺栓扳手 Wrench</t>
  </si>
  <si>
    <t>电梯</t>
    <phoneticPr fontId="42" type="noConversion"/>
  </si>
  <si>
    <t>Total Miscellaneous Items</t>
  </si>
  <si>
    <t>New Equipment</t>
    <phoneticPr fontId="42" type="noConversion"/>
  </si>
  <si>
    <r>
      <t>低压加热器</t>
    </r>
    <r>
      <rPr>
        <b/>
        <sz val="11"/>
        <rFont val="Arial"/>
        <family val="2"/>
      </rPr>
      <t xml:space="preserve">  LP Heater</t>
    </r>
  </si>
  <si>
    <r>
      <t>8</t>
    </r>
    <r>
      <rPr>
        <b/>
        <sz val="11"/>
        <color indexed="10"/>
        <rFont val="宋体"/>
        <family val="3"/>
        <charset val="134"/>
      </rPr>
      <t>4041010/8417809090</t>
    </r>
  </si>
  <si>
    <t>17%/15%</t>
  </si>
  <si>
    <r>
      <t>高压加热器</t>
    </r>
    <r>
      <rPr>
        <b/>
        <sz val="11"/>
        <rFont val="Arial"/>
        <family val="2"/>
      </rPr>
      <t xml:space="preserve">  HP Heater</t>
    </r>
  </si>
  <si>
    <r>
      <t xml:space="preserve">8402900000,84041010, </t>
    </r>
    <r>
      <rPr>
        <sz val="11"/>
        <color indexed="10"/>
        <rFont val="MS Sans Serif"/>
        <family val="2"/>
      </rPr>
      <t>8479899090</t>
    </r>
  </si>
  <si>
    <t>17%
14%</t>
  </si>
  <si>
    <t>给水罐  Feedwater Tank</t>
    <phoneticPr fontId="42" type="noConversion"/>
  </si>
  <si>
    <r>
      <t xml:space="preserve">8404101000, </t>
    </r>
    <r>
      <rPr>
        <sz val="11"/>
        <color indexed="10"/>
        <rFont val="MS Sans Serif"/>
        <family val="2"/>
      </rPr>
      <t>8479899090</t>
    </r>
  </si>
  <si>
    <t>17%14%</t>
  </si>
  <si>
    <r>
      <t>水分分离加热器</t>
    </r>
    <r>
      <rPr>
        <b/>
        <sz val="11"/>
        <rFont val="Arial"/>
        <family val="2"/>
      </rPr>
      <t xml:space="preserve">  MSR</t>
    </r>
  </si>
  <si>
    <t>保温材料（岩棉板）</t>
    <phoneticPr fontId="42" type="noConversion"/>
  </si>
  <si>
    <r>
      <rPr>
        <sz val="11"/>
        <color indexed="10"/>
        <rFont val="MS Sans Serif"/>
        <family val="2"/>
      </rPr>
      <t>68061000?/</t>
    </r>
    <r>
      <rPr>
        <sz val="11"/>
        <rFont val="MS Sans Serif"/>
        <family val="2"/>
      </rPr>
      <t>6806900000</t>
    </r>
  </si>
  <si>
    <r>
      <rPr>
        <b/>
        <sz val="11"/>
        <color indexed="10"/>
        <rFont val="MS Sans Serif"/>
        <family val="2"/>
      </rPr>
      <t>68061010/</t>
    </r>
    <r>
      <rPr>
        <b/>
        <sz val="11"/>
        <rFont val="MS Sans Serif"/>
        <family val="2"/>
      </rPr>
      <t>68069000</t>
    </r>
  </si>
  <si>
    <t>5%/0%</t>
  </si>
  <si>
    <t>保温材料（轻质浇注料）</t>
    <phoneticPr fontId="42" type="noConversion"/>
  </si>
  <si>
    <t>风机含电机   fan with motor</t>
  </si>
  <si>
    <t>84145930 00/84145990 99</t>
  </si>
  <si>
    <t>给煤机   coal feeder</t>
  </si>
  <si>
    <t>84163000 00</t>
  </si>
  <si>
    <t>Crosby</t>
  </si>
  <si>
    <t>Unit</t>
  </si>
  <si>
    <t>Mill</t>
  </si>
  <si>
    <t>Ningbo Huaye</t>
  </si>
  <si>
    <t>Wuhan</t>
  </si>
  <si>
    <t>PCDB Cost Estimate Validity (%)</t>
  </si>
  <si>
    <t>Others cost</t>
  </si>
  <si>
    <t>FX Rate: 1 CNY = USD:</t>
  </si>
  <si>
    <t>Shotpeening</t>
  </si>
  <si>
    <t>Local consultant</t>
  </si>
  <si>
    <t>SA-387M Gr22CL2</t>
  </si>
  <si>
    <t>SA-387M Gr12CL2</t>
  </si>
  <si>
    <t>Subcomponents category</t>
  </si>
  <si>
    <t>Mid-size Pipe</t>
  </si>
  <si>
    <t>Lontrin</t>
  </si>
  <si>
    <t>Fans</t>
  </si>
  <si>
    <t>P&amp;P</t>
  </si>
  <si>
    <t>Shot-peening</t>
  </si>
  <si>
    <t>Sinosteel Yantai</t>
  </si>
  <si>
    <t>Aerosun Corporation</t>
  </si>
  <si>
    <t>Yixing Kaimeilong</t>
  </si>
  <si>
    <t>Zhongnan Electric</t>
  </si>
  <si>
    <t>Lanzhou Changxin</t>
  </si>
  <si>
    <t>Jiangsu Power</t>
  </si>
  <si>
    <t>Wuxi Huaneng</t>
  </si>
  <si>
    <t>Yantai Longyuan</t>
  </si>
  <si>
    <t>HBC Valve</t>
  </si>
  <si>
    <t>TLT-TURBO (SICHUAN)</t>
  </si>
  <si>
    <t>wuxi huatong</t>
  </si>
  <si>
    <t>Valtek</t>
  </si>
  <si>
    <t>Tieling Tieguang</t>
  </si>
  <si>
    <t>Jiangnan Environmental</t>
  </si>
  <si>
    <t>Suzhou Lanjing</t>
  </si>
  <si>
    <t>Shanghai Clyde</t>
  </si>
  <si>
    <t>Yangzhou Huayuan</t>
  </si>
  <si>
    <t>Xinxiang Hoisting</t>
  </si>
  <si>
    <t>Changchun Boiler Instrumentation</t>
  </si>
  <si>
    <t>Wuhai Huashan</t>
  </si>
  <si>
    <t>Mill (Windsor)</t>
  </si>
  <si>
    <t>•Equipment cost</t>
  </si>
  <si>
    <t>1 Unit</t>
  </si>
  <si>
    <t>Category</t>
    <phoneticPr fontId="80" type="noConversion"/>
  </si>
  <si>
    <t>Q/R/E</t>
    <phoneticPr fontId="80" type="noConversion"/>
  </si>
  <si>
    <t>Supplier</t>
    <phoneticPr fontId="80" type="noConversion"/>
  </si>
  <si>
    <t>Unit</t>
    <phoneticPr fontId="80" type="noConversion"/>
  </si>
  <si>
    <t xml:space="preserve">Purchase Wgt (kg) </t>
    <phoneticPr fontId="6" type="noConversion"/>
  </si>
  <si>
    <t>From Sourcing</t>
    <phoneticPr fontId="80" type="noConversion"/>
  </si>
  <si>
    <t>From CCS</t>
  </si>
  <si>
    <t>Negotiation</t>
    <phoneticPr fontId="80" type="noConversion"/>
  </si>
  <si>
    <t>Stretch</t>
    <phoneticPr fontId="80" type="noConversion"/>
  </si>
  <si>
    <t>Total</t>
    <phoneticPr fontId="80" type="noConversion"/>
  </si>
  <si>
    <t>Remark</t>
  </si>
  <si>
    <t>Unit Cost
(CNY/Kg)</t>
    <phoneticPr fontId="80" type="noConversion"/>
  </si>
  <si>
    <t>%</t>
    <phoneticPr fontId="80" type="noConversion"/>
  </si>
  <si>
    <t>KG</t>
    <phoneticPr fontId="80" type="noConversion"/>
  </si>
  <si>
    <t>Manufacture review</t>
  </si>
  <si>
    <t>•Manufacture plan</t>
  </si>
  <si>
    <t>Hours from Manufactory</t>
  </si>
  <si>
    <t>Mhrs from CCS</t>
  </si>
  <si>
    <t>Stretch (%)</t>
  </si>
  <si>
    <t>Others</t>
  </si>
  <si>
    <t>Total Mhrs</t>
  </si>
  <si>
    <t>Prepared by
(name)</t>
  </si>
  <si>
    <t>Review By
(name)</t>
  </si>
  <si>
    <t>Approved by
(name)</t>
  </si>
  <si>
    <t>Set</t>
  </si>
  <si>
    <t>Please make sure to only include cost positions in your responsibility (RISK of DELETING other faculty data!)   * = mandatory ; ** = mandatory for MAT/HW costs only</t>
  </si>
  <si>
    <t>Cost Position*</t>
  </si>
  <si>
    <t>Cost Item Code</t>
  </si>
  <si>
    <t>Delete</t>
  </si>
  <si>
    <t>Option*</t>
  </si>
  <si>
    <t>Cost Item Description*</t>
  </si>
  <si>
    <t>CostType*</t>
  </si>
  <si>
    <t>Supplier*</t>
  </si>
  <si>
    <t>Source*</t>
  </si>
  <si>
    <t>Country*</t>
  </si>
  <si>
    <t>Qty*</t>
  </si>
  <si>
    <t>UnitRate*</t>
  </si>
  <si>
    <t>Currency*</t>
  </si>
  <si>
    <t>Responsible*</t>
  </si>
  <si>
    <t>Allocation*</t>
  </si>
  <si>
    <t>Solidity*</t>
  </si>
  <si>
    <t>Transport**</t>
  </si>
  <si>
    <t>Pick-up Location**</t>
  </si>
  <si>
    <t>Packing**</t>
  </si>
  <si>
    <t>Inflation*</t>
  </si>
  <si>
    <t>Scope Item Code</t>
  </si>
  <si>
    <t>ERP Account No.</t>
  </si>
  <si>
    <t/>
  </si>
  <si>
    <t>Base</t>
  </si>
  <si>
    <t>MAT/HW</t>
  </si>
  <si>
    <t>CNAP</t>
  </si>
  <si>
    <t>050201</t>
  </si>
  <si>
    <t>Buckstays</t>
  </si>
  <si>
    <t>050202</t>
  </si>
  <si>
    <t>050203</t>
  </si>
  <si>
    <t>050204</t>
  </si>
  <si>
    <t>Unknown Supplier</t>
  </si>
  <si>
    <t>WUHAN BOILER COMPANY LTD</t>
  </si>
  <si>
    <t>050502</t>
  </si>
  <si>
    <t>050503</t>
  </si>
  <si>
    <t>050504</t>
  </si>
  <si>
    <t>050804</t>
  </si>
  <si>
    <t>050805</t>
  </si>
  <si>
    <t>051003</t>
  </si>
  <si>
    <t>051004</t>
  </si>
  <si>
    <t>051005</t>
  </si>
  <si>
    <t>051006</t>
  </si>
  <si>
    <t>051612</t>
  </si>
  <si>
    <t>051801</t>
  </si>
  <si>
    <t>060101</t>
  </si>
  <si>
    <t>ENG/INT</t>
  </si>
  <si>
    <t>Process Engineering</t>
  </si>
  <si>
    <t>072010</t>
  </si>
  <si>
    <t>PM/SW</t>
  </si>
  <si>
    <t>074001</t>
  </si>
  <si>
    <t>074005</t>
  </si>
  <si>
    <t>074006</t>
  </si>
  <si>
    <t>Project Procurement</t>
  </si>
  <si>
    <t>081005</t>
  </si>
  <si>
    <t>MAT/TRA</t>
  </si>
  <si>
    <t>BOCF</t>
  </si>
  <si>
    <t>FCA</t>
  </si>
  <si>
    <t>M</t>
  </si>
  <si>
    <t>EN</t>
  </si>
  <si>
    <t>TR</t>
  </si>
  <si>
    <t>S</t>
  </si>
  <si>
    <t>050401</t>
  </si>
  <si>
    <t>Steam coil air heater</t>
  </si>
  <si>
    <t>Nozzles</t>
  </si>
  <si>
    <t>SA-106M C</t>
  </si>
  <si>
    <t>06Cr19Ni9</t>
  </si>
  <si>
    <t>35CrMo</t>
  </si>
  <si>
    <t>Q345B</t>
  </si>
  <si>
    <t>06Cr23Ni13</t>
  </si>
  <si>
    <t>N06601</t>
  </si>
  <si>
    <t>SA-240 304</t>
  </si>
  <si>
    <t>SA-213 Super304H SB</t>
  </si>
  <si>
    <t>10Cr17</t>
  </si>
  <si>
    <t>SA-335 P91</t>
  </si>
  <si>
    <t>Q235A</t>
  </si>
  <si>
    <t>Q345R</t>
  </si>
  <si>
    <t>MOQ
kg</t>
    <phoneticPr fontId="3" type="noConversion"/>
  </si>
  <si>
    <t>PCDB CODE</t>
  </si>
  <si>
    <t>PCDB ITEM</t>
  </si>
  <si>
    <t>050301</t>
  </si>
  <si>
    <t>Water Cooling System</t>
  </si>
  <si>
    <t>050302</t>
  </si>
  <si>
    <t>050304</t>
  </si>
  <si>
    <t>050305</t>
  </si>
  <si>
    <t>050306</t>
  </si>
  <si>
    <t>050307</t>
  </si>
  <si>
    <t>050308</t>
  </si>
  <si>
    <t>050309</t>
  </si>
  <si>
    <t>050310</t>
  </si>
  <si>
    <t>050311</t>
  </si>
  <si>
    <t>Superheater internal surfaces</t>
  </si>
  <si>
    <t>Roof  Links</t>
  </si>
  <si>
    <t>Ancillaries</t>
  </si>
  <si>
    <t>Boiler External Piping</t>
  </si>
  <si>
    <t>Boiler Internal Piping</t>
  </si>
  <si>
    <t>Start Up System</t>
  </si>
  <si>
    <t>Stuttgart Eng(Offshore)</t>
  </si>
  <si>
    <t>Mill (Wuhan + Stuttgart)</t>
  </si>
  <si>
    <t>050721</t>
  </si>
  <si>
    <t>050105</t>
  </si>
  <si>
    <t>A</t>
  </si>
  <si>
    <t>051007</t>
  </si>
  <si>
    <t>Stuttgart</t>
  </si>
  <si>
    <t>KUSD</t>
  </si>
  <si>
    <t>052201</t>
  </si>
  <si>
    <t>Pusher type grate</t>
  </si>
  <si>
    <t>B</t>
  </si>
  <si>
    <t>INR=</t>
  </si>
  <si>
    <t>1 INR=</t>
  </si>
  <si>
    <t>Firm</t>
  </si>
  <si>
    <t>Qty</t>
  </si>
  <si>
    <t>Equipment Pass Through - non SPS</t>
  </si>
  <si>
    <t>Management Cost Reduction</t>
  </si>
  <si>
    <t>PROJECT DIRECT COST = 2 to 9</t>
  </si>
  <si>
    <t>Custom Duties &amp; PIT</t>
  </si>
  <si>
    <t>TOTAL INVENTORIABLE COST = 11 to 14</t>
  </si>
  <si>
    <t>Inflation</t>
  </si>
  <si>
    <t>Warranty</t>
  </si>
  <si>
    <t>Site Non-Inventoriable Cost</t>
  </si>
  <si>
    <t>TOTAL VARIABLE COST = 15 + 17 to 22</t>
  </si>
  <si>
    <t>CONTRIBUTION MARGIN  = 4-22</t>
  </si>
  <si>
    <t>Cost of Money</t>
  </si>
  <si>
    <t>Business Fee/Corporate Assessment Overhead</t>
  </si>
  <si>
    <t>SG&amp;A Overhead</t>
  </si>
  <si>
    <t>R&amp;D Overhead</t>
  </si>
  <si>
    <t>TOTAL COST  = 22 + 24 to 31</t>
  </si>
  <si>
    <t>OPERATING MARGIN = 18-19-20-21</t>
  </si>
  <si>
    <t>Structure Steel</t>
  </si>
  <si>
    <t>Ductwork System</t>
  </si>
  <si>
    <t>Airpreheater</t>
  </si>
  <si>
    <t>Sootblower</t>
  </si>
  <si>
    <t>TOTAL INVENTORIABLE COST</t>
  </si>
  <si>
    <t>CONTRACT CONTRIBUTION MARGIN</t>
  </si>
  <si>
    <t>TOTAL VARIABLE COST</t>
  </si>
  <si>
    <t xml:space="preserve">CONTRIBUTION MARGIN </t>
  </si>
  <si>
    <t>TOTAL COST</t>
  </si>
  <si>
    <t>SELLING PRICE</t>
  </si>
  <si>
    <t>OPERATING MARGIN</t>
  </si>
  <si>
    <t xml:space="preserve"> Purchase
(Kg)</t>
  </si>
  <si>
    <t>050303</t>
  </si>
  <si>
    <t>Superheater backpass wall</t>
  </si>
  <si>
    <t>050313</t>
  </si>
  <si>
    <t>Drums</t>
  </si>
  <si>
    <t>050314</t>
  </si>
  <si>
    <t>Total Components</t>
  </si>
  <si>
    <t>Consumables for Pressure part</t>
  </si>
  <si>
    <t>Welding</t>
  </si>
  <si>
    <t>Painting</t>
  </si>
  <si>
    <t>Packaging</t>
  </si>
  <si>
    <t>Jig</t>
  </si>
  <si>
    <t>050315</t>
  </si>
  <si>
    <t>Manufacture-hours</t>
  </si>
  <si>
    <t>Hours/Ton</t>
  </si>
  <si>
    <t>Attachment subcontract for Pressure parts</t>
  </si>
  <si>
    <t>Total Consumables</t>
  </si>
  <si>
    <t>Attachment subcontract process cost</t>
  </si>
  <si>
    <t>Total Process Cost</t>
  </si>
  <si>
    <t>050103</t>
  </si>
  <si>
    <t>050102</t>
  </si>
  <si>
    <t>050104</t>
  </si>
  <si>
    <t>050107</t>
  </si>
  <si>
    <t>051821</t>
  </si>
  <si>
    <t>Top Girder - Assy No. 07</t>
  </si>
  <si>
    <t>Secondary SS  - Assy No. 07</t>
  </si>
  <si>
    <t>Main steel structure - Assy No. 07</t>
  </si>
  <si>
    <t>Cross Member - Assy No. 07</t>
  </si>
  <si>
    <t>High Strength Bolt for SS - Assy No. 07</t>
  </si>
  <si>
    <t>Steel structure Site painting - Assy No. 07</t>
  </si>
  <si>
    <t>Platforms &amp; Stairs</t>
  </si>
  <si>
    <t>Platforms - Assy No. 08</t>
  </si>
  <si>
    <t>Stairs - Assy No. 08</t>
  </si>
  <si>
    <t>Boiler Roof and External Cladding - Assy No. 36</t>
  </si>
  <si>
    <t>050117</t>
  </si>
  <si>
    <t>Buckstays - Assy No. 33</t>
  </si>
  <si>
    <t>High strength bolt for Buckstays - Assy No. 33</t>
  </si>
  <si>
    <t>Outer Casing - Assy No. 09</t>
  </si>
  <si>
    <t>Skin Casing - Assy No. 35</t>
  </si>
  <si>
    <t>050205</t>
  </si>
  <si>
    <t>Top Enclosure - Assy No. 34</t>
  </si>
  <si>
    <t>Pressure Parts Hangers &amp; Supports - Assy No. 32</t>
  </si>
  <si>
    <t>050211</t>
  </si>
  <si>
    <t>Air &amp; Gas Ducts Hangers - Assy No. 41&amp;50</t>
  </si>
  <si>
    <t>050213</t>
  </si>
  <si>
    <t>Windbox Hangers &amp; Supports - Assy No. 12</t>
  </si>
  <si>
    <t>Cost Item Description</t>
  </si>
  <si>
    <t>Doors including Connection - Assy No. 23</t>
  </si>
  <si>
    <t>Total Miscellaneous Fabricated Steel Items</t>
  </si>
  <si>
    <t>Start Up System Hangers - Assy No. 64</t>
  </si>
  <si>
    <t>050110</t>
  </si>
  <si>
    <t>Air Ducts - Assy No. 41</t>
  </si>
  <si>
    <t>Nonferrous Expansion Joints - Assy No. 41</t>
  </si>
  <si>
    <t>Metal Expansion Joints  - Assy No. 41</t>
  </si>
  <si>
    <t>Gas Duct - Assy No. 50</t>
  </si>
  <si>
    <t>Air Ducts actuators - Assy No.41</t>
  </si>
  <si>
    <t>Gas Duct actuators- Assy No. 50</t>
  </si>
  <si>
    <t>Windbox - Assy No. 12</t>
  </si>
  <si>
    <t>Nozzle - Ovenproof Casting - Assy No. 12</t>
  </si>
  <si>
    <t>Nozzle - Wearable Casting - Assy No. 12</t>
  </si>
  <si>
    <t>050801</t>
  </si>
  <si>
    <t>Fuel Piping - Assy No. 12</t>
  </si>
  <si>
    <t>050803</t>
  </si>
  <si>
    <t>Operated Shut-off Gate for Coal Pipe - Assy No. 12</t>
  </si>
  <si>
    <t>050806</t>
  </si>
  <si>
    <t>050802</t>
  </si>
  <si>
    <t>Plasma Firing Equipment - Assy No. 12</t>
  </si>
  <si>
    <t>Oil System Piping - Assy No. 12</t>
  </si>
  <si>
    <t>Oil System FLOW INST - Assy No. 12</t>
  </si>
  <si>
    <t>Burners</t>
  </si>
  <si>
    <t>Windbox Support and Hanger  - Assy No. 12</t>
  </si>
  <si>
    <t>Ring  - Assy No. 12</t>
  </si>
  <si>
    <t>Carbon Nozzle  - Assy No. 12</t>
  </si>
  <si>
    <t>Fuel Piping Metal Expansion Joints - Assy No. 12</t>
  </si>
  <si>
    <t>Fuel Piping support hanger - Assy No. 12</t>
  </si>
  <si>
    <t>Fuel Piping Adjustable shrinkage cavity - Assy No. 12</t>
  </si>
  <si>
    <t>SCR Complete System - Assy No. 66</t>
  </si>
  <si>
    <t>051105</t>
  </si>
  <si>
    <t>Air Preheater - Assy No. 06</t>
  </si>
  <si>
    <t>051201</t>
  </si>
  <si>
    <t>PA Fans</t>
  </si>
  <si>
    <t>FD / Secondary Air Fans</t>
  </si>
  <si>
    <t>ID Fans</t>
  </si>
  <si>
    <t>GR Fans</t>
  </si>
  <si>
    <t>051302</t>
  </si>
  <si>
    <t>051303</t>
  </si>
  <si>
    <t>051304</t>
  </si>
  <si>
    <t>051305</t>
  </si>
  <si>
    <t>Safety Valves - Assy No. 24</t>
  </si>
  <si>
    <t>Silencers - Assy No. 53</t>
  </si>
  <si>
    <t>Vent Piping - Assy No. 53</t>
  </si>
  <si>
    <t>Vent Piping &amp; Silencer</t>
  </si>
  <si>
    <t>050501</t>
  </si>
  <si>
    <t>Gate Valve - Assy No. 24</t>
  </si>
  <si>
    <t>Control Valves - Assy No. 24</t>
  </si>
  <si>
    <t>Steam-water System Stop Valve - Assy No. 24</t>
  </si>
  <si>
    <t>Check Valve - Assy No. 24</t>
  </si>
  <si>
    <t>050507</t>
  </si>
  <si>
    <t>Hydrotest Block Valves - Assy No. 24</t>
  </si>
  <si>
    <t>Mills - Main Components</t>
  </si>
  <si>
    <t>Mills - Drive Component (gear boxes, couplings, lubrication)</t>
  </si>
  <si>
    <t>Mills - Motors and electrical equipment</t>
  </si>
  <si>
    <t>Mills - Auxiliaries (Fans, piping, valves, aggregates)</t>
  </si>
  <si>
    <t>Mills - Classifier/ BW Vapor Separator</t>
  </si>
  <si>
    <t>Mills - Instrumentation, control and monitoring equipment</t>
  </si>
  <si>
    <t>Mills - Miscellaneous Items</t>
  </si>
  <si>
    <t>Total Mill</t>
  </si>
  <si>
    <t>Total Sootblowers System</t>
  </si>
  <si>
    <t>050602</t>
  </si>
  <si>
    <t>050603</t>
  </si>
  <si>
    <t>Controls &amp; Instrumentation</t>
  </si>
  <si>
    <t>051607</t>
  </si>
  <si>
    <t>Windbox SA Damper / SOFA Damper Actuator - Assy No. 12</t>
  </si>
  <si>
    <t>Nozzle Tilting Actuator - Assy No. 12</t>
  </si>
  <si>
    <t>051601</t>
  </si>
  <si>
    <t>051609</t>
  </si>
  <si>
    <t>Unblocking sampling Device - Assy No. 61</t>
  </si>
  <si>
    <t>Air Flow Measure - Assy No. 61</t>
  </si>
  <si>
    <t>Thermocouple - Assy No. 61</t>
  </si>
  <si>
    <t>Pressure Switch - Assy No. 61</t>
  </si>
  <si>
    <t>Pressure Transmitters - Assy No. 61</t>
  </si>
  <si>
    <t>Leak detection system - Assy No. 61</t>
  </si>
  <si>
    <t>Flame Scanner and Cooling Air System - Assy No. 61</t>
  </si>
  <si>
    <t>CCTV System - Assy No. 61</t>
  </si>
  <si>
    <t>Total Controls &amp; Instrumentation</t>
  </si>
  <si>
    <t>Refractory, Insulation, Lagging &amp; Painting</t>
  </si>
  <si>
    <t>051802</t>
  </si>
  <si>
    <t>Insulation metal settings - Assy No. 10</t>
  </si>
  <si>
    <t>Refractory castable - Assy No. 10</t>
  </si>
  <si>
    <t>Refractory material - Assy No. 10</t>
  </si>
  <si>
    <t>Ash handling System</t>
  </si>
  <si>
    <t>Hopper Seal Plate - Assy No. 21</t>
  </si>
  <si>
    <t>050905</t>
  </si>
  <si>
    <t>051709</t>
  </si>
  <si>
    <t>Hoists &amp; Trolleys</t>
  </si>
  <si>
    <t>Total Ash handling System</t>
  </si>
  <si>
    <t>Balance Vessel - Assy No. 64</t>
  </si>
  <si>
    <t>Wrench - Assy No. 07</t>
  </si>
  <si>
    <t>Maintenance Platform - Assy No. 26</t>
  </si>
  <si>
    <t>051744</t>
  </si>
  <si>
    <t>051745</t>
  </si>
  <si>
    <t>051748</t>
  </si>
  <si>
    <t>051749</t>
  </si>
  <si>
    <t>Hangers for Internal Pipes - Assy No. 22</t>
  </si>
  <si>
    <t>Hangers for External Pipes - Assy No. 29</t>
  </si>
  <si>
    <t>051708</t>
  </si>
  <si>
    <t>Elevator (personnal &amp; cargo)</t>
  </si>
  <si>
    <t>Total Utilities (BOP Ancillary system)</t>
  </si>
  <si>
    <t>050722</t>
  </si>
  <si>
    <t>050723</t>
  </si>
  <si>
    <t>050724</t>
  </si>
  <si>
    <t>050726</t>
  </si>
  <si>
    <t>050728</t>
  </si>
  <si>
    <t>050729</t>
  </si>
  <si>
    <t>050730</t>
  </si>
  <si>
    <t>Total Pressure Part / Piping</t>
  </si>
  <si>
    <t>Flue Gas Heat Recovery System</t>
  </si>
  <si>
    <t>Total Flue Gas Heat Recovery System</t>
  </si>
  <si>
    <t>PA Fan Motors</t>
  </si>
  <si>
    <t>ID Fan Motors</t>
  </si>
  <si>
    <t>GR Fan Motors</t>
  </si>
  <si>
    <t>Total Motors (including electrical systems)</t>
  </si>
  <si>
    <t>0503 - Pressure Part / Piping</t>
  </si>
  <si>
    <t>0501 - Structural Steel / Steel Bunker</t>
  </si>
  <si>
    <t>0502 - Miscellaneous Fabricated Steel Items</t>
  </si>
  <si>
    <t>0505 - Valves &amp; Trim</t>
  </si>
  <si>
    <t>0506 - Heating surface cleaning systems</t>
  </si>
  <si>
    <t>0507 - Fuel feeding systems / limestone systems</t>
  </si>
  <si>
    <t>0508 - Firing Systems</t>
  </si>
  <si>
    <t>0509 - Ash handling System</t>
  </si>
  <si>
    <t>0510 - Ductwork incl. dampers, compensators, cyclones</t>
  </si>
  <si>
    <t>0511 - Air Quality Systems</t>
  </si>
  <si>
    <t>0512 - Airheaters</t>
  </si>
  <si>
    <t>0513 - Fans</t>
  </si>
  <si>
    <t>0514 - Flue Gas Heat Recovery System</t>
  </si>
  <si>
    <t>0515 - Motors (including electrical systems)</t>
  </si>
  <si>
    <t>0516 - Controls &amp; Instrumentation</t>
  </si>
  <si>
    <t>0517 - Utilities (BOP Ancillary system)</t>
  </si>
  <si>
    <t>0518 - Refractory, Insulation, Lagging &amp; Painting</t>
  </si>
  <si>
    <t>Fuel Piping Fuel Distributor - Assy No. 12</t>
  </si>
  <si>
    <t>Oil Guns &amp; Gas/Oil/HEA Ignitors - Assy No. 12</t>
  </si>
  <si>
    <t>Cost Position No. in PCDB</t>
  </si>
  <si>
    <t>1050KM(By truck)</t>
  </si>
  <si>
    <t>0522 - Spare Parts</t>
  </si>
  <si>
    <t>Spare Parts - Mandatory</t>
  </si>
  <si>
    <t>Spare Parts - Recommended</t>
  </si>
  <si>
    <t>Total Spare parts</t>
  </si>
  <si>
    <t>06 - ENGINEERING</t>
  </si>
  <si>
    <t>Electrical and I&amp;C Engineering</t>
  </si>
  <si>
    <t>General Arrangements</t>
  </si>
  <si>
    <t>Pressure Parts Engineering</t>
  </si>
  <si>
    <t>Civil &amp; Structural Steel Engineering</t>
  </si>
  <si>
    <t>Insulation &amp; Refractory Engineering</t>
  </si>
  <si>
    <t>Ducts Engineering</t>
  </si>
  <si>
    <t>Piping Engineering</t>
  </si>
  <si>
    <t>Balance of Engineering</t>
  </si>
  <si>
    <t>Firing Systems Engineering</t>
  </si>
  <si>
    <t>Site Engineering</t>
  </si>
  <si>
    <t>Other Engineering</t>
  </si>
  <si>
    <t>060201</t>
  </si>
  <si>
    <t>060301</t>
  </si>
  <si>
    <t>060401</t>
  </si>
  <si>
    <t>WBC - Engineering</t>
  </si>
  <si>
    <t>060501</t>
  </si>
  <si>
    <t>060601</t>
  </si>
  <si>
    <t>060701</t>
  </si>
  <si>
    <t>060901</t>
  </si>
  <si>
    <t>060801</t>
  </si>
  <si>
    <t>061001</t>
  </si>
  <si>
    <t>061101</t>
  </si>
  <si>
    <t>062101</t>
  </si>
  <si>
    <t>Fuel Piping  Elbow - Assy No. 12</t>
  </si>
  <si>
    <t>Oil System Valve - Assy No. 12</t>
  </si>
  <si>
    <t>Air Ducts Damper - Assy No. 41</t>
  </si>
  <si>
    <t>Gas Ducts Damper - Assy No. 50</t>
  </si>
  <si>
    <t>051401</t>
  </si>
  <si>
    <t>051503</t>
  </si>
  <si>
    <t>051504</t>
  </si>
  <si>
    <t>051505</t>
  </si>
  <si>
    <t>051506</t>
  </si>
  <si>
    <t>060407</t>
  </si>
  <si>
    <t>WBC - Factory Engineering</t>
  </si>
  <si>
    <t>Total WBC Engineering</t>
  </si>
  <si>
    <t>Mills - Spare Parts</t>
  </si>
  <si>
    <t>WBC -Transportation</t>
  </si>
  <si>
    <t>052202</t>
  </si>
  <si>
    <t>Mill Engineering</t>
  </si>
  <si>
    <t>Total Mill Engineering</t>
  </si>
  <si>
    <t>060907</t>
  </si>
  <si>
    <t>Mill Engineering -WBC</t>
  </si>
  <si>
    <t>Mill Engineering -Stuttgart</t>
  </si>
  <si>
    <t>Mill Engineering -India</t>
  </si>
  <si>
    <t>Windsor/Stuttgart - Engineering</t>
  </si>
  <si>
    <t>Total Windsor/Stuttgart Engineering</t>
  </si>
  <si>
    <t>072003</t>
  </si>
  <si>
    <t>Project Manager off-shore</t>
  </si>
  <si>
    <t>Planner</t>
  </si>
  <si>
    <t>072006</t>
  </si>
  <si>
    <t>Project Engineering Management</t>
  </si>
  <si>
    <t>072005</t>
  </si>
  <si>
    <t>07- Project Management</t>
  </si>
  <si>
    <t>Transport &amp; Logistics Management</t>
  </si>
  <si>
    <t>074007</t>
  </si>
  <si>
    <t>Project Purchasing</t>
  </si>
  <si>
    <t>Factory Quality Inspection hours</t>
  </si>
  <si>
    <t>050319</t>
  </si>
  <si>
    <t>Project Purchasing Expediting</t>
  </si>
  <si>
    <t>072014</t>
  </si>
  <si>
    <t>AI Stamp / Notified Body</t>
  </si>
  <si>
    <t>Mill Project Management</t>
  </si>
  <si>
    <t>Total Mill Project Management</t>
  </si>
  <si>
    <t>072018</t>
  </si>
  <si>
    <t>08 - Transport &amp; Storage Costs</t>
  </si>
  <si>
    <t>Total Import Custom duty</t>
  </si>
  <si>
    <t>Mill transportation</t>
  </si>
  <si>
    <t>081006</t>
  </si>
  <si>
    <t>Total WBC Transportation</t>
  </si>
  <si>
    <t>59 - Site service</t>
  </si>
  <si>
    <t>59902</t>
  </si>
  <si>
    <t>WBC - Site service</t>
  </si>
  <si>
    <t>59916</t>
  </si>
  <si>
    <t>59954</t>
  </si>
  <si>
    <t>58700</t>
  </si>
  <si>
    <t>Total WBC Site service</t>
  </si>
  <si>
    <t>Windsor/Stuttgart Site service</t>
  </si>
  <si>
    <t>Total Windsor/Stuttgart Site service</t>
  </si>
  <si>
    <t>Mill Site service</t>
  </si>
  <si>
    <t>Process Y/N</t>
  </si>
  <si>
    <t>Unit rate</t>
  </si>
  <si>
    <t>Assistant2</t>
  </si>
  <si>
    <t>Wuhan Huashan</t>
  </si>
  <si>
    <t>051206</t>
  </si>
  <si>
    <t>Seal &amp; Cooling Air Systems</t>
  </si>
  <si>
    <t>Unit Wt/Set</t>
  </si>
  <si>
    <t>Fuel Piping</t>
  </si>
  <si>
    <t>Oil &amp; Atomizing Air System</t>
  </si>
  <si>
    <t>Pchs Cost1</t>
  </si>
  <si>
    <t>Pchs Cost2</t>
  </si>
  <si>
    <t>Air &amp; Gas Ducts Joint hinge - Assy No. 41&amp;51</t>
  </si>
  <si>
    <t>Total Fans</t>
  </si>
  <si>
    <t>Jiangyin Shenzhou</t>
  </si>
  <si>
    <t>Anhui Tiankang</t>
  </si>
  <si>
    <t>Nanjing Watt</t>
  </si>
  <si>
    <t>Rosemount</t>
  </si>
  <si>
    <t>Pressure/Temperature watch - Assy No. 61</t>
  </si>
  <si>
    <t>NanJing Qingneng</t>
  </si>
  <si>
    <t>COEN</t>
  </si>
  <si>
    <t>Blank</t>
  </si>
  <si>
    <t>Magnetic flap water level gauge - Assy No. 61</t>
  </si>
  <si>
    <t>Steam/Water Flow  Measurement equipment - Assy No. 61</t>
  </si>
  <si>
    <t>Ash Hopper Level Gauge - Assy No. 61</t>
  </si>
  <si>
    <t>O2 Analyzer  Equipment - Assy No. 61</t>
  </si>
  <si>
    <t>WBC-Spare parts</t>
  </si>
  <si>
    <t>Shahabad</t>
  </si>
  <si>
    <t>Strech</t>
  </si>
  <si>
    <t>Motors</t>
  </si>
  <si>
    <t>Condensate Pumps - Assy No. 64</t>
  </si>
  <si>
    <t>Boiler Circulating Pumps - Assy No. 64</t>
  </si>
  <si>
    <t>Air &amp; Duct</t>
  </si>
  <si>
    <t>Total Mill transportation</t>
  </si>
  <si>
    <t>COST CATEGORY SUMMARY</t>
  </si>
  <si>
    <t>WBC Engineering</t>
  </si>
  <si>
    <t>Windsor/Stuttgart Engineering</t>
  </si>
  <si>
    <t>WBC Project Management</t>
  </si>
  <si>
    <t>Mill project Management</t>
  </si>
  <si>
    <t xml:space="preserve">WBC Transport </t>
  </si>
  <si>
    <t>Mill Transport</t>
  </si>
  <si>
    <t>WBC Field Representatives &amp; Training</t>
  </si>
  <si>
    <t>Windsor/Stuttgart Field Representatives &amp; Training</t>
  </si>
  <si>
    <t>Mill Field Representatives &amp; Training</t>
  </si>
  <si>
    <t xml:space="preserve"> Import Custom duty</t>
  </si>
  <si>
    <t>Windsor/Stuttgart project Management</t>
  </si>
  <si>
    <t>Qian Tian</t>
  </si>
  <si>
    <t xml:space="preserve">Notes </t>
  </si>
  <si>
    <t>CostType</t>
  </si>
  <si>
    <t>Country</t>
  </si>
  <si>
    <t>Responsible</t>
  </si>
  <si>
    <t>Allocation</t>
  </si>
  <si>
    <t>Solidity</t>
  </si>
  <si>
    <t>Pick-up Location</t>
  </si>
  <si>
    <t>Packing</t>
  </si>
  <si>
    <t>Source1</t>
  </si>
  <si>
    <t>Source2</t>
  </si>
  <si>
    <t>PM/SRV</t>
  </si>
  <si>
    <t>WBC-Site Management and Erection advisor--Rate</t>
  </si>
  <si>
    <t>WBC-Site Management and Erection advisor--Pda</t>
  </si>
  <si>
    <t>WBC-Site Management and Erection advisor--QoLA</t>
  </si>
  <si>
    <t>WBC-24 months warranty TFA--Rate</t>
  </si>
  <si>
    <t>WBC-24 months warranty TFA--Pda</t>
  </si>
  <si>
    <t>WBC-24 months warranty TFA--QoLA</t>
  </si>
  <si>
    <t>WBCTraining--Rate</t>
  </si>
  <si>
    <t>WBC-Training--Pda</t>
  </si>
  <si>
    <t>WBC-Training--QoLA</t>
  </si>
  <si>
    <t xml:space="preserve">WBC-Training Expence--Rate </t>
  </si>
  <si>
    <t>WBC-Home Office--Rate</t>
  </si>
  <si>
    <t>WBC-Commissioning--Rate</t>
  </si>
  <si>
    <t>WBC-Commissioning--Pda</t>
  </si>
  <si>
    <t>WBC-Commissioning--QoLA</t>
  </si>
  <si>
    <t>WBC-Commissioning Vendor Boiler--Rate</t>
  </si>
  <si>
    <t>Windsor/Stuttgart-Home Office</t>
  </si>
  <si>
    <t>Windsor/Stuttgart-Erection</t>
  </si>
  <si>
    <t>Windsor/Stuttgart-Commissioning own staff</t>
  </si>
  <si>
    <t>Windsor/Stuttgart-Commissioning external staff</t>
  </si>
  <si>
    <t>Windsor/Stuttgart-Commissioning Other Cost</t>
  </si>
  <si>
    <t>Windsor/Stuttgart-Commissioning own staff and training</t>
  </si>
  <si>
    <t>External</t>
  </si>
  <si>
    <t>Internal</t>
  </si>
  <si>
    <t>KCNY</t>
  </si>
  <si>
    <t>Stuttgart Eng</t>
  </si>
  <si>
    <t>CONTRACT CONTRIBUTION MARGIN = 1-15</t>
  </si>
  <si>
    <t>Stuttgart onshore</t>
  </si>
  <si>
    <t>Direct Cost w/o VAT</t>
  </si>
  <si>
    <t>Windsor/Stuttgart</t>
  </si>
  <si>
    <t>set</t>
  </si>
  <si>
    <t>Unit Rate</t>
  </si>
  <si>
    <t>Orig. Currency</t>
  </si>
  <si>
    <t>BOCE</t>
  </si>
  <si>
    <t>YES</t>
  </si>
  <si>
    <t>NO</t>
  </si>
  <si>
    <t>USA</t>
  </si>
  <si>
    <t>Customs clearance and portsurcharge</t>
  </si>
  <si>
    <t>Import materialsTransport cost</t>
  </si>
  <si>
    <t>Import materials CUSTOMS clearance and portsurcharge</t>
  </si>
  <si>
    <t>Import materials Commodity inspection fee</t>
  </si>
  <si>
    <t>Import Equipment Transport cost</t>
  </si>
  <si>
    <t>Import Equipment Custom Cost/Lc</t>
  </si>
  <si>
    <t>Import materials Custom Cost/Lc</t>
  </si>
  <si>
    <t>Import Custom duty</t>
  </si>
  <si>
    <t>Common Parts</t>
  </si>
  <si>
    <t>Overlength/width parts</t>
  </si>
  <si>
    <t>Overweight parts</t>
  </si>
  <si>
    <t>Manufacture cost</t>
  </si>
  <si>
    <t>manhour</t>
  </si>
  <si>
    <t>Explosion Proof Enclosures on burner floor only - Assy No. 12</t>
  </si>
  <si>
    <t>Coal silos - Assy No. 07</t>
  </si>
  <si>
    <t>Provide FD fan Rain Enclosures - Assy No. 07</t>
  </si>
  <si>
    <t>Heating surface cleaning system Water - Assy No. 53</t>
  </si>
  <si>
    <t>Provide Cooling and Sealing Air Fans for Sootblowers - Assy No. 53</t>
  </si>
  <si>
    <t>Acoustic Sootblowers (with control cubicle) - Assy No. 53</t>
  </si>
  <si>
    <t>Option</t>
  </si>
  <si>
    <t>CN</t>
  </si>
  <si>
    <t>DE</t>
  </si>
  <si>
    <t>int</t>
  </si>
  <si>
    <t>Miscellaneous Exp</t>
  </si>
  <si>
    <t>Factory Quality inspection</t>
  </si>
  <si>
    <t>Project Management Execution</t>
  </si>
  <si>
    <t>Factory Procurement</t>
  </si>
  <si>
    <t>Import materialsTransport</t>
  </si>
  <si>
    <t>product Transport</t>
  </si>
  <si>
    <t>050318</t>
  </si>
  <si>
    <t>Pressure Parts Material (Domestic)</t>
  </si>
  <si>
    <t>Pressure Parts Material (Import)</t>
  </si>
  <si>
    <t>Equipment spare Parts(Domestic)</t>
  </si>
  <si>
    <t>manufacture</t>
  </si>
  <si>
    <t>Spare Parts and special tool for Mill</t>
  </si>
  <si>
    <t>Wear Parts for Mill</t>
  </si>
  <si>
    <t>option</t>
  </si>
  <si>
    <t>Site Management and Erection (Wuhan_Rate) Onshore</t>
  </si>
  <si>
    <t>PM / SRV</t>
  </si>
  <si>
    <t>Site Management and Erection (Wuhan_PdA) Onshore</t>
  </si>
  <si>
    <t>Site Management and Erection (Wuhan_QolA) Onshore</t>
  </si>
  <si>
    <t>Commissioning (Wuhan_Rate)Onshore</t>
  </si>
  <si>
    <t>Commissioning (Wuhan_PdA) Onshore</t>
  </si>
  <si>
    <t>Commissioning (Wuhan_QolA) Onshore</t>
  </si>
  <si>
    <t>Wuhan home office (offshore)</t>
  </si>
  <si>
    <t>training expense (offshore)</t>
  </si>
  <si>
    <t>Warranty TFA (Wuhan_Rate) Onshore</t>
  </si>
  <si>
    <t>Warranty TFA(Wuhan_PdA) Onshore</t>
  </si>
  <si>
    <t>Warranty TFA(Wuhan_QolA) Onshore</t>
  </si>
  <si>
    <t>Commissioning (vendor) Onshore</t>
  </si>
  <si>
    <t>Training (Wuhan_Rate) Onshore</t>
  </si>
  <si>
    <t>Training (Wuhan_PdA) Onshore</t>
  </si>
  <si>
    <t>Training (Wuhan_QolA) Onshore</t>
  </si>
  <si>
    <t>Wuhan Travel Onshore</t>
  </si>
  <si>
    <t>Stuttgart home office (offshore)</t>
  </si>
  <si>
    <t>Stuttgart Erection TFA  Onshore</t>
  </si>
  <si>
    <t>Commissioning staff offshore (Stuttgart)</t>
  </si>
  <si>
    <t>Commissioning cost offshore (Stuttgart)</t>
  </si>
  <si>
    <t>Commissioning and training (Stuttgart) Onshore</t>
  </si>
  <si>
    <t>Commissioning other cost onshore</t>
  </si>
  <si>
    <t>Stuttgart - Engineering</t>
  </si>
  <si>
    <t>Add CFD Modeling</t>
  </si>
  <si>
    <t>Engineering Travel</t>
  </si>
  <si>
    <t>0504 - Pumps</t>
  </si>
  <si>
    <t>SG&amp;A(Incl. Forward point)</t>
  </si>
  <si>
    <t>OD/W(mm)</t>
  </si>
  <si>
    <t>Thickness(mm)</t>
  </si>
  <si>
    <t>Standard Cost</t>
  </si>
  <si>
    <t>Material Analysis</t>
  </si>
  <si>
    <t>Piping-LA</t>
  </si>
  <si>
    <t>Piping-HA</t>
  </si>
  <si>
    <t>Piping-SS</t>
  </si>
  <si>
    <t>Mid Size Piping-CS</t>
  </si>
  <si>
    <t>Mid Size Piping-LA</t>
  </si>
  <si>
    <t>Mid Size Piping-HA</t>
  </si>
  <si>
    <t>Mid Size Piping-SS</t>
  </si>
  <si>
    <t>Tubing-LA</t>
  </si>
  <si>
    <t>Tubing-HA</t>
  </si>
  <si>
    <t>Tubing-SS</t>
  </si>
  <si>
    <t>Tubing Rifled-LA</t>
  </si>
  <si>
    <t>Drum Plate</t>
  </si>
  <si>
    <t>Spiral Fin-Tube</t>
  </si>
  <si>
    <t>H Fin-Tube</t>
  </si>
  <si>
    <t>Material Standard</t>
  </si>
  <si>
    <t>050312</t>
  </si>
  <si>
    <t>Coal Bunkers  - Assy No. 07</t>
  </si>
  <si>
    <t>050106</t>
  </si>
  <si>
    <t>FD  Motors(Provide Oversized Motors)</t>
  </si>
  <si>
    <t>051606</t>
  </si>
  <si>
    <t>SA-335 P12</t>
  </si>
  <si>
    <t>SA-335 P92</t>
  </si>
  <si>
    <t>High Alloy</t>
  </si>
  <si>
    <t>Q235B</t>
  </si>
  <si>
    <t>Material Category</t>
  </si>
  <si>
    <t>Sprial</t>
  </si>
  <si>
    <t>Vertical</t>
  </si>
  <si>
    <t>Category</t>
  </si>
  <si>
    <t>Material Category1</t>
  </si>
  <si>
    <t>Qty</t>
    <phoneticPr fontId="42" type="noConversion"/>
  </si>
  <si>
    <t>总计</t>
  </si>
  <si>
    <t>S-40</t>
  </si>
  <si>
    <t>PCDB -</t>
    <phoneticPr fontId="42" type="noConversion"/>
  </si>
  <si>
    <t>US</t>
  </si>
  <si>
    <t>Coal drop piping - Assy No. 12</t>
  </si>
  <si>
    <t>Suttgart</t>
  </si>
  <si>
    <t>Temperature Transmitters - Assy No. 61</t>
  </si>
  <si>
    <t>FGRD insulation metal settings</t>
  </si>
  <si>
    <t>Tubing</t>
    <phoneticPr fontId="42" type="noConversion"/>
  </si>
  <si>
    <t>Piping</t>
    <phoneticPr fontId="42" type="noConversion"/>
  </si>
  <si>
    <t>Plate,Rod,Profiled Bar Category</t>
    <phoneticPr fontId="42" type="noConversion"/>
  </si>
  <si>
    <t>Tubing Category</t>
    <phoneticPr fontId="42" type="noConversion"/>
  </si>
  <si>
    <t>Mid Size Category</t>
    <phoneticPr fontId="42" type="noConversion"/>
  </si>
  <si>
    <t>Mid Size</t>
    <phoneticPr fontId="42" type="noConversion"/>
  </si>
  <si>
    <t>Piping Category</t>
    <phoneticPr fontId="42" type="noConversion"/>
  </si>
  <si>
    <t>*</t>
    <phoneticPr fontId="42" type="noConversion"/>
  </si>
  <si>
    <t>#</t>
    <phoneticPr fontId="42" type="noConversion"/>
  </si>
  <si>
    <t>EN</t>
    <phoneticPr fontId="42" type="noConversion"/>
  </si>
  <si>
    <t>Piping</t>
    <phoneticPr fontId="42" type="noConversion"/>
  </si>
  <si>
    <t>GB&amp;ASME</t>
    <phoneticPr fontId="42" type="noConversion"/>
  </si>
  <si>
    <t>Nozzle</t>
    <phoneticPr fontId="42" type="noConversion"/>
  </si>
  <si>
    <t>Sprial</t>
    <phoneticPr fontId="42" type="noConversion"/>
  </si>
  <si>
    <t xml:space="preserve"> categroy</t>
    <phoneticPr fontId="42" type="noConversion"/>
  </si>
  <si>
    <t>Nozzle</t>
    <phoneticPr fontId="42" type="noConversion"/>
  </si>
  <si>
    <t>Vertical</t>
    <phoneticPr fontId="42" type="noConversion"/>
  </si>
  <si>
    <t>Tubing</t>
    <phoneticPr fontId="42" type="noConversion"/>
  </si>
  <si>
    <t>Check</t>
    <phoneticPr fontId="42" type="noConversion"/>
  </si>
  <si>
    <t>MOQ</t>
    <phoneticPr fontId="42" type="noConversion"/>
  </si>
  <si>
    <t>Review Meeting Date:</t>
    <phoneticPr fontId="42" type="noConversion"/>
  </si>
  <si>
    <t>MCR:</t>
    <phoneticPr fontId="42" type="noConversion"/>
  </si>
  <si>
    <t>WW Type:</t>
    <phoneticPr fontId="42" type="noConversion"/>
  </si>
  <si>
    <t xml:space="preserve">Project Name:  </t>
    <phoneticPr fontId="42" type="noConversion"/>
  </si>
  <si>
    <t>Customer:</t>
    <phoneticPr fontId="42" type="noConversion"/>
  </si>
  <si>
    <t>Peak Cap:</t>
    <phoneticPr fontId="42" type="noConversion"/>
  </si>
  <si>
    <t>Econ. Type:</t>
    <phoneticPr fontId="42" type="noConversion"/>
  </si>
  <si>
    <t xml:space="preserve">Proposal No.:  </t>
    <phoneticPr fontId="42" type="noConversion"/>
  </si>
  <si>
    <t>Site:</t>
    <phoneticPr fontId="42" type="noConversion"/>
  </si>
  <si>
    <t>RH Stm Flow:</t>
    <phoneticPr fontId="42" type="noConversion"/>
  </si>
  <si>
    <t xml:space="preserve">Rev Date:  </t>
    <phoneticPr fontId="42" type="noConversion"/>
  </si>
  <si>
    <t>MW:</t>
    <phoneticPr fontId="42" type="noConversion"/>
  </si>
  <si>
    <t>SH Temp.:</t>
    <phoneticPr fontId="42" type="noConversion"/>
  </si>
  <si>
    <t xml:space="preserve">Rev No.:  </t>
    <phoneticPr fontId="42" type="noConversion"/>
  </si>
  <si>
    <t>No. of Units:</t>
    <phoneticPr fontId="42" type="noConversion"/>
  </si>
  <si>
    <t>RH Temp.:</t>
    <phoneticPr fontId="42" type="noConversion"/>
  </si>
  <si>
    <t xml:space="preserve">Bid Effort:  </t>
    <phoneticPr fontId="42" type="noConversion"/>
  </si>
  <si>
    <t>Fuel:</t>
    <phoneticPr fontId="42" type="noConversion"/>
  </si>
  <si>
    <t>FW Temp.:</t>
    <phoneticPr fontId="42" type="noConversion"/>
  </si>
  <si>
    <t xml:space="preserve">Bid Type:  </t>
    <phoneticPr fontId="42" type="noConversion"/>
  </si>
  <si>
    <t>Unit Type:</t>
    <phoneticPr fontId="42" type="noConversion"/>
  </si>
  <si>
    <t>Design Press.:</t>
    <phoneticPr fontId="42" type="noConversion"/>
  </si>
  <si>
    <t xml:space="preserve">Freight:  </t>
    <phoneticPr fontId="42" type="noConversion"/>
  </si>
  <si>
    <t>Bid Date:</t>
    <phoneticPr fontId="42" type="noConversion"/>
  </si>
  <si>
    <t>Oper. Press.:</t>
    <phoneticPr fontId="42" type="noConversion"/>
  </si>
  <si>
    <t xml:space="preserve">Sourcing:  </t>
    <phoneticPr fontId="42" type="noConversion"/>
  </si>
  <si>
    <t>Bid Validity:</t>
    <phoneticPr fontId="42" type="noConversion"/>
  </si>
  <si>
    <t>SH Surf.:</t>
    <phoneticPr fontId="42" type="noConversion"/>
  </si>
  <si>
    <t>BP Depth:</t>
    <phoneticPr fontId="42" type="noConversion"/>
  </si>
  <si>
    <t>Expected Award Date:</t>
    <phoneticPr fontId="42" type="noConversion"/>
  </si>
  <si>
    <t>RH Surf.:</t>
    <phoneticPr fontId="42" type="noConversion"/>
  </si>
  <si>
    <t>BP Height:</t>
    <phoneticPr fontId="42" type="noConversion"/>
  </si>
  <si>
    <t xml:space="preserve">Bid Team:  </t>
    <phoneticPr fontId="42" type="noConversion"/>
  </si>
  <si>
    <t>Initial Steel Shipment:</t>
    <phoneticPr fontId="42" type="noConversion"/>
  </si>
  <si>
    <t>Econ. Surf.:</t>
    <phoneticPr fontId="42" type="noConversion"/>
  </si>
  <si>
    <t>In/Outdoor:</t>
    <phoneticPr fontId="42" type="noConversion"/>
  </si>
  <si>
    <t>Initial Pressure Parts Shipment:</t>
    <phoneticPr fontId="42" type="noConversion"/>
  </si>
  <si>
    <t>LAH Size:</t>
    <phoneticPr fontId="42" type="noConversion"/>
  </si>
  <si>
    <t>Initial Operation:</t>
    <phoneticPr fontId="42" type="noConversion"/>
  </si>
  <si>
    <t>TAH Surf:</t>
    <phoneticPr fontId="42" type="noConversion"/>
  </si>
  <si>
    <t>Commercial Operation:</t>
    <phoneticPr fontId="42" type="noConversion"/>
  </si>
  <si>
    <t>Plant Elev:</t>
    <phoneticPr fontId="42" type="noConversion"/>
  </si>
  <si>
    <t>No. Months Between Units:</t>
    <phoneticPr fontId="42" type="noConversion"/>
  </si>
  <si>
    <t>Drawing No.:</t>
    <phoneticPr fontId="42" type="noConversion"/>
  </si>
  <si>
    <t>Total Schedule:</t>
    <phoneticPr fontId="42" type="noConversion"/>
  </si>
  <si>
    <t>Target Price:</t>
    <phoneticPr fontId="42" type="noConversion"/>
  </si>
  <si>
    <r>
      <t xml:space="preserve">COMPANY CONFIDENTIAL </t>
    </r>
    <r>
      <rPr>
        <b/>
        <sz val="12"/>
        <rFont val="等线"/>
        <family val="3"/>
        <charset val="134"/>
      </rPr>
      <t>公司机密</t>
    </r>
  </si>
  <si>
    <r>
      <t xml:space="preserve">Estimate Summary </t>
    </r>
    <r>
      <rPr>
        <b/>
        <sz val="9.5"/>
        <rFont val="等线"/>
        <family val="3"/>
        <charset val="134"/>
      </rPr>
      <t>预估摘要</t>
    </r>
  </si>
  <si>
    <r>
      <t xml:space="preserve">COMPANY CONFIDENTIAL </t>
    </r>
    <r>
      <rPr>
        <b/>
        <sz val="10"/>
        <rFont val="等线"/>
        <family val="3"/>
        <charset val="134"/>
      </rPr>
      <t>公司机密</t>
    </r>
    <phoneticPr fontId="42" type="noConversion"/>
  </si>
  <si>
    <r>
      <t xml:space="preserve">Estimate Detail </t>
    </r>
    <r>
      <rPr>
        <b/>
        <sz val="9.5"/>
        <rFont val="等线"/>
        <family val="3"/>
        <charset val="134"/>
      </rPr>
      <t>预估明细</t>
    </r>
    <phoneticPr fontId="42" type="noConversion"/>
  </si>
  <si>
    <r>
      <rPr>
        <sz val="10"/>
        <rFont val="等线"/>
        <family val="3"/>
        <charset val="134"/>
      </rPr>
      <t>吊杆和吊攀</t>
    </r>
  </si>
  <si>
    <r>
      <t>(</t>
    </r>
    <r>
      <rPr>
        <sz val="10"/>
        <color indexed="12"/>
        <rFont val="等线"/>
        <family val="3"/>
        <charset val="134"/>
      </rPr>
      <t>抽炉烟室</t>
    </r>
    <r>
      <rPr>
        <sz val="10"/>
        <color indexed="12"/>
        <rFont val="Arial"/>
        <family val="2"/>
      </rPr>
      <t>)</t>
    </r>
  </si>
  <si>
    <r>
      <rPr>
        <sz val="10"/>
        <color indexed="12"/>
        <rFont val="等线"/>
        <family val="3"/>
        <charset val="134"/>
      </rPr>
      <t>暖风器</t>
    </r>
  </si>
  <si>
    <r>
      <rPr>
        <sz val="10"/>
        <color indexed="12"/>
        <rFont val="等线"/>
        <family val="3"/>
        <charset val="134"/>
      </rPr>
      <t>磁翻板水位计</t>
    </r>
  </si>
  <si>
    <r>
      <rPr>
        <sz val="10"/>
        <color indexed="12"/>
        <rFont val="等线"/>
        <family val="3"/>
        <charset val="134"/>
      </rPr>
      <t>含氧量测量装置</t>
    </r>
  </si>
  <si>
    <r>
      <rPr>
        <sz val="10"/>
        <color indexed="12"/>
        <rFont val="等线"/>
        <family val="3"/>
        <charset val="134"/>
      </rPr>
      <t>料位计</t>
    </r>
  </si>
  <si>
    <t>Transport &amp; Logistics Management</t>
    <phoneticPr fontId="10" type="noConversion"/>
  </si>
  <si>
    <t>Common Parts</t>
    <phoneticPr fontId="10" type="noConversion"/>
  </si>
  <si>
    <t>产品</t>
    <phoneticPr fontId="42" type="noConversion"/>
  </si>
  <si>
    <t>进口材料</t>
    <phoneticPr fontId="42" type="noConversion"/>
  </si>
  <si>
    <t>Net Weight (kg)</t>
  </si>
  <si>
    <t xml:space="preserve">求和项:Purchase Wgt (kg) </t>
  </si>
  <si>
    <t>Materialsource</t>
  </si>
  <si>
    <t>Assistant</t>
    <phoneticPr fontId="42" type="noConversion"/>
  </si>
  <si>
    <t>MOQ Assistant</t>
    <phoneticPr fontId="42" type="noConversion"/>
  </si>
  <si>
    <t>Orig. Currency [K]</t>
  </si>
  <si>
    <t>求和项:m-hrs</t>
  </si>
  <si>
    <t>求和项:PP m-hrs</t>
  </si>
  <si>
    <t xml:space="preserve">Tube </t>
  </si>
  <si>
    <t>End Cap</t>
  </si>
  <si>
    <t>Forging</t>
  </si>
  <si>
    <t>Weld  Bar</t>
  </si>
  <si>
    <t>cotter</t>
  </si>
  <si>
    <t>flat washer</t>
  </si>
  <si>
    <t>round pin</t>
  </si>
  <si>
    <t>nut</t>
  </si>
  <si>
    <t>support</t>
  </si>
  <si>
    <t>bolt</t>
  </si>
  <si>
    <t>gasket</t>
  </si>
  <si>
    <t>variable spring hanger</t>
  </si>
  <si>
    <t>Y type Forging</t>
  </si>
  <si>
    <t>T type Forging</t>
  </si>
  <si>
    <t>Hand hole Cap</t>
  </si>
  <si>
    <t>End cap</t>
  </si>
  <si>
    <t>Hanger</t>
  </si>
  <si>
    <t xml:space="preserve">Nut </t>
  </si>
  <si>
    <t>Nut</t>
  </si>
  <si>
    <t>Stud</t>
  </si>
  <si>
    <t>Pin</t>
  </si>
  <si>
    <t>Washer</t>
  </si>
  <si>
    <t xml:space="preserve">Support </t>
  </si>
  <si>
    <t>Round Bar</t>
  </si>
  <si>
    <t>Blot</t>
  </si>
  <si>
    <t>Bolt</t>
  </si>
  <si>
    <t>90elbow</t>
  </si>
  <si>
    <t>Fittings</t>
  </si>
  <si>
    <t>Reducer</t>
  </si>
  <si>
    <t>45elbow</t>
  </si>
  <si>
    <t>End Plate</t>
  </si>
  <si>
    <t>Lug</t>
  </si>
  <si>
    <t>Bending</t>
  </si>
  <si>
    <t>Sphere</t>
  </si>
  <si>
    <t>Branch pieces</t>
  </si>
  <si>
    <t>Swing flate</t>
  </si>
  <si>
    <t>T-piece</t>
  </si>
  <si>
    <t>F14.20.1 (M20X70)</t>
  </si>
  <si>
    <t>F1.20</t>
  </si>
  <si>
    <t>F2.20</t>
  </si>
  <si>
    <t>58H-63E229(179 )/
37811-M30</t>
  </si>
  <si>
    <t>58HA-V(SP1)</t>
  </si>
  <si>
    <t>L2-30-2175</t>
  </si>
  <si>
    <t>L5.30</t>
  </si>
  <si>
    <t>L1-30-1000</t>
  </si>
  <si>
    <t>F2.30</t>
  </si>
  <si>
    <t>L7.30</t>
  </si>
  <si>
    <t>D2.420R(SP)</t>
  </si>
  <si>
    <t>XG1.25</t>
  </si>
  <si>
    <t>XL1.25 L=1691</t>
  </si>
  <si>
    <t>D9T3.420R(SP)</t>
  </si>
  <si>
    <t>Ellipsoidal head</t>
  </si>
  <si>
    <t>Constant spring hangers</t>
  </si>
  <si>
    <t>Gasket 56</t>
  </si>
  <si>
    <t>Gasket 20</t>
  </si>
  <si>
    <t>Channel</t>
  </si>
  <si>
    <t>H steel</t>
  </si>
  <si>
    <t>U型螺栓</t>
  </si>
  <si>
    <t>弯头</t>
  </si>
  <si>
    <t>大小头</t>
  </si>
  <si>
    <t>异径三通</t>
  </si>
  <si>
    <t>等径三通</t>
  </si>
  <si>
    <t>管帽</t>
  </si>
  <si>
    <t>三通</t>
  </si>
  <si>
    <t>90°弯头</t>
  </si>
  <si>
    <t>钢板</t>
  </si>
  <si>
    <t>法兰</t>
  </si>
  <si>
    <t>软管组件</t>
  </si>
  <si>
    <t>TEE</t>
  </si>
  <si>
    <t>Elbow</t>
  </si>
  <si>
    <t>ELBOW</t>
  </si>
  <si>
    <t>REDU</t>
  </si>
  <si>
    <t>COUP</t>
  </si>
  <si>
    <t>UNIO</t>
  </si>
  <si>
    <t>ELBOW MITRE</t>
  </si>
  <si>
    <t>CONC.REDUCER</t>
  </si>
  <si>
    <t>REDUCER</t>
  </si>
  <si>
    <t>NIPPLE</t>
  </si>
  <si>
    <t xml:space="preserve">CAP   </t>
  </si>
  <si>
    <t>CAP</t>
  </si>
  <si>
    <t>SA-210M C</t>
  </si>
  <si>
    <t>8X56</t>
  </si>
  <si>
    <t>Ø56X6</t>
  </si>
  <si>
    <t>Ø41X145</t>
  </si>
  <si>
    <t>M42</t>
  </si>
  <si>
    <t>8 class</t>
  </si>
  <si>
    <t>SA-213M T12</t>
  </si>
  <si>
    <t>SA-213M T23</t>
  </si>
  <si>
    <t>[8</t>
  </si>
  <si>
    <t>10.9级</t>
  </si>
  <si>
    <t>M12X90</t>
  </si>
  <si>
    <t>300HV</t>
  </si>
  <si>
    <t>10 class</t>
  </si>
  <si>
    <t>M12</t>
  </si>
  <si>
    <t>SA-387M Gr23</t>
  </si>
  <si>
    <t>SA-335M P12</t>
  </si>
  <si>
    <t>M30</t>
  </si>
  <si>
    <t xml:space="preserve">∠140X90X8 </t>
  </si>
  <si>
    <t>TD30A15-M30X3</t>
  </si>
  <si>
    <t>SA-335M P22</t>
  </si>
  <si>
    <t>SA-213M T22</t>
  </si>
  <si>
    <t>5X120</t>
  </si>
  <si>
    <t>100HV</t>
  </si>
  <si>
    <t>M20X65</t>
  </si>
  <si>
    <t>M20</t>
  </si>
  <si>
    <t xml:space="preserve">L140X90X8 </t>
  </si>
  <si>
    <t xml:space="preserve">HW200X200X8X12 </t>
  </si>
  <si>
    <t>M10</t>
  </si>
  <si>
    <t>8.8级</t>
  </si>
  <si>
    <t>M10X70</t>
  </si>
  <si>
    <t>M24X160</t>
  </si>
  <si>
    <t>M24</t>
  </si>
  <si>
    <t>SA-213M T91</t>
  </si>
  <si>
    <t>SA-213M T92</t>
  </si>
  <si>
    <t>SA-182M F91</t>
  </si>
  <si>
    <t>M36</t>
  </si>
  <si>
    <t>30CrMoA</t>
  </si>
  <si>
    <t>Ø70</t>
  </si>
  <si>
    <t>Ø12</t>
  </si>
  <si>
    <t>Ø130/Ø72</t>
  </si>
  <si>
    <t>M48</t>
  </si>
  <si>
    <t>Ø130/Ø70</t>
  </si>
  <si>
    <t>SA-213 TP347H SB</t>
  </si>
  <si>
    <t>SA-182M F92</t>
  </si>
  <si>
    <t>Ø160</t>
  </si>
  <si>
    <t>150×100</t>
  </si>
  <si>
    <t>M64</t>
  </si>
  <si>
    <t>Ø3.2</t>
  </si>
  <si>
    <t>Ø24/Ø13</t>
  </si>
  <si>
    <t>SA-213 TP310HCBN</t>
  </si>
  <si>
    <t>Ø130/Ø75</t>
  </si>
  <si>
    <t>SA-182 F1</t>
  </si>
  <si>
    <t>SA-335M P91</t>
  </si>
  <si>
    <t>SA-335M P92</t>
  </si>
  <si>
    <t xml:space="preserve">SA-105 </t>
  </si>
  <si>
    <t>SA-105</t>
  </si>
  <si>
    <t xml:space="preserve">30CrMoA </t>
  </si>
  <si>
    <t xml:space="preserve">100HV </t>
  </si>
  <si>
    <t>No20a</t>
  </si>
  <si>
    <t>No25a</t>
  </si>
  <si>
    <t>No30a</t>
  </si>
  <si>
    <t>HN700×300×13×24</t>
  </si>
  <si>
    <t>6x100x1245</t>
  </si>
  <si>
    <t>SA-213TP304</t>
  </si>
  <si>
    <t>M10/32</t>
  </si>
  <si>
    <t>50x50x5</t>
  </si>
  <si>
    <t>[10</t>
  </si>
  <si>
    <t>90E(L)DN40-10</t>
  </si>
  <si>
    <t>90E(L)DN80Ⅱ-10</t>
  </si>
  <si>
    <t>90E(L)DN90-8</t>
  </si>
  <si>
    <t>90E(L)DN125-20</t>
  </si>
  <si>
    <t>90E(L)DN50-8</t>
  </si>
  <si>
    <t>R(C)DN50-7.5/DN40-6.5</t>
  </si>
  <si>
    <t>R(C)DN80-5/DN50-4</t>
  </si>
  <si>
    <t>T(R)DN80-5/DN50-4</t>
  </si>
  <si>
    <t>T(R)DN50-7.5/DN40-6.5</t>
  </si>
  <si>
    <t>T(R)DN125Ⅱ-20/DN80-16</t>
  </si>
  <si>
    <t>T(S)DN50-4</t>
  </si>
  <si>
    <t>CDN80Ⅱ-16</t>
  </si>
  <si>
    <t>T(S)DN80Ⅱ-16</t>
  </si>
  <si>
    <t>T(S)DN32-6</t>
  </si>
  <si>
    <t>T(R)DN90-10/DN80-8</t>
  </si>
  <si>
    <t>T(R)DN125Ⅱ-20/DN80Ⅱ-16</t>
  </si>
  <si>
    <t>Φ133/Φ101.6</t>
  </si>
  <si>
    <t>Φ133/Φ114</t>
  </si>
  <si>
    <t>Φ89X16/Φ54X10</t>
  </si>
  <si>
    <t>90E(L)DN80Ⅱ-16</t>
  </si>
  <si>
    <t>90E(L)DN125Ⅱ-20</t>
  </si>
  <si>
    <t>90E(L)DN65II-14</t>
  </si>
  <si>
    <t>90E(L)DN100-8</t>
  </si>
  <si>
    <t>90E(L)DN40-12.5</t>
  </si>
  <si>
    <t>90E(L)DN150II-25</t>
  </si>
  <si>
    <t>90E(L) DN80II-16</t>
  </si>
  <si>
    <t>90E(L) DN100-20</t>
  </si>
  <si>
    <t>90E(L)DN200-35</t>
  </si>
  <si>
    <t>R(C)DN100-20/DN80-16</t>
  </si>
  <si>
    <t>管帽DN150II-25</t>
  </si>
  <si>
    <t>T(R)DN200II-35/DN150II-25</t>
  </si>
  <si>
    <t>T(R)DN100-20/DN80-16</t>
  </si>
  <si>
    <t>R(C)DN80Ⅱ-12/DN65Ⅱ-12</t>
  </si>
  <si>
    <t>T(R)DN100Ⅱ-12/DN80Ⅱ-12</t>
  </si>
  <si>
    <t>90E(L)DN80Ⅱ-12</t>
  </si>
  <si>
    <t>90E(L)DN100Ⅱ-12</t>
  </si>
  <si>
    <t>90E(L)DN65Ⅱ-12</t>
  </si>
  <si>
    <t>M12/38</t>
  </si>
  <si>
    <t>12Cr1MoV</t>
  </si>
  <si>
    <t>δ8</t>
  </si>
  <si>
    <t>90E(L)DN150II-10</t>
  </si>
  <si>
    <t>T(S)DN150II-10</t>
  </si>
  <si>
    <t>Ø73X5.16</t>
  </si>
  <si>
    <t>2.5"CL300 WNRF</t>
  </si>
  <si>
    <t>装配件</t>
  </si>
  <si>
    <t>75x75x8</t>
  </si>
  <si>
    <t>90E(L)DN65-5.16</t>
  </si>
  <si>
    <t>M12/51</t>
  </si>
  <si>
    <t>Φ324X45/Φ473X65/Φ324X45</t>
  </si>
  <si>
    <t>90° elbow Φ473X65</t>
  </si>
  <si>
    <t>90° elbow Φ324X45</t>
  </si>
  <si>
    <t>Nozzle Φ280</t>
  </si>
  <si>
    <t>XXS</t>
  </si>
  <si>
    <t>A-105</t>
  </si>
  <si>
    <t>CL 9000</t>
  </si>
  <si>
    <t>A-234 WPB</t>
  </si>
  <si>
    <t>SA-182 F12</t>
  </si>
  <si>
    <t>CL 3000</t>
  </si>
  <si>
    <t>A-182 F11</t>
  </si>
  <si>
    <t>A-182 F91</t>
  </si>
  <si>
    <t>SA-106 B</t>
  </si>
  <si>
    <t>STD</t>
  </si>
  <si>
    <t>SA-234 WPB</t>
  </si>
  <si>
    <t>SA-53,GALVANISED</t>
  </si>
  <si>
    <t>S-80</t>
  </si>
  <si>
    <t>A105-GALV</t>
  </si>
  <si>
    <t>CL-3000</t>
  </si>
  <si>
    <t>25 X 25</t>
  </si>
  <si>
    <t>ASTM-A516-G70</t>
  </si>
  <si>
    <t>ASTM-A234-WPB</t>
  </si>
  <si>
    <t>250 x 200</t>
  </si>
  <si>
    <t>250 x 250</t>
  </si>
  <si>
    <t>400 x 300</t>
  </si>
  <si>
    <t>350 x 350</t>
  </si>
  <si>
    <t>350 x 300</t>
  </si>
  <si>
    <t>300 x 250</t>
  </si>
  <si>
    <t>ASTM-A106-B</t>
  </si>
  <si>
    <t>ASTM-A105</t>
  </si>
  <si>
    <t>500 X 300</t>
  </si>
  <si>
    <t>S80</t>
  </si>
  <si>
    <t>S40</t>
  </si>
  <si>
    <t>CL3000</t>
  </si>
  <si>
    <t>CL2000</t>
  </si>
  <si>
    <t>A-105, GALV</t>
  </si>
  <si>
    <t>A-234 WPB, GALV</t>
  </si>
  <si>
    <t>25 X 20</t>
  </si>
  <si>
    <t>100 X 65</t>
  </si>
  <si>
    <t>200 X 100</t>
  </si>
  <si>
    <t>XS</t>
  </si>
  <si>
    <t>CL6000</t>
  </si>
  <si>
    <t>50 X 25</t>
  </si>
  <si>
    <t>50 X 32</t>
  </si>
  <si>
    <t>SA-53,BLACK</t>
  </si>
  <si>
    <t>SA 516 GR.70 &amp; SA 387 Gr.12 Cl.2</t>
  </si>
  <si>
    <t>SA 516 GR.70</t>
  </si>
  <si>
    <t>A 516 GR.70</t>
  </si>
  <si>
    <t>6M or 10T</t>
  </si>
  <si>
    <t>CNY</t>
    <phoneticPr fontId="42" type="noConversion"/>
  </si>
  <si>
    <t>VALIN</t>
    <phoneticPr fontId="42" type="noConversion"/>
  </si>
  <si>
    <t>CNY</t>
    <phoneticPr fontId="42" type="noConversion"/>
  </si>
  <si>
    <t>VALIN</t>
    <phoneticPr fontId="42" type="noConversion"/>
  </si>
  <si>
    <t>BSS</t>
    <phoneticPr fontId="42" type="noConversion"/>
  </si>
  <si>
    <t>EUR</t>
    <phoneticPr fontId="42" type="noConversion"/>
  </si>
  <si>
    <t>V&amp;M</t>
    <phoneticPr fontId="42" type="noConversion"/>
  </si>
  <si>
    <t>Lontrin</t>
    <phoneticPr fontId="42" type="noConversion"/>
  </si>
  <si>
    <t>Lontrin</t>
    <phoneticPr fontId="42" type="noConversion"/>
  </si>
  <si>
    <t>YCD</t>
    <phoneticPr fontId="42" type="noConversion"/>
  </si>
  <si>
    <t>EUR</t>
    <phoneticPr fontId="42" type="noConversion"/>
  </si>
  <si>
    <t>V&amp;M</t>
    <phoneticPr fontId="42" type="noConversion"/>
  </si>
  <si>
    <t>CCB</t>
    <phoneticPr fontId="42" type="noConversion"/>
  </si>
  <si>
    <t>JLS</t>
    <phoneticPr fontId="42" type="noConversion"/>
  </si>
  <si>
    <t>SMST</t>
    <phoneticPr fontId="42" type="noConversion"/>
  </si>
  <si>
    <t>Q</t>
    <phoneticPr fontId="125" type="noConversion"/>
  </si>
  <si>
    <t>SA-516M GR70</t>
  </si>
  <si>
    <t>Angle</t>
  </si>
  <si>
    <t>Beam</t>
  </si>
  <si>
    <t>SA-234M WPC</t>
  </si>
  <si>
    <t>90° elbow Φ168X10</t>
  </si>
  <si>
    <t>δ16</t>
  </si>
  <si>
    <t>δ10</t>
  </si>
  <si>
    <t>SA-210M C</t>
    <phoneticPr fontId="125" type="noConversion"/>
  </si>
  <si>
    <t>Pipe</t>
    <phoneticPr fontId="125" type="noConversion"/>
  </si>
  <si>
    <t>Process Cost
(CNY)</t>
    <phoneticPr fontId="42" type="noConversion"/>
  </si>
  <si>
    <t>Circuit</t>
    <phoneticPr fontId="42" type="noConversion"/>
  </si>
  <si>
    <t>Consolidated</t>
  </si>
  <si>
    <t>Boiler</t>
  </si>
  <si>
    <t>KCNY</t>
    <phoneticPr fontId="212" type="noConversion"/>
  </si>
  <si>
    <t>SP with VAT</t>
  </si>
  <si>
    <t>PROJECT DIRECT COST</t>
  </si>
  <si>
    <t>Wuhan to PS the markup</t>
    <phoneticPr fontId="42" type="noConversion"/>
  </si>
  <si>
    <t>Component Item</t>
  </si>
  <si>
    <t>Designation</t>
  </si>
  <si>
    <t>Total length(M)</t>
    <phoneticPr fontId="42" type="noConversion"/>
  </si>
  <si>
    <r>
      <t>F</t>
    </r>
    <r>
      <rPr>
        <sz val="10"/>
        <rFont val="Arial"/>
        <family val="2"/>
      </rPr>
      <t>OB SH</t>
    </r>
    <phoneticPr fontId="42" type="noConversion"/>
  </si>
  <si>
    <t>Q</t>
    <phoneticPr fontId="42" type="noConversion"/>
  </si>
  <si>
    <t>Unit price /T(Per)</t>
    <phoneticPr fontId="42" type="noConversion"/>
  </si>
  <si>
    <t>Material Price</t>
    <phoneticPr fontId="42" type="noConversion"/>
  </si>
  <si>
    <t>Other material</t>
    <phoneticPr fontId="42" type="noConversion"/>
  </si>
  <si>
    <t>Translate Fee (Skill tests)</t>
    <phoneticPr fontId="10" type="noConversion"/>
  </si>
  <si>
    <t>求和项:Total Net Weight (kg)</t>
  </si>
  <si>
    <t>求和项:Total cost</t>
  </si>
  <si>
    <t>求和项:Process Cost</t>
  </si>
  <si>
    <t>求和项:Mhrs</t>
  </si>
  <si>
    <t>求和项:P&amp;P</t>
  </si>
  <si>
    <t>Other mat.</t>
    <phoneticPr fontId="42" type="noConversion"/>
  </si>
  <si>
    <t>ENG</t>
    <phoneticPr fontId="42" type="noConversion"/>
  </si>
  <si>
    <t>Total Material</t>
    <phoneticPr fontId="42" type="noConversion"/>
  </si>
  <si>
    <t>Labor</t>
    <phoneticPr fontId="42" type="noConversion"/>
  </si>
  <si>
    <t>Freight</t>
    <phoneticPr fontId="42" type="noConversion"/>
  </si>
  <si>
    <t>Eng</t>
    <phoneticPr fontId="42" type="noConversion"/>
  </si>
  <si>
    <t>Total</t>
    <phoneticPr fontId="42" type="noConversion"/>
  </si>
  <si>
    <t>Unit1</t>
    <phoneticPr fontId="42" type="noConversion"/>
  </si>
  <si>
    <t>Unit2</t>
    <phoneticPr fontId="42" type="noConversion"/>
  </si>
  <si>
    <t>Unit3</t>
    <phoneticPr fontId="42" type="noConversion"/>
  </si>
  <si>
    <t>Attachment CNY/T</t>
    <phoneticPr fontId="42" type="noConversion"/>
  </si>
  <si>
    <t>Non-Recoverable VAT</t>
    <phoneticPr fontId="42" type="noConversion"/>
  </si>
  <si>
    <t>Non-Recoverable</t>
    <phoneticPr fontId="42" type="noConversion"/>
  </si>
  <si>
    <t>weld overlay subcontract process cost</t>
    <phoneticPr fontId="10" type="noConversion"/>
  </si>
  <si>
    <t>SQC</t>
  </si>
  <si>
    <t>SQC Trip</t>
  </si>
  <si>
    <t>Row Labels</t>
  </si>
  <si>
    <t xml:space="preserve">Purchase Wgt (kg) </t>
  </si>
  <si>
    <t>Mhrs</t>
  </si>
  <si>
    <t>求和项:Non-Recoverable</t>
  </si>
  <si>
    <t>Inventory cost</t>
  </si>
  <si>
    <t>Process Cost</t>
  </si>
  <si>
    <t>Custom Cost/Lc</t>
  </si>
  <si>
    <t>Site Respresentation</t>
  </si>
  <si>
    <r>
      <rPr>
        <sz val="9"/>
        <rFont val="宋体"/>
        <family val="3"/>
        <charset val="134"/>
      </rPr>
      <t>单个长度</t>
    </r>
    <r>
      <rPr>
        <sz val="9"/>
        <rFont val="Arial"/>
        <family val="2"/>
      </rPr>
      <t xml:space="preserve">     Length(M) </t>
    </r>
    <phoneticPr fontId="42" type="noConversion"/>
  </si>
  <si>
    <t>Paingting &amp; Packing</t>
    <phoneticPr fontId="10" type="noConversion"/>
  </si>
  <si>
    <t>Based on 2. Mar. 2018 spot Rate</t>
    <phoneticPr fontId="9" type="noConversion"/>
  </si>
  <si>
    <t>Gao Ting</t>
    <phoneticPr fontId="42" type="noConversion"/>
  </si>
  <si>
    <t>Zhu Weibing</t>
    <phoneticPr fontId="42" type="noConversion"/>
  </si>
  <si>
    <t>ASME</t>
  </si>
  <si>
    <t xml:space="preserve">Wuhan to PS the markup is 15% </t>
    <phoneticPr fontId="42" type="noConversion"/>
  </si>
  <si>
    <t>Sum of Inventory cost</t>
  </si>
  <si>
    <t>Spare PartsCNY</t>
  </si>
  <si>
    <t>PM</t>
    <phoneticPr fontId="42" type="noConversion"/>
  </si>
  <si>
    <t>Risk+stamp duty</t>
    <phoneticPr fontId="42" type="noConversion"/>
  </si>
  <si>
    <t>TOTAL COST</t>
    <phoneticPr fontId="42" type="noConversion"/>
  </si>
  <si>
    <t>Total selling price</t>
    <phoneticPr fontId="42" type="noConversion"/>
  </si>
  <si>
    <t>Tubes</t>
  </si>
  <si>
    <t xml:space="preserve"> Y Connectors</t>
  </si>
  <si>
    <t>2xOD57.15/OD76.2</t>
  </si>
  <si>
    <t>SA-210MC</t>
  </si>
  <si>
    <t>SA-336M F12</t>
  </si>
  <si>
    <t>KG</t>
    <phoneticPr fontId="42" type="noConversion"/>
  </si>
  <si>
    <t>CCB</t>
    <phoneticPr fontId="42" type="noConversion"/>
  </si>
  <si>
    <t>Sea trasnportation</t>
    <phoneticPr fontId="10" type="noConversion"/>
  </si>
  <si>
    <t xml:space="preserve">1. Delivery as CIF Cai Lan.
</t>
    <phoneticPr fontId="219" type="noConversion"/>
  </si>
  <si>
    <t>DAP site</t>
    <phoneticPr fontId="10" type="noConversion"/>
  </si>
  <si>
    <t xml:space="preserve">1. Delivery as DAP Site
</t>
    <phoneticPr fontId="219" type="noConversion"/>
  </si>
  <si>
    <t>1. Add inflation cost for material. Bid validated to Oct. 31st, 2019. Delivery as CIF Cai Lan.</t>
    <phoneticPr fontId="42" type="noConversion"/>
  </si>
  <si>
    <t>1. Add inflation cost for material. Bid validated to Oct. 31st, 2019. Delivery as DAP Site.</t>
    <phoneticPr fontId="4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</si>
</sst>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1">
    <numFmt numFmtId="41" formatCode="_ * #,##0_ ;_ * \-#,##0_ ;_ * &quot;-&quot;_ ;_ @_ "/>
    <numFmt numFmtId="43" formatCode="_ * #,##0.00_ ;_ * \-#,##0.00_ ;_ * &quot;-&quot;??_ ;_ @_ "/>
    <numFmt numFmtId="176" formatCode="_(* #,##0_);_(* \(#,##0\);_(* &quot;-&quot;_);_(@_)"/>
    <numFmt numFmtId="177" formatCode="_(* #,##0.00_);_(* \(#,##0.00\);_(* &quot;-&quot;??_);_(@_)"/>
    <numFmt numFmtId="178" formatCode="&quot;￥&quot;#,##0.00;&quot;￥&quot;\-#,##0.00"/>
    <numFmt numFmtId="179" formatCode="General_)"/>
    <numFmt numFmtId="180" formatCode="0.000000"/>
    <numFmt numFmtId="181" formatCode="0.0%"/>
    <numFmt numFmtId="182" formatCode="dd\-mmm\-yy"/>
    <numFmt numFmtId="183" formatCode="_ * #,##0_ ;_ * \-#,##0_ ;_ * &quot;-&quot;??_ ;_ @_ "/>
    <numFmt numFmtId="184" formatCode="#,##0_ "/>
    <numFmt numFmtId="185" formatCode="_-&quot;£&quot;* #,##0_-;\-&quot;£&quot;* #,##0_-;_-&quot;£&quot;* &quot;-&quot;_-;_-@_-"/>
    <numFmt numFmtId="186" formatCode="_-* #,##0_-;\-* #,##0_-;_-* &quot;-&quot;_-;_-@_-"/>
    <numFmt numFmtId="187" formatCode="_-&quot;£&quot;* #,##0.00_-;\-&quot;£&quot;* #,##0.00_-;_-&quot;£&quot;* &quot;-&quot;??_-;_-@_-"/>
    <numFmt numFmtId="188" formatCode="_-* #,##0.00_-;\-* #,##0.00_-;_-* &quot;-&quot;??_-;_-@_-"/>
    <numFmt numFmtId="189" formatCode="0.00_)"/>
    <numFmt numFmtId="190" formatCode="0.000"/>
    <numFmt numFmtId="191" formatCode="0.00000"/>
    <numFmt numFmtId="192" formatCode="0.0000"/>
    <numFmt numFmtId="193" formatCode="d/m/yy"/>
    <numFmt numFmtId="194" formatCode="0.000_)"/>
    <numFmt numFmtId="195" formatCode="&quot;= &quot;General"/>
    <numFmt numFmtId="196" formatCode="yyyy/m/d;@"/>
    <numFmt numFmtId="197" formatCode="0.0"/>
    <numFmt numFmtId="198" formatCode="0_ "/>
    <numFmt numFmtId="199" formatCode="_-* #,##0\ &quot;DM&quot;_-;\-* #,##0\ &quot;DM&quot;_-;_-* &quot;-&quot;\ &quot;DM&quot;_-;_-@_-"/>
    <numFmt numFmtId="200" formatCode="_-* #,##0\ _D_M_-;\-* #,##0\ _D_M_-;_-* &quot;-&quot;\ _D_M_-;_-@_-"/>
    <numFmt numFmtId="201" formatCode="_-* #,##0.00\ &quot;DM&quot;_-;\-* #,##0.00\ &quot;DM&quot;_-;_-* &quot;-&quot;??\ &quot;DM&quot;_-;_-@_-"/>
    <numFmt numFmtId="202" formatCode="_-* #,##0.00\ _D_M_-;\-* #,##0.00\ _D_M_-;_-* &quot;-&quot;??\ _D_M_-;_-@_-"/>
    <numFmt numFmtId="203" formatCode="_(&quot;€&quot;* #,##0_);_(&quot;€&quot;* \(#,##0\);_(&quot;€&quot;* &quot;-&quot;_);_(@_)"/>
    <numFmt numFmtId="204" formatCode="_(&quot;€&quot;* #,##0.00_);_(&quot;€&quot;* \(#,##0.00\);_(&quot;€&quot;* &quot;-&quot;??_);_(@_)"/>
    <numFmt numFmtId="205" formatCode="#,##0&quot; DM&quot;;[Red]\-#,##0&quot; DM&quot;"/>
    <numFmt numFmtId="206" formatCode="#,##0.00&quot; DM&quot;;[Red]\-#,##0.00&quot; DM&quot;"/>
    <numFmt numFmtId="207" formatCode="0_);[Red]\(0\)"/>
    <numFmt numFmtId="208" formatCode="_ * #,##0.00000_ ;_ * \-#,##0.00000_ ;_ * &quot;-&quot;??_ ;_ @_ "/>
    <numFmt numFmtId="209" formatCode="0.00_ "/>
    <numFmt numFmtId="210" formatCode="0.000000000%"/>
    <numFmt numFmtId="211" formatCode="#,##0.0"/>
    <numFmt numFmtId="212" formatCode="&quot;\&quot;#,##0.00;[Red]\-&quot;\&quot;#,##0.00"/>
    <numFmt numFmtId="213" formatCode="_ * #,##0.000_ ;_ * \-#,##0.000_ ;_ * &quot;-&quot;??_ ;_ @_ "/>
    <numFmt numFmtId="214" formatCode="#,##0.00_ "/>
    <numFmt numFmtId="215" formatCode="0.0_ "/>
    <numFmt numFmtId="216" formatCode="000"/>
    <numFmt numFmtId="217" formatCode="_-* #,##0.00\ _K_č_-;\-* #,##0.00\ _K_č_-;_-* &quot;-&quot;??\ _K_č_-;_-@_-"/>
    <numFmt numFmtId="218" formatCode="#,##0.000"/>
    <numFmt numFmtId="219" formatCode="#.##0"/>
    <numFmt numFmtId="220" formatCode="\$#,##0\ ;\(\$#,##0\)"/>
    <numFmt numFmtId="221" formatCode="_-* #,##0.00\ _F_-;\-* #,##0.00\ _F_-;_-* &quot;-&quot;??\ _F_-;_-@_-"/>
    <numFmt numFmtId="222" formatCode="yyyy\-m\-d"/>
    <numFmt numFmtId="223" formatCode="#,##0.000_);\(#,##0.000\)"/>
    <numFmt numFmtId="224" formatCode="#,##0.0000"/>
    <numFmt numFmtId="225" formatCode="_(* #,##0_);_(* \(#,##0\);_(* &quot;-&quot;??_);_(@_)"/>
    <numFmt numFmtId="226" formatCode="yyyy\-mm\-dd;@"/>
    <numFmt numFmtId="227" formatCode="[$€-2]\ #,##0.0000_);\([$€-2]\ #,##0.0000\)"/>
    <numFmt numFmtId="228" formatCode="_(* #,##0.000_);_(* \(#,##0.000\);_(* &quot;-&quot;??_);_(@_)"/>
    <numFmt numFmtId="229" formatCode="[$CNY]\ #,##0;[$CNY]\ \-#,##0"/>
    <numFmt numFmtId="230" formatCode="0.0_);[Red]\(0.0\)"/>
    <numFmt numFmtId="231" formatCode="[$-409]d\-mmm\-yy;@"/>
    <numFmt numFmtId="232" formatCode="#,##0.0;[Red]\-#,##0.0"/>
    <numFmt numFmtId="233" formatCode="_ * #,##0.0_ ;_ * \-#,##0.0_ ;_ * &quot;-&quot;??_ ;_ @_ "/>
    <numFmt numFmtId="234" formatCode="[$€-2]\ #,##0;[$€-2]\ \-#,##0"/>
  </numFmts>
  <fonts count="220">
    <font>
      <sz val="10"/>
      <name val="Arial"/>
      <family val="2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9"/>
      <name val="Arial"/>
      <family val="2"/>
    </font>
    <font>
      <sz val="10"/>
      <name val="MS Sans Serif"/>
      <family val="2"/>
    </font>
    <font>
      <sz val="10"/>
      <name val="Helv"/>
      <family val="2"/>
    </font>
    <font>
      <b/>
      <sz val="12"/>
      <name val="Times New Roman"/>
      <family val="1"/>
    </font>
    <font>
      <sz val="9"/>
      <color indexed="12"/>
      <name val="Arial"/>
      <family val="2"/>
    </font>
    <font>
      <sz val="8"/>
      <name val="Arial"/>
      <family val="2"/>
    </font>
    <font>
      <sz val="10"/>
      <color indexed="9"/>
      <name val="Arial"/>
      <family val="2"/>
    </font>
    <font>
      <sz val="10"/>
      <color indexed="12"/>
      <name val="Arial"/>
      <family val="2"/>
    </font>
    <font>
      <b/>
      <i/>
      <sz val="16"/>
      <name val="Helv"/>
      <family val="2"/>
    </font>
    <font>
      <sz val="12"/>
      <name val="宋体"/>
      <family val="3"/>
      <charset val="134"/>
    </font>
    <font>
      <b/>
      <sz val="10"/>
      <name val="Arial"/>
      <family val="2"/>
    </font>
    <font>
      <sz val="10"/>
      <name val="Times New Roman"/>
      <family val="1"/>
    </font>
    <font>
      <b/>
      <sz val="11"/>
      <name val="Times New Roman"/>
      <family val="1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u/>
      <sz val="10"/>
      <color indexed="12"/>
      <name val="Arial"/>
      <family val="2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9"/>
      <name val="宋体"/>
      <family val="3"/>
      <charset val="134"/>
    </font>
    <font>
      <b/>
      <sz val="12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b/>
      <sz val="8"/>
      <name val="Verdana"/>
      <family val="2"/>
    </font>
    <font>
      <b/>
      <sz val="11"/>
      <name val="Arial"/>
      <family val="2"/>
    </font>
    <font>
      <u/>
      <sz val="10"/>
      <name val="Verdana"/>
      <family val="2"/>
    </font>
    <font>
      <b/>
      <u/>
      <sz val="10"/>
      <name val="Verdana"/>
      <family val="2"/>
    </font>
    <font>
      <sz val="12"/>
      <name val="Arial"/>
      <family val="2"/>
    </font>
    <font>
      <b/>
      <sz val="9.5"/>
      <name val="Arial"/>
      <family val="2"/>
    </font>
    <font>
      <b/>
      <sz val="16"/>
      <name val="Arial"/>
      <family val="2"/>
    </font>
    <font>
      <sz val="9.5"/>
      <name val="Arial"/>
      <family val="2"/>
    </font>
    <font>
      <sz val="10"/>
      <color indexed="10"/>
      <name val="Arial"/>
      <family val="2"/>
    </font>
    <font>
      <b/>
      <sz val="12"/>
      <name val="Arial"/>
      <family val="2"/>
    </font>
    <font>
      <sz val="10"/>
      <name val="宋体"/>
      <family val="3"/>
      <charset val="134"/>
    </font>
    <font>
      <b/>
      <sz val="10"/>
      <name val="宋体"/>
      <family val="3"/>
      <charset val="134"/>
    </font>
    <font>
      <i/>
      <sz val="10"/>
      <color indexed="12"/>
      <name val="Arial"/>
      <family val="2"/>
    </font>
    <font>
      <strike/>
      <sz val="10"/>
      <name val="Arial"/>
      <family val="2"/>
    </font>
    <font>
      <strike/>
      <sz val="10"/>
      <color indexed="12"/>
      <name val="Arial"/>
      <family val="2"/>
    </font>
    <font>
      <b/>
      <strike/>
      <sz val="10"/>
      <name val="Arial"/>
      <family val="2"/>
    </font>
    <font>
      <sz val="9"/>
      <name val="Verdana"/>
      <family val="2"/>
    </font>
    <font>
      <b/>
      <sz val="10"/>
      <name val="Times New Roman"/>
      <family val="1"/>
    </font>
    <font>
      <sz val="7"/>
      <name val="Times New Roman"/>
      <family val="1"/>
    </font>
    <font>
      <b/>
      <sz val="7"/>
      <name val="Times New Roman"/>
      <family val="1"/>
    </font>
    <font>
      <sz val="7"/>
      <color indexed="18"/>
      <name val="Times New Roman"/>
      <family val="1"/>
    </font>
    <font>
      <sz val="7"/>
      <color indexed="16"/>
      <name val="Times New Roman"/>
      <family val="1"/>
    </font>
    <font>
      <b/>
      <sz val="6"/>
      <name val="Times New Roman"/>
      <family val="1"/>
    </font>
    <font>
      <sz val="6"/>
      <name val="Times New Roman"/>
      <family val="1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color indexed="10"/>
      <name val="Verdana"/>
      <family val="2"/>
    </font>
    <font>
      <strike/>
      <sz val="12"/>
      <name val="Arial"/>
      <family val="2"/>
    </font>
    <font>
      <sz val="10"/>
      <name val="FuturaA Bk BT"/>
      <family val="2"/>
    </font>
    <font>
      <sz val="12"/>
      <name val="Times New Roman"/>
      <family val="1"/>
    </font>
    <font>
      <b/>
      <sz val="10"/>
      <color indexed="12"/>
      <name val="Arial"/>
      <family val="2"/>
    </font>
    <font>
      <b/>
      <sz val="14"/>
      <name val="Arial"/>
      <family val="2"/>
    </font>
    <font>
      <sz val="9"/>
      <color indexed="10"/>
      <name val="Arial"/>
      <family val="2"/>
    </font>
    <font>
      <sz val="9"/>
      <name val="MS Sans Serif"/>
      <family val="2"/>
    </font>
    <font>
      <u/>
      <sz val="10"/>
      <name val="Arial"/>
      <family val="2"/>
    </font>
    <font>
      <sz val="8"/>
      <name val="宋体"/>
      <family val="3"/>
      <charset val="134"/>
    </font>
    <font>
      <b/>
      <sz val="8"/>
      <name val="Arial"/>
      <family val="2"/>
    </font>
    <font>
      <b/>
      <sz val="18"/>
      <color indexed="62"/>
      <name val="宋体"/>
      <family val="3"/>
      <charset val="134"/>
    </font>
    <font>
      <b/>
      <sz val="9"/>
      <name val="Arial"/>
      <family val="2"/>
    </font>
    <font>
      <b/>
      <sz val="9"/>
      <color indexed="12"/>
      <name val="Arial"/>
      <family val="2"/>
    </font>
    <font>
      <sz val="10"/>
      <color indexed="8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Helv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b/>
      <sz val="10"/>
      <name val="Arial CE"/>
      <family val="2"/>
      <charset val="238"/>
    </font>
    <font>
      <sz val="10"/>
      <name val="MS Sans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8.25"/>
      <name val="Helv"/>
      <family val="2"/>
    </font>
    <font>
      <sz val="11"/>
      <color indexed="17"/>
      <name val="Calibri"/>
      <family val="2"/>
    </font>
    <font>
      <u/>
      <sz val="9"/>
      <color indexed="12"/>
      <name val="Arial"/>
      <family val="2"/>
      <charset val="238"/>
    </font>
    <font>
      <sz val="10"/>
      <color indexed="18"/>
      <name val="Arial"/>
      <family val="2"/>
    </font>
    <font>
      <sz val="7"/>
      <name val="Small Fonts"/>
      <family val="2"/>
    </font>
    <font>
      <b/>
      <sz val="8.25"/>
      <name val="Helv"/>
      <family val="2"/>
    </font>
    <font>
      <sz val="11"/>
      <color indexed="20"/>
      <name val="Calibri"/>
      <family val="2"/>
    </font>
    <font>
      <u/>
      <sz val="9"/>
      <color indexed="36"/>
      <name val="Arial"/>
      <family val="2"/>
      <charset val="238"/>
    </font>
    <font>
      <b/>
      <sz val="6"/>
      <name val="Helv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1"/>
      <name val="돋움"/>
      <family val="2"/>
    </font>
    <font>
      <u/>
      <sz val="12"/>
      <color indexed="12"/>
      <name val="宋体"/>
      <family val="3"/>
      <charset val="134"/>
    </font>
    <font>
      <b/>
      <u val="singleAccounting"/>
      <sz val="10"/>
      <name val="Arial"/>
      <family val="2"/>
    </font>
    <font>
      <b/>
      <sz val="11"/>
      <color indexed="26"/>
      <name val="Arial"/>
      <family val="2"/>
    </font>
    <font>
      <sz val="10"/>
      <color indexed="63"/>
      <name val="Arial"/>
      <family val="2"/>
    </font>
    <font>
      <b/>
      <sz val="11"/>
      <color indexed="8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name val="Verdana"/>
      <family val="2"/>
    </font>
    <font>
      <sz val="10"/>
      <name val="Arial"/>
      <family val="2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u/>
      <sz val="9"/>
      <color indexed="12"/>
      <name val="Arial"/>
      <family val="2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0"/>
      <color rgb="FF0000FF"/>
      <name val="Arial"/>
      <family val="2"/>
    </font>
    <font>
      <sz val="10"/>
      <color rgb="FFFF0000"/>
      <name val="Arial"/>
      <family val="2"/>
    </font>
    <font>
      <b/>
      <sz val="10"/>
      <color rgb="FF0000FF"/>
      <name val="Arial"/>
      <family val="2"/>
    </font>
    <font>
      <sz val="9"/>
      <color theme="1"/>
      <name val="Arial"/>
      <family val="2"/>
    </font>
    <font>
      <sz val="10"/>
      <color theme="0"/>
      <name val="Arial"/>
      <family val="2"/>
    </font>
    <font>
      <sz val="10"/>
      <name val="宋体"/>
      <family val="3"/>
      <charset val="134"/>
    </font>
    <font>
      <sz val="10"/>
      <color rgb="FF0070C0"/>
      <name val="Arial"/>
      <family val="2"/>
    </font>
    <font>
      <sz val="12"/>
      <name val="宋体"/>
      <family val="3"/>
      <charset val="134"/>
    </font>
    <font>
      <b/>
      <sz val="18"/>
      <name val="Verdana"/>
      <family val="2"/>
    </font>
    <font>
      <sz val="10"/>
      <color theme="1"/>
      <name val="Arial"/>
      <family val="2"/>
    </font>
    <font>
      <sz val="11"/>
      <color theme="1"/>
      <name val="宋体"/>
      <family val="3"/>
      <charset val="134"/>
      <scheme val="minor"/>
    </font>
    <font>
      <u/>
      <sz val="10"/>
      <color indexed="36"/>
      <name val="Arial"/>
      <family val="2"/>
    </font>
    <font>
      <sz val="11"/>
      <color indexed="60"/>
      <name val="Calibri"/>
      <family val="2"/>
    </font>
    <font>
      <u/>
      <sz val="9"/>
      <color indexed="36"/>
      <name val="Arial"/>
      <family val="2"/>
    </font>
    <font>
      <b/>
      <sz val="24"/>
      <name val="AngsanaUPC"/>
      <family val="1"/>
    </font>
    <font>
      <sz val="11"/>
      <color rgb="FF006100"/>
      <name val="宋体"/>
      <family val="3"/>
      <charset val="134"/>
      <scheme val="minor"/>
    </font>
    <font>
      <sz val="10"/>
      <color rgb="FFFF0000"/>
      <name val="Verdana"/>
      <family val="2"/>
    </font>
    <font>
      <b/>
      <sz val="10"/>
      <color theme="1"/>
      <name val="Arial"/>
      <family val="2"/>
    </font>
    <font>
      <sz val="10"/>
      <color rgb="FF00B0F0"/>
      <name val="Arial"/>
      <family val="2"/>
    </font>
    <font>
      <i/>
      <sz val="10"/>
      <color rgb="FF00B0F0"/>
      <name val="Arial"/>
      <family val="2"/>
    </font>
    <font>
      <sz val="8"/>
      <color theme="1"/>
      <name val="Arial"/>
      <family val="2"/>
    </font>
    <font>
      <b/>
      <sz val="11"/>
      <name val="宋体"/>
      <family val="3"/>
      <charset val="134"/>
    </font>
    <font>
      <b/>
      <sz val="11"/>
      <name val="MS Sans Serif"/>
      <family val="2"/>
    </font>
    <font>
      <sz val="11"/>
      <name val="Arial"/>
      <family val="2"/>
    </font>
    <font>
      <sz val="11"/>
      <name val="MS Sans Serif"/>
      <family val="2"/>
    </font>
    <font>
      <sz val="11"/>
      <name val="宋体"/>
      <family val="3"/>
      <charset val="134"/>
    </font>
    <font>
      <b/>
      <sz val="11"/>
      <color rgb="FFFF0000"/>
      <name val="MS Sans Serif"/>
      <family val="2"/>
    </font>
    <font>
      <sz val="11"/>
      <color theme="1"/>
      <name val="宋体"/>
      <family val="3"/>
      <charset val="134"/>
    </font>
    <font>
      <b/>
      <sz val="11"/>
      <color rgb="FFFF0000"/>
      <name val="Arial"/>
      <family val="2"/>
    </font>
    <font>
      <b/>
      <sz val="11"/>
      <color indexed="10"/>
      <name val="宋体"/>
      <family val="3"/>
      <charset val="134"/>
    </font>
    <font>
      <b/>
      <sz val="11"/>
      <color indexed="10"/>
      <name val="Arial"/>
      <family val="2"/>
    </font>
    <font>
      <strike/>
      <sz val="11"/>
      <name val="Arial"/>
      <family val="2"/>
    </font>
    <font>
      <b/>
      <sz val="11"/>
      <color indexed="10"/>
      <name val="MS Sans Serif"/>
      <family val="2"/>
    </font>
    <font>
      <sz val="11"/>
      <color indexed="8"/>
      <name val="Arial"/>
      <family val="2"/>
    </font>
    <font>
      <sz val="11"/>
      <color indexed="8"/>
      <name val="MS Sans Serif"/>
      <family val="2"/>
    </font>
    <font>
      <b/>
      <sz val="11"/>
      <color indexed="8"/>
      <name val="MS Sans Serif"/>
      <family val="2"/>
    </font>
    <font>
      <sz val="11"/>
      <color theme="1"/>
      <name val="Arial"/>
      <family val="2"/>
    </font>
    <font>
      <strike/>
      <sz val="11"/>
      <name val="MS Sans Serif"/>
      <family val="2"/>
    </font>
    <font>
      <sz val="11"/>
      <color indexed="10"/>
      <name val="MS Sans Serif"/>
      <family val="2"/>
    </font>
    <font>
      <sz val="11"/>
      <color rgb="FFFF0000"/>
      <name val="Arial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Arial"/>
      <family val="2"/>
      <charset val="238"/>
    </font>
    <font>
      <sz val="11"/>
      <color theme="1"/>
      <name val="Calibri"/>
      <family val="2"/>
    </font>
    <font>
      <sz val="11"/>
      <color theme="1"/>
      <name val="宋体"/>
      <family val="2"/>
      <charset val="134"/>
      <scheme val="minor"/>
    </font>
    <font>
      <b/>
      <sz val="12"/>
      <color rgb="FF1B5CA5"/>
      <name val="Arial"/>
      <family val="2"/>
    </font>
    <font>
      <sz val="10"/>
      <color rgb="FF1B5CA5"/>
      <name val="Arial"/>
      <family val="2"/>
    </font>
    <font>
      <sz val="9"/>
      <color rgb="FF3333FF"/>
      <name val="Arial"/>
      <family val="2"/>
    </font>
    <font>
      <sz val="11"/>
      <name val="宋体"/>
      <family val="2"/>
      <scheme val="minor"/>
    </font>
    <font>
      <u/>
      <sz val="10"/>
      <color rgb="FFFF0000"/>
      <name val="Arial"/>
      <family val="2"/>
    </font>
    <font>
      <b/>
      <sz val="16"/>
      <color rgb="FF000099"/>
      <name val="Arial"/>
      <family val="2"/>
    </font>
    <font>
      <sz val="12"/>
      <color rgb="FF1B5CA5"/>
      <name val="Arial"/>
      <family val="2"/>
    </font>
    <font>
      <sz val="8"/>
      <name val="Helv"/>
    </font>
    <font>
      <sz val="10"/>
      <name val="Helv"/>
    </font>
    <font>
      <sz val="10"/>
      <color theme="1"/>
      <name val="Arial"/>
      <family val="2"/>
      <charset val="134"/>
    </font>
    <font>
      <sz val="10"/>
      <name val="MS Sans"/>
    </font>
    <font>
      <sz val="8.25"/>
      <name val="Helv"/>
    </font>
    <font>
      <b/>
      <sz val="8.25"/>
      <name val="Helv"/>
    </font>
    <font>
      <b/>
      <sz val="6"/>
      <name val="Helv"/>
    </font>
    <font>
      <b/>
      <sz val="18"/>
      <color indexed="56"/>
      <name val="Cambria"/>
      <family val="2"/>
    </font>
    <font>
      <b/>
      <sz val="10"/>
      <color rgb="FF000000"/>
      <name val="Arial"/>
      <family val="2"/>
    </font>
    <font>
      <b/>
      <sz val="9"/>
      <color rgb="FF000000"/>
      <name val="Arial"/>
      <family val="2"/>
    </font>
    <font>
      <u/>
      <sz val="8"/>
      <color indexed="81"/>
      <name val="Tahoma"/>
      <family val="2"/>
    </font>
    <font>
      <b/>
      <sz val="10"/>
      <color rgb="FF00B0F0"/>
      <name val="Arial"/>
      <family val="2"/>
    </font>
    <font>
      <sz val="10"/>
      <name val="等线"/>
      <family val="3"/>
      <charset val="134"/>
    </font>
    <font>
      <sz val="10"/>
      <color indexed="12"/>
      <name val="等线"/>
      <family val="3"/>
      <charset val="134"/>
    </font>
    <font>
      <b/>
      <sz val="10"/>
      <name val="等线"/>
      <family val="3"/>
      <charset val="134"/>
    </font>
    <font>
      <b/>
      <sz val="9.5"/>
      <name val="等线"/>
      <family val="3"/>
      <charset val="134"/>
    </font>
    <font>
      <b/>
      <sz val="12"/>
      <name val="等线"/>
      <family val="3"/>
      <charset val="134"/>
    </font>
    <font>
      <b/>
      <u/>
      <sz val="10"/>
      <color theme="0"/>
      <name val="Arial"/>
      <family val="2"/>
    </font>
    <font>
      <b/>
      <sz val="10"/>
      <color theme="0"/>
      <name val="Arial"/>
      <family val="2"/>
    </font>
    <font>
      <sz val="10"/>
      <color rgb="FFFF0000"/>
      <name val="Calibri"/>
      <family val="2"/>
    </font>
    <font>
      <sz val="10"/>
      <name val="Calibri"/>
      <family val="2"/>
    </font>
    <font>
      <sz val="8"/>
      <name val="GE Inspira"/>
      <family val="2"/>
    </font>
    <font>
      <b/>
      <sz val="10"/>
      <color theme="0"/>
      <name val="GE Inspira"/>
      <family val="2"/>
    </font>
    <font>
      <sz val="10"/>
      <color theme="0"/>
      <name val="GE Inspira"/>
      <family val="2"/>
    </font>
    <font>
      <b/>
      <sz val="16"/>
      <name val="GE Inspira"/>
      <family val="2"/>
    </font>
    <font>
      <sz val="10"/>
      <name val="GE Inspira"/>
      <family val="2"/>
    </font>
    <font>
      <sz val="10"/>
      <color indexed="30"/>
      <name val="GE Inspira"/>
      <family val="2"/>
    </font>
    <font>
      <b/>
      <sz val="10"/>
      <name val="GE Inspira"/>
      <family val="2"/>
    </font>
    <font>
      <sz val="9"/>
      <name val="宋体"/>
      <family val="3"/>
      <charset val="134"/>
      <scheme val="minor"/>
    </font>
    <font>
      <b/>
      <sz val="10"/>
      <color indexed="30"/>
      <name val="GE Inspira"/>
      <family val="2"/>
    </font>
    <font>
      <sz val="10"/>
      <color rgb="FF0070C0"/>
      <name val="GE Inspira"/>
      <family val="2"/>
    </font>
    <font>
      <sz val="9"/>
      <name val="宋体"/>
      <family val="2"/>
      <scheme val="minor"/>
    </font>
    <font>
      <sz val="9"/>
      <name val="Arial"/>
      <family val="3"/>
      <charset val="134"/>
    </font>
    <font>
      <sz val="11"/>
      <color indexed="8"/>
      <name val="宋体"/>
      <family val="3"/>
      <charset val="134"/>
      <scheme val="minor"/>
    </font>
    <font>
      <sz val="10.5"/>
      <name val="DengXian"/>
    </font>
    <font>
      <sz val="9"/>
      <name val="宋体"/>
      <family val="2"/>
      <charset val="134"/>
      <scheme val="minor"/>
    </font>
  </fonts>
  <fills count="65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lightGray">
        <fgColor indexed="55"/>
        <bgColor indexed="22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5"/>
        <bgColor indexed="64"/>
      </patternFill>
    </fill>
    <fill>
      <patternFill patternType="mediumGray">
        <fgColor indexed="51"/>
        <bgColor indexed="11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B7EC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</fills>
  <borders count="25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 style="thin">
        <color indexed="55"/>
      </right>
      <top style="thin">
        <color indexed="55"/>
      </top>
      <bottom style="thin">
        <color indexed="9"/>
      </bottom>
      <diagonal/>
    </border>
    <border>
      <left/>
      <right style="dotted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ck">
        <color indexed="10"/>
      </left>
      <right style="thick">
        <color indexed="10"/>
      </right>
      <top/>
      <bottom/>
      <diagonal/>
    </border>
    <border>
      <left/>
      <right/>
      <top style="thin">
        <color indexed="64"/>
      </top>
      <bottom/>
      <diagonal/>
    </border>
    <border>
      <left style="thick">
        <color indexed="10"/>
      </left>
      <right style="thick">
        <color indexed="10"/>
      </right>
      <top/>
      <bottom style="thick">
        <color indexed="10"/>
      </bottom>
      <diagonal/>
    </border>
    <border>
      <left style="thick">
        <color indexed="10"/>
      </left>
      <right/>
      <top style="thick">
        <color indexed="10"/>
      </top>
      <bottom/>
      <diagonal/>
    </border>
    <border>
      <left/>
      <right/>
      <top style="thick">
        <color indexed="10"/>
      </top>
      <bottom/>
      <diagonal/>
    </border>
    <border>
      <left/>
      <right style="thick">
        <color indexed="10"/>
      </right>
      <top style="thick">
        <color indexed="10"/>
      </top>
      <bottom/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thick">
        <color indexed="10"/>
      </left>
      <right/>
      <top/>
      <bottom/>
      <diagonal/>
    </border>
    <border>
      <left/>
      <right style="thick">
        <color indexed="10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10"/>
      </left>
      <right/>
      <top/>
      <bottom style="thick">
        <color indexed="10"/>
      </bottom>
      <diagonal/>
    </border>
    <border>
      <left/>
      <right/>
      <top/>
      <bottom style="thick">
        <color indexed="10"/>
      </bottom>
      <diagonal/>
    </border>
    <border>
      <left/>
      <right style="thick">
        <color indexed="10"/>
      </right>
      <top/>
      <bottom style="thick">
        <color indexed="10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/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dotted">
        <color indexed="64"/>
      </top>
      <bottom/>
      <diagonal/>
    </border>
    <border>
      <left style="hair">
        <color indexed="16"/>
      </left>
      <right/>
      <top style="hair">
        <color indexed="16"/>
      </top>
      <bottom/>
      <diagonal/>
    </border>
    <border>
      <left/>
      <right/>
      <top style="hair">
        <color indexed="16"/>
      </top>
      <bottom/>
      <diagonal/>
    </border>
    <border>
      <left/>
      <right style="hair">
        <color indexed="16"/>
      </right>
      <top style="hair">
        <color indexed="16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16"/>
      </left>
      <right style="hair">
        <color indexed="16"/>
      </right>
      <top style="hair">
        <color indexed="16"/>
      </top>
      <bottom style="hair">
        <color indexed="16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10"/>
      </left>
      <right style="hair">
        <color indexed="10"/>
      </right>
      <top/>
      <bottom/>
      <diagonal/>
    </border>
    <border>
      <left style="hair">
        <color indexed="10"/>
      </left>
      <right style="hair">
        <color indexed="10"/>
      </right>
      <top/>
      <bottom style="dotted">
        <color indexed="10"/>
      </bottom>
      <diagonal/>
    </border>
    <border>
      <left/>
      <right/>
      <top style="dotted">
        <color indexed="1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3"/>
      </left>
      <right/>
      <top/>
      <bottom style="thick">
        <color indexed="8"/>
      </bottom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thick">
        <color indexed="8"/>
      </bottom>
      <diagonal/>
    </border>
    <border>
      <left/>
      <right/>
      <top/>
      <bottom style="thick">
        <color indexed="8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18"/>
      </left>
      <right/>
      <top style="hair">
        <color indexed="18"/>
      </top>
      <bottom style="hair">
        <color indexed="64"/>
      </bottom>
      <diagonal/>
    </border>
    <border>
      <left/>
      <right/>
      <top style="hair">
        <color indexed="18"/>
      </top>
      <bottom style="hair">
        <color indexed="64"/>
      </bottom>
      <diagonal/>
    </border>
    <border>
      <left/>
      <right style="hair">
        <color indexed="18"/>
      </right>
      <top style="hair">
        <color indexed="18"/>
      </top>
      <bottom style="hair">
        <color indexed="64"/>
      </bottom>
      <diagonal/>
    </border>
    <border>
      <left/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medium">
        <color rgb="FFFF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00B0F0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00B0F0"/>
      </right>
      <top style="thin">
        <color indexed="64"/>
      </top>
      <bottom/>
      <diagonal/>
    </border>
    <border>
      <left style="thin">
        <color indexed="64"/>
      </left>
      <right style="medium">
        <color rgb="FF00B0F0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9"/>
      </left>
      <right style="thin">
        <color indexed="55"/>
      </right>
      <top style="thin">
        <color indexed="55"/>
      </top>
      <bottom style="thin">
        <color indexed="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3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 style="thin">
        <color indexed="55"/>
      </right>
      <top style="thin">
        <color indexed="55"/>
      </top>
      <bottom style="thin">
        <color indexed="9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349">
    <xf numFmtId="227" fontId="0" fillId="0" borderId="0">
      <alignment vertical="center"/>
    </xf>
    <xf numFmtId="227" fontId="87" fillId="0" borderId="0"/>
    <xf numFmtId="227" fontId="70" fillId="0" borderId="0"/>
    <xf numFmtId="227" fontId="76" fillId="0" borderId="0"/>
    <xf numFmtId="227" fontId="70" fillId="0" borderId="0"/>
    <xf numFmtId="227" fontId="87" fillId="0" borderId="0"/>
    <xf numFmtId="227" fontId="76" fillId="0" borderId="0"/>
    <xf numFmtId="227" fontId="76" fillId="0" borderId="0"/>
    <xf numFmtId="227" fontId="88" fillId="7" borderId="0" applyNumberFormat="0" applyBorder="0" applyAlignment="0" applyProtection="0"/>
    <xf numFmtId="227" fontId="88" fillId="8" borderId="0" applyNumberFormat="0" applyBorder="0" applyAlignment="0" applyProtection="0"/>
    <xf numFmtId="227" fontId="88" fillId="9" borderId="0" applyNumberFormat="0" applyBorder="0" applyAlignment="0" applyProtection="0"/>
    <xf numFmtId="227" fontId="88" fillId="10" borderId="0" applyNumberFormat="0" applyBorder="0" applyAlignment="0" applyProtection="0"/>
    <xf numFmtId="227" fontId="88" fillId="6" borderId="0" applyNumberFormat="0" applyBorder="0" applyAlignment="0" applyProtection="0"/>
    <xf numFmtId="227" fontId="88" fillId="5" borderId="0" applyNumberFormat="0" applyBorder="0" applyAlignment="0" applyProtection="0"/>
    <xf numFmtId="227" fontId="11" fillId="7" borderId="0" applyNumberFormat="0" applyBorder="0" applyAlignment="0" applyProtection="0">
      <alignment vertical="center"/>
    </xf>
    <xf numFmtId="227" fontId="11" fillId="8" borderId="0" applyNumberFormat="0" applyBorder="0" applyAlignment="0" applyProtection="0">
      <alignment vertical="center"/>
    </xf>
    <xf numFmtId="227" fontId="11" fillId="9" borderId="0" applyNumberFormat="0" applyBorder="0" applyAlignment="0" applyProtection="0">
      <alignment vertical="center"/>
    </xf>
    <xf numFmtId="227" fontId="11" fillId="10" borderId="0" applyNumberFormat="0" applyBorder="0" applyAlignment="0" applyProtection="0">
      <alignment vertical="center"/>
    </xf>
    <xf numFmtId="227" fontId="11" fillId="6" borderId="0" applyNumberFormat="0" applyBorder="0" applyAlignment="0" applyProtection="0">
      <alignment vertical="center"/>
    </xf>
    <xf numFmtId="227" fontId="11" fillId="5" borderId="0" applyNumberFormat="0" applyBorder="0" applyAlignment="0" applyProtection="0">
      <alignment vertical="center"/>
    </xf>
    <xf numFmtId="227" fontId="88" fillId="2" borderId="0" applyNumberFormat="0" applyBorder="0" applyAlignment="0" applyProtection="0"/>
    <xf numFmtId="227" fontId="88" fillId="3" borderId="0" applyNumberFormat="0" applyBorder="0" applyAlignment="0" applyProtection="0"/>
    <xf numFmtId="227" fontId="88" fillId="12" borderId="0" applyNumberFormat="0" applyBorder="0" applyAlignment="0" applyProtection="0"/>
    <xf numFmtId="227" fontId="88" fillId="10" borderId="0" applyNumberFormat="0" applyBorder="0" applyAlignment="0" applyProtection="0"/>
    <xf numFmtId="227" fontId="88" fillId="2" borderId="0" applyNumberFormat="0" applyBorder="0" applyAlignment="0" applyProtection="0"/>
    <xf numFmtId="227" fontId="88" fillId="13" borderId="0" applyNumberFormat="0" applyBorder="0" applyAlignment="0" applyProtection="0"/>
    <xf numFmtId="227" fontId="11" fillId="2" borderId="0" applyNumberFormat="0" applyBorder="0" applyAlignment="0" applyProtection="0">
      <alignment vertical="center"/>
    </xf>
    <xf numFmtId="227" fontId="11" fillId="3" borderId="0" applyNumberFormat="0" applyBorder="0" applyAlignment="0" applyProtection="0">
      <alignment vertical="center"/>
    </xf>
    <xf numFmtId="227" fontId="11" fillId="12" borderId="0" applyNumberFormat="0" applyBorder="0" applyAlignment="0" applyProtection="0">
      <alignment vertical="center"/>
    </xf>
    <xf numFmtId="227" fontId="11" fillId="10" borderId="0" applyNumberFormat="0" applyBorder="0" applyAlignment="0" applyProtection="0">
      <alignment vertical="center"/>
    </xf>
    <xf numFmtId="227" fontId="11" fillId="2" borderId="0" applyNumberFormat="0" applyBorder="0" applyAlignment="0" applyProtection="0">
      <alignment vertical="center"/>
    </xf>
    <xf numFmtId="227" fontId="11" fillId="13" borderId="0" applyNumberFormat="0" applyBorder="0" applyAlignment="0" applyProtection="0">
      <alignment vertical="center"/>
    </xf>
    <xf numFmtId="227" fontId="89" fillId="15" borderId="0" applyNumberFormat="0" applyBorder="0" applyAlignment="0" applyProtection="0"/>
    <xf numFmtId="227" fontId="89" fillId="3" borderId="0" applyNumberFormat="0" applyBorder="0" applyAlignment="0" applyProtection="0"/>
    <xf numFmtId="227" fontId="89" fillId="12" borderId="0" applyNumberFormat="0" applyBorder="0" applyAlignment="0" applyProtection="0"/>
    <xf numFmtId="227" fontId="89" fillId="16" borderId="0" applyNumberFormat="0" applyBorder="0" applyAlignment="0" applyProtection="0"/>
    <xf numFmtId="227" fontId="89" fillId="17" borderId="0" applyNumberFormat="0" applyBorder="0" applyAlignment="0" applyProtection="0"/>
    <xf numFmtId="227" fontId="89" fillId="18" borderId="0" applyNumberFormat="0" applyBorder="0" applyAlignment="0" applyProtection="0"/>
    <xf numFmtId="227" fontId="12" fillId="15" borderId="0" applyNumberFormat="0" applyBorder="0" applyAlignment="0" applyProtection="0">
      <alignment vertical="center"/>
    </xf>
    <xf numFmtId="227" fontId="12" fillId="3" borderId="0" applyNumberFormat="0" applyBorder="0" applyAlignment="0" applyProtection="0">
      <alignment vertical="center"/>
    </xf>
    <xf numFmtId="227" fontId="12" fillId="12" borderId="0" applyNumberFormat="0" applyBorder="0" applyAlignment="0" applyProtection="0">
      <alignment vertical="center"/>
    </xf>
    <xf numFmtId="227" fontId="12" fillId="16" borderId="0" applyNumberFormat="0" applyBorder="0" applyAlignment="0" applyProtection="0">
      <alignment vertical="center"/>
    </xf>
    <xf numFmtId="227" fontId="12" fillId="17" borderId="0" applyNumberFormat="0" applyBorder="0" applyAlignment="0" applyProtection="0">
      <alignment vertical="center"/>
    </xf>
    <xf numFmtId="227" fontId="12" fillId="18" borderId="0" applyNumberFormat="0" applyBorder="0" applyAlignment="0" applyProtection="0">
      <alignment vertical="center"/>
    </xf>
    <xf numFmtId="227" fontId="89" fillId="20" borderId="0" applyNumberFormat="0" applyBorder="0" applyAlignment="0" applyProtection="0"/>
    <xf numFmtId="227" fontId="89" fillId="19" borderId="0" applyNumberFormat="0" applyBorder="0" applyAlignment="0" applyProtection="0"/>
    <xf numFmtId="227" fontId="89" fillId="21" borderId="0" applyNumberFormat="0" applyBorder="0" applyAlignment="0" applyProtection="0"/>
    <xf numFmtId="227" fontId="89" fillId="16" borderId="0" applyNumberFormat="0" applyBorder="0" applyAlignment="0" applyProtection="0"/>
    <xf numFmtId="227" fontId="89" fillId="17" borderId="0" applyNumberFormat="0" applyBorder="0" applyAlignment="0" applyProtection="0"/>
    <xf numFmtId="227" fontId="89" fillId="14" borderId="0" applyNumberFormat="0" applyBorder="0" applyAlignment="0" applyProtection="0"/>
    <xf numFmtId="227" fontId="90" fillId="0" borderId="1">
      <alignment horizontal="left"/>
    </xf>
    <xf numFmtId="227" fontId="10" fillId="0" borderId="0">
      <alignment vertical="center"/>
    </xf>
    <xf numFmtId="227" fontId="13" fillId="0" borderId="0" applyBorder="0">
      <alignment vertical="center"/>
    </xf>
    <xf numFmtId="179" fontId="10" fillId="0" borderId="0" applyNumberFormat="0" applyFont="0" applyBorder="0" applyAlignment="0" applyProtection="0">
      <protection locked="0"/>
    </xf>
    <xf numFmtId="227" fontId="91" fillId="22" borderId="2" applyNumberFormat="0" applyAlignment="0" applyProtection="0"/>
    <xf numFmtId="227" fontId="70" fillId="23" borderId="0"/>
    <xf numFmtId="227" fontId="15" fillId="0" borderId="3"/>
    <xf numFmtId="227" fontId="92" fillId="22" borderId="4" applyNumberFormat="0" applyAlignment="0" applyProtection="0"/>
    <xf numFmtId="43" fontId="10" fillId="0" borderId="0" applyFont="0" applyFill="0" applyBorder="0" applyAlignment="0" applyProtection="0">
      <alignment vertical="center"/>
    </xf>
    <xf numFmtId="212" fontId="70" fillId="0" borderId="0"/>
    <xf numFmtId="212" fontId="70" fillId="0" borderId="0"/>
    <xf numFmtId="212" fontId="70" fillId="0" borderId="0"/>
    <xf numFmtId="212" fontId="70" fillId="0" borderId="0"/>
    <xf numFmtId="212" fontId="70" fillId="0" borderId="0"/>
    <xf numFmtId="212" fontId="70" fillId="0" borderId="0"/>
    <xf numFmtId="212" fontId="70" fillId="0" borderId="0"/>
    <xf numFmtId="212" fontId="70" fillId="0" borderId="0"/>
    <xf numFmtId="43" fontId="124" fillId="0" borderId="0" applyFont="0" applyFill="0" applyBorder="0" applyAlignment="0" applyProtection="0"/>
    <xf numFmtId="43" fontId="70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0" fontId="14" fillId="0" borderId="0" applyFont="0" applyFill="0" applyBorder="0" applyAlignment="0" applyProtection="0"/>
    <xf numFmtId="227" fontId="15" fillId="0" borderId="0"/>
    <xf numFmtId="37" fontId="10" fillId="0" borderId="0" applyFill="0" applyBorder="0" applyAlignment="0" applyProtection="0"/>
    <xf numFmtId="227" fontId="15" fillId="0" borderId="0"/>
    <xf numFmtId="227" fontId="16" fillId="0" borderId="0"/>
    <xf numFmtId="227" fontId="94" fillId="0" borderId="6">
      <alignment horizontal="center"/>
    </xf>
    <xf numFmtId="227" fontId="17" fillId="0" borderId="0" applyNumberFormat="0" applyBorder="0" applyAlignment="0">
      <protection locked="0"/>
    </xf>
    <xf numFmtId="227" fontId="17" fillId="0" borderId="0" applyNumberFormat="0" applyBorder="0" applyAlignment="0">
      <protection locked="0"/>
    </xf>
    <xf numFmtId="38" fontId="15" fillId="0" borderId="0" applyFont="0" applyFill="0" applyBorder="0" applyAlignment="0" applyProtection="0"/>
    <xf numFmtId="40" fontId="15" fillId="0" borderId="0" applyFont="0" applyFill="0" applyBorder="0" applyAlignment="0" applyProtection="0"/>
    <xf numFmtId="200" fontId="10" fillId="0" borderId="0" applyFont="0" applyFill="0" applyBorder="0" applyAlignment="0" applyProtection="0"/>
    <xf numFmtId="202" fontId="10" fillId="0" borderId="0" applyFont="0" applyFill="0" applyBorder="0" applyAlignment="0" applyProtection="0"/>
    <xf numFmtId="227" fontId="95" fillId="5" borderId="4" applyNumberFormat="0" applyAlignment="0" applyProtection="0"/>
    <xf numFmtId="227" fontId="96" fillId="0" borderId="7" applyNumberFormat="0" applyFill="0" applyAlignment="0" applyProtection="0"/>
    <xf numFmtId="227" fontId="97" fillId="0" borderId="0" applyNumberFormat="0" applyFill="0" applyBorder="0" applyAlignment="0" applyProtection="0"/>
    <xf numFmtId="227" fontId="10" fillId="0" borderId="0" applyFont="0" applyFill="0" applyBorder="0" applyAlignment="0" applyProtection="0">
      <alignment vertical="center"/>
    </xf>
    <xf numFmtId="227" fontId="98" fillId="0" borderId="6"/>
    <xf numFmtId="211" fontId="54" fillId="0" borderId="8">
      <alignment horizontal="right"/>
    </xf>
    <xf numFmtId="38" fontId="18" fillId="23" borderId="0" applyNumberFormat="0" applyBorder="0" applyAlignment="0" applyProtection="0"/>
    <xf numFmtId="227" fontId="99" fillId="9" borderId="0" applyNumberFormat="0" applyBorder="0" applyAlignment="0" applyProtection="0"/>
    <xf numFmtId="227" fontId="55" fillId="0" borderId="9" applyNumberFormat="0" applyAlignment="0" applyProtection="0">
      <alignment horizontal="left" vertical="center"/>
    </xf>
    <xf numFmtId="227" fontId="55" fillId="0" borderId="10">
      <alignment horizontal="left" vertical="center"/>
    </xf>
    <xf numFmtId="227" fontId="19" fillId="0" borderId="0">
      <alignment vertical="top"/>
    </xf>
    <xf numFmtId="227" fontId="31" fillId="0" borderId="0" applyNumberFormat="0" applyFill="0" applyBorder="0" applyAlignment="0" applyProtection="0">
      <alignment vertical="top"/>
      <protection locked="0"/>
    </xf>
    <xf numFmtId="227" fontId="100" fillId="0" borderId="0" applyNumberFormat="0" applyFill="0" applyBorder="0" applyAlignment="0" applyProtection="0">
      <alignment vertical="top"/>
      <protection locked="0"/>
    </xf>
    <xf numFmtId="10" fontId="18" fillId="25" borderId="11" applyNumberFormat="0" applyBorder="0" applyAlignment="0" applyProtection="0"/>
    <xf numFmtId="1" fontId="10" fillId="0" borderId="0">
      <alignment horizontal="center" vertical="center" wrapText="1"/>
    </xf>
    <xf numFmtId="227" fontId="14" fillId="0" borderId="1"/>
    <xf numFmtId="176" fontId="75" fillId="0" borderId="0" applyFont="0" applyFill="0" applyBorder="0" applyAlignment="0" applyProtection="0"/>
    <xf numFmtId="177" fontId="75" fillId="0" borderId="0" applyFont="0" applyFill="0" applyBorder="0" applyAlignment="0" applyProtection="0"/>
    <xf numFmtId="193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203" fontId="75" fillId="0" borderId="0" applyFont="0" applyFill="0" applyBorder="0" applyAlignment="0" applyProtection="0"/>
    <xf numFmtId="204" fontId="75" fillId="0" borderId="0" applyFont="0" applyFill="0" applyBorder="0" applyAlignment="0" applyProtection="0"/>
    <xf numFmtId="37" fontId="102" fillId="0" borderId="0"/>
    <xf numFmtId="189" fontId="21" fillId="0" borderId="0"/>
    <xf numFmtId="227" fontId="130" fillId="0" borderId="0">
      <alignment vertical="center"/>
    </xf>
    <xf numFmtId="227" fontId="131" fillId="0" borderId="0">
      <alignment vertical="center"/>
    </xf>
    <xf numFmtId="227" fontId="121" fillId="0" borderId="0"/>
    <xf numFmtId="227" fontId="123" fillId="0" borderId="0"/>
    <xf numFmtId="227" fontId="124" fillId="0" borderId="0"/>
    <xf numFmtId="227" fontId="22" fillId="0" borderId="0">
      <alignment vertical="center"/>
    </xf>
    <xf numFmtId="227" fontId="127" fillId="0" borderId="0">
      <alignment vertical="center"/>
    </xf>
    <xf numFmtId="227" fontId="70" fillId="0" borderId="0"/>
    <xf numFmtId="227" fontId="70" fillId="0" borderId="0"/>
    <xf numFmtId="227" fontId="22" fillId="0" borderId="0">
      <alignment vertical="center"/>
    </xf>
    <xf numFmtId="227" fontId="22" fillId="0" borderId="0">
      <alignment vertical="center"/>
    </xf>
    <xf numFmtId="227" fontId="10" fillId="0" borderId="0"/>
    <xf numFmtId="227" fontId="14" fillId="0" borderId="0"/>
    <xf numFmtId="227" fontId="14" fillId="0" borderId="0"/>
    <xf numFmtId="227" fontId="14" fillId="0" borderId="0"/>
    <xf numFmtId="227" fontId="10" fillId="0" borderId="0">
      <alignment vertical="center"/>
    </xf>
    <xf numFmtId="227" fontId="10" fillId="0" borderId="0"/>
    <xf numFmtId="227" fontId="88" fillId="4" borderId="12" applyNumberFormat="0" applyFont="0" applyAlignment="0" applyProtection="0"/>
    <xf numFmtId="227" fontId="103" fillId="0" borderId="3">
      <alignment horizontal="left"/>
    </xf>
    <xf numFmtId="227" fontId="101" fillId="26" borderId="13">
      <alignment horizontal="right"/>
      <protection locked="0"/>
    </xf>
    <xf numFmtId="227" fontId="15" fillId="0" borderId="0"/>
    <xf numFmtId="9" fontId="10" fillId="0" borderId="0" applyFont="0" applyFill="0" applyBorder="0" applyAlignment="0" applyProtection="0">
      <alignment vertical="center"/>
    </xf>
    <xf numFmtId="10" fontId="1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124" fillId="0" borderId="0" applyFont="0" applyFill="0" applyBorder="0" applyAlignment="0" applyProtection="0"/>
    <xf numFmtId="9" fontId="127" fillId="0" borderId="0" applyFont="0" applyFill="0" applyBorder="0" applyAlignment="0" applyProtection="0">
      <alignment vertical="center"/>
    </xf>
    <xf numFmtId="9" fontId="70" fillId="0" borderId="0" applyFont="0" applyFill="0" applyBorder="0" applyAlignment="0" applyProtection="0">
      <alignment vertical="center"/>
    </xf>
    <xf numFmtId="9" fontId="70" fillId="0" borderId="0" applyFont="0" applyFill="0" applyBorder="0" applyAlignment="0" applyProtection="0"/>
    <xf numFmtId="227" fontId="93" fillId="0" borderId="0" applyFont="0"/>
    <xf numFmtId="227" fontId="98" fillId="0" borderId="6"/>
    <xf numFmtId="4" fontId="98" fillId="0" borderId="14"/>
    <xf numFmtId="227" fontId="104" fillId="8" borderId="0" applyNumberFormat="0" applyBorder="0" applyAlignment="0" applyProtection="0"/>
    <xf numFmtId="194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227" fontId="105" fillId="0" borderId="0" applyNumberFormat="0" applyFill="0" applyBorder="0" applyAlignment="0" applyProtection="0">
      <alignment vertical="top"/>
      <protection locked="0"/>
    </xf>
    <xf numFmtId="227" fontId="98" fillId="0" borderId="6"/>
    <xf numFmtId="227" fontId="70" fillId="0" borderId="0"/>
    <xf numFmtId="227" fontId="70" fillId="0" borderId="0"/>
    <xf numFmtId="227" fontId="106" fillId="0" borderId="6"/>
    <xf numFmtId="227" fontId="87" fillId="0" borderId="0"/>
    <xf numFmtId="227" fontId="24" fillId="0" borderId="0">
      <alignment horizontal="right"/>
    </xf>
    <xf numFmtId="40" fontId="25" fillId="0" borderId="0"/>
    <xf numFmtId="227" fontId="90" fillId="0" borderId="1"/>
    <xf numFmtId="179" fontId="24" fillId="0" borderId="0">
      <alignment vertical="center"/>
    </xf>
    <xf numFmtId="186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227" fontId="107" fillId="0" borderId="0" applyNumberFormat="0" applyFill="0" applyBorder="0" applyAlignment="0" applyProtection="0"/>
    <xf numFmtId="227" fontId="108" fillId="0" borderId="16" applyNumberFormat="0" applyFill="0" applyAlignment="0" applyProtection="0"/>
    <xf numFmtId="227" fontId="109" fillId="0" borderId="17" applyNumberFormat="0" applyFill="0" applyAlignment="0" applyProtection="0"/>
    <xf numFmtId="227" fontId="110" fillId="0" borderId="18" applyNumberFormat="0" applyFill="0" applyAlignment="0" applyProtection="0"/>
    <xf numFmtId="227" fontId="110" fillId="0" borderId="0" applyNumberFormat="0" applyFill="0" applyBorder="0" applyAlignment="0" applyProtection="0"/>
    <xf numFmtId="227" fontId="103" fillId="0" borderId="1">
      <alignment horizontal="left"/>
    </xf>
    <xf numFmtId="185" fontId="10" fillId="0" borderId="0" applyFont="0" applyFill="0" applyBorder="0" applyAlignment="0" applyProtection="0"/>
    <xf numFmtId="187" fontId="10" fillId="0" borderId="0" applyFont="0" applyFill="0" applyBorder="0" applyAlignment="0" applyProtection="0"/>
    <xf numFmtId="227" fontId="111" fillId="0" borderId="19" applyNumberFormat="0" applyFill="0" applyAlignment="0" applyProtection="0"/>
    <xf numFmtId="205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99" fontId="10" fillId="0" borderId="0" applyFont="0" applyFill="0" applyBorder="0" applyAlignment="0" applyProtection="0"/>
    <xf numFmtId="201" fontId="10" fillId="0" borderId="0" applyFont="0" applyFill="0" applyBorder="0" applyAlignment="0" applyProtection="0"/>
    <xf numFmtId="227" fontId="112" fillId="0" borderId="0" applyNumberFormat="0" applyFill="0" applyBorder="0" applyAlignment="0" applyProtection="0"/>
    <xf numFmtId="227" fontId="10" fillId="4" borderId="0" applyNumberFormat="0" applyFont="0" applyBorder="0" applyAlignment="0" applyProtection="0"/>
    <xf numFmtId="227" fontId="113" fillId="24" borderId="5" applyNumberFormat="0" applyAlignment="0" applyProtection="0"/>
    <xf numFmtId="227" fontId="70" fillId="0" borderId="0"/>
    <xf numFmtId="227" fontId="26" fillId="0" borderId="0" applyNumberFormat="0" applyFill="0" applyBorder="0" applyAlignment="0" applyProtection="0">
      <alignment vertical="center"/>
    </xf>
    <xf numFmtId="227" fontId="27" fillId="0" borderId="16" applyNumberFormat="0" applyFill="0" applyAlignment="0" applyProtection="0">
      <alignment vertical="center"/>
    </xf>
    <xf numFmtId="227" fontId="28" fillId="0" borderId="17" applyNumberFormat="0" applyFill="0" applyAlignment="0" applyProtection="0">
      <alignment vertical="center"/>
    </xf>
    <xf numFmtId="227" fontId="29" fillId="0" borderId="18" applyNumberFormat="0" applyFill="0" applyAlignment="0" applyProtection="0">
      <alignment vertical="center"/>
    </xf>
    <xf numFmtId="227" fontId="29" fillId="0" borderId="0" applyNumberFormat="0" applyFill="0" applyBorder="0" applyAlignment="0" applyProtection="0">
      <alignment vertical="center"/>
    </xf>
    <xf numFmtId="227" fontId="84" fillId="0" borderId="0" applyNumberFormat="0" applyFill="0" applyBorder="0" applyAlignment="0" applyProtection="0">
      <alignment vertical="center"/>
    </xf>
    <xf numFmtId="227" fontId="114" fillId="0" borderId="0"/>
    <xf numFmtId="227" fontId="30" fillId="8" borderId="0" applyNumberFormat="0" applyBorder="0" applyAlignment="0" applyProtection="0">
      <alignment vertical="center"/>
    </xf>
    <xf numFmtId="227" fontId="30" fillId="10" borderId="0" applyNumberFormat="0" applyBorder="0" applyAlignment="0" applyProtection="0">
      <alignment vertical="center"/>
    </xf>
    <xf numFmtId="227" fontId="30" fillId="10" borderId="0" applyNumberFormat="0" applyBorder="0" applyAlignment="0" applyProtection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127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127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127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127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127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127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127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127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127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127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70" fillId="0" borderId="0">
      <alignment vertical="center"/>
    </xf>
    <xf numFmtId="227" fontId="18" fillId="0" borderId="0"/>
    <xf numFmtId="179" fontId="10" fillId="0" borderId="0"/>
    <xf numFmtId="179" fontId="70" fillId="0" borderId="0"/>
    <xf numFmtId="227" fontId="70" fillId="0" borderId="0"/>
    <xf numFmtId="227" fontId="22" fillId="0" borderId="0">
      <alignment vertical="center"/>
    </xf>
    <xf numFmtId="227" fontId="22" fillId="0" borderId="0"/>
    <xf numFmtId="227" fontId="70" fillId="0" borderId="0">
      <alignment vertical="center"/>
    </xf>
    <xf numFmtId="179" fontId="10" fillId="0" borderId="0"/>
    <xf numFmtId="179" fontId="10" fillId="0" borderId="0"/>
    <xf numFmtId="179" fontId="70" fillId="0" borderId="0"/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32" fillId="9" borderId="0" applyNumberFormat="0" applyBorder="0" applyAlignment="0" applyProtection="0">
      <alignment vertical="center"/>
    </xf>
    <xf numFmtId="227" fontId="32" fillId="6" borderId="0" applyNumberFormat="0" applyBorder="0" applyAlignment="0" applyProtection="0">
      <alignment vertical="center"/>
    </xf>
    <xf numFmtId="227" fontId="32" fillId="6" borderId="0" applyNumberFormat="0" applyBorder="0" applyAlignment="0" applyProtection="0">
      <alignment vertical="center"/>
    </xf>
    <xf numFmtId="227" fontId="76" fillId="0" borderId="0" applyFont="0" applyFill="0" applyBorder="0" applyAlignment="0" applyProtection="0"/>
    <xf numFmtId="227" fontId="76" fillId="0" borderId="0" applyFont="0" applyFill="0" applyBorder="0" applyAlignment="0" applyProtection="0"/>
    <xf numFmtId="227" fontId="34" fillId="22" borderId="4" applyNumberFormat="0" applyAlignment="0" applyProtection="0">
      <alignment vertical="center"/>
    </xf>
    <xf numFmtId="227" fontId="35" fillId="24" borderId="5" applyNumberFormat="0" applyAlignment="0" applyProtection="0">
      <alignment vertical="center"/>
    </xf>
    <xf numFmtId="227" fontId="36" fillId="0" borderId="0" applyNumberFormat="0" applyFill="0" applyBorder="0" applyAlignment="0" applyProtection="0">
      <alignment vertical="center"/>
    </xf>
    <xf numFmtId="227" fontId="37" fillId="0" borderId="0" applyNumberFormat="0" applyFill="0" applyBorder="0" applyAlignment="0" applyProtection="0">
      <alignment vertical="center"/>
    </xf>
    <xf numFmtId="227" fontId="38" fillId="0" borderId="19" applyNumberFormat="0" applyFill="0" applyAlignment="0" applyProtection="0">
      <alignment vertical="center"/>
    </xf>
    <xf numFmtId="227" fontId="76" fillId="0" borderId="0" applyFont="0" applyFill="0" applyBorder="0" applyAlignment="0" applyProtection="0"/>
    <xf numFmtId="227" fontId="76" fillId="0" borderId="0" applyFont="0" applyFill="0" applyBorder="0" applyAlignment="0" applyProtection="0"/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227" fontId="12" fillId="20" borderId="0" applyNumberFormat="0" applyBorder="0" applyAlignment="0" applyProtection="0">
      <alignment vertical="center"/>
    </xf>
    <xf numFmtId="227" fontId="12" fillId="19" borderId="0" applyNumberFormat="0" applyBorder="0" applyAlignment="0" applyProtection="0">
      <alignment vertical="center"/>
    </xf>
    <xf numFmtId="227" fontId="12" fillId="21" borderId="0" applyNumberFormat="0" applyBorder="0" applyAlignment="0" applyProtection="0">
      <alignment vertical="center"/>
    </xf>
    <xf numFmtId="227" fontId="12" fillId="16" borderId="0" applyNumberFormat="0" applyBorder="0" applyAlignment="0" applyProtection="0">
      <alignment vertical="center"/>
    </xf>
    <xf numFmtId="227" fontId="12" fillId="17" borderId="0" applyNumberFormat="0" applyBorder="0" applyAlignment="0" applyProtection="0">
      <alignment vertical="center"/>
    </xf>
    <xf numFmtId="227" fontId="12" fillId="14" borderId="0" applyNumberFormat="0" applyBorder="0" applyAlignment="0" applyProtection="0">
      <alignment vertical="center"/>
    </xf>
    <xf numFmtId="227" fontId="40" fillId="22" borderId="2" applyNumberFormat="0" applyAlignment="0" applyProtection="0">
      <alignment vertical="center"/>
    </xf>
    <xf numFmtId="227" fontId="24" fillId="0" borderId="0"/>
    <xf numFmtId="227" fontId="22" fillId="4" borderId="12" applyNumberFormat="0" applyFont="0" applyAlignment="0" applyProtection="0">
      <alignment vertical="center"/>
    </xf>
    <xf numFmtId="179" fontId="9" fillId="0" borderId="0"/>
    <xf numFmtId="43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9" fontId="9" fillId="0" borderId="0"/>
    <xf numFmtId="227" fontId="8" fillId="0" borderId="0"/>
    <xf numFmtId="227" fontId="139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87" fillId="0" borderId="0"/>
    <xf numFmtId="227" fontId="87" fillId="0" borderId="0"/>
    <xf numFmtId="227" fontId="9" fillId="0" borderId="0"/>
    <xf numFmtId="227" fontId="9" fillId="0" borderId="0"/>
    <xf numFmtId="227" fontId="9" fillId="0" borderId="0"/>
    <xf numFmtId="227" fontId="9" fillId="0" borderId="0"/>
    <xf numFmtId="227" fontId="9" fillId="0" borderId="0"/>
    <xf numFmtId="227" fontId="76" fillId="0" borderId="0"/>
    <xf numFmtId="227" fontId="76" fillId="0" borderId="0"/>
    <xf numFmtId="227" fontId="9" fillId="0" borderId="0"/>
    <xf numFmtId="227" fontId="9" fillId="0" borderId="0"/>
    <xf numFmtId="227" fontId="9" fillId="0" borderId="0"/>
    <xf numFmtId="227" fontId="87" fillId="0" borderId="0"/>
    <xf numFmtId="227" fontId="76" fillId="0" borderId="0"/>
    <xf numFmtId="227" fontId="76" fillId="0" borderId="0"/>
    <xf numFmtId="227" fontId="76" fillId="0" borderId="0"/>
    <xf numFmtId="227" fontId="76" fillId="0" borderId="0"/>
    <xf numFmtId="227" fontId="11" fillId="7" borderId="0" applyNumberFormat="0" applyBorder="0" applyAlignment="0" applyProtection="0">
      <alignment vertical="center"/>
    </xf>
    <xf numFmtId="227" fontId="11" fillId="8" borderId="0" applyNumberFormat="0" applyBorder="0" applyAlignment="0" applyProtection="0">
      <alignment vertical="center"/>
    </xf>
    <xf numFmtId="227" fontId="11" fillId="9" borderId="0" applyNumberFormat="0" applyBorder="0" applyAlignment="0" applyProtection="0">
      <alignment vertical="center"/>
    </xf>
    <xf numFmtId="227" fontId="11" fillId="10" borderId="0" applyNumberFormat="0" applyBorder="0" applyAlignment="0" applyProtection="0">
      <alignment vertical="center"/>
    </xf>
    <xf numFmtId="227" fontId="11" fillId="6" borderId="0" applyNumberFormat="0" applyBorder="0" applyAlignment="0" applyProtection="0">
      <alignment vertical="center"/>
    </xf>
    <xf numFmtId="227" fontId="11" fillId="5" borderId="0" applyNumberFormat="0" applyBorder="0" applyAlignment="0" applyProtection="0">
      <alignment vertical="center"/>
    </xf>
    <xf numFmtId="227" fontId="88" fillId="7" borderId="0" applyNumberFormat="0" applyBorder="0" applyAlignment="0" applyProtection="0"/>
    <xf numFmtId="227" fontId="88" fillId="7" borderId="0" applyNumberFormat="0" applyBorder="0" applyAlignment="0" applyProtection="0"/>
    <xf numFmtId="227" fontId="88" fillId="8" borderId="0" applyNumberFormat="0" applyBorder="0" applyAlignment="0" applyProtection="0"/>
    <xf numFmtId="227" fontId="88" fillId="8" borderId="0" applyNumberFormat="0" applyBorder="0" applyAlignment="0" applyProtection="0"/>
    <xf numFmtId="227" fontId="88" fillId="9" borderId="0" applyNumberFormat="0" applyBorder="0" applyAlignment="0" applyProtection="0"/>
    <xf numFmtId="227" fontId="88" fillId="9" borderId="0" applyNumberFormat="0" applyBorder="0" applyAlignment="0" applyProtection="0"/>
    <xf numFmtId="227" fontId="88" fillId="10" borderId="0" applyNumberFormat="0" applyBorder="0" applyAlignment="0" applyProtection="0"/>
    <xf numFmtId="227" fontId="88" fillId="10" borderId="0" applyNumberFormat="0" applyBorder="0" applyAlignment="0" applyProtection="0"/>
    <xf numFmtId="227" fontId="88" fillId="6" borderId="0" applyNumberFormat="0" applyBorder="0" applyAlignment="0" applyProtection="0"/>
    <xf numFmtId="227" fontId="88" fillId="6" borderId="0" applyNumberFormat="0" applyBorder="0" applyAlignment="0" applyProtection="0"/>
    <xf numFmtId="227" fontId="88" fillId="5" borderId="0" applyNumberFormat="0" applyBorder="0" applyAlignment="0" applyProtection="0"/>
    <xf numFmtId="227" fontId="88" fillId="5" borderId="0" applyNumberFormat="0" applyBorder="0" applyAlignment="0" applyProtection="0"/>
    <xf numFmtId="227" fontId="11" fillId="7" borderId="0" applyNumberFormat="0" applyBorder="0" applyAlignment="0" applyProtection="0">
      <alignment vertical="center"/>
    </xf>
    <xf numFmtId="227" fontId="11" fillId="7" borderId="0" applyNumberFormat="0" applyBorder="0" applyAlignment="0" applyProtection="0">
      <alignment vertical="center"/>
    </xf>
    <xf numFmtId="227" fontId="11" fillId="8" borderId="0" applyNumberFormat="0" applyBorder="0" applyAlignment="0" applyProtection="0">
      <alignment vertical="center"/>
    </xf>
    <xf numFmtId="227" fontId="11" fillId="8" borderId="0" applyNumberFormat="0" applyBorder="0" applyAlignment="0" applyProtection="0">
      <alignment vertical="center"/>
    </xf>
    <xf numFmtId="227" fontId="11" fillId="9" borderId="0" applyNumberFormat="0" applyBorder="0" applyAlignment="0" applyProtection="0">
      <alignment vertical="center"/>
    </xf>
    <xf numFmtId="227" fontId="11" fillId="9" borderId="0" applyNumberFormat="0" applyBorder="0" applyAlignment="0" applyProtection="0">
      <alignment vertical="center"/>
    </xf>
    <xf numFmtId="227" fontId="11" fillId="10" borderId="0" applyNumberFormat="0" applyBorder="0" applyAlignment="0" applyProtection="0">
      <alignment vertical="center"/>
    </xf>
    <xf numFmtId="227" fontId="11" fillId="10" borderId="0" applyNumberFormat="0" applyBorder="0" applyAlignment="0" applyProtection="0">
      <alignment vertical="center"/>
    </xf>
    <xf numFmtId="227" fontId="11" fillId="6" borderId="0" applyNumberFormat="0" applyBorder="0" applyAlignment="0" applyProtection="0">
      <alignment vertical="center"/>
    </xf>
    <xf numFmtId="227" fontId="11" fillId="6" borderId="0" applyNumberFormat="0" applyBorder="0" applyAlignment="0" applyProtection="0">
      <alignment vertical="center"/>
    </xf>
    <xf numFmtId="227" fontId="11" fillId="5" borderId="0" applyNumberFormat="0" applyBorder="0" applyAlignment="0" applyProtection="0">
      <alignment vertical="center"/>
    </xf>
    <xf numFmtId="227" fontId="11" fillId="5" borderId="0" applyNumberFormat="0" applyBorder="0" applyAlignment="0" applyProtection="0">
      <alignment vertical="center"/>
    </xf>
    <xf numFmtId="227" fontId="11" fillId="2" borderId="0" applyNumberFormat="0" applyBorder="0" applyAlignment="0" applyProtection="0">
      <alignment vertical="center"/>
    </xf>
    <xf numFmtId="227" fontId="11" fillId="3" borderId="0" applyNumberFormat="0" applyBorder="0" applyAlignment="0" applyProtection="0">
      <alignment vertical="center"/>
    </xf>
    <xf numFmtId="227" fontId="11" fillId="12" borderId="0" applyNumberFormat="0" applyBorder="0" applyAlignment="0" applyProtection="0">
      <alignment vertical="center"/>
    </xf>
    <xf numFmtId="227" fontId="11" fillId="10" borderId="0" applyNumberFormat="0" applyBorder="0" applyAlignment="0" applyProtection="0">
      <alignment vertical="center"/>
    </xf>
    <xf numFmtId="227" fontId="11" fillId="2" borderId="0" applyNumberFormat="0" applyBorder="0" applyAlignment="0" applyProtection="0">
      <alignment vertical="center"/>
    </xf>
    <xf numFmtId="227" fontId="11" fillId="13" borderId="0" applyNumberFormat="0" applyBorder="0" applyAlignment="0" applyProtection="0">
      <alignment vertical="center"/>
    </xf>
    <xf numFmtId="227" fontId="88" fillId="2" borderId="0" applyNumberFormat="0" applyBorder="0" applyAlignment="0" applyProtection="0"/>
    <xf numFmtId="227" fontId="88" fillId="2" borderId="0" applyNumberFormat="0" applyBorder="0" applyAlignment="0" applyProtection="0"/>
    <xf numFmtId="227" fontId="88" fillId="3" borderId="0" applyNumberFormat="0" applyBorder="0" applyAlignment="0" applyProtection="0"/>
    <xf numFmtId="227" fontId="88" fillId="3" borderId="0" applyNumberFormat="0" applyBorder="0" applyAlignment="0" applyProtection="0"/>
    <xf numFmtId="227" fontId="88" fillId="12" borderId="0" applyNumberFormat="0" applyBorder="0" applyAlignment="0" applyProtection="0"/>
    <xf numFmtId="227" fontId="88" fillId="12" borderId="0" applyNumberFormat="0" applyBorder="0" applyAlignment="0" applyProtection="0"/>
    <xf numFmtId="227" fontId="88" fillId="10" borderId="0" applyNumberFormat="0" applyBorder="0" applyAlignment="0" applyProtection="0"/>
    <xf numFmtId="227" fontId="88" fillId="10" borderId="0" applyNumberFormat="0" applyBorder="0" applyAlignment="0" applyProtection="0"/>
    <xf numFmtId="227" fontId="88" fillId="2" borderId="0" applyNumberFormat="0" applyBorder="0" applyAlignment="0" applyProtection="0"/>
    <xf numFmtId="227" fontId="88" fillId="2" borderId="0" applyNumberFormat="0" applyBorder="0" applyAlignment="0" applyProtection="0"/>
    <xf numFmtId="227" fontId="88" fillId="13" borderId="0" applyNumberFormat="0" applyBorder="0" applyAlignment="0" applyProtection="0"/>
    <xf numFmtId="227" fontId="88" fillId="13" borderId="0" applyNumberFormat="0" applyBorder="0" applyAlignment="0" applyProtection="0"/>
    <xf numFmtId="227" fontId="11" fillId="2" borderId="0" applyNumberFormat="0" applyBorder="0" applyAlignment="0" applyProtection="0">
      <alignment vertical="center"/>
    </xf>
    <xf numFmtId="227" fontId="11" fillId="2" borderId="0" applyNumberFormat="0" applyBorder="0" applyAlignment="0" applyProtection="0">
      <alignment vertical="center"/>
    </xf>
    <xf numFmtId="227" fontId="11" fillId="3" borderId="0" applyNumberFormat="0" applyBorder="0" applyAlignment="0" applyProtection="0">
      <alignment vertical="center"/>
    </xf>
    <xf numFmtId="227" fontId="11" fillId="3" borderId="0" applyNumberFormat="0" applyBorder="0" applyAlignment="0" applyProtection="0">
      <alignment vertical="center"/>
    </xf>
    <xf numFmtId="227" fontId="11" fillId="12" borderId="0" applyNumberFormat="0" applyBorder="0" applyAlignment="0" applyProtection="0">
      <alignment vertical="center"/>
    </xf>
    <xf numFmtId="227" fontId="11" fillId="12" borderId="0" applyNumberFormat="0" applyBorder="0" applyAlignment="0" applyProtection="0">
      <alignment vertical="center"/>
    </xf>
    <xf numFmtId="227" fontId="11" fillId="10" borderId="0" applyNumberFormat="0" applyBorder="0" applyAlignment="0" applyProtection="0">
      <alignment vertical="center"/>
    </xf>
    <xf numFmtId="227" fontId="11" fillId="10" borderId="0" applyNumberFormat="0" applyBorder="0" applyAlignment="0" applyProtection="0">
      <alignment vertical="center"/>
    </xf>
    <xf numFmtId="227" fontId="11" fillId="2" borderId="0" applyNumberFormat="0" applyBorder="0" applyAlignment="0" applyProtection="0">
      <alignment vertical="center"/>
    </xf>
    <xf numFmtId="227" fontId="11" fillId="2" borderId="0" applyNumberFormat="0" applyBorder="0" applyAlignment="0" applyProtection="0">
      <alignment vertical="center"/>
    </xf>
    <xf numFmtId="227" fontId="11" fillId="13" borderId="0" applyNumberFormat="0" applyBorder="0" applyAlignment="0" applyProtection="0">
      <alignment vertical="center"/>
    </xf>
    <xf numFmtId="227" fontId="11" fillId="13" borderId="0" applyNumberFormat="0" applyBorder="0" applyAlignment="0" applyProtection="0">
      <alignment vertical="center"/>
    </xf>
    <xf numFmtId="227" fontId="12" fillId="15" borderId="0" applyNumberFormat="0" applyBorder="0" applyAlignment="0" applyProtection="0">
      <alignment vertical="center"/>
    </xf>
    <xf numFmtId="227" fontId="12" fillId="3" borderId="0" applyNumberFormat="0" applyBorder="0" applyAlignment="0" applyProtection="0">
      <alignment vertical="center"/>
    </xf>
    <xf numFmtId="227" fontId="12" fillId="12" borderId="0" applyNumberFormat="0" applyBorder="0" applyAlignment="0" applyProtection="0">
      <alignment vertical="center"/>
    </xf>
    <xf numFmtId="227" fontId="12" fillId="16" borderId="0" applyNumberFormat="0" applyBorder="0" applyAlignment="0" applyProtection="0">
      <alignment vertical="center"/>
    </xf>
    <xf numFmtId="227" fontId="12" fillId="17" borderId="0" applyNumberFormat="0" applyBorder="0" applyAlignment="0" applyProtection="0">
      <alignment vertical="center"/>
    </xf>
    <xf numFmtId="227" fontId="12" fillId="18" borderId="0" applyNumberFormat="0" applyBorder="0" applyAlignment="0" applyProtection="0">
      <alignment vertical="center"/>
    </xf>
    <xf numFmtId="227" fontId="89" fillId="15" borderId="0" applyNumberFormat="0" applyBorder="0" applyAlignment="0" applyProtection="0"/>
    <xf numFmtId="227" fontId="89" fillId="15" borderId="0" applyNumberFormat="0" applyBorder="0" applyAlignment="0" applyProtection="0"/>
    <xf numFmtId="227" fontId="89" fillId="3" borderId="0" applyNumberFormat="0" applyBorder="0" applyAlignment="0" applyProtection="0"/>
    <xf numFmtId="227" fontId="89" fillId="3" borderId="0" applyNumberFormat="0" applyBorder="0" applyAlignment="0" applyProtection="0"/>
    <xf numFmtId="227" fontId="89" fillId="12" borderId="0" applyNumberFormat="0" applyBorder="0" applyAlignment="0" applyProtection="0"/>
    <xf numFmtId="227" fontId="89" fillId="12" borderId="0" applyNumberFormat="0" applyBorder="0" applyAlignment="0" applyProtection="0"/>
    <xf numFmtId="227" fontId="89" fillId="16" borderId="0" applyNumberFormat="0" applyBorder="0" applyAlignment="0" applyProtection="0"/>
    <xf numFmtId="227" fontId="89" fillId="16" borderId="0" applyNumberFormat="0" applyBorder="0" applyAlignment="0" applyProtection="0"/>
    <xf numFmtId="227" fontId="89" fillId="17" borderId="0" applyNumberFormat="0" applyBorder="0" applyAlignment="0" applyProtection="0"/>
    <xf numFmtId="227" fontId="89" fillId="17" borderId="0" applyNumberFormat="0" applyBorder="0" applyAlignment="0" applyProtection="0"/>
    <xf numFmtId="227" fontId="89" fillId="18" borderId="0" applyNumberFormat="0" applyBorder="0" applyAlignment="0" applyProtection="0"/>
    <xf numFmtId="227" fontId="89" fillId="18" borderId="0" applyNumberFormat="0" applyBorder="0" applyAlignment="0" applyProtection="0"/>
    <xf numFmtId="227" fontId="12" fillId="15" borderId="0" applyNumberFormat="0" applyBorder="0" applyAlignment="0" applyProtection="0">
      <alignment vertical="center"/>
    </xf>
    <xf numFmtId="227" fontId="12" fillId="15" borderId="0" applyNumberFormat="0" applyBorder="0" applyAlignment="0" applyProtection="0">
      <alignment vertical="center"/>
    </xf>
    <xf numFmtId="227" fontId="12" fillId="3" borderId="0" applyNumberFormat="0" applyBorder="0" applyAlignment="0" applyProtection="0">
      <alignment vertical="center"/>
    </xf>
    <xf numFmtId="227" fontId="12" fillId="3" borderId="0" applyNumberFormat="0" applyBorder="0" applyAlignment="0" applyProtection="0">
      <alignment vertical="center"/>
    </xf>
    <xf numFmtId="227" fontId="12" fillId="12" borderId="0" applyNumberFormat="0" applyBorder="0" applyAlignment="0" applyProtection="0">
      <alignment vertical="center"/>
    </xf>
    <xf numFmtId="227" fontId="12" fillId="12" borderId="0" applyNumberFormat="0" applyBorder="0" applyAlignment="0" applyProtection="0">
      <alignment vertical="center"/>
    </xf>
    <xf numFmtId="227" fontId="12" fillId="16" borderId="0" applyNumberFormat="0" applyBorder="0" applyAlignment="0" applyProtection="0">
      <alignment vertical="center"/>
    </xf>
    <xf numFmtId="227" fontId="12" fillId="16" borderId="0" applyNumberFormat="0" applyBorder="0" applyAlignment="0" applyProtection="0">
      <alignment vertical="center"/>
    </xf>
    <xf numFmtId="227" fontId="12" fillId="17" borderId="0" applyNumberFormat="0" applyBorder="0" applyAlignment="0" applyProtection="0">
      <alignment vertical="center"/>
    </xf>
    <xf numFmtId="227" fontId="12" fillId="17" borderId="0" applyNumberFormat="0" applyBorder="0" applyAlignment="0" applyProtection="0">
      <alignment vertical="center"/>
    </xf>
    <xf numFmtId="227" fontId="12" fillId="18" borderId="0" applyNumberFormat="0" applyBorder="0" applyAlignment="0" applyProtection="0">
      <alignment vertical="center"/>
    </xf>
    <xf numFmtId="227" fontId="12" fillId="18" borderId="0" applyNumberFormat="0" applyBorder="0" applyAlignment="0" applyProtection="0">
      <alignment vertical="center"/>
    </xf>
    <xf numFmtId="227" fontId="12" fillId="20" borderId="0" applyNumberFormat="0" applyBorder="0" applyAlignment="0" applyProtection="0">
      <alignment vertical="center"/>
    </xf>
    <xf numFmtId="227" fontId="12" fillId="19" borderId="0" applyNumberFormat="0" applyBorder="0" applyAlignment="0" applyProtection="0">
      <alignment vertical="center"/>
    </xf>
    <xf numFmtId="227" fontId="12" fillId="21" borderId="0" applyNumberFormat="0" applyBorder="0" applyAlignment="0" applyProtection="0">
      <alignment vertical="center"/>
    </xf>
    <xf numFmtId="227" fontId="12" fillId="16" borderId="0" applyNumberFormat="0" applyBorder="0" applyAlignment="0" applyProtection="0">
      <alignment vertical="center"/>
    </xf>
    <xf numFmtId="227" fontId="12" fillId="17" borderId="0" applyNumberFormat="0" applyBorder="0" applyAlignment="0" applyProtection="0">
      <alignment vertical="center"/>
    </xf>
    <xf numFmtId="227" fontId="12" fillId="14" borderId="0" applyNumberFormat="0" applyBorder="0" applyAlignment="0" applyProtection="0">
      <alignment vertical="center"/>
    </xf>
    <xf numFmtId="227" fontId="89" fillId="20" borderId="0" applyNumberFormat="0" applyBorder="0" applyAlignment="0" applyProtection="0"/>
    <xf numFmtId="227" fontId="89" fillId="20" borderId="0" applyNumberFormat="0" applyBorder="0" applyAlignment="0" applyProtection="0"/>
    <xf numFmtId="227" fontId="89" fillId="19" borderId="0" applyNumberFormat="0" applyBorder="0" applyAlignment="0" applyProtection="0"/>
    <xf numFmtId="227" fontId="89" fillId="19" borderId="0" applyNumberFormat="0" applyBorder="0" applyAlignment="0" applyProtection="0"/>
    <xf numFmtId="227" fontId="89" fillId="21" borderId="0" applyNumberFormat="0" applyBorder="0" applyAlignment="0" applyProtection="0"/>
    <xf numFmtId="227" fontId="89" fillId="21" borderId="0" applyNumberFormat="0" applyBorder="0" applyAlignment="0" applyProtection="0"/>
    <xf numFmtId="227" fontId="89" fillId="16" borderId="0" applyNumberFormat="0" applyBorder="0" applyAlignment="0" applyProtection="0"/>
    <xf numFmtId="227" fontId="89" fillId="16" borderId="0" applyNumberFormat="0" applyBorder="0" applyAlignment="0" applyProtection="0"/>
    <xf numFmtId="227" fontId="89" fillId="17" borderId="0" applyNumberFormat="0" applyBorder="0" applyAlignment="0" applyProtection="0"/>
    <xf numFmtId="227" fontId="89" fillId="17" borderId="0" applyNumberFormat="0" applyBorder="0" applyAlignment="0" applyProtection="0"/>
    <xf numFmtId="227" fontId="89" fillId="14" borderId="0" applyNumberFormat="0" applyBorder="0" applyAlignment="0" applyProtection="0"/>
    <xf numFmtId="227" fontId="89" fillId="14" borderId="0" applyNumberFormat="0" applyBorder="0" applyAlignment="0" applyProtection="0"/>
    <xf numFmtId="227" fontId="90" fillId="0" borderId="155">
      <alignment horizontal="left"/>
    </xf>
    <xf numFmtId="227" fontId="90" fillId="0" borderId="155">
      <alignment horizontal="left"/>
    </xf>
    <xf numFmtId="227" fontId="90" fillId="0" borderId="155">
      <alignment horizontal="left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13" fillId="0" borderId="0" applyBorder="0">
      <alignment vertical="center"/>
    </xf>
    <xf numFmtId="227" fontId="13" fillId="0" borderId="0" applyBorder="0">
      <alignment vertical="center"/>
    </xf>
    <xf numFmtId="179" fontId="9" fillId="0" borderId="0" applyNumberFormat="0" applyFont="0" applyBorder="0" applyAlignment="0" applyProtection="0">
      <protection locked="0"/>
    </xf>
    <xf numFmtId="227" fontId="9" fillId="0" borderId="0" applyNumberFormat="0" applyFont="0" applyBorder="0" applyAlignment="0" applyProtection="0">
      <protection locked="0"/>
    </xf>
    <xf numFmtId="227" fontId="9" fillId="0" borderId="0" applyNumberFormat="0" applyFont="0" applyBorder="0" applyAlignment="0" applyProtection="0">
      <protection locked="0"/>
    </xf>
    <xf numFmtId="227" fontId="9" fillId="0" borderId="0" applyNumberFormat="0" applyFont="0" applyBorder="0" applyAlignment="0" applyProtection="0">
      <protection locked="0"/>
    </xf>
    <xf numFmtId="227" fontId="9" fillId="0" borderId="0" applyNumberFormat="0" applyFont="0" applyBorder="0" applyAlignment="0" applyProtection="0">
      <protection locked="0"/>
    </xf>
    <xf numFmtId="179" fontId="9" fillId="0" borderId="0" applyNumberFormat="0" applyFont="0" applyBorder="0" applyAlignment="0" applyProtection="0">
      <protection locked="0"/>
    </xf>
    <xf numFmtId="227" fontId="91" fillId="22" borderId="170" applyNumberFormat="0" applyAlignment="0" applyProtection="0"/>
    <xf numFmtId="227" fontId="91" fillId="22" borderId="170" applyNumberFormat="0" applyAlignment="0" applyProtection="0"/>
    <xf numFmtId="227" fontId="91" fillId="22" borderId="170" applyNumberFormat="0" applyAlignment="0" applyProtection="0"/>
    <xf numFmtId="227" fontId="9" fillId="23" borderId="0"/>
    <xf numFmtId="227" fontId="9" fillId="23" borderId="0"/>
    <xf numFmtId="227" fontId="9" fillId="23" borderId="0"/>
    <xf numFmtId="227" fontId="9" fillId="23" borderId="0"/>
    <xf numFmtId="227" fontId="9" fillId="23" borderId="0"/>
    <xf numFmtId="227" fontId="30" fillId="8" borderId="0" applyNumberFormat="0" applyBorder="0" applyAlignment="0" applyProtection="0">
      <alignment vertical="center"/>
    </xf>
    <xf numFmtId="227" fontId="15" fillId="0" borderId="156"/>
    <xf numFmtId="216" fontId="15" fillId="0" borderId="156"/>
    <xf numFmtId="227" fontId="15" fillId="0" borderId="156"/>
    <xf numFmtId="227" fontId="15" fillId="0" borderId="156"/>
    <xf numFmtId="227" fontId="92" fillId="22" borderId="171" applyNumberFormat="0" applyAlignment="0" applyProtection="0"/>
    <xf numFmtId="227" fontId="92" fillId="22" borderId="171" applyNumberFormat="0" applyAlignment="0" applyProtection="0"/>
    <xf numFmtId="227" fontId="92" fillId="22" borderId="171" applyNumberFormat="0" applyAlignment="0" applyProtection="0"/>
    <xf numFmtId="227" fontId="34" fillId="22" borderId="171" applyNumberFormat="0" applyAlignment="0" applyProtection="0">
      <alignment vertical="center"/>
    </xf>
    <xf numFmtId="227" fontId="35" fillId="24" borderId="5" applyNumberFormat="0" applyAlignment="0" applyProtection="0">
      <alignment vertical="center"/>
    </xf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184" fontId="9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217" fontId="9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4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142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14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217" fontId="9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217" fontId="9" fillId="0" borderId="0" applyFont="0" applyFill="0" applyBorder="0" applyAlignment="0" applyProtection="0"/>
    <xf numFmtId="43" fontId="141" fillId="0" borderId="0" applyFont="0" applyFill="0" applyBorder="0" applyAlignment="0" applyProtection="0">
      <alignment vertical="center"/>
    </xf>
    <xf numFmtId="43" fontId="141" fillId="0" borderId="0" applyFont="0" applyFill="0" applyBorder="0" applyAlignment="0" applyProtection="0">
      <alignment vertical="center"/>
    </xf>
    <xf numFmtId="227" fontId="141" fillId="0" borderId="0" applyFont="0" applyFill="0" applyBorder="0" applyAlignment="0" applyProtection="0">
      <alignment vertical="center"/>
    </xf>
    <xf numFmtId="43" fontId="141" fillId="0" borderId="0" applyFont="0" applyFill="0" applyBorder="0" applyAlignment="0" applyProtection="0">
      <alignment vertical="center"/>
    </xf>
    <xf numFmtId="227" fontId="15" fillId="0" borderId="0"/>
    <xf numFmtId="227" fontId="15" fillId="0" borderId="0"/>
    <xf numFmtId="227" fontId="15" fillId="0" borderId="0"/>
    <xf numFmtId="227" fontId="15" fillId="0" borderId="0"/>
    <xf numFmtId="227" fontId="16" fillId="0" borderId="0"/>
    <xf numFmtId="227" fontId="16" fillId="0" borderId="0"/>
    <xf numFmtId="193" fontId="94" fillId="0" borderId="6">
      <alignment horizontal="center"/>
    </xf>
    <xf numFmtId="227" fontId="94" fillId="0" borderId="6">
      <alignment horizontal="center"/>
    </xf>
    <xf numFmtId="227" fontId="94" fillId="0" borderId="6">
      <alignment horizontal="center"/>
    </xf>
    <xf numFmtId="227" fontId="17" fillId="0" borderId="0" applyNumberFormat="0" applyBorder="0" applyAlignment="0">
      <protection locked="0"/>
    </xf>
    <xf numFmtId="227" fontId="17" fillId="0" borderId="0" applyNumberFormat="0" applyBorder="0" applyAlignment="0">
      <protection locked="0"/>
    </xf>
    <xf numFmtId="227" fontId="17" fillId="0" borderId="0" applyNumberFormat="0" applyBorder="0" applyAlignment="0">
      <protection locked="0"/>
    </xf>
    <xf numFmtId="227" fontId="17" fillId="0" borderId="0" applyNumberFormat="0" applyBorder="0" applyAlignment="0">
      <protection locked="0"/>
    </xf>
    <xf numFmtId="227" fontId="95" fillId="5" borderId="171" applyNumberFormat="0" applyAlignment="0" applyProtection="0"/>
    <xf numFmtId="227" fontId="95" fillId="5" borderId="171" applyNumberFormat="0" applyAlignment="0" applyProtection="0"/>
    <xf numFmtId="227" fontId="95" fillId="5" borderId="171" applyNumberFormat="0" applyAlignment="0" applyProtection="0"/>
    <xf numFmtId="227" fontId="96" fillId="0" borderId="172" applyNumberFormat="0" applyFill="0" applyAlignment="0" applyProtection="0"/>
    <xf numFmtId="227" fontId="96" fillId="0" borderId="172" applyNumberFormat="0" applyFill="0" applyAlignment="0" applyProtection="0"/>
    <xf numFmtId="227" fontId="96" fillId="0" borderId="172" applyNumberFormat="0" applyFill="0" applyAlignment="0" applyProtection="0"/>
    <xf numFmtId="227" fontId="97" fillId="0" borderId="0" applyNumberFormat="0" applyFill="0" applyBorder="0" applyAlignment="0" applyProtection="0"/>
    <xf numFmtId="227" fontId="97" fillId="0" borderId="0" applyNumberFormat="0" applyFill="0" applyBorder="0" applyAlignment="0" applyProtection="0"/>
    <xf numFmtId="227" fontId="9" fillId="0" borderId="0" applyFont="0" applyFill="0" applyBorder="0" applyAlignment="0" applyProtection="0">
      <alignment vertical="center"/>
    </xf>
    <xf numFmtId="227" fontId="9" fillId="0" borderId="0" applyFont="0" applyFill="0" applyBorder="0" applyAlignment="0" applyProtection="0">
      <alignment vertical="center"/>
    </xf>
    <xf numFmtId="227" fontId="9" fillId="0" borderId="0" applyFont="0" applyFill="0" applyBorder="0" applyAlignment="0" applyProtection="0">
      <alignment vertical="center"/>
    </xf>
    <xf numFmtId="227" fontId="9" fillId="0" borderId="0" applyFont="0" applyFill="0" applyBorder="0" applyAlignment="0" applyProtection="0">
      <alignment vertical="center"/>
    </xf>
    <xf numFmtId="227" fontId="9" fillId="0" borderId="0" applyFont="0" applyFill="0" applyBorder="0" applyAlignment="0" applyProtection="0">
      <alignment vertical="center"/>
    </xf>
    <xf numFmtId="227" fontId="9" fillId="0" borderId="0" applyFont="0" applyFill="0" applyBorder="0" applyAlignment="0" applyProtection="0">
      <alignment vertical="center"/>
    </xf>
    <xf numFmtId="227" fontId="36" fillId="0" borderId="0" applyNumberFormat="0" applyFill="0" applyBorder="0" applyAlignment="0" applyProtection="0">
      <alignment vertical="center"/>
    </xf>
    <xf numFmtId="218" fontId="98" fillId="0" borderId="6"/>
    <xf numFmtId="227" fontId="98" fillId="0" borderId="6"/>
    <xf numFmtId="227" fontId="98" fillId="0" borderId="6"/>
    <xf numFmtId="227" fontId="143" fillId="0" borderId="0" applyNumberFormat="0" applyFill="0" applyBorder="0" applyAlignment="0" applyProtection="0">
      <alignment vertical="top"/>
      <protection locked="0"/>
    </xf>
    <xf numFmtId="227" fontId="32" fillId="9" borderId="0" applyNumberFormat="0" applyBorder="0" applyAlignment="0" applyProtection="0">
      <alignment vertical="center"/>
    </xf>
    <xf numFmtId="227" fontId="99" fillId="9" borderId="0" applyNumberFormat="0" applyBorder="0" applyAlignment="0" applyProtection="0"/>
    <xf numFmtId="227" fontId="99" fillId="9" borderId="0" applyNumberFormat="0" applyBorder="0" applyAlignment="0" applyProtection="0"/>
    <xf numFmtId="227" fontId="55" fillId="0" borderId="9" applyNumberFormat="0" applyAlignment="0" applyProtection="0">
      <alignment horizontal="left" vertical="center"/>
    </xf>
    <xf numFmtId="227" fontId="55" fillId="0" borderId="9" applyNumberFormat="0" applyAlignment="0" applyProtection="0">
      <alignment horizontal="left" vertical="center"/>
    </xf>
    <xf numFmtId="227" fontId="55" fillId="0" borderId="173">
      <alignment horizontal="left" vertical="center"/>
    </xf>
    <xf numFmtId="227" fontId="55" fillId="0" borderId="173">
      <alignment horizontal="left" vertical="center"/>
    </xf>
    <xf numFmtId="227" fontId="55" fillId="0" borderId="173">
      <alignment horizontal="left" vertical="center"/>
    </xf>
    <xf numFmtId="227" fontId="27" fillId="0" borderId="16" applyNumberFormat="0" applyFill="0" applyAlignment="0" applyProtection="0">
      <alignment vertical="center"/>
    </xf>
    <xf numFmtId="227" fontId="28" fillId="0" borderId="17" applyNumberFormat="0" applyFill="0" applyAlignment="0" applyProtection="0">
      <alignment vertical="center"/>
    </xf>
    <xf numFmtId="227" fontId="29" fillId="0" borderId="18" applyNumberFormat="0" applyFill="0" applyAlignment="0" applyProtection="0">
      <alignment vertical="center"/>
    </xf>
    <xf numFmtId="227" fontId="29" fillId="0" borderId="0" applyNumberFormat="0" applyFill="0" applyBorder="0" applyAlignment="0" applyProtection="0">
      <alignment vertical="center"/>
    </xf>
    <xf numFmtId="227" fontId="19" fillId="0" borderId="0">
      <alignment vertical="top"/>
    </xf>
    <xf numFmtId="227" fontId="19" fillId="0" borderId="0">
      <alignment vertical="top"/>
    </xf>
    <xf numFmtId="227" fontId="31" fillId="0" borderId="0" applyNumberFormat="0" applyFill="0" applyBorder="0" applyAlignment="0" applyProtection="0">
      <alignment vertical="top"/>
      <protection locked="0"/>
    </xf>
    <xf numFmtId="227" fontId="128" fillId="0" borderId="0" applyNumberFormat="0" applyFill="0" applyBorder="0" applyAlignment="0" applyProtection="0">
      <alignment vertical="top"/>
      <protection locked="0"/>
    </xf>
    <xf numFmtId="227" fontId="128" fillId="0" borderId="0" applyNumberFormat="0" applyFill="0" applyBorder="0" applyAlignment="0" applyProtection="0">
      <alignment vertical="top"/>
      <protection locked="0"/>
    </xf>
    <xf numFmtId="227" fontId="128" fillId="0" borderId="0" applyNumberFormat="0" applyFill="0" applyBorder="0" applyAlignment="0" applyProtection="0">
      <alignment vertical="top"/>
      <protection locked="0"/>
    </xf>
    <xf numFmtId="227" fontId="128" fillId="0" borderId="0" applyNumberFormat="0" applyFill="0" applyBorder="0" applyAlignment="0" applyProtection="0">
      <alignment vertical="top"/>
      <protection locked="0"/>
    </xf>
    <xf numFmtId="227" fontId="128" fillId="0" borderId="0" applyNumberFormat="0" applyFill="0" applyBorder="0" applyAlignment="0" applyProtection="0">
      <alignment vertical="top"/>
      <protection locked="0"/>
    </xf>
    <xf numFmtId="10" fontId="18" fillId="25" borderId="158" applyNumberFormat="0" applyBorder="0" applyAlignment="0" applyProtection="0"/>
    <xf numFmtId="227" fontId="20" fillId="0" borderId="0" applyBorder="0" applyAlignment="0">
      <alignment vertical="top"/>
      <protection locked="0"/>
    </xf>
    <xf numFmtId="227" fontId="41" fillId="5" borderId="171" applyNumberFormat="0" applyAlignment="0" applyProtection="0">
      <alignment vertical="center"/>
    </xf>
    <xf numFmtId="227" fontId="20" fillId="0" borderId="0" applyBorder="0" applyAlignment="0">
      <alignment vertical="top"/>
      <protection locked="0"/>
    </xf>
    <xf numFmtId="227" fontId="41" fillId="5" borderId="171" applyNumberFormat="0" applyAlignment="0" applyProtection="0">
      <alignment vertical="center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1" fontId="9" fillId="0" borderId="0">
      <alignment horizontal="center" vertical="center" wrapText="1"/>
    </xf>
    <xf numFmtId="1" fontId="9" fillId="0" borderId="0">
      <alignment horizontal="center" vertical="center" wrapText="1"/>
    </xf>
    <xf numFmtId="1" fontId="9" fillId="0" borderId="0">
      <alignment horizontal="center" vertical="center" wrapText="1"/>
    </xf>
    <xf numFmtId="1" fontId="9" fillId="0" borderId="0">
      <alignment horizontal="center" vertical="center" wrapText="1"/>
    </xf>
    <xf numFmtId="1" fontId="9" fillId="0" borderId="0">
      <alignment horizontal="center" vertical="center" wrapText="1"/>
    </xf>
    <xf numFmtId="227" fontId="38" fillId="0" borderId="19" applyNumberFormat="0" applyFill="0" applyAlignment="0" applyProtection="0">
      <alignment vertical="center"/>
    </xf>
    <xf numFmtId="227" fontId="14" fillId="0" borderId="155"/>
    <xf numFmtId="38" fontId="14" fillId="0" borderId="155"/>
    <xf numFmtId="227" fontId="14" fillId="0" borderId="155"/>
    <xf numFmtId="227" fontId="14" fillId="0" borderId="155"/>
    <xf numFmtId="227" fontId="39" fillId="11" borderId="0" applyNumberFormat="0" applyBorder="0" applyAlignment="0" applyProtection="0">
      <alignment vertical="center"/>
    </xf>
    <xf numFmtId="227" fontId="144" fillId="11" borderId="0" applyNumberFormat="0" applyBorder="0" applyAlignment="0" applyProtection="0"/>
    <xf numFmtId="227" fontId="22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9" fillId="0" borderId="0">
      <alignment vertical="center"/>
    </xf>
    <xf numFmtId="227" fontId="9" fillId="0" borderId="0"/>
    <xf numFmtId="227" fontId="22" fillId="0" borderId="0">
      <alignment vertical="center"/>
    </xf>
    <xf numFmtId="227" fontId="9" fillId="0" borderId="0">
      <alignment vertical="center"/>
    </xf>
    <xf numFmtId="227" fontId="141" fillId="0" borderId="0">
      <alignment vertical="center"/>
    </xf>
    <xf numFmtId="179" fontId="9" fillId="0" borderId="0"/>
    <xf numFmtId="227" fontId="141" fillId="0" borderId="0">
      <alignment vertical="center"/>
    </xf>
    <xf numFmtId="227" fontId="141" fillId="0" borderId="0">
      <alignment vertical="center"/>
    </xf>
    <xf numFmtId="227" fontId="9" fillId="0" borderId="0">
      <alignment vertical="center"/>
    </xf>
    <xf numFmtId="227" fontId="142" fillId="0" borderId="0"/>
    <xf numFmtId="227" fontId="9" fillId="0" borderId="0"/>
    <xf numFmtId="227" fontId="9" fillId="0" borderId="0"/>
    <xf numFmtId="227" fontId="22" fillId="0" borderId="0">
      <alignment vertical="center"/>
    </xf>
    <xf numFmtId="227" fontId="22" fillId="0" borderId="0">
      <alignment vertical="center"/>
    </xf>
    <xf numFmtId="227" fontId="9" fillId="0" borderId="0"/>
    <xf numFmtId="227" fontId="9" fillId="0" borderId="0">
      <alignment vertical="center"/>
    </xf>
    <xf numFmtId="227" fontId="22" fillId="0" borderId="0">
      <alignment vertical="center"/>
    </xf>
    <xf numFmtId="227" fontId="9" fillId="0" borderId="0">
      <alignment vertical="center"/>
    </xf>
    <xf numFmtId="227" fontId="9" fillId="0" borderId="0"/>
    <xf numFmtId="227" fontId="9" fillId="0" borderId="0"/>
    <xf numFmtId="227" fontId="9" fillId="0" borderId="0"/>
    <xf numFmtId="227" fontId="142" fillId="0" borderId="0">
      <alignment vertical="center"/>
    </xf>
    <xf numFmtId="227" fontId="9" fillId="0" borderId="0"/>
    <xf numFmtId="227" fontId="142" fillId="0" borderId="0">
      <alignment vertical="center"/>
    </xf>
    <xf numFmtId="227" fontId="22" fillId="0" borderId="0"/>
    <xf numFmtId="227" fontId="9" fillId="0" borderId="0"/>
    <xf numFmtId="227" fontId="9" fillId="0" borderId="0"/>
    <xf numFmtId="227" fontId="9" fillId="0" borderId="0"/>
    <xf numFmtId="227" fontId="9" fillId="0" borderId="0"/>
    <xf numFmtId="227" fontId="22" fillId="0" borderId="0">
      <alignment vertical="center"/>
    </xf>
    <xf numFmtId="227" fontId="9" fillId="0" borderId="0"/>
    <xf numFmtId="227" fontId="9" fillId="0" borderId="0"/>
    <xf numFmtId="227" fontId="9" fillId="0" borderId="0"/>
    <xf numFmtId="227" fontId="9" fillId="0" borderId="0"/>
    <xf numFmtId="227" fontId="142" fillId="0" borderId="0"/>
    <xf numFmtId="227" fontId="9" fillId="0" borderId="0"/>
    <xf numFmtId="227" fontId="9" fillId="0" borderId="0">
      <alignment vertical="center"/>
    </xf>
    <xf numFmtId="227" fontId="9" fillId="0" borderId="0">
      <alignment vertical="center"/>
    </xf>
    <xf numFmtId="227" fontId="9" fillId="0" borderId="0"/>
    <xf numFmtId="227" fontId="9" fillId="0" borderId="0"/>
    <xf numFmtId="227" fontId="141" fillId="0" borderId="0">
      <alignment vertical="center"/>
    </xf>
    <xf numFmtId="227" fontId="9" fillId="0" borderId="0"/>
    <xf numFmtId="227" fontId="22" fillId="0" borderId="0"/>
    <xf numFmtId="227" fontId="22" fillId="0" borderId="0"/>
    <xf numFmtId="227" fontId="9" fillId="0" borderId="0"/>
    <xf numFmtId="227" fontId="22" fillId="0" borderId="0"/>
    <xf numFmtId="227" fontId="9" fillId="0" borderId="0"/>
    <xf numFmtId="227" fontId="9" fillId="0" borderId="0"/>
    <xf numFmtId="227" fontId="22" fillId="0" borderId="0">
      <alignment vertical="center"/>
    </xf>
    <xf numFmtId="227" fontId="22" fillId="0" borderId="0">
      <alignment vertical="center"/>
    </xf>
    <xf numFmtId="227" fontId="9" fillId="0" borderId="0"/>
    <xf numFmtId="227" fontId="9" fillId="0" borderId="0"/>
    <xf numFmtId="227" fontId="22" fillId="0" borderId="0">
      <alignment vertical="center"/>
    </xf>
    <xf numFmtId="227" fontId="22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22" fillId="0" borderId="0">
      <alignment vertical="center"/>
    </xf>
    <xf numFmtId="227" fontId="9" fillId="0" borderId="0"/>
    <xf numFmtId="227" fontId="9" fillId="0" borderId="0">
      <alignment vertical="center"/>
    </xf>
    <xf numFmtId="227" fontId="9" fillId="0" borderId="0">
      <alignment vertical="center"/>
    </xf>
    <xf numFmtId="227" fontId="9" fillId="0" borderId="0"/>
    <xf numFmtId="227" fontId="9" fillId="0" borderId="0"/>
    <xf numFmtId="227" fontId="9" fillId="0" borderId="0">
      <alignment vertical="center"/>
    </xf>
    <xf numFmtId="227" fontId="9" fillId="0" borderId="0">
      <alignment vertical="center"/>
    </xf>
    <xf numFmtId="227" fontId="9" fillId="0" borderId="0"/>
    <xf numFmtId="227" fontId="9" fillId="0" borderId="0">
      <alignment vertical="center"/>
    </xf>
    <xf numFmtId="227" fontId="9" fillId="0" borderId="0">
      <alignment vertical="center"/>
    </xf>
    <xf numFmtId="227" fontId="22" fillId="0" borderId="0">
      <alignment vertical="center"/>
    </xf>
    <xf numFmtId="227" fontId="22" fillId="4" borderId="12" applyNumberFormat="0" applyFont="0" applyAlignment="0" applyProtection="0">
      <alignment vertical="center"/>
    </xf>
    <xf numFmtId="227" fontId="88" fillId="4" borderId="12" applyNumberFormat="0" applyFont="0" applyAlignment="0" applyProtection="0"/>
    <xf numFmtId="227" fontId="88" fillId="4" borderId="12" applyNumberFormat="0" applyFont="0" applyAlignment="0" applyProtection="0"/>
    <xf numFmtId="227" fontId="103" fillId="0" borderId="156">
      <alignment horizontal="left"/>
    </xf>
    <xf numFmtId="227" fontId="103" fillId="0" borderId="156">
      <alignment horizontal="left"/>
    </xf>
    <xf numFmtId="227" fontId="103" fillId="0" borderId="156">
      <alignment horizontal="left"/>
    </xf>
    <xf numFmtId="227" fontId="40" fillId="22" borderId="170" applyNumberFormat="0" applyAlignment="0" applyProtection="0">
      <alignment vertical="center"/>
    </xf>
    <xf numFmtId="227" fontId="101" fillId="26" borderId="13">
      <alignment horizontal="right"/>
      <protection locked="0"/>
    </xf>
    <xf numFmtId="227" fontId="101" fillId="26" borderId="13">
      <alignment horizontal="right"/>
      <protection locked="0"/>
    </xf>
    <xf numFmtId="227" fontId="15" fillId="0" borderId="0"/>
    <xf numFmtId="227" fontId="15" fillId="0" borderId="0"/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42" fillId="0" borderId="0" applyFont="0" applyFill="0" applyBorder="0" applyAlignment="0" applyProtection="0">
      <alignment vertical="center"/>
    </xf>
    <xf numFmtId="9" fontId="142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41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227" fontId="93" fillId="0" borderId="0" applyFont="0"/>
    <xf numFmtId="227" fontId="93" fillId="0" borderId="0" applyFont="0"/>
    <xf numFmtId="219" fontId="98" fillId="0" borderId="6"/>
    <xf numFmtId="227" fontId="98" fillId="0" borderId="6"/>
    <xf numFmtId="227" fontId="98" fillId="0" borderId="6"/>
    <xf numFmtId="227" fontId="104" fillId="8" borderId="0" applyNumberFormat="0" applyBorder="0" applyAlignment="0" applyProtection="0"/>
    <xf numFmtId="227" fontId="104" fillId="8" borderId="0" applyNumberFormat="0" applyBorder="0" applyAlignment="0" applyProtection="0"/>
    <xf numFmtId="227" fontId="145" fillId="0" borderId="0" applyNumberFormat="0" applyFill="0" applyBorder="0" applyAlignment="0" applyProtection="0">
      <alignment vertical="top"/>
      <protection locked="0"/>
    </xf>
    <xf numFmtId="227" fontId="145" fillId="0" borderId="0" applyNumberFormat="0" applyFill="0" applyBorder="0" applyAlignment="0" applyProtection="0">
      <alignment vertical="top"/>
      <protection locked="0"/>
    </xf>
    <xf numFmtId="227" fontId="145" fillId="0" borderId="0" applyNumberFormat="0" applyFill="0" applyBorder="0" applyAlignment="0" applyProtection="0">
      <alignment vertical="top"/>
      <protection locked="0"/>
    </xf>
    <xf numFmtId="227" fontId="145" fillId="0" borderId="0" applyNumberFormat="0" applyFill="0" applyBorder="0" applyAlignment="0" applyProtection="0">
      <alignment vertical="top"/>
      <protection locked="0"/>
    </xf>
    <xf numFmtId="227" fontId="145" fillId="0" borderId="0" applyNumberFormat="0" applyFill="0" applyBorder="0" applyAlignment="0" applyProtection="0">
      <alignment vertical="top"/>
      <protection locked="0"/>
    </xf>
    <xf numFmtId="227" fontId="98" fillId="0" borderId="6"/>
    <xf numFmtId="227" fontId="98" fillId="0" borderId="6"/>
    <xf numFmtId="227" fontId="9" fillId="0" borderId="0"/>
    <xf numFmtId="227" fontId="9" fillId="0" borderId="0"/>
    <xf numFmtId="227" fontId="9" fillId="0" borderId="0"/>
    <xf numFmtId="227" fontId="9" fillId="0" borderId="0"/>
    <xf numFmtId="227" fontId="9" fillId="0" borderId="0"/>
    <xf numFmtId="227" fontId="9" fillId="0" borderId="0"/>
    <xf numFmtId="227" fontId="9" fillId="0" borderId="0"/>
    <xf numFmtId="227" fontId="9" fillId="0" borderId="0"/>
    <xf numFmtId="227" fontId="9" fillId="0" borderId="0"/>
    <xf numFmtId="227" fontId="9" fillId="0" borderId="0"/>
    <xf numFmtId="227" fontId="9" fillId="0" borderId="0"/>
    <xf numFmtId="218" fontId="106" fillId="0" borderId="6"/>
    <xf numFmtId="227" fontId="106" fillId="0" borderId="6"/>
    <xf numFmtId="227" fontId="106" fillId="0" borderId="6"/>
    <xf numFmtId="227" fontId="15" fillId="0" borderId="0"/>
    <xf numFmtId="227" fontId="87" fillId="0" borderId="0"/>
    <xf numFmtId="227" fontId="87" fillId="0" borderId="0"/>
    <xf numFmtId="227" fontId="24" fillId="0" borderId="0">
      <alignment horizontal="right"/>
    </xf>
    <xf numFmtId="227" fontId="24" fillId="0" borderId="0">
      <alignment horizontal="right"/>
    </xf>
    <xf numFmtId="227" fontId="90" fillId="0" borderId="155"/>
    <xf numFmtId="227" fontId="90" fillId="0" borderId="155"/>
    <xf numFmtId="227" fontId="90" fillId="0" borderId="155"/>
    <xf numFmtId="227" fontId="26" fillId="0" borderId="0" applyNumberFormat="0" applyFill="0" applyBorder="0" applyAlignment="0" applyProtection="0">
      <alignment vertical="center"/>
    </xf>
    <xf numFmtId="227" fontId="24" fillId="0" borderId="0">
      <alignment vertical="center"/>
    </xf>
    <xf numFmtId="227" fontId="24" fillId="0" borderId="0">
      <alignment vertical="center"/>
    </xf>
    <xf numFmtId="179" fontId="24" fillId="0" borderId="0">
      <alignment vertical="center"/>
    </xf>
    <xf numFmtId="3" fontId="146" fillId="0" borderId="15">
      <alignment horizontal="center"/>
    </xf>
    <xf numFmtId="227" fontId="33" fillId="0" borderId="172" applyNumberFormat="0" applyFill="0" applyAlignment="0" applyProtection="0">
      <alignment vertical="center"/>
    </xf>
    <xf numFmtId="227" fontId="108" fillId="0" borderId="16" applyNumberFormat="0" applyFill="0" applyAlignment="0" applyProtection="0"/>
    <xf numFmtId="227" fontId="108" fillId="0" borderId="16" applyNumberFormat="0" applyFill="0" applyAlignment="0" applyProtection="0"/>
    <xf numFmtId="227" fontId="109" fillId="0" borderId="17" applyNumberFormat="0" applyFill="0" applyAlignment="0" applyProtection="0"/>
    <xf numFmtId="227" fontId="109" fillId="0" borderId="17" applyNumberFormat="0" applyFill="0" applyAlignment="0" applyProtection="0"/>
    <xf numFmtId="227" fontId="110" fillId="0" borderId="18" applyNumberFormat="0" applyFill="0" applyAlignment="0" applyProtection="0"/>
    <xf numFmtId="227" fontId="110" fillId="0" borderId="18" applyNumberFormat="0" applyFill="0" applyAlignment="0" applyProtection="0"/>
    <xf numFmtId="227" fontId="110" fillId="0" borderId="0" applyNumberFormat="0" applyFill="0" applyBorder="0" applyAlignment="0" applyProtection="0"/>
    <xf numFmtId="227" fontId="110" fillId="0" borderId="0" applyNumberFormat="0" applyFill="0" applyBorder="0" applyAlignment="0" applyProtection="0"/>
    <xf numFmtId="227" fontId="107" fillId="0" borderId="0" applyNumberFormat="0" applyFill="0" applyBorder="0" applyAlignment="0" applyProtection="0"/>
    <xf numFmtId="227" fontId="107" fillId="0" borderId="0" applyNumberFormat="0" applyFill="0" applyBorder="0" applyAlignment="0" applyProtection="0"/>
    <xf numFmtId="227" fontId="103" fillId="0" borderId="155">
      <alignment horizontal="left"/>
    </xf>
    <xf numFmtId="227" fontId="103" fillId="0" borderId="155">
      <alignment horizontal="left"/>
    </xf>
    <xf numFmtId="227" fontId="103" fillId="0" borderId="155">
      <alignment horizontal="left"/>
    </xf>
    <xf numFmtId="227" fontId="111" fillId="0" borderId="19" applyNumberFormat="0" applyFill="0" applyAlignment="0" applyProtection="0"/>
    <xf numFmtId="227" fontId="111" fillId="0" borderId="19" applyNumberFormat="0" applyFill="0" applyAlignment="0" applyProtection="0"/>
    <xf numFmtId="227" fontId="112" fillId="0" borderId="0" applyNumberFormat="0" applyFill="0" applyBorder="0" applyAlignment="0" applyProtection="0"/>
    <xf numFmtId="227" fontId="112" fillId="0" borderId="0" applyNumberFormat="0" applyFill="0" applyBorder="0" applyAlignment="0" applyProtection="0"/>
    <xf numFmtId="227" fontId="37" fillId="0" borderId="0" applyNumberFormat="0" applyFill="0" applyBorder="0" applyAlignment="0" applyProtection="0">
      <alignment vertical="center"/>
    </xf>
    <xf numFmtId="227" fontId="9" fillId="4" borderId="0" applyNumberFormat="0" applyFont="0" applyBorder="0" applyAlignment="0" applyProtection="0"/>
    <xf numFmtId="227" fontId="9" fillId="4" borderId="0" applyNumberFormat="0" applyFont="0" applyBorder="0" applyAlignment="0" applyProtection="0"/>
    <xf numFmtId="227" fontId="9" fillId="4" borderId="0" applyNumberFormat="0" applyFont="0" applyBorder="0" applyAlignment="0" applyProtection="0"/>
    <xf numFmtId="227" fontId="9" fillId="4" borderId="0" applyNumberFormat="0" applyFont="0" applyBorder="0" applyAlignment="0" applyProtection="0"/>
    <xf numFmtId="227" fontId="9" fillId="4" borderId="0" applyNumberFormat="0" applyFont="0" applyBorder="0" applyAlignment="0" applyProtection="0"/>
    <xf numFmtId="227" fontId="9" fillId="4" borderId="0" applyNumberFormat="0" applyFont="0" applyBorder="0" applyAlignment="0" applyProtection="0"/>
    <xf numFmtId="227" fontId="9" fillId="4" borderId="0" applyNumberFormat="0" applyFont="0" applyBorder="0" applyAlignment="0" applyProtection="0"/>
    <xf numFmtId="227" fontId="113" fillId="24" borderId="5" applyNumberFormat="0" applyAlignment="0" applyProtection="0"/>
    <xf numFmtId="227" fontId="113" fillId="24" borderId="5" applyNumberFormat="0" applyAlignment="0" applyProtection="0"/>
    <xf numFmtId="9" fontId="142" fillId="0" borderId="0" applyFont="0" applyFill="0" applyBorder="0" applyAlignment="0" applyProtection="0">
      <alignment vertical="center"/>
    </xf>
    <xf numFmtId="227" fontId="27" fillId="0" borderId="16" applyNumberFormat="0" applyFill="0" applyAlignment="0" applyProtection="0">
      <alignment vertical="center"/>
    </xf>
    <xf numFmtId="227" fontId="27" fillId="0" borderId="16" applyNumberFormat="0" applyFill="0" applyAlignment="0" applyProtection="0">
      <alignment vertical="center"/>
    </xf>
    <xf numFmtId="227" fontId="28" fillId="0" borderId="17" applyNumberFormat="0" applyFill="0" applyAlignment="0" applyProtection="0">
      <alignment vertical="center"/>
    </xf>
    <xf numFmtId="227" fontId="28" fillId="0" borderId="17" applyNumberFormat="0" applyFill="0" applyAlignment="0" applyProtection="0">
      <alignment vertical="center"/>
    </xf>
    <xf numFmtId="227" fontId="29" fillId="0" borderId="18" applyNumberFormat="0" applyFill="0" applyAlignment="0" applyProtection="0">
      <alignment vertical="center"/>
    </xf>
    <xf numFmtId="227" fontId="29" fillId="0" borderId="18" applyNumberFormat="0" applyFill="0" applyAlignment="0" applyProtection="0">
      <alignment vertical="center"/>
    </xf>
    <xf numFmtId="227" fontId="29" fillId="0" borderId="0" applyNumberFormat="0" applyFill="0" applyBorder="0" applyAlignment="0" applyProtection="0">
      <alignment vertical="center"/>
    </xf>
    <xf numFmtId="227" fontId="29" fillId="0" borderId="0" applyNumberFormat="0" applyFill="0" applyBorder="0" applyAlignment="0" applyProtection="0">
      <alignment vertical="center"/>
    </xf>
    <xf numFmtId="227" fontId="26" fillId="0" borderId="0" applyNumberFormat="0" applyFill="0" applyBorder="0" applyAlignment="0" applyProtection="0">
      <alignment vertical="center"/>
    </xf>
    <xf numFmtId="227" fontId="26" fillId="0" borderId="0" applyNumberFormat="0" applyFill="0" applyBorder="0" applyAlignment="0" applyProtection="0">
      <alignment vertical="center"/>
    </xf>
    <xf numFmtId="227" fontId="30" fillId="8" borderId="0" applyNumberFormat="0" applyBorder="0" applyAlignment="0" applyProtection="0">
      <alignment vertical="center"/>
    </xf>
    <xf numFmtId="227" fontId="30" fillId="8" borderId="0" applyNumberFormat="0" applyBorder="0" applyAlignment="0" applyProtection="0">
      <alignment vertical="center"/>
    </xf>
    <xf numFmtId="227" fontId="30" fillId="10" borderId="0" applyNumberFormat="0" applyBorder="0" applyAlignment="0" applyProtection="0">
      <alignment vertical="center"/>
    </xf>
    <xf numFmtId="227" fontId="30" fillId="10" borderId="0" applyNumberFormat="0" applyBorder="0" applyAlignment="0" applyProtection="0">
      <alignment vertical="center"/>
    </xf>
    <xf numFmtId="227" fontId="30" fillId="10" borderId="0" applyNumberFormat="0" applyBorder="0" applyAlignment="0" applyProtection="0">
      <alignment vertical="center"/>
    </xf>
    <xf numFmtId="227" fontId="30" fillId="10" borderId="0" applyNumberFormat="0" applyBorder="0" applyAlignment="0" applyProtection="0">
      <alignment vertical="center"/>
    </xf>
    <xf numFmtId="227" fontId="30" fillId="8" borderId="0" applyNumberFormat="0" applyBorder="0" applyAlignment="0" applyProtection="0">
      <alignment vertical="center"/>
    </xf>
    <xf numFmtId="227" fontId="30" fillId="8" borderId="0" applyNumberFormat="0" applyBorder="0" applyAlignment="0" applyProtection="0">
      <alignment vertical="center"/>
    </xf>
    <xf numFmtId="227" fontId="30" fillId="8" borderId="0" applyNumberFormat="0" applyBorder="0" applyAlignment="0" applyProtection="0">
      <alignment vertical="center"/>
    </xf>
    <xf numFmtId="227" fontId="30" fillId="10" borderId="0" applyNumberFormat="0" applyBorder="0" applyAlignment="0" applyProtection="0">
      <alignment vertical="center"/>
    </xf>
    <xf numFmtId="227" fontId="30" fillId="10" borderId="0" applyNumberFormat="0" applyBorder="0" applyAlignment="0" applyProtection="0">
      <alignment vertical="center"/>
    </xf>
    <xf numFmtId="227" fontId="30" fillId="10" borderId="0" applyNumberFormat="0" applyBorder="0" applyAlignment="0" applyProtection="0">
      <alignment vertical="center"/>
    </xf>
    <xf numFmtId="227" fontId="30" fillId="10" borderId="0" applyNumberFormat="0" applyBorder="0" applyAlignment="0" applyProtection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142" fillId="0" borderId="0">
      <alignment vertical="center"/>
    </xf>
    <xf numFmtId="227" fontId="9" fillId="0" borderId="0">
      <alignment vertical="center"/>
    </xf>
    <xf numFmtId="227" fontId="9" fillId="0" borderId="0"/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/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22" fillId="0" borderId="0">
      <alignment vertical="center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32" fillId="9" borderId="0" applyNumberFormat="0" applyBorder="0" applyAlignment="0" applyProtection="0">
      <alignment vertical="center"/>
    </xf>
    <xf numFmtId="227" fontId="147" fillId="50" borderId="0" applyNumberFormat="0" applyBorder="0" applyAlignment="0" applyProtection="0"/>
    <xf numFmtId="227" fontId="32" fillId="9" borderId="0" applyNumberFormat="0" applyBorder="0" applyAlignment="0" applyProtection="0">
      <alignment vertical="center"/>
    </xf>
    <xf numFmtId="227" fontId="32" fillId="6" borderId="0" applyNumberFormat="0" applyBorder="0" applyAlignment="0" applyProtection="0">
      <alignment vertical="center"/>
    </xf>
    <xf numFmtId="227" fontId="32" fillId="6" borderId="0" applyNumberFormat="0" applyBorder="0" applyAlignment="0" applyProtection="0">
      <alignment vertical="center"/>
    </xf>
    <xf numFmtId="227" fontId="32" fillId="6" borderId="0" applyNumberFormat="0" applyBorder="0" applyAlignment="0" applyProtection="0">
      <alignment vertical="center"/>
    </xf>
    <xf numFmtId="227" fontId="32" fillId="6" borderId="0" applyNumberFormat="0" applyBorder="0" applyAlignment="0" applyProtection="0">
      <alignment vertical="center"/>
    </xf>
    <xf numFmtId="227" fontId="32" fillId="9" borderId="0" applyNumberFormat="0" applyBorder="0" applyAlignment="0" applyProtection="0">
      <alignment vertical="center"/>
    </xf>
    <xf numFmtId="227" fontId="32" fillId="9" borderId="0" applyNumberFormat="0" applyBorder="0" applyAlignment="0" applyProtection="0">
      <alignment vertical="center"/>
    </xf>
    <xf numFmtId="227" fontId="32" fillId="9" borderId="0" applyNumberFormat="0" applyBorder="0" applyAlignment="0" applyProtection="0">
      <alignment vertical="center"/>
    </xf>
    <xf numFmtId="227" fontId="32" fillId="6" borderId="0" applyNumberFormat="0" applyBorder="0" applyAlignment="0" applyProtection="0">
      <alignment vertical="center"/>
    </xf>
    <xf numFmtId="227" fontId="32" fillId="6" borderId="0" applyNumberFormat="0" applyBorder="0" applyAlignment="0" applyProtection="0">
      <alignment vertical="center"/>
    </xf>
    <xf numFmtId="227" fontId="32" fillId="6" borderId="0" applyNumberFormat="0" applyBorder="0" applyAlignment="0" applyProtection="0">
      <alignment vertical="center"/>
    </xf>
    <xf numFmtId="227" fontId="32" fillId="6" borderId="0" applyNumberFormat="0" applyBorder="0" applyAlignment="0" applyProtection="0">
      <alignment vertical="center"/>
    </xf>
    <xf numFmtId="227" fontId="33" fillId="0" borderId="172" applyNumberFormat="0" applyFill="0" applyAlignment="0" applyProtection="0">
      <alignment vertical="center"/>
    </xf>
    <xf numFmtId="227" fontId="33" fillId="0" borderId="172" applyNumberFormat="0" applyFill="0" applyAlignment="0" applyProtection="0">
      <alignment vertical="center"/>
    </xf>
    <xf numFmtId="227" fontId="34" fillId="22" borderId="171" applyNumberFormat="0" applyAlignment="0" applyProtection="0">
      <alignment vertical="center"/>
    </xf>
    <xf numFmtId="227" fontId="34" fillId="22" borderId="171" applyNumberFormat="0" applyAlignment="0" applyProtection="0">
      <alignment vertical="center"/>
    </xf>
    <xf numFmtId="227" fontId="34" fillId="22" borderId="171" applyNumberFormat="0" applyAlignment="0" applyProtection="0">
      <alignment vertical="center"/>
    </xf>
    <xf numFmtId="227" fontId="35" fillId="24" borderId="5" applyNumberFormat="0" applyAlignment="0" applyProtection="0">
      <alignment vertical="center"/>
    </xf>
    <xf numFmtId="227" fontId="35" fillId="24" borderId="5" applyNumberFormat="0" applyAlignment="0" applyProtection="0">
      <alignment vertical="center"/>
    </xf>
    <xf numFmtId="227" fontId="36" fillId="0" borderId="0" applyNumberFormat="0" applyFill="0" applyBorder="0" applyAlignment="0" applyProtection="0">
      <alignment vertical="center"/>
    </xf>
    <xf numFmtId="227" fontId="36" fillId="0" borderId="0" applyNumberFormat="0" applyFill="0" applyBorder="0" applyAlignment="0" applyProtection="0">
      <alignment vertical="center"/>
    </xf>
    <xf numFmtId="227" fontId="37" fillId="0" borderId="0" applyNumberFormat="0" applyFill="0" applyBorder="0" applyAlignment="0" applyProtection="0">
      <alignment vertical="center"/>
    </xf>
    <xf numFmtId="227" fontId="37" fillId="0" borderId="0" applyNumberFormat="0" applyFill="0" applyBorder="0" applyAlignment="0" applyProtection="0">
      <alignment vertical="center"/>
    </xf>
    <xf numFmtId="227" fontId="38" fillId="0" borderId="19" applyNumberFormat="0" applyFill="0" applyAlignment="0" applyProtection="0">
      <alignment vertical="center"/>
    </xf>
    <xf numFmtId="227" fontId="38" fillId="0" borderId="19" applyNumberFormat="0" applyFill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227" fontId="22" fillId="0" borderId="0">
      <alignment vertical="center"/>
    </xf>
    <xf numFmtId="227" fontId="12" fillId="20" borderId="0" applyNumberFormat="0" applyBorder="0" applyAlignment="0" applyProtection="0">
      <alignment vertical="center"/>
    </xf>
    <xf numFmtId="227" fontId="12" fillId="20" borderId="0" applyNumberFormat="0" applyBorder="0" applyAlignment="0" applyProtection="0">
      <alignment vertical="center"/>
    </xf>
    <xf numFmtId="227" fontId="12" fillId="19" borderId="0" applyNumberFormat="0" applyBorder="0" applyAlignment="0" applyProtection="0">
      <alignment vertical="center"/>
    </xf>
    <xf numFmtId="227" fontId="12" fillId="19" borderId="0" applyNumberFormat="0" applyBorder="0" applyAlignment="0" applyProtection="0">
      <alignment vertical="center"/>
    </xf>
    <xf numFmtId="227" fontId="12" fillId="21" borderId="0" applyNumberFormat="0" applyBorder="0" applyAlignment="0" applyProtection="0">
      <alignment vertical="center"/>
    </xf>
    <xf numFmtId="227" fontId="12" fillId="21" borderId="0" applyNumberFormat="0" applyBorder="0" applyAlignment="0" applyProtection="0">
      <alignment vertical="center"/>
    </xf>
    <xf numFmtId="227" fontId="12" fillId="16" borderId="0" applyNumberFormat="0" applyBorder="0" applyAlignment="0" applyProtection="0">
      <alignment vertical="center"/>
    </xf>
    <xf numFmtId="227" fontId="12" fillId="16" borderId="0" applyNumberFormat="0" applyBorder="0" applyAlignment="0" applyProtection="0">
      <alignment vertical="center"/>
    </xf>
    <xf numFmtId="227" fontId="12" fillId="17" borderId="0" applyNumberFormat="0" applyBorder="0" applyAlignment="0" applyProtection="0">
      <alignment vertical="center"/>
    </xf>
    <xf numFmtId="227" fontId="12" fillId="17" borderId="0" applyNumberFormat="0" applyBorder="0" applyAlignment="0" applyProtection="0">
      <alignment vertical="center"/>
    </xf>
    <xf numFmtId="227" fontId="12" fillId="14" borderId="0" applyNumberFormat="0" applyBorder="0" applyAlignment="0" applyProtection="0">
      <alignment vertical="center"/>
    </xf>
    <xf numFmtId="227" fontId="12" fillId="14" borderId="0" applyNumberFormat="0" applyBorder="0" applyAlignment="0" applyProtection="0">
      <alignment vertical="center"/>
    </xf>
    <xf numFmtId="227" fontId="39" fillId="11" borderId="0" applyNumberFormat="0" applyBorder="0" applyAlignment="0" applyProtection="0">
      <alignment vertical="center"/>
    </xf>
    <xf numFmtId="227" fontId="39" fillId="11" borderId="0" applyNumberFormat="0" applyBorder="0" applyAlignment="0" applyProtection="0">
      <alignment vertical="center"/>
    </xf>
    <xf numFmtId="227" fontId="40" fillId="22" borderId="170" applyNumberFormat="0" applyAlignment="0" applyProtection="0">
      <alignment vertical="center"/>
    </xf>
    <xf numFmtId="227" fontId="40" fillId="22" borderId="170" applyNumberFormat="0" applyAlignment="0" applyProtection="0">
      <alignment vertical="center"/>
    </xf>
    <xf numFmtId="227" fontId="40" fillId="22" borderId="170" applyNumberFormat="0" applyAlignment="0" applyProtection="0">
      <alignment vertical="center"/>
    </xf>
    <xf numFmtId="227" fontId="41" fillId="5" borderId="171" applyNumberFormat="0" applyAlignment="0" applyProtection="0">
      <alignment vertical="center"/>
    </xf>
    <xf numFmtId="227" fontId="41" fillId="5" borderId="171" applyNumberFormat="0" applyAlignment="0" applyProtection="0">
      <alignment vertical="center"/>
    </xf>
    <xf numFmtId="227" fontId="22" fillId="4" borderId="12" applyNumberFormat="0" applyFont="0" applyAlignment="0" applyProtection="0">
      <alignment vertical="center"/>
    </xf>
    <xf numFmtId="227" fontId="22" fillId="4" borderId="12" applyNumberFormat="0" applyFont="0" applyAlignment="0" applyProtection="0">
      <alignment vertical="center"/>
    </xf>
    <xf numFmtId="227" fontId="91" fillId="22" borderId="2" applyNumberFormat="0" applyAlignment="0" applyProtection="0"/>
    <xf numFmtId="227" fontId="91" fillId="22" borderId="2" applyNumberFormat="0" applyAlignment="0" applyProtection="0"/>
    <xf numFmtId="227" fontId="92" fillId="22" borderId="4" applyNumberFormat="0" applyAlignment="0" applyProtection="0"/>
    <xf numFmtId="227" fontId="92" fillId="22" borderId="4" applyNumberFormat="0" applyAlignment="0" applyProtection="0"/>
    <xf numFmtId="227" fontId="34" fillId="22" borderId="4" applyNumberFormat="0" applyAlignment="0" applyProtection="0">
      <alignment vertical="center"/>
    </xf>
    <xf numFmtId="227" fontId="95" fillId="5" borderId="4" applyNumberFormat="0" applyAlignment="0" applyProtection="0"/>
    <xf numFmtId="227" fontId="95" fillId="5" borderId="4" applyNumberFormat="0" applyAlignment="0" applyProtection="0"/>
    <xf numFmtId="227" fontId="96" fillId="0" borderId="7" applyNumberFormat="0" applyFill="0" applyAlignment="0" applyProtection="0"/>
    <xf numFmtId="227" fontId="96" fillId="0" borderId="7" applyNumberFormat="0" applyFill="0" applyAlignment="0" applyProtection="0"/>
    <xf numFmtId="227" fontId="55" fillId="0" borderId="10">
      <alignment horizontal="left" vertical="center"/>
    </xf>
    <xf numFmtId="227" fontId="55" fillId="0" borderId="10">
      <alignment horizontal="left" vertical="center"/>
    </xf>
    <xf numFmtId="227" fontId="41" fillId="5" borderId="4" applyNumberFormat="0" applyAlignment="0" applyProtection="0">
      <alignment vertical="center"/>
    </xf>
    <xf numFmtId="227" fontId="41" fillId="5" borderId="4" applyNumberFormat="0" applyAlignment="0" applyProtection="0">
      <alignment vertical="center"/>
    </xf>
    <xf numFmtId="227" fontId="22" fillId="4" borderId="174" applyNumberFormat="0" applyFont="0" applyAlignment="0" applyProtection="0">
      <alignment vertical="center"/>
    </xf>
    <xf numFmtId="227" fontId="88" fillId="4" borderId="174" applyNumberFormat="0" applyFont="0" applyAlignment="0" applyProtection="0"/>
    <xf numFmtId="227" fontId="88" fillId="4" borderId="174" applyNumberFormat="0" applyFont="0" applyAlignment="0" applyProtection="0"/>
    <xf numFmtId="227" fontId="88" fillId="4" borderId="174" applyNumberFormat="0" applyFont="0" applyAlignment="0" applyProtection="0"/>
    <xf numFmtId="227" fontId="40" fillId="22" borderId="2" applyNumberFormat="0" applyAlignment="0" applyProtection="0">
      <alignment vertical="center"/>
    </xf>
    <xf numFmtId="227" fontId="33" fillId="0" borderId="7" applyNumberFormat="0" applyFill="0" applyAlignment="0" applyProtection="0">
      <alignment vertical="center"/>
    </xf>
    <xf numFmtId="227" fontId="22" fillId="0" borderId="0">
      <alignment vertical="center"/>
    </xf>
    <xf numFmtId="227" fontId="33" fillId="0" borderId="7" applyNumberFormat="0" applyFill="0" applyAlignment="0" applyProtection="0">
      <alignment vertical="center"/>
    </xf>
    <xf numFmtId="227" fontId="33" fillId="0" borderId="7" applyNumberFormat="0" applyFill="0" applyAlignment="0" applyProtection="0">
      <alignment vertical="center"/>
    </xf>
    <xf numFmtId="227" fontId="33" fillId="0" borderId="7" applyNumberFormat="0" applyFill="0" applyAlignment="0" applyProtection="0">
      <alignment vertical="center"/>
    </xf>
    <xf numFmtId="227" fontId="34" fillId="22" borderId="4" applyNumberFormat="0" applyAlignment="0" applyProtection="0">
      <alignment vertical="center"/>
    </xf>
    <xf numFmtId="227" fontId="34" fillId="22" borderId="4" applyNumberFormat="0" applyAlignment="0" applyProtection="0">
      <alignment vertical="center"/>
    </xf>
    <xf numFmtId="227" fontId="22" fillId="0" borderId="0">
      <alignment vertical="center"/>
    </xf>
    <xf numFmtId="227" fontId="40" fillId="22" borderId="2" applyNumberFormat="0" applyAlignment="0" applyProtection="0">
      <alignment vertical="center"/>
    </xf>
    <xf numFmtId="227" fontId="40" fillId="22" borderId="2" applyNumberFormat="0" applyAlignment="0" applyProtection="0">
      <alignment vertical="center"/>
    </xf>
    <xf numFmtId="227" fontId="41" fillId="5" borderId="4" applyNumberFormat="0" applyAlignment="0" applyProtection="0">
      <alignment vertical="center"/>
    </xf>
    <xf numFmtId="227" fontId="41" fillId="5" borderId="4" applyNumberFormat="0" applyAlignment="0" applyProtection="0">
      <alignment vertical="center"/>
    </xf>
    <xf numFmtId="227" fontId="41" fillId="5" borderId="4" applyNumberFormat="0" applyAlignment="0" applyProtection="0">
      <alignment vertical="center"/>
    </xf>
    <xf numFmtId="227" fontId="22" fillId="4" borderId="174" applyNumberFormat="0" applyFont="0" applyAlignment="0" applyProtection="0">
      <alignment vertical="center"/>
    </xf>
    <xf numFmtId="227" fontId="22" fillId="4" borderId="174" applyNumberFormat="0" applyFont="0" applyAlignment="0" applyProtection="0">
      <alignment vertical="center"/>
    </xf>
    <xf numFmtId="227" fontId="22" fillId="4" borderId="174" applyNumberFormat="0" applyFont="0" applyAlignment="0" applyProtection="0">
      <alignment vertical="center"/>
    </xf>
    <xf numFmtId="227" fontId="9" fillId="0" borderId="0"/>
    <xf numFmtId="227" fontId="9" fillId="0" borderId="0"/>
    <xf numFmtId="227" fontId="9" fillId="0" borderId="0"/>
    <xf numFmtId="3" fontId="9" fillId="0" borderId="0" applyFont="0" applyFill="0" applyBorder="0" applyAlignment="0" applyProtection="0"/>
    <xf numFmtId="220" fontId="9" fillId="0" borderId="0" applyFont="0" applyFill="0" applyBorder="0" applyAlignment="0" applyProtection="0"/>
    <xf numFmtId="227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227" fontId="31" fillId="0" borderId="0" applyNumberFormat="0" applyFill="0" applyBorder="0" applyAlignment="0" applyProtection="0">
      <alignment vertical="top"/>
      <protection locked="0"/>
    </xf>
    <xf numFmtId="9" fontId="9" fillId="0" borderId="0" applyFont="0" applyFill="0" applyBorder="0" applyAlignment="0" applyProtection="0"/>
    <xf numFmtId="227" fontId="33" fillId="0" borderId="172" applyNumberFormat="0" applyFill="0" applyAlignment="0" applyProtection="0">
      <alignment vertical="center"/>
    </xf>
    <xf numFmtId="227" fontId="41" fillId="5" borderId="171" applyNumberFormat="0" applyAlignment="0" applyProtection="0">
      <alignment vertical="center"/>
    </xf>
    <xf numFmtId="227" fontId="39" fillId="11" borderId="0" applyNumberFormat="0" applyBorder="0" applyAlignment="0" applyProtection="0">
      <alignment vertical="center"/>
    </xf>
    <xf numFmtId="9" fontId="9" fillId="0" borderId="0" applyFont="0" applyFill="0" applyBorder="0" applyAlignment="0" applyProtection="0"/>
    <xf numFmtId="227" fontId="9" fillId="0" borderId="0">
      <alignment vertical="center"/>
    </xf>
    <xf numFmtId="227" fontId="14" fillId="0" borderId="0"/>
    <xf numFmtId="9" fontId="9" fillId="0" borderId="0" applyFont="0" applyFill="0" applyBorder="0" applyAlignment="0" applyProtection="0">
      <alignment vertical="center"/>
    </xf>
    <xf numFmtId="227" fontId="22" fillId="0" borderId="0"/>
    <xf numFmtId="227" fontId="22" fillId="0" borderId="0">
      <alignment vertical="center"/>
    </xf>
    <xf numFmtId="227" fontId="87" fillId="0" borderId="0"/>
    <xf numFmtId="227" fontId="9" fillId="0" borderId="0"/>
    <xf numFmtId="227" fontId="76" fillId="0" borderId="0"/>
    <xf numFmtId="227" fontId="9" fillId="0" borderId="0"/>
    <xf numFmtId="227" fontId="9" fillId="0" borderId="0"/>
    <xf numFmtId="227" fontId="87" fillId="0" borderId="0"/>
    <xf numFmtId="227" fontId="76" fillId="0" borderId="0"/>
    <xf numFmtId="227" fontId="76" fillId="0" borderId="0"/>
    <xf numFmtId="227" fontId="88" fillId="7" borderId="0" applyNumberFormat="0" applyBorder="0" applyAlignment="0" applyProtection="0"/>
    <xf numFmtId="227" fontId="88" fillId="8" borderId="0" applyNumberFormat="0" applyBorder="0" applyAlignment="0" applyProtection="0"/>
    <xf numFmtId="227" fontId="88" fillId="9" borderId="0" applyNumberFormat="0" applyBorder="0" applyAlignment="0" applyProtection="0"/>
    <xf numFmtId="227" fontId="88" fillId="10" borderId="0" applyNumberFormat="0" applyBorder="0" applyAlignment="0" applyProtection="0"/>
    <xf numFmtId="227" fontId="88" fillId="6" borderId="0" applyNumberFormat="0" applyBorder="0" applyAlignment="0" applyProtection="0"/>
    <xf numFmtId="227" fontId="88" fillId="5" borderId="0" applyNumberFormat="0" applyBorder="0" applyAlignment="0" applyProtection="0"/>
    <xf numFmtId="227" fontId="11" fillId="7" borderId="0" applyNumberFormat="0" applyBorder="0" applyAlignment="0" applyProtection="0">
      <alignment vertical="center"/>
    </xf>
    <xf numFmtId="227" fontId="11" fillId="8" borderId="0" applyNumberFormat="0" applyBorder="0" applyAlignment="0" applyProtection="0">
      <alignment vertical="center"/>
    </xf>
    <xf numFmtId="227" fontId="11" fillId="9" borderId="0" applyNumberFormat="0" applyBorder="0" applyAlignment="0" applyProtection="0">
      <alignment vertical="center"/>
    </xf>
    <xf numFmtId="227" fontId="11" fillId="10" borderId="0" applyNumberFormat="0" applyBorder="0" applyAlignment="0" applyProtection="0">
      <alignment vertical="center"/>
    </xf>
    <xf numFmtId="227" fontId="11" fillId="6" borderId="0" applyNumberFormat="0" applyBorder="0" applyAlignment="0" applyProtection="0">
      <alignment vertical="center"/>
    </xf>
    <xf numFmtId="227" fontId="11" fillId="5" borderId="0" applyNumberFormat="0" applyBorder="0" applyAlignment="0" applyProtection="0">
      <alignment vertical="center"/>
    </xf>
    <xf numFmtId="227" fontId="88" fillId="2" borderId="0" applyNumberFormat="0" applyBorder="0" applyAlignment="0" applyProtection="0"/>
    <xf numFmtId="227" fontId="88" fillId="3" borderId="0" applyNumberFormat="0" applyBorder="0" applyAlignment="0" applyProtection="0"/>
    <xf numFmtId="227" fontId="88" fillId="12" borderId="0" applyNumberFormat="0" applyBorder="0" applyAlignment="0" applyProtection="0"/>
    <xf numFmtId="227" fontId="88" fillId="10" borderId="0" applyNumberFormat="0" applyBorder="0" applyAlignment="0" applyProtection="0"/>
    <xf numFmtId="227" fontId="88" fillId="2" borderId="0" applyNumberFormat="0" applyBorder="0" applyAlignment="0" applyProtection="0"/>
    <xf numFmtId="227" fontId="88" fillId="13" borderId="0" applyNumberFormat="0" applyBorder="0" applyAlignment="0" applyProtection="0"/>
    <xf numFmtId="227" fontId="11" fillId="2" borderId="0" applyNumberFormat="0" applyBorder="0" applyAlignment="0" applyProtection="0">
      <alignment vertical="center"/>
    </xf>
    <xf numFmtId="227" fontId="11" fillId="3" borderId="0" applyNumberFormat="0" applyBorder="0" applyAlignment="0" applyProtection="0">
      <alignment vertical="center"/>
    </xf>
    <xf numFmtId="227" fontId="11" fillId="12" borderId="0" applyNumberFormat="0" applyBorder="0" applyAlignment="0" applyProtection="0">
      <alignment vertical="center"/>
    </xf>
    <xf numFmtId="227" fontId="11" fillId="10" borderId="0" applyNumberFormat="0" applyBorder="0" applyAlignment="0" applyProtection="0">
      <alignment vertical="center"/>
    </xf>
    <xf numFmtId="227" fontId="11" fillId="2" borderId="0" applyNumberFormat="0" applyBorder="0" applyAlignment="0" applyProtection="0">
      <alignment vertical="center"/>
    </xf>
    <xf numFmtId="227" fontId="11" fillId="13" borderId="0" applyNumberFormat="0" applyBorder="0" applyAlignment="0" applyProtection="0">
      <alignment vertical="center"/>
    </xf>
    <xf numFmtId="227" fontId="89" fillId="15" borderId="0" applyNumberFormat="0" applyBorder="0" applyAlignment="0" applyProtection="0"/>
    <xf numFmtId="227" fontId="89" fillId="3" borderId="0" applyNumberFormat="0" applyBorder="0" applyAlignment="0" applyProtection="0"/>
    <xf numFmtId="227" fontId="89" fillId="12" borderId="0" applyNumberFormat="0" applyBorder="0" applyAlignment="0" applyProtection="0"/>
    <xf numFmtId="227" fontId="89" fillId="16" borderId="0" applyNumberFormat="0" applyBorder="0" applyAlignment="0" applyProtection="0"/>
    <xf numFmtId="227" fontId="89" fillId="17" borderId="0" applyNumberFormat="0" applyBorder="0" applyAlignment="0" applyProtection="0"/>
    <xf numFmtId="227" fontId="89" fillId="18" borderId="0" applyNumberFormat="0" applyBorder="0" applyAlignment="0" applyProtection="0"/>
    <xf numFmtId="227" fontId="12" fillId="15" borderId="0" applyNumberFormat="0" applyBorder="0" applyAlignment="0" applyProtection="0">
      <alignment vertical="center"/>
    </xf>
    <xf numFmtId="227" fontId="12" fillId="3" borderId="0" applyNumberFormat="0" applyBorder="0" applyAlignment="0" applyProtection="0">
      <alignment vertical="center"/>
    </xf>
    <xf numFmtId="227" fontId="12" fillId="12" borderId="0" applyNumberFormat="0" applyBorder="0" applyAlignment="0" applyProtection="0">
      <alignment vertical="center"/>
    </xf>
    <xf numFmtId="227" fontId="12" fillId="16" borderId="0" applyNumberFormat="0" applyBorder="0" applyAlignment="0" applyProtection="0">
      <alignment vertical="center"/>
    </xf>
    <xf numFmtId="227" fontId="12" fillId="17" borderId="0" applyNumberFormat="0" applyBorder="0" applyAlignment="0" applyProtection="0">
      <alignment vertical="center"/>
    </xf>
    <xf numFmtId="227" fontId="12" fillId="18" borderId="0" applyNumberFormat="0" applyBorder="0" applyAlignment="0" applyProtection="0">
      <alignment vertical="center"/>
    </xf>
    <xf numFmtId="227" fontId="89" fillId="20" borderId="0" applyNumberFormat="0" applyBorder="0" applyAlignment="0" applyProtection="0"/>
    <xf numFmtId="227" fontId="89" fillId="19" borderId="0" applyNumberFormat="0" applyBorder="0" applyAlignment="0" applyProtection="0"/>
    <xf numFmtId="227" fontId="89" fillId="21" borderId="0" applyNumberFormat="0" applyBorder="0" applyAlignment="0" applyProtection="0"/>
    <xf numFmtId="227" fontId="89" fillId="16" borderId="0" applyNumberFormat="0" applyBorder="0" applyAlignment="0" applyProtection="0"/>
    <xf numFmtId="227" fontId="89" fillId="17" borderId="0" applyNumberFormat="0" applyBorder="0" applyAlignment="0" applyProtection="0"/>
    <xf numFmtId="227" fontId="89" fillId="14" borderId="0" applyNumberFormat="0" applyBorder="0" applyAlignment="0" applyProtection="0"/>
    <xf numFmtId="227" fontId="90" fillId="0" borderId="182">
      <alignment horizontal="left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 applyNumberFormat="0" applyFont="0" applyBorder="0" applyAlignment="0" applyProtection="0">
      <protection locked="0"/>
    </xf>
    <xf numFmtId="227" fontId="9" fillId="0" borderId="0" applyNumberFormat="0" applyFont="0" applyBorder="0" applyAlignment="0" applyProtection="0">
      <protection locked="0"/>
    </xf>
    <xf numFmtId="227" fontId="9" fillId="0" borderId="0" applyNumberFormat="0" applyFont="0" applyBorder="0" applyAlignment="0" applyProtection="0">
      <protection locked="0"/>
    </xf>
    <xf numFmtId="227" fontId="9" fillId="0" borderId="0" applyNumberFormat="0" applyFont="0" applyBorder="0" applyAlignment="0" applyProtection="0">
      <protection locked="0"/>
    </xf>
    <xf numFmtId="227" fontId="9" fillId="23" borderId="0"/>
    <xf numFmtId="216" fontId="15" fillId="0" borderId="19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176" fontId="9" fillId="0" borderId="0" applyFont="0" applyFill="0" applyBorder="0" applyAlignment="0" applyProtection="0">
      <alignment vertical="center"/>
    </xf>
    <xf numFmtId="184" fontId="9" fillId="0" borderId="0" applyFont="0" applyFill="0" applyBorder="0" applyAlignment="0" applyProtection="0"/>
    <xf numFmtId="43" fontId="22" fillId="0" borderId="0" applyFont="0" applyFill="0" applyBorder="0" applyAlignment="0" applyProtection="0">
      <alignment vertical="center"/>
    </xf>
    <xf numFmtId="217" fontId="9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217" fontId="174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217" fontId="9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217" fontId="9" fillId="0" borderId="0" applyFont="0" applyFill="0" applyBorder="0" applyAlignment="0" applyProtection="0"/>
    <xf numFmtId="227" fontId="9" fillId="0" borderId="0" applyFont="0" applyFill="0" applyBorder="0" applyAlignment="0" applyProtection="0"/>
    <xf numFmtId="43" fontId="141" fillId="0" borderId="0" applyFont="0" applyFill="0" applyBorder="0" applyAlignment="0" applyProtection="0">
      <alignment vertical="center"/>
    </xf>
    <xf numFmtId="43" fontId="141" fillId="0" borderId="0" applyFont="0" applyFill="0" applyBorder="0" applyAlignment="0" applyProtection="0">
      <alignment vertical="center"/>
    </xf>
    <xf numFmtId="43" fontId="141" fillId="0" borderId="0" applyFont="0" applyFill="0" applyBorder="0" applyAlignment="0" applyProtection="0">
      <alignment vertical="center"/>
    </xf>
    <xf numFmtId="227" fontId="15" fillId="0" borderId="0"/>
    <xf numFmtId="227" fontId="15" fillId="0" borderId="0"/>
    <xf numFmtId="227" fontId="16" fillId="0" borderId="0"/>
    <xf numFmtId="193" fontId="94" fillId="0" borderId="6">
      <alignment horizontal="center"/>
    </xf>
    <xf numFmtId="227" fontId="17" fillId="0" borderId="0" applyNumberFormat="0" applyBorder="0" applyAlignment="0">
      <protection locked="0"/>
    </xf>
    <xf numFmtId="227" fontId="17" fillId="0" borderId="0" applyNumberFormat="0" applyBorder="0" applyAlignment="0">
      <protection locked="0"/>
    </xf>
    <xf numFmtId="227" fontId="97" fillId="0" borderId="0" applyNumberFormat="0" applyFill="0" applyBorder="0" applyAlignment="0" applyProtection="0"/>
    <xf numFmtId="227" fontId="9" fillId="0" borderId="0" applyFont="0" applyFill="0" applyBorder="0" applyAlignment="0" applyProtection="0">
      <alignment vertical="center"/>
    </xf>
    <xf numFmtId="227" fontId="9" fillId="0" borderId="0" applyFont="0" applyFill="0" applyBorder="0" applyAlignment="0" applyProtection="0">
      <alignment vertical="center"/>
    </xf>
    <xf numFmtId="227" fontId="9" fillId="0" borderId="0" applyFont="0" applyFill="0" applyBorder="0" applyAlignment="0" applyProtection="0">
      <alignment vertical="center"/>
    </xf>
    <xf numFmtId="227" fontId="9" fillId="0" borderId="0" applyFont="0" applyFill="0" applyBorder="0" applyAlignment="0" applyProtection="0">
      <alignment vertical="center"/>
    </xf>
    <xf numFmtId="227" fontId="9" fillId="0" borderId="0" applyFont="0" applyFill="0" applyBorder="0" applyAlignment="0" applyProtection="0">
      <alignment vertical="center"/>
    </xf>
    <xf numFmtId="218" fontId="98" fillId="0" borderId="6"/>
    <xf numFmtId="227" fontId="143" fillId="0" borderId="0" applyNumberFormat="0" applyFill="0" applyBorder="0" applyAlignment="0" applyProtection="0">
      <alignment vertical="top"/>
      <protection locked="0"/>
    </xf>
    <xf numFmtId="227" fontId="99" fillId="9" borderId="0" applyNumberFormat="0" applyBorder="0" applyAlignment="0" applyProtection="0"/>
    <xf numFmtId="227" fontId="55" fillId="0" borderId="9" applyNumberFormat="0" applyAlignment="0" applyProtection="0">
      <alignment horizontal="left" vertical="center"/>
    </xf>
    <xf numFmtId="227" fontId="19" fillId="0" borderId="0">
      <alignment vertical="top"/>
    </xf>
    <xf numFmtId="227" fontId="31" fillId="0" borderId="0" applyNumberFormat="0" applyFill="0" applyBorder="0" applyAlignment="0" applyProtection="0">
      <alignment vertical="top"/>
      <protection locked="0"/>
    </xf>
    <xf numFmtId="227" fontId="128" fillId="0" borderId="0" applyNumberFormat="0" applyFill="0" applyBorder="0" applyAlignment="0" applyProtection="0">
      <alignment vertical="top"/>
      <protection locked="0"/>
    </xf>
    <xf numFmtId="227" fontId="128" fillId="0" borderId="0" applyNumberFormat="0" applyFill="0" applyBorder="0" applyAlignment="0" applyProtection="0">
      <alignment vertical="top"/>
      <protection locked="0"/>
    </xf>
    <xf numFmtId="227" fontId="128" fillId="0" borderId="0" applyNumberFormat="0" applyFill="0" applyBorder="0" applyAlignment="0" applyProtection="0">
      <alignment vertical="top"/>
      <protection locked="0"/>
    </xf>
    <xf numFmtId="227" fontId="128" fillId="0" borderId="0" applyNumberFormat="0" applyFill="0" applyBorder="0" applyAlignment="0" applyProtection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1" fontId="9" fillId="0" borderId="0">
      <alignment horizontal="center" vertical="center" wrapText="1"/>
    </xf>
    <xf numFmtId="1" fontId="9" fillId="0" borderId="0">
      <alignment horizontal="center" vertical="center" wrapText="1"/>
    </xf>
    <xf numFmtId="1" fontId="9" fillId="0" borderId="0">
      <alignment horizontal="center" vertical="center" wrapText="1"/>
    </xf>
    <xf numFmtId="38" fontId="14" fillId="0" borderId="182"/>
    <xf numFmtId="227" fontId="39" fillId="11" borderId="0" applyNumberFormat="0" applyBorder="0" applyAlignment="0" applyProtection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22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22" fillId="0" borderId="0">
      <alignment vertical="center"/>
    </xf>
    <xf numFmtId="227" fontId="175" fillId="0" borderId="0"/>
    <xf numFmtId="179" fontId="9" fillId="0" borderId="0"/>
    <xf numFmtId="227" fontId="9" fillId="0" borderId="0">
      <alignment vertical="center"/>
    </xf>
    <xf numFmtId="227" fontId="4" fillId="0" borderId="0"/>
    <xf numFmtId="227" fontId="4" fillId="0" borderId="0"/>
    <xf numFmtId="227" fontId="4" fillId="0" borderId="0"/>
    <xf numFmtId="227" fontId="9" fillId="0" borderId="0"/>
    <xf numFmtId="227" fontId="22" fillId="0" borderId="0">
      <alignment vertical="center"/>
    </xf>
    <xf numFmtId="227" fontId="9" fillId="0" borderId="0"/>
    <xf numFmtId="227" fontId="9" fillId="0" borderId="0"/>
    <xf numFmtId="227" fontId="9" fillId="0" borderId="0"/>
    <xf numFmtId="227" fontId="22" fillId="0" borderId="0"/>
    <xf numFmtId="227" fontId="9" fillId="0" borderId="0"/>
    <xf numFmtId="227" fontId="174" fillId="0" borderId="0"/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/>
    <xf numFmtId="227" fontId="9" fillId="0" borderId="0"/>
    <xf numFmtId="227" fontId="9" fillId="0" borderId="0"/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174" fillId="0" borderId="0"/>
    <xf numFmtId="227" fontId="9" fillId="0" borderId="0"/>
    <xf numFmtId="227" fontId="22" fillId="0" borderId="0"/>
    <xf numFmtId="227" fontId="22" fillId="0" borderId="0">
      <alignment vertical="center"/>
    </xf>
    <xf numFmtId="227" fontId="9" fillId="0" borderId="0"/>
    <xf numFmtId="227" fontId="9" fillId="0" borderId="0"/>
    <xf numFmtId="227" fontId="22" fillId="0" borderId="0">
      <alignment vertical="center"/>
    </xf>
    <xf numFmtId="227" fontId="22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22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/>
    <xf numFmtId="227" fontId="9" fillId="0" borderId="0">
      <alignment vertical="center"/>
    </xf>
    <xf numFmtId="227" fontId="9" fillId="0" borderId="0">
      <alignment vertical="center"/>
    </xf>
    <xf numFmtId="227" fontId="9" fillId="0" borderId="0"/>
    <xf numFmtId="227" fontId="9" fillId="0" borderId="0">
      <alignment vertical="center"/>
    </xf>
    <xf numFmtId="227" fontId="9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174" fillId="0" borderId="0"/>
    <xf numFmtId="227" fontId="103" fillId="0" borderId="190">
      <alignment horizontal="left"/>
    </xf>
    <xf numFmtId="227" fontId="101" fillId="26" borderId="191">
      <alignment horizontal="right"/>
      <protection locked="0"/>
    </xf>
    <xf numFmtId="227" fontId="15" fillId="0" borderId="0"/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174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227" fontId="93" fillId="0" borderId="0" applyFont="0"/>
    <xf numFmtId="219" fontId="98" fillId="0" borderId="6"/>
    <xf numFmtId="227" fontId="104" fillId="8" borderId="0" applyNumberFormat="0" applyBorder="0" applyAlignment="0" applyProtection="0"/>
    <xf numFmtId="227" fontId="145" fillId="0" borderId="0" applyNumberFormat="0" applyFill="0" applyBorder="0" applyAlignment="0" applyProtection="0">
      <alignment vertical="top"/>
      <protection locked="0"/>
    </xf>
    <xf numFmtId="227" fontId="145" fillId="0" borderId="0" applyNumberFormat="0" applyFill="0" applyBorder="0" applyAlignment="0" applyProtection="0">
      <alignment vertical="top"/>
      <protection locked="0"/>
    </xf>
    <xf numFmtId="227" fontId="145" fillId="0" borderId="0" applyNumberFormat="0" applyFill="0" applyBorder="0" applyAlignment="0" applyProtection="0">
      <alignment vertical="top"/>
      <protection locked="0"/>
    </xf>
    <xf numFmtId="227" fontId="145" fillId="0" borderId="0" applyNumberFormat="0" applyFill="0" applyBorder="0" applyAlignment="0" applyProtection="0">
      <alignment vertical="top"/>
      <protection locked="0"/>
    </xf>
    <xf numFmtId="227" fontId="98" fillId="0" borderId="6"/>
    <xf numFmtId="227" fontId="9" fillId="0" borderId="0"/>
    <xf numFmtId="227" fontId="9" fillId="0" borderId="0"/>
    <xf numFmtId="218" fontId="106" fillId="0" borderId="6"/>
    <xf numFmtId="227" fontId="15" fillId="0" borderId="0"/>
    <xf numFmtId="227" fontId="24" fillId="0" borderId="0">
      <alignment horizontal="right"/>
    </xf>
    <xf numFmtId="227" fontId="90" fillId="0" borderId="182"/>
    <xf numFmtId="227" fontId="24" fillId="0" borderId="0">
      <alignment vertical="center"/>
    </xf>
    <xf numFmtId="3" fontId="146" fillId="0" borderId="15">
      <alignment horizontal="center"/>
    </xf>
    <xf numFmtId="227" fontId="108" fillId="0" borderId="16" applyNumberFormat="0" applyFill="0" applyAlignment="0" applyProtection="0"/>
    <xf numFmtId="227" fontId="109" fillId="0" borderId="17" applyNumberFormat="0" applyFill="0" applyAlignment="0" applyProtection="0"/>
    <xf numFmtId="227" fontId="110" fillId="0" borderId="18" applyNumberFormat="0" applyFill="0" applyAlignment="0" applyProtection="0"/>
    <xf numFmtId="227" fontId="110" fillId="0" borderId="18" applyNumberFormat="0" applyFill="0" applyAlignment="0" applyProtection="0"/>
    <xf numFmtId="227" fontId="110" fillId="0" borderId="0" applyNumberFormat="0" applyFill="0" applyBorder="0" applyAlignment="0" applyProtection="0"/>
    <xf numFmtId="227" fontId="107" fillId="0" borderId="0" applyNumberFormat="0" applyFill="0" applyBorder="0" applyAlignment="0" applyProtection="0"/>
    <xf numFmtId="227" fontId="103" fillId="0" borderId="182">
      <alignment horizontal="left"/>
    </xf>
    <xf numFmtId="227" fontId="111" fillId="0" borderId="19" applyNumberFormat="0" applyFill="0" applyAlignment="0" applyProtection="0"/>
    <xf numFmtId="227" fontId="112" fillId="0" borderId="0" applyNumberFormat="0" applyFill="0" applyBorder="0" applyAlignment="0" applyProtection="0"/>
    <xf numFmtId="227" fontId="9" fillId="4" borderId="0" applyNumberFormat="0" applyFont="0" applyBorder="0" applyAlignment="0" applyProtection="0"/>
    <xf numFmtId="227" fontId="9" fillId="4" borderId="0" applyNumberFormat="0" applyFont="0" applyBorder="0" applyAlignment="0" applyProtection="0"/>
    <xf numFmtId="227" fontId="9" fillId="4" borderId="0" applyNumberFormat="0" applyFont="0" applyBorder="0" applyAlignment="0" applyProtection="0"/>
    <xf numFmtId="227" fontId="113" fillId="24" borderId="5" applyNumberFormat="0" applyAlignment="0" applyProtection="0"/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227" fontId="9" fillId="0" borderId="0" applyFont="0" applyFill="0" applyBorder="0" applyAlignment="0" applyProtection="0"/>
    <xf numFmtId="41" fontId="9" fillId="0" borderId="0" applyFont="0" applyFill="0" applyBorder="0" applyAlignment="0" applyProtection="0">
      <alignment vertical="center"/>
    </xf>
    <xf numFmtId="227" fontId="147" fillId="50" borderId="0" applyNumberFormat="0" applyBorder="0" applyAlignment="0" applyProtection="0"/>
    <xf numFmtId="227" fontId="32" fillId="9" borderId="0" applyNumberFormat="0" applyBorder="0" applyAlignment="0" applyProtection="0">
      <alignment vertical="center"/>
    </xf>
    <xf numFmtId="227" fontId="32" fillId="6" borderId="0" applyNumberFormat="0" applyBorder="0" applyAlignment="0" applyProtection="0">
      <alignment vertical="center"/>
    </xf>
    <xf numFmtId="227" fontId="32" fillId="6" borderId="0" applyNumberFormat="0" applyBorder="0" applyAlignment="0" applyProtection="0">
      <alignment vertical="center"/>
    </xf>
    <xf numFmtId="227" fontId="32" fillId="6" borderId="0" applyNumberFormat="0" applyBorder="0" applyAlignment="0" applyProtection="0">
      <alignment vertical="center"/>
    </xf>
    <xf numFmtId="227" fontId="30" fillId="8" borderId="0" applyNumberFormat="0" applyBorder="0" applyAlignment="0" applyProtection="0">
      <alignment vertical="center"/>
    </xf>
    <xf numFmtId="227" fontId="30" fillId="10" borderId="0" applyNumberFormat="0" applyBorder="0" applyAlignment="0" applyProtection="0">
      <alignment vertical="center"/>
    </xf>
    <xf numFmtId="227" fontId="30" fillId="10" borderId="0" applyNumberFormat="0" applyBorder="0" applyAlignment="0" applyProtection="0">
      <alignment vertical="center"/>
    </xf>
    <xf numFmtId="227" fontId="30" fillId="10" borderId="0" applyNumberFormat="0" applyBorder="0" applyAlignment="0" applyProtection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9" fillId="0" borderId="0">
      <alignment vertical="center"/>
    </xf>
    <xf numFmtId="227" fontId="176" fillId="0" borderId="0">
      <alignment vertical="center"/>
    </xf>
    <xf numFmtId="227" fontId="142" fillId="0" borderId="0">
      <alignment vertical="center"/>
    </xf>
    <xf numFmtId="227" fontId="174" fillId="0" borderId="0"/>
    <xf numFmtId="227" fontId="9" fillId="0" borderId="0"/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22" fillId="0" borderId="0">
      <alignment vertical="center"/>
    </xf>
    <xf numFmtId="227" fontId="12" fillId="20" borderId="0" applyNumberFormat="0" applyBorder="0" applyAlignment="0" applyProtection="0">
      <alignment vertical="center"/>
    </xf>
    <xf numFmtId="227" fontId="12" fillId="19" borderId="0" applyNumberFormat="0" applyBorder="0" applyAlignment="0" applyProtection="0">
      <alignment vertical="center"/>
    </xf>
    <xf numFmtId="227" fontId="12" fillId="21" borderId="0" applyNumberFormat="0" applyBorder="0" applyAlignment="0" applyProtection="0">
      <alignment vertical="center"/>
    </xf>
    <xf numFmtId="227" fontId="12" fillId="16" borderId="0" applyNumberFormat="0" applyBorder="0" applyAlignment="0" applyProtection="0">
      <alignment vertical="center"/>
    </xf>
    <xf numFmtId="227" fontId="12" fillId="17" borderId="0" applyNumberFormat="0" applyBorder="0" applyAlignment="0" applyProtection="0">
      <alignment vertical="center"/>
    </xf>
    <xf numFmtId="227" fontId="12" fillId="14" borderId="0" applyNumberFormat="0" applyBorder="0" applyAlignment="0" applyProtection="0">
      <alignment vertical="center"/>
    </xf>
    <xf numFmtId="227" fontId="27" fillId="0" borderId="16" applyNumberFormat="0" applyFill="0" applyAlignment="0" applyProtection="0">
      <alignment vertical="center"/>
    </xf>
    <xf numFmtId="227" fontId="28" fillId="0" borderId="17" applyNumberFormat="0" applyFill="0" applyAlignment="0" applyProtection="0">
      <alignment vertical="center"/>
    </xf>
    <xf numFmtId="227" fontId="29" fillId="0" borderId="18" applyNumberFormat="0" applyFill="0" applyAlignment="0" applyProtection="0">
      <alignment vertical="center"/>
    </xf>
    <xf numFmtId="227" fontId="29" fillId="0" borderId="0" applyNumberFormat="0" applyFill="0" applyBorder="0" applyAlignment="0" applyProtection="0">
      <alignment vertical="center"/>
    </xf>
    <xf numFmtId="227" fontId="26" fillId="0" borderId="0" applyNumberFormat="0" applyFill="0" applyBorder="0" applyAlignment="0" applyProtection="0">
      <alignment vertical="center"/>
    </xf>
    <xf numFmtId="214" fontId="9" fillId="0" borderId="0">
      <alignment vertical="center"/>
    </xf>
    <xf numFmtId="227" fontId="35" fillId="24" borderId="5" applyNumberFormat="0" applyAlignment="0" applyProtection="0">
      <alignment vertical="center"/>
    </xf>
    <xf numFmtId="9" fontId="176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142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227" fontId="36" fillId="0" borderId="0" applyNumberFormat="0" applyFill="0" applyBorder="0" applyAlignment="0" applyProtection="0">
      <alignment vertical="center"/>
    </xf>
    <xf numFmtId="227" fontId="37" fillId="0" borderId="0" applyNumberFormat="0" applyFill="0" applyBorder="0" applyAlignment="0" applyProtection="0">
      <alignment vertical="center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115" fillId="0" borderId="0" applyNumberFormat="0" applyFill="0" applyBorder="0" applyAlignment="0" applyProtection="0">
      <alignment vertical="top"/>
      <protection locked="0"/>
    </xf>
    <xf numFmtId="227" fontId="39" fillId="11" borderId="0" applyNumberFormat="0" applyBorder="0" applyAlignment="0" applyProtection="0">
      <alignment vertical="center"/>
    </xf>
    <xf numFmtId="227" fontId="38" fillId="0" borderId="19" applyNumberFormat="0" applyFill="0" applyAlignment="0" applyProtection="0">
      <alignment vertical="center"/>
    </xf>
    <xf numFmtId="227" fontId="3" fillId="0" borderId="0"/>
    <xf numFmtId="43" fontId="3" fillId="0" borderId="0" applyFont="0" applyFill="0" applyBorder="0" applyAlignment="0" applyProtection="0">
      <alignment vertical="center"/>
    </xf>
    <xf numFmtId="227" fontId="9" fillId="0" borderId="0"/>
    <xf numFmtId="9" fontId="3" fillId="0" borderId="0" applyFont="0" applyFill="0" applyBorder="0" applyAlignment="0" applyProtection="0">
      <alignment vertical="center"/>
    </xf>
    <xf numFmtId="227" fontId="22" fillId="0" borderId="0">
      <alignment vertical="center"/>
    </xf>
    <xf numFmtId="227" fontId="31" fillId="0" borderId="0" applyNumberFormat="0" applyFill="0" applyBorder="0" applyAlignment="0" applyProtection="0">
      <alignment vertical="top"/>
      <protection locked="0"/>
    </xf>
    <xf numFmtId="227" fontId="3" fillId="0" borderId="0"/>
    <xf numFmtId="9" fontId="3" fillId="0" borderId="0" applyFont="0" applyFill="0" applyBorder="0" applyAlignment="0" applyProtection="0">
      <alignment vertical="center"/>
    </xf>
    <xf numFmtId="227" fontId="87" fillId="0" borderId="0"/>
    <xf numFmtId="227" fontId="9" fillId="0" borderId="0"/>
    <xf numFmtId="227" fontId="9" fillId="0" borderId="0"/>
    <xf numFmtId="227" fontId="76" fillId="0" borderId="0"/>
    <xf numFmtId="227" fontId="9" fillId="0" borderId="0"/>
    <xf numFmtId="227" fontId="9" fillId="0" borderId="0"/>
    <xf numFmtId="227" fontId="87" fillId="0" borderId="0"/>
    <xf numFmtId="227" fontId="76" fillId="0" borderId="0"/>
    <xf numFmtId="227" fontId="76" fillId="0" borderId="0"/>
    <xf numFmtId="227" fontId="88" fillId="7" borderId="0" applyNumberFormat="0" applyBorder="0" applyAlignment="0" applyProtection="0"/>
    <xf numFmtId="227" fontId="88" fillId="8" borderId="0" applyNumberFormat="0" applyBorder="0" applyAlignment="0" applyProtection="0"/>
    <xf numFmtId="227" fontId="88" fillId="9" borderId="0" applyNumberFormat="0" applyBorder="0" applyAlignment="0" applyProtection="0"/>
    <xf numFmtId="227" fontId="88" fillId="10" borderId="0" applyNumberFormat="0" applyBorder="0" applyAlignment="0" applyProtection="0"/>
    <xf numFmtId="227" fontId="88" fillId="6" borderId="0" applyNumberFormat="0" applyBorder="0" applyAlignment="0" applyProtection="0"/>
    <xf numFmtId="227" fontId="88" fillId="5" borderId="0" applyNumberFormat="0" applyBorder="0" applyAlignment="0" applyProtection="0"/>
    <xf numFmtId="227" fontId="11" fillId="7" borderId="0" applyNumberFormat="0" applyBorder="0" applyAlignment="0" applyProtection="0">
      <alignment vertical="center"/>
    </xf>
    <xf numFmtId="227" fontId="11" fillId="8" borderId="0" applyNumberFormat="0" applyBorder="0" applyAlignment="0" applyProtection="0">
      <alignment vertical="center"/>
    </xf>
    <xf numFmtId="227" fontId="11" fillId="9" borderId="0" applyNumberFormat="0" applyBorder="0" applyAlignment="0" applyProtection="0">
      <alignment vertical="center"/>
    </xf>
    <xf numFmtId="227" fontId="11" fillId="10" borderId="0" applyNumberFormat="0" applyBorder="0" applyAlignment="0" applyProtection="0">
      <alignment vertical="center"/>
    </xf>
    <xf numFmtId="227" fontId="11" fillId="6" borderId="0" applyNumberFormat="0" applyBorder="0" applyAlignment="0" applyProtection="0">
      <alignment vertical="center"/>
    </xf>
    <xf numFmtId="227" fontId="11" fillId="5" borderId="0" applyNumberFormat="0" applyBorder="0" applyAlignment="0" applyProtection="0">
      <alignment vertical="center"/>
    </xf>
    <xf numFmtId="227" fontId="88" fillId="2" borderId="0" applyNumberFormat="0" applyBorder="0" applyAlignment="0" applyProtection="0"/>
    <xf numFmtId="227" fontId="88" fillId="3" borderId="0" applyNumberFormat="0" applyBorder="0" applyAlignment="0" applyProtection="0"/>
    <xf numFmtId="227" fontId="88" fillId="12" borderId="0" applyNumberFormat="0" applyBorder="0" applyAlignment="0" applyProtection="0"/>
    <xf numFmtId="227" fontId="88" fillId="10" borderId="0" applyNumberFormat="0" applyBorder="0" applyAlignment="0" applyProtection="0"/>
    <xf numFmtId="227" fontId="88" fillId="2" borderId="0" applyNumberFormat="0" applyBorder="0" applyAlignment="0" applyProtection="0"/>
    <xf numFmtId="227" fontId="88" fillId="13" borderId="0" applyNumberFormat="0" applyBorder="0" applyAlignment="0" applyProtection="0"/>
    <xf numFmtId="227" fontId="11" fillId="2" borderId="0" applyNumberFormat="0" applyBorder="0" applyAlignment="0" applyProtection="0">
      <alignment vertical="center"/>
    </xf>
    <xf numFmtId="227" fontId="11" fillId="3" borderId="0" applyNumberFormat="0" applyBorder="0" applyAlignment="0" applyProtection="0">
      <alignment vertical="center"/>
    </xf>
    <xf numFmtId="227" fontId="11" fillId="12" borderId="0" applyNumberFormat="0" applyBorder="0" applyAlignment="0" applyProtection="0">
      <alignment vertical="center"/>
    </xf>
    <xf numFmtId="227" fontId="11" fillId="10" borderId="0" applyNumberFormat="0" applyBorder="0" applyAlignment="0" applyProtection="0">
      <alignment vertical="center"/>
    </xf>
    <xf numFmtId="227" fontId="11" fillId="2" borderId="0" applyNumberFormat="0" applyBorder="0" applyAlignment="0" applyProtection="0">
      <alignment vertical="center"/>
    </xf>
    <xf numFmtId="227" fontId="11" fillId="13" borderId="0" applyNumberFormat="0" applyBorder="0" applyAlignment="0" applyProtection="0">
      <alignment vertical="center"/>
    </xf>
    <xf numFmtId="227" fontId="89" fillId="15" borderId="0" applyNumberFormat="0" applyBorder="0" applyAlignment="0" applyProtection="0"/>
    <xf numFmtId="227" fontId="89" fillId="3" borderId="0" applyNumberFormat="0" applyBorder="0" applyAlignment="0" applyProtection="0"/>
    <xf numFmtId="227" fontId="89" fillId="12" borderId="0" applyNumberFormat="0" applyBorder="0" applyAlignment="0" applyProtection="0"/>
    <xf numFmtId="227" fontId="89" fillId="16" borderId="0" applyNumberFormat="0" applyBorder="0" applyAlignment="0" applyProtection="0"/>
    <xf numFmtId="227" fontId="89" fillId="17" borderId="0" applyNumberFormat="0" applyBorder="0" applyAlignment="0" applyProtection="0"/>
    <xf numFmtId="227" fontId="89" fillId="18" borderId="0" applyNumberFormat="0" applyBorder="0" applyAlignment="0" applyProtection="0"/>
    <xf numFmtId="227" fontId="12" fillId="15" borderId="0" applyNumberFormat="0" applyBorder="0" applyAlignment="0" applyProtection="0">
      <alignment vertical="center"/>
    </xf>
    <xf numFmtId="227" fontId="12" fillId="3" borderId="0" applyNumberFormat="0" applyBorder="0" applyAlignment="0" applyProtection="0">
      <alignment vertical="center"/>
    </xf>
    <xf numFmtId="227" fontId="12" fillId="12" borderId="0" applyNumberFormat="0" applyBorder="0" applyAlignment="0" applyProtection="0">
      <alignment vertical="center"/>
    </xf>
    <xf numFmtId="227" fontId="12" fillId="16" borderId="0" applyNumberFormat="0" applyBorder="0" applyAlignment="0" applyProtection="0">
      <alignment vertical="center"/>
    </xf>
    <xf numFmtId="227" fontId="12" fillId="17" borderId="0" applyNumberFormat="0" applyBorder="0" applyAlignment="0" applyProtection="0">
      <alignment vertical="center"/>
    </xf>
    <xf numFmtId="227" fontId="12" fillId="18" borderId="0" applyNumberFormat="0" applyBorder="0" applyAlignment="0" applyProtection="0">
      <alignment vertical="center"/>
    </xf>
    <xf numFmtId="227" fontId="89" fillId="20" borderId="0" applyNumberFormat="0" applyBorder="0" applyAlignment="0" applyProtection="0"/>
    <xf numFmtId="227" fontId="89" fillId="19" borderId="0" applyNumberFormat="0" applyBorder="0" applyAlignment="0" applyProtection="0"/>
    <xf numFmtId="227" fontId="89" fillId="21" borderId="0" applyNumberFormat="0" applyBorder="0" applyAlignment="0" applyProtection="0"/>
    <xf numFmtId="227" fontId="89" fillId="16" borderId="0" applyNumberFormat="0" applyBorder="0" applyAlignment="0" applyProtection="0"/>
    <xf numFmtId="227" fontId="89" fillId="17" borderId="0" applyNumberFormat="0" applyBorder="0" applyAlignment="0" applyProtection="0"/>
    <xf numFmtId="227" fontId="89" fillId="14" borderId="0" applyNumberFormat="0" applyBorder="0" applyAlignment="0" applyProtection="0"/>
    <xf numFmtId="227" fontId="89" fillId="20" borderId="0" applyNumberFormat="0" applyBorder="0" applyAlignment="0" applyProtection="0"/>
    <xf numFmtId="227" fontId="89" fillId="19" borderId="0" applyNumberFormat="0" applyBorder="0" applyAlignment="0" applyProtection="0"/>
    <xf numFmtId="227" fontId="89" fillId="21" borderId="0" applyNumberFormat="0" applyBorder="0" applyAlignment="0" applyProtection="0"/>
    <xf numFmtId="227" fontId="89" fillId="16" borderId="0" applyNumberFormat="0" applyBorder="0" applyAlignment="0" applyProtection="0"/>
    <xf numFmtId="227" fontId="89" fillId="17" borderId="0" applyNumberFormat="0" applyBorder="0" applyAlignment="0" applyProtection="0"/>
    <xf numFmtId="227" fontId="89" fillId="14" borderId="0" applyNumberFormat="0" applyBorder="0" applyAlignment="0" applyProtection="0"/>
    <xf numFmtId="227" fontId="184" fillId="0" borderId="204">
      <alignment horizontal="left"/>
    </xf>
    <xf numFmtId="227" fontId="90" fillId="0" borderId="204">
      <alignment horizontal="left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13" fillId="0" borderId="0" applyBorder="0">
      <alignment vertical="center"/>
    </xf>
    <xf numFmtId="227" fontId="9" fillId="0" borderId="0" applyNumberFormat="0" applyFont="0" applyBorder="0" applyAlignment="0" applyProtection="0">
      <protection locked="0"/>
    </xf>
    <xf numFmtId="227" fontId="9" fillId="0" borderId="0" applyNumberFormat="0" applyFont="0" applyBorder="0" applyAlignment="0" applyProtection="0">
      <protection locked="0"/>
    </xf>
    <xf numFmtId="227" fontId="9" fillId="0" borderId="0" applyNumberFormat="0" applyFont="0" applyBorder="0" applyAlignment="0" applyProtection="0">
      <protection locked="0"/>
    </xf>
    <xf numFmtId="179" fontId="9" fillId="0" borderId="0" applyNumberFormat="0" applyFont="0" applyBorder="0" applyAlignment="0" applyProtection="0">
      <protection locked="0"/>
    </xf>
    <xf numFmtId="227" fontId="9" fillId="0" borderId="0" applyNumberFormat="0" applyFont="0" applyBorder="0" applyAlignment="0" applyProtection="0">
      <protection locked="0"/>
    </xf>
    <xf numFmtId="227" fontId="9" fillId="0" borderId="0" applyNumberFormat="0" applyFont="0" applyBorder="0" applyAlignment="0" applyProtection="0">
      <protection locked="0"/>
    </xf>
    <xf numFmtId="227" fontId="9" fillId="0" borderId="0" applyNumberFormat="0" applyFont="0" applyBorder="0" applyAlignment="0" applyProtection="0">
      <protection locked="0"/>
    </xf>
    <xf numFmtId="179" fontId="9" fillId="0" borderId="0" applyNumberFormat="0" applyFont="0" applyBorder="0" applyAlignment="0" applyProtection="0">
      <protection locked="0"/>
    </xf>
    <xf numFmtId="227" fontId="91" fillId="22" borderId="205" applyNumberFormat="0" applyAlignment="0" applyProtection="0"/>
    <xf numFmtId="227" fontId="91" fillId="22" borderId="205" applyNumberFormat="0" applyAlignment="0" applyProtection="0"/>
    <xf numFmtId="227" fontId="91" fillId="22" borderId="205" applyNumberFormat="0" applyAlignment="0" applyProtection="0"/>
    <xf numFmtId="227" fontId="91" fillId="22" borderId="205" applyNumberFormat="0" applyAlignment="0" applyProtection="0"/>
    <xf numFmtId="227" fontId="91" fillId="22" borderId="205" applyNumberFormat="0" applyAlignment="0" applyProtection="0"/>
    <xf numFmtId="227" fontId="91" fillId="22" borderId="205" applyNumberFormat="0" applyAlignment="0" applyProtection="0"/>
    <xf numFmtId="227" fontId="9" fillId="23" borderId="0"/>
    <xf numFmtId="227" fontId="9" fillId="23" borderId="0"/>
    <xf numFmtId="227" fontId="104" fillId="8" borderId="0" applyNumberFormat="0" applyBorder="0" applyAlignment="0" applyProtection="0"/>
    <xf numFmtId="227" fontId="185" fillId="0" borderId="206"/>
    <xf numFmtId="227" fontId="92" fillId="22" borderId="207" applyNumberFormat="0" applyAlignment="0" applyProtection="0"/>
    <xf numFmtId="227" fontId="92" fillId="22" borderId="207" applyNumberFormat="0" applyAlignment="0" applyProtection="0"/>
    <xf numFmtId="227" fontId="92" fillId="22" borderId="207" applyNumberFormat="0" applyAlignment="0" applyProtection="0"/>
    <xf numFmtId="227" fontId="92" fillId="22" borderId="207" applyNumberFormat="0" applyAlignment="0" applyProtection="0"/>
    <xf numFmtId="227" fontId="92" fillId="22" borderId="207" applyNumberFormat="0" applyAlignment="0" applyProtection="0"/>
    <xf numFmtId="227" fontId="92" fillId="22" borderId="207" applyNumberFormat="0" applyAlignment="0" applyProtection="0"/>
    <xf numFmtId="227" fontId="113" fillId="24" borderId="5" applyNumberFormat="0" applyAlignment="0" applyProtection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212" fontId="9" fillId="0" borderId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188" fontId="3" fillId="0" borderId="0" applyFont="0" applyFill="0" applyBorder="0" applyAlignment="0" applyProtection="0"/>
    <xf numFmtId="43" fontId="186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217" fontId="9" fillId="0" borderId="0" applyFont="0" applyFill="0" applyBorder="0" applyAlignment="0" applyProtection="0"/>
    <xf numFmtId="227" fontId="15" fillId="0" borderId="0"/>
    <xf numFmtId="227" fontId="15" fillId="0" borderId="0"/>
    <xf numFmtId="227" fontId="16" fillId="0" borderId="0"/>
    <xf numFmtId="227" fontId="187" fillId="0" borderId="6">
      <alignment horizontal="center"/>
    </xf>
    <xf numFmtId="227" fontId="94" fillId="0" borderId="6">
      <alignment horizontal="center"/>
    </xf>
    <xf numFmtId="227" fontId="17" fillId="0" borderId="0" applyNumberFormat="0" applyBorder="0" applyAlignment="0">
      <protection locked="0"/>
    </xf>
    <xf numFmtId="227" fontId="17" fillId="0" borderId="0" applyNumberFormat="0" applyBorder="0" applyAlignment="0">
      <protection locked="0"/>
    </xf>
    <xf numFmtId="227" fontId="95" fillId="5" borderId="207" applyNumberFormat="0" applyAlignment="0" applyProtection="0"/>
    <xf numFmtId="227" fontId="95" fillId="5" borderId="207" applyNumberFormat="0" applyAlignment="0" applyProtection="0"/>
    <xf numFmtId="227" fontId="95" fillId="5" borderId="207" applyNumberFormat="0" applyAlignment="0" applyProtection="0"/>
    <xf numFmtId="227" fontId="95" fillId="5" borderId="207" applyNumberFormat="0" applyAlignment="0" applyProtection="0"/>
    <xf numFmtId="227" fontId="95" fillId="5" borderId="207" applyNumberFormat="0" applyAlignment="0" applyProtection="0"/>
    <xf numFmtId="227" fontId="95" fillId="5" borderId="207" applyNumberFormat="0" applyAlignment="0" applyProtection="0"/>
    <xf numFmtId="227" fontId="96" fillId="0" borderId="208" applyNumberFormat="0" applyFill="0" applyAlignment="0" applyProtection="0"/>
    <xf numFmtId="227" fontId="96" fillId="0" borderId="208" applyNumberFormat="0" applyFill="0" applyAlignment="0" applyProtection="0"/>
    <xf numFmtId="227" fontId="96" fillId="0" borderId="208" applyNumberFormat="0" applyFill="0" applyAlignment="0" applyProtection="0"/>
    <xf numFmtId="227" fontId="96" fillId="0" borderId="208" applyNumberFormat="0" applyFill="0" applyAlignment="0" applyProtection="0"/>
    <xf numFmtId="227" fontId="96" fillId="0" borderId="208" applyNumberFormat="0" applyFill="0" applyAlignment="0" applyProtection="0"/>
    <xf numFmtId="227" fontId="96" fillId="0" borderId="208" applyNumberFormat="0" applyFill="0" applyAlignment="0" applyProtection="0"/>
    <xf numFmtId="227" fontId="97" fillId="0" borderId="0" applyNumberFormat="0" applyFill="0" applyBorder="0" applyAlignment="0" applyProtection="0"/>
    <xf numFmtId="227" fontId="9" fillId="0" borderId="0" applyFont="0" applyFill="0" applyBorder="0" applyAlignment="0" applyProtection="0">
      <alignment vertical="center"/>
    </xf>
    <xf numFmtId="227" fontId="9" fillId="0" borderId="0" applyFont="0" applyFill="0" applyBorder="0" applyAlignment="0" applyProtection="0">
      <alignment vertical="center"/>
    </xf>
    <xf numFmtId="227" fontId="9" fillId="0" borderId="0" applyFont="0" applyFill="0" applyBorder="0" applyAlignment="0" applyProtection="0">
      <alignment vertical="center"/>
    </xf>
    <xf numFmtId="227" fontId="9" fillId="0" borderId="0" applyFont="0" applyFill="0" applyBorder="0" applyAlignment="0" applyProtection="0">
      <alignment vertical="center"/>
    </xf>
    <xf numFmtId="227" fontId="9" fillId="0" borderId="0" applyFont="0" applyFill="0" applyBorder="0" applyAlignment="0" applyProtection="0">
      <alignment vertical="center"/>
    </xf>
    <xf numFmtId="227" fontId="9" fillId="0" borderId="0" applyFont="0" applyFill="0" applyBorder="0" applyAlignment="0" applyProtection="0">
      <alignment vertical="center"/>
    </xf>
    <xf numFmtId="227" fontId="97" fillId="0" borderId="0" applyNumberFormat="0" applyFill="0" applyBorder="0" applyAlignment="0" applyProtection="0"/>
    <xf numFmtId="227" fontId="188" fillId="0" borderId="6"/>
    <xf numFmtId="227" fontId="98" fillId="0" borderId="6"/>
    <xf numFmtId="227" fontId="99" fillId="9" borderId="0" applyNumberFormat="0" applyBorder="0" applyAlignment="0" applyProtection="0"/>
    <xf numFmtId="227" fontId="99" fillId="9" borderId="0" applyNumberFormat="0" applyBorder="0" applyAlignment="0" applyProtection="0"/>
    <xf numFmtId="227" fontId="55" fillId="0" borderId="9" applyNumberFormat="0" applyAlignment="0" applyProtection="0">
      <alignment horizontal="left" vertical="center"/>
    </xf>
    <xf numFmtId="227" fontId="55" fillId="0" borderId="203">
      <alignment horizontal="left" vertical="center"/>
    </xf>
    <xf numFmtId="227" fontId="55" fillId="0" borderId="203">
      <alignment horizontal="left" vertical="center"/>
    </xf>
    <xf numFmtId="227" fontId="55" fillId="0" borderId="203">
      <alignment horizontal="left" vertical="center"/>
    </xf>
    <xf numFmtId="227" fontId="108" fillId="0" borderId="16" applyNumberFormat="0" applyFill="0" applyAlignment="0" applyProtection="0"/>
    <xf numFmtId="227" fontId="109" fillId="0" borderId="17" applyNumberFormat="0" applyFill="0" applyAlignment="0" applyProtection="0"/>
    <xf numFmtId="227" fontId="110" fillId="0" borderId="18" applyNumberFormat="0" applyFill="0" applyAlignment="0" applyProtection="0"/>
    <xf numFmtId="227" fontId="110" fillId="0" borderId="0" applyNumberFormat="0" applyFill="0" applyBorder="0" applyAlignment="0" applyProtection="0"/>
    <xf numFmtId="227" fontId="19" fillId="0" borderId="0">
      <alignment vertical="top"/>
    </xf>
    <xf numFmtId="227" fontId="31" fillId="0" borderId="0" applyNumberFormat="0" applyFill="0" applyBorder="0" applyAlignment="0" applyProtection="0">
      <alignment vertical="top"/>
      <protection locked="0"/>
    </xf>
    <xf numFmtId="10" fontId="18" fillId="25" borderId="200" applyNumberFormat="0" applyBorder="0" applyAlignment="0" applyProtection="0"/>
    <xf numFmtId="10" fontId="18" fillId="25" borderId="200" applyNumberFormat="0" applyBorder="0" applyAlignment="0" applyProtection="0"/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20" fillId="0" borderId="0" applyBorder="0" applyAlignment="0">
      <alignment vertical="top"/>
      <protection locked="0"/>
    </xf>
    <xf numFmtId="227" fontId="95" fillId="5" borderId="207" applyNumberFormat="0" applyAlignment="0" applyProtection="0"/>
    <xf numFmtId="227" fontId="95" fillId="5" borderId="207" applyNumberFormat="0" applyAlignment="0" applyProtection="0"/>
    <xf numFmtId="227" fontId="95" fillId="5" borderId="207" applyNumberFormat="0" applyAlignment="0" applyProtection="0"/>
    <xf numFmtId="1" fontId="9" fillId="0" borderId="0">
      <alignment horizontal="center" vertical="center" wrapText="1"/>
    </xf>
    <xf numFmtId="1" fontId="9" fillId="0" borderId="0">
      <alignment horizontal="center" vertical="center" wrapText="1"/>
    </xf>
    <xf numFmtId="1" fontId="9" fillId="0" borderId="0">
      <alignment horizontal="center" vertical="center" wrapText="1"/>
    </xf>
    <xf numFmtId="1" fontId="9" fillId="0" borderId="0">
      <alignment horizontal="center" vertical="center" wrapText="1"/>
    </xf>
    <xf numFmtId="1" fontId="9" fillId="0" borderId="0">
      <alignment horizontal="center" vertical="center" wrapText="1"/>
    </xf>
    <xf numFmtId="1" fontId="9" fillId="0" borderId="0">
      <alignment horizontal="center" vertical="center" wrapText="1"/>
    </xf>
    <xf numFmtId="1" fontId="9" fillId="0" borderId="0">
      <alignment horizontal="center" vertical="center" wrapText="1"/>
    </xf>
    <xf numFmtId="227" fontId="111" fillId="0" borderId="19" applyNumberFormat="0" applyFill="0" applyAlignment="0" applyProtection="0"/>
    <xf numFmtId="227" fontId="9" fillId="0" borderId="0"/>
    <xf numFmtId="227" fontId="9" fillId="0" borderId="0"/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/>
    <xf numFmtId="227" fontId="22" fillId="0" borderId="0">
      <alignment vertical="center"/>
    </xf>
    <xf numFmtId="227" fontId="3" fillId="0" borderId="0"/>
    <xf numFmtId="227" fontId="9" fillId="0" borderId="0" applyBorder="0" applyProtection="0"/>
    <xf numFmtId="227" fontId="22" fillId="0" borderId="0"/>
    <xf numFmtId="227" fontId="22" fillId="0" borderId="0"/>
    <xf numFmtId="227" fontId="9" fillId="0" borderId="0"/>
    <xf numFmtId="227" fontId="9" fillId="0" borderId="0"/>
    <xf numFmtId="227" fontId="9" fillId="0" borderId="0"/>
    <xf numFmtId="227" fontId="142" fillId="0" borderId="0">
      <alignment vertical="center"/>
    </xf>
    <xf numFmtId="227" fontId="22" fillId="0" borderId="0"/>
    <xf numFmtId="227" fontId="22" fillId="0" borderId="0"/>
    <xf numFmtId="227" fontId="22" fillId="0" borderId="0"/>
    <xf numFmtId="227" fontId="22" fillId="0" borderId="0"/>
    <xf numFmtId="227" fontId="22" fillId="0" borderId="0"/>
    <xf numFmtId="227" fontId="22" fillId="0" borderId="0"/>
    <xf numFmtId="227" fontId="22" fillId="0" borderId="0"/>
    <xf numFmtId="227" fontId="22" fillId="0" borderId="0"/>
    <xf numFmtId="227" fontId="22" fillId="0" borderId="0"/>
    <xf numFmtId="227" fontId="9" fillId="0" borderId="0">
      <alignment vertical="center"/>
    </xf>
    <xf numFmtId="227" fontId="9" fillId="0" borderId="0">
      <alignment vertical="center"/>
    </xf>
    <xf numFmtId="227" fontId="3" fillId="0" borderId="0"/>
    <xf numFmtId="227" fontId="9" fillId="0" borderId="0"/>
    <xf numFmtId="227" fontId="9" fillId="0" borderId="0"/>
    <xf numFmtId="227" fontId="9" fillId="0" borderId="0"/>
    <xf numFmtId="227" fontId="9" fillId="0" borderId="0"/>
    <xf numFmtId="227" fontId="22" fillId="0" borderId="0"/>
    <xf numFmtId="227" fontId="22" fillId="0" borderId="0"/>
    <xf numFmtId="227" fontId="3" fillId="0" borderId="0"/>
    <xf numFmtId="227" fontId="186" fillId="0" borderId="0">
      <alignment vertical="center"/>
    </xf>
    <xf numFmtId="227" fontId="9" fillId="0" borderId="0"/>
    <xf numFmtId="227" fontId="9" fillId="0" borderId="0"/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9" fillId="0" borderId="0">
      <alignment vertical="center"/>
    </xf>
    <xf numFmtId="227" fontId="174" fillId="0" borderId="0"/>
    <xf numFmtId="227" fontId="88" fillId="4" borderId="209" applyNumberFormat="0" applyFont="0" applyAlignment="0" applyProtection="0"/>
    <xf numFmtId="227" fontId="88" fillId="4" borderId="209" applyNumberFormat="0" applyFont="0" applyAlignment="0" applyProtection="0"/>
    <xf numFmtId="227" fontId="88" fillId="4" borderId="209" applyNumberFormat="0" applyFont="0" applyAlignment="0" applyProtection="0"/>
    <xf numFmtId="227" fontId="88" fillId="4" borderId="209" applyNumberFormat="0" applyFont="0" applyAlignment="0" applyProtection="0"/>
    <xf numFmtId="227" fontId="88" fillId="4" borderId="209" applyNumberFormat="0" applyFont="0" applyAlignment="0" applyProtection="0"/>
    <xf numFmtId="227" fontId="88" fillId="4" borderId="209" applyNumberFormat="0" applyFont="0" applyAlignment="0" applyProtection="0"/>
    <xf numFmtId="227" fontId="189" fillId="0" borderId="206">
      <alignment horizontal="left"/>
    </xf>
    <xf numFmtId="227" fontId="103" fillId="0" borderId="206">
      <alignment horizontal="left"/>
    </xf>
    <xf numFmtId="227" fontId="101" fillId="26" borderId="191">
      <alignment horizontal="right"/>
      <protection locked="0"/>
    </xf>
    <xf numFmtId="227" fontId="101" fillId="26" borderId="191">
      <alignment horizontal="right"/>
      <protection locked="0"/>
    </xf>
    <xf numFmtId="227" fontId="101" fillId="26" borderId="191">
      <alignment horizontal="right"/>
      <protection locked="0"/>
    </xf>
    <xf numFmtId="227" fontId="101" fillId="26" borderId="191">
      <alignment horizontal="right"/>
      <protection locked="0"/>
    </xf>
    <xf numFmtId="227" fontId="101" fillId="26" borderId="191">
      <alignment horizontal="right"/>
      <protection locked="0"/>
    </xf>
    <xf numFmtId="227" fontId="101" fillId="26" borderId="191">
      <alignment horizontal="right"/>
      <protection locked="0"/>
    </xf>
    <xf numFmtId="227" fontId="15" fillId="0" borderId="0"/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227" fontId="93" fillId="0" borderId="0" applyFont="0"/>
    <xf numFmtId="227" fontId="188" fillId="0" borderId="6"/>
    <xf numFmtId="227" fontId="98" fillId="0" borderId="6"/>
    <xf numFmtId="4" fontId="188" fillId="0" borderId="14"/>
    <xf numFmtId="227" fontId="104" fillId="8" borderId="0" applyNumberFormat="0" applyBorder="0" applyAlignment="0" applyProtection="0"/>
    <xf numFmtId="227" fontId="188" fillId="0" borderId="6"/>
    <xf numFmtId="227" fontId="188" fillId="0" borderId="6"/>
    <xf numFmtId="227" fontId="98" fillId="0" borderId="6"/>
    <xf numFmtId="227" fontId="9" fillId="0" borderId="0"/>
    <xf numFmtId="227" fontId="9" fillId="0" borderId="0"/>
    <xf numFmtId="227" fontId="9" fillId="0" borderId="0"/>
    <xf numFmtId="227" fontId="9" fillId="0" borderId="0"/>
    <xf numFmtId="227" fontId="190" fillId="0" borderId="6"/>
    <xf numFmtId="227" fontId="106" fillId="0" borderId="6"/>
    <xf numFmtId="227" fontId="24" fillId="0" borderId="0">
      <alignment horizontal="right"/>
    </xf>
    <xf numFmtId="227" fontId="184" fillId="0" borderId="204"/>
    <xf numFmtId="227" fontId="90" fillId="0" borderId="204"/>
    <xf numFmtId="227" fontId="191" fillId="0" borderId="0" applyNumberFormat="0" applyFill="0" applyBorder="0" applyAlignment="0" applyProtection="0"/>
    <xf numFmtId="227" fontId="24" fillId="0" borderId="0">
      <alignment vertical="center"/>
    </xf>
    <xf numFmtId="227" fontId="108" fillId="0" borderId="16" applyNumberFormat="0" applyFill="0" applyAlignment="0" applyProtection="0"/>
    <xf numFmtId="227" fontId="109" fillId="0" borderId="17" applyNumberFormat="0" applyFill="0" applyAlignment="0" applyProtection="0"/>
    <xf numFmtId="227" fontId="110" fillId="0" borderId="18" applyNumberFormat="0" applyFill="0" applyAlignment="0" applyProtection="0"/>
    <xf numFmtId="227" fontId="110" fillId="0" borderId="18" applyNumberFormat="0" applyFill="0" applyAlignment="0" applyProtection="0"/>
    <xf numFmtId="227" fontId="110" fillId="0" borderId="18" applyNumberFormat="0" applyFill="0" applyAlignment="0" applyProtection="0"/>
    <xf numFmtId="227" fontId="110" fillId="0" borderId="0" applyNumberFormat="0" applyFill="0" applyBorder="0" applyAlignment="0" applyProtection="0"/>
    <xf numFmtId="227" fontId="107" fillId="0" borderId="0" applyNumberFormat="0" applyFill="0" applyBorder="0" applyAlignment="0" applyProtection="0"/>
    <xf numFmtId="227" fontId="189" fillId="0" borderId="204">
      <alignment horizontal="left"/>
    </xf>
    <xf numFmtId="227" fontId="103" fillId="0" borderId="204">
      <alignment horizontal="left"/>
    </xf>
    <xf numFmtId="227" fontId="111" fillId="0" borderId="19" applyNumberFormat="0" applyFill="0" applyAlignment="0" applyProtection="0"/>
    <xf numFmtId="227" fontId="112" fillId="0" borderId="0" applyNumberFormat="0" applyFill="0" applyBorder="0" applyAlignment="0" applyProtection="0"/>
    <xf numFmtId="227" fontId="112" fillId="0" borderId="0" applyNumberFormat="0" applyFill="0" applyBorder="0" applyAlignment="0" applyProtection="0"/>
    <xf numFmtId="227" fontId="9" fillId="4" borderId="0" applyNumberFormat="0" applyFont="0" applyBorder="0" applyAlignment="0" applyProtection="0"/>
    <xf numFmtId="227" fontId="9" fillId="4" borderId="0" applyNumberFormat="0" applyFont="0" applyBorder="0" applyAlignment="0" applyProtection="0"/>
    <xf numFmtId="227" fontId="9" fillId="4" borderId="0" applyNumberFormat="0" applyFont="0" applyBorder="0" applyAlignment="0" applyProtection="0"/>
    <xf numFmtId="227" fontId="9" fillId="4" borderId="0" applyNumberFormat="0" applyFont="0" applyBorder="0" applyAlignment="0" applyProtection="0"/>
    <xf numFmtId="227" fontId="9" fillId="4" borderId="0" applyNumberFormat="0" applyFont="0" applyBorder="0" applyAlignment="0" applyProtection="0"/>
    <xf numFmtId="227" fontId="9" fillId="4" borderId="0" applyNumberFormat="0" applyFont="0" applyBorder="0" applyAlignment="0" applyProtection="0"/>
    <xf numFmtId="227" fontId="113" fillId="24" borderId="5" applyNumberFormat="0" applyAlignment="0" applyProtection="0"/>
    <xf numFmtId="43" fontId="186" fillId="0" borderId="0" applyFont="0" applyFill="0" applyBorder="0" applyAlignment="0" applyProtection="0">
      <alignment vertical="center"/>
    </xf>
    <xf numFmtId="21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227" fontId="32" fillId="9" borderId="0" applyNumberFormat="0" applyBorder="0" applyAlignment="0" applyProtection="0">
      <alignment vertical="center"/>
    </xf>
    <xf numFmtId="227" fontId="32" fillId="9" borderId="0" applyNumberFormat="0" applyBorder="0" applyAlignment="0" applyProtection="0">
      <alignment vertical="center"/>
    </xf>
    <xf numFmtId="227" fontId="30" fillId="8" borderId="0" applyNumberFormat="0" applyBorder="0" applyAlignment="0" applyProtection="0">
      <alignment vertical="center"/>
    </xf>
    <xf numFmtId="227" fontId="30" fillId="8" borderId="0" applyNumberFormat="0" applyBorder="0" applyAlignment="0" applyProtection="0">
      <alignment vertical="center"/>
    </xf>
    <xf numFmtId="227" fontId="30" fillId="8" borderId="0" applyNumberFormat="0" applyBorder="0" applyAlignment="0" applyProtection="0">
      <alignment vertical="center"/>
    </xf>
    <xf numFmtId="227" fontId="176" fillId="0" borderId="0">
      <alignment vertical="center"/>
    </xf>
    <xf numFmtId="227" fontId="9" fillId="0" borderId="0">
      <alignment vertical="center"/>
    </xf>
    <xf numFmtId="227" fontId="9" fillId="0" borderId="0"/>
    <xf numFmtId="227" fontId="9" fillId="0" borderId="0">
      <alignment vertical="center"/>
    </xf>
    <xf numFmtId="227" fontId="9" fillId="0" borderId="0">
      <alignment vertical="center"/>
    </xf>
    <xf numFmtId="227" fontId="186" fillId="0" borderId="0">
      <alignment vertical="center"/>
    </xf>
    <xf numFmtId="227" fontId="3" fillId="0" borderId="0"/>
    <xf numFmtId="227" fontId="12" fillId="20" borderId="0" applyNumberFormat="0" applyBorder="0" applyAlignment="0" applyProtection="0">
      <alignment vertical="center"/>
    </xf>
    <xf numFmtId="227" fontId="12" fillId="19" borderId="0" applyNumberFormat="0" applyBorder="0" applyAlignment="0" applyProtection="0">
      <alignment vertical="center"/>
    </xf>
    <xf numFmtId="227" fontId="12" fillId="21" borderId="0" applyNumberFormat="0" applyBorder="0" applyAlignment="0" applyProtection="0">
      <alignment vertical="center"/>
    </xf>
    <xf numFmtId="227" fontId="12" fillId="16" borderId="0" applyNumberFormat="0" applyBorder="0" applyAlignment="0" applyProtection="0">
      <alignment vertical="center"/>
    </xf>
    <xf numFmtId="227" fontId="12" fillId="17" borderId="0" applyNumberFormat="0" applyBorder="0" applyAlignment="0" applyProtection="0">
      <alignment vertical="center"/>
    </xf>
    <xf numFmtId="227" fontId="12" fillId="14" borderId="0" applyNumberFormat="0" applyBorder="0" applyAlignment="0" applyProtection="0">
      <alignment vertical="center"/>
    </xf>
    <xf numFmtId="227" fontId="27" fillId="0" borderId="16" applyNumberFormat="0" applyFill="0" applyAlignment="0" applyProtection="0">
      <alignment vertical="center"/>
    </xf>
    <xf numFmtId="227" fontId="28" fillId="0" borderId="17" applyNumberFormat="0" applyFill="0" applyAlignment="0" applyProtection="0">
      <alignment vertical="center"/>
    </xf>
    <xf numFmtId="227" fontId="29" fillId="0" borderId="18" applyNumberFormat="0" applyFill="0" applyAlignment="0" applyProtection="0">
      <alignment vertical="center"/>
    </xf>
    <xf numFmtId="227" fontId="29" fillId="0" borderId="0" applyNumberFormat="0" applyFill="0" applyBorder="0" applyAlignment="0" applyProtection="0">
      <alignment vertical="center"/>
    </xf>
    <xf numFmtId="227" fontId="26" fillId="0" borderId="0" applyNumberFormat="0" applyFill="0" applyBorder="0" applyAlignment="0" applyProtection="0">
      <alignment vertical="center"/>
    </xf>
    <xf numFmtId="214" fontId="9" fillId="0" borderId="0">
      <alignment vertical="center"/>
    </xf>
    <xf numFmtId="227" fontId="35" fillId="24" borderId="5" applyNumberFormat="0" applyAlignment="0" applyProtection="0">
      <alignment vertical="center"/>
    </xf>
    <xf numFmtId="227" fontId="33" fillId="0" borderId="208" applyNumberFormat="0" applyFill="0" applyAlignment="0" applyProtection="0">
      <alignment vertical="center"/>
    </xf>
    <xf numFmtId="227" fontId="33" fillId="0" borderId="208" applyNumberFormat="0" applyFill="0" applyAlignment="0" applyProtection="0">
      <alignment vertical="center"/>
    </xf>
    <xf numFmtId="227" fontId="33" fillId="0" borderId="208" applyNumberFormat="0" applyFill="0" applyAlignment="0" applyProtection="0">
      <alignment vertical="center"/>
    </xf>
    <xf numFmtId="227" fontId="33" fillId="0" borderId="208" applyNumberFormat="0" applyFill="0" applyAlignment="0" applyProtection="0">
      <alignment vertical="center"/>
    </xf>
    <xf numFmtId="227" fontId="33" fillId="0" borderId="208" applyNumberFormat="0" applyFill="0" applyAlignment="0" applyProtection="0">
      <alignment vertical="center"/>
    </xf>
    <xf numFmtId="227" fontId="22" fillId="4" borderId="209" applyNumberFormat="0" applyFont="0" applyAlignment="0" applyProtection="0">
      <alignment vertical="center"/>
    </xf>
    <xf numFmtId="227" fontId="22" fillId="4" borderId="209" applyNumberFormat="0" applyFont="0" applyAlignment="0" applyProtection="0">
      <alignment vertical="center"/>
    </xf>
    <xf numFmtId="227" fontId="22" fillId="4" borderId="209" applyNumberFormat="0" applyFont="0" applyAlignment="0" applyProtection="0">
      <alignment vertical="center"/>
    </xf>
    <xf numFmtId="227" fontId="22" fillId="4" borderId="209" applyNumberFormat="0" applyFont="0" applyAlignment="0" applyProtection="0">
      <alignment vertical="center"/>
    </xf>
    <xf numFmtId="227" fontId="22" fillId="4" borderId="209" applyNumberFormat="0" applyFont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227" fontId="36" fillId="0" borderId="0" applyNumberFormat="0" applyFill="0" applyBorder="0" applyAlignment="0" applyProtection="0">
      <alignment vertical="center"/>
    </xf>
    <xf numFmtId="227" fontId="37" fillId="0" borderId="0" applyNumberFormat="0" applyFill="0" applyBorder="0" applyAlignment="0" applyProtection="0">
      <alignment vertical="center"/>
    </xf>
    <xf numFmtId="227" fontId="34" fillId="22" borderId="207" applyNumberFormat="0" applyAlignment="0" applyProtection="0">
      <alignment vertical="center"/>
    </xf>
    <xf numFmtId="227" fontId="34" fillId="22" borderId="207" applyNumberFormat="0" applyAlignment="0" applyProtection="0">
      <alignment vertical="center"/>
    </xf>
    <xf numFmtId="227" fontId="34" fillId="22" borderId="207" applyNumberFormat="0" applyAlignment="0" applyProtection="0">
      <alignment vertical="center"/>
    </xf>
    <xf numFmtId="227" fontId="34" fillId="22" borderId="207" applyNumberFormat="0" applyAlignment="0" applyProtection="0">
      <alignment vertical="center"/>
    </xf>
    <xf numFmtId="227" fontId="34" fillId="22" borderId="207" applyNumberFormat="0" applyAlignment="0" applyProtection="0">
      <alignment vertical="center"/>
    </xf>
    <xf numFmtId="227" fontId="31" fillId="0" borderId="0" applyNumberFormat="0" applyFill="0" applyBorder="0" applyAlignment="0" applyProtection="0">
      <alignment vertical="top"/>
      <protection locked="0"/>
    </xf>
    <xf numFmtId="227" fontId="41" fillId="5" borderId="207" applyNumberFormat="0" applyAlignment="0" applyProtection="0">
      <alignment vertical="center"/>
    </xf>
    <xf numFmtId="227" fontId="41" fillId="5" borderId="207" applyNumberFormat="0" applyAlignment="0" applyProtection="0">
      <alignment vertical="center"/>
    </xf>
    <xf numFmtId="227" fontId="41" fillId="5" borderId="207" applyNumberFormat="0" applyAlignment="0" applyProtection="0">
      <alignment vertical="center"/>
    </xf>
    <xf numFmtId="227" fontId="41" fillId="5" borderId="207" applyNumberFormat="0" applyAlignment="0" applyProtection="0">
      <alignment vertical="center"/>
    </xf>
    <xf numFmtId="227" fontId="41" fillId="5" borderId="207" applyNumberFormat="0" applyAlignment="0" applyProtection="0">
      <alignment vertical="center"/>
    </xf>
    <xf numFmtId="227" fontId="40" fillId="22" borderId="205" applyNumberFormat="0" applyAlignment="0" applyProtection="0">
      <alignment vertical="center"/>
    </xf>
    <xf numFmtId="227" fontId="40" fillId="22" borderId="205" applyNumberFormat="0" applyAlignment="0" applyProtection="0">
      <alignment vertical="center"/>
    </xf>
    <xf numFmtId="227" fontId="40" fillId="22" borderId="205" applyNumberFormat="0" applyAlignment="0" applyProtection="0">
      <alignment vertical="center"/>
    </xf>
    <xf numFmtId="227" fontId="40" fillId="22" borderId="205" applyNumberFormat="0" applyAlignment="0" applyProtection="0">
      <alignment vertical="center"/>
    </xf>
    <xf numFmtId="227" fontId="40" fillId="22" borderId="205" applyNumberFormat="0" applyAlignment="0" applyProtection="0">
      <alignment vertical="center"/>
    </xf>
    <xf numFmtId="227" fontId="39" fillId="11" borderId="0" applyNumberFormat="0" applyBorder="0" applyAlignment="0" applyProtection="0">
      <alignment vertical="center"/>
    </xf>
    <xf numFmtId="227" fontId="38" fillId="0" borderId="19" applyNumberFormat="0" applyFill="0" applyAlignment="0" applyProtection="0">
      <alignment vertical="center"/>
    </xf>
    <xf numFmtId="43" fontId="9" fillId="0" borderId="0" applyFont="0" applyFill="0" applyBorder="0" applyAlignment="0" applyProtection="0"/>
    <xf numFmtId="227" fontId="22" fillId="0" borderId="0">
      <alignment vertical="center"/>
    </xf>
    <xf numFmtId="227" fontId="3" fillId="0" borderId="0"/>
    <xf numFmtId="9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227" fontId="2" fillId="0" borderId="0"/>
    <xf numFmtId="229" fontId="22" fillId="0" borderId="0"/>
    <xf numFmtId="43" fontId="22" fillId="0" borderId="0" applyFont="0" applyFill="0" applyBorder="0" applyAlignment="0" applyProtection="0"/>
    <xf numFmtId="229" fontId="9" fillId="0" borderId="0">
      <alignment vertical="center"/>
    </xf>
    <xf numFmtId="9" fontId="22" fillId="0" borderId="0" applyFont="0" applyFill="0" applyBorder="0" applyAlignment="0" applyProtection="0">
      <alignment vertical="center"/>
    </xf>
    <xf numFmtId="227" fontId="9" fillId="0" borderId="0">
      <alignment vertical="center"/>
    </xf>
    <xf numFmtId="227" fontId="90" fillId="0" borderId="236">
      <alignment horizontal="left"/>
    </xf>
    <xf numFmtId="227" fontId="91" fillId="22" borderId="244" applyNumberFormat="0" applyAlignment="0" applyProtection="0"/>
    <xf numFmtId="227" fontId="15" fillId="0" borderId="206"/>
    <xf numFmtId="227" fontId="92" fillId="22" borderId="245" applyNumberFormat="0" applyAlignment="0" applyProtection="0"/>
    <xf numFmtId="43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227" fontId="95" fillId="5" borderId="245" applyNumberFormat="0" applyAlignment="0" applyProtection="0"/>
    <xf numFmtId="227" fontId="96" fillId="0" borderId="246" applyNumberFormat="0" applyFill="0" applyAlignment="0" applyProtection="0"/>
    <xf numFmtId="227" fontId="55" fillId="0" borderId="231">
      <alignment horizontal="left" vertical="center"/>
    </xf>
    <xf numFmtId="10" fontId="18" fillId="25" borderId="237" applyNumberFormat="0" applyBorder="0" applyAlignment="0" applyProtection="0"/>
    <xf numFmtId="227" fontId="14" fillId="0" borderId="236"/>
    <xf numFmtId="227" fontId="88" fillId="4" borderId="247" applyNumberFormat="0" applyFont="0" applyAlignment="0" applyProtection="0"/>
    <xf numFmtId="227" fontId="101" fillId="26" borderId="248">
      <alignment horizontal="right"/>
      <protection locked="0"/>
    </xf>
    <xf numFmtId="9" fontId="9" fillId="0" borderId="0" applyFont="0" applyFill="0" applyBorder="0" applyAlignment="0" applyProtection="0">
      <alignment vertical="center"/>
    </xf>
    <xf numFmtId="227" fontId="90" fillId="0" borderId="236"/>
    <xf numFmtId="227" fontId="103" fillId="0" borderId="236">
      <alignment horizontal="left"/>
    </xf>
    <xf numFmtId="227" fontId="34" fillId="22" borderId="245" applyNumberFormat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227" fontId="40" fillId="22" borderId="244" applyNumberFormat="0" applyAlignment="0" applyProtection="0">
      <alignment vertical="center"/>
    </xf>
    <xf numFmtId="229" fontId="22" fillId="0" borderId="0"/>
    <xf numFmtId="227" fontId="22" fillId="4" borderId="247" applyNumberFormat="0" applyFont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227" fontId="1" fillId="0" borderId="0"/>
    <xf numFmtId="227" fontId="90" fillId="0" borderId="236">
      <alignment horizontal="left"/>
    </xf>
    <xf numFmtId="227" fontId="90" fillId="0" borderId="236">
      <alignment horizontal="left"/>
    </xf>
    <xf numFmtId="227" fontId="90" fillId="0" borderId="236">
      <alignment horizontal="left"/>
    </xf>
    <xf numFmtId="0" fontId="9" fillId="0" borderId="0"/>
    <xf numFmtId="227" fontId="91" fillId="22" borderId="244" applyNumberFormat="0" applyAlignment="0" applyProtection="0"/>
    <xf numFmtId="227" fontId="91" fillId="22" borderId="244" applyNumberFormat="0" applyAlignment="0" applyProtection="0"/>
    <xf numFmtId="227" fontId="91" fillId="22" borderId="244" applyNumberFormat="0" applyAlignment="0" applyProtection="0"/>
    <xf numFmtId="227" fontId="15" fillId="0" borderId="206"/>
    <xf numFmtId="216" fontId="15" fillId="0" borderId="206"/>
    <xf numFmtId="227" fontId="15" fillId="0" borderId="206"/>
    <xf numFmtId="227" fontId="15" fillId="0" borderId="206"/>
    <xf numFmtId="227" fontId="92" fillId="22" borderId="245" applyNumberFormat="0" applyAlignment="0" applyProtection="0"/>
    <xf numFmtId="227" fontId="92" fillId="22" borderId="245" applyNumberFormat="0" applyAlignment="0" applyProtection="0"/>
    <xf numFmtId="227" fontId="92" fillId="22" borderId="245" applyNumberFormat="0" applyAlignment="0" applyProtection="0"/>
    <xf numFmtId="227" fontId="34" fillId="22" borderId="245" applyNumberFormat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4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142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14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141" fillId="0" borderId="0" applyFont="0" applyFill="0" applyBorder="0" applyAlignment="0" applyProtection="0">
      <alignment vertical="center"/>
    </xf>
    <xf numFmtId="43" fontId="141" fillId="0" borderId="0" applyFont="0" applyFill="0" applyBorder="0" applyAlignment="0" applyProtection="0">
      <alignment vertical="center"/>
    </xf>
    <xf numFmtId="43" fontId="141" fillId="0" borderId="0" applyFont="0" applyFill="0" applyBorder="0" applyAlignment="0" applyProtection="0">
      <alignment vertical="center"/>
    </xf>
    <xf numFmtId="227" fontId="95" fillId="5" borderId="245" applyNumberFormat="0" applyAlignment="0" applyProtection="0"/>
    <xf numFmtId="227" fontId="95" fillId="5" borderId="245" applyNumberFormat="0" applyAlignment="0" applyProtection="0"/>
    <xf numFmtId="227" fontId="95" fillId="5" borderId="245" applyNumberFormat="0" applyAlignment="0" applyProtection="0"/>
    <xf numFmtId="227" fontId="96" fillId="0" borderId="246" applyNumberFormat="0" applyFill="0" applyAlignment="0" applyProtection="0"/>
    <xf numFmtId="227" fontId="96" fillId="0" borderId="246" applyNumberFormat="0" applyFill="0" applyAlignment="0" applyProtection="0"/>
    <xf numFmtId="227" fontId="96" fillId="0" borderId="246" applyNumberFormat="0" applyFill="0" applyAlignment="0" applyProtection="0"/>
    <xf numFmtId="227" fontId="55" fillId="0" borderId="231">
      <alignment horizontal="left" vertical="center"/>
    </xf>
    <xf numFmtId="227" fontId="55" fillId="0" borderId="231">
      <alignment horizontal="left" vertical="center"/>
    </xf>
    <xf numFmtId="227" fontId="55" fillId="0" borderId="231">
      <alignment horizontal="left" vertical="center"/>
    </xf>
    <xf numFmtId="10" fontId="18" fillId="25" borderId="237" applyNumberFormat="0" applyBorder="0" applyAlignment="0" applyProtection="0"/>
    <xf numFmtId="227" fontId="41" fillId="5" borderId="245" applyNumberFormat="0" applyAlignment="0" applyProtection="0">
      <alignment vertical="center"/>
    </xf>
    <xf numFmtId="227" fontId="41" fillId="5" borderId="245" applyNumberFormat="0" applyAlignment="0" applyProtection="0">
      <alignment vertical="center"/>
    </xf>
    <xf numFmtId="227" fontId="14" fillId="0" borderId="236"/>
    <xf numFmtId="38" fontId="14" fillId="0" borderId="236"/>
    <xf numFmtId="227" fontId="14" fillId="0" borderId="236"/>
    <xf numFmtId="227" fontId="14" fillId="0" borderId="236"/>
    <xf numFmtId="227" fontId="22" fillId="4" borderId="247" applyNumberFormat="0" applyFont="0" applyAlignment="0" applyProtection="0">
      <alignment vertical="center"/>
    </xf>
    <xf numFmtId="227" fontId="88" fillId="4" borderId="247" applyNumberFormat="0" applyFont="0" applyAlignment="0" applyProtection="0"/>
    <xf numFmtId="227" fontId="88" fillId="4" borderId="247" applyNumberFormat="0" applyFont="0" applyAlignment="0" applyProtection="0"/>
    <xf numFmtId="227" fontId="103" fillId="0" borderId="206">
      <alignment horizontal="left"/>
    </xf>
    <xf numFmtId="227" fontId="103" fillId="0" borderId="206">
      <alignment horizontal="left"/>
    </xf>
    <xf numFmtId="227" fontId="103" fillId="0" borderId="206">
      <alignment horizontal="left"/>
    </xf>
    <xf numFmtId="227" fontId="40" fillId="22" borderId="244" applyNumberFormat="0" applyAlignment="0" applyProtection="0">
      <alignment vertical="center"/>
    </xf>
    <xf numFmtId="227" fontId="101" fillId="26" borderId="248">
      <alignment horizontal="right"/>
      <protection locked="0"/>
    </xf>
    <xf numFmtId="227" fontId="101" fillId="26" borderId="248">
      <alignment horizontal="right"/>
      <protection locked="0"/>
    </xf>
    <xf numFmtId="227" fontId="90" fillId="0" borderId="236"/>
    <xf numFmtId="227" fontId="90" fillId="0" borderId="236"/>
    <xf numFmtId="227" fontId="90" fillId="0" borderId="236"/>
    <xf numFmtId="227" fontId="33" fillId="0" borderId="246" applyNumberFormat="0" applyFill="0" applyAlignment="0" applyProtection="0">
      <alignment vertical="center"/>
    </xf>
    <xf numFmtId="227" fontId="103" fillId="0" borderId="236">
      <alignment horizontal="left"/>
    </xf>
    <xf numFmtId="227" fontId="103" fillId="0" borderId="236">
      <alignment horizontal="left"/>
    </xf>
    <xf numFmtId="227" fontId="103" fillId="0" borderId="236">
      <alignment horizontal="left"/>
    </xf>
    <xf numFmtId="0" fontId="22" fillId="0" borderId="0"/>
    <xf numFmtId="0" fontId="9" fillId="0" borderId="0"/>
    <xf numFmtId="227" fontId="33" fillId="0" borderId="246" applyNumberFormat="0" applyFill="0" applyAlignment="0" applyProtection="0">
      <alignment vertical="center"/>
    </xf>
    <xf numFmtId="227" fontId="33" fillId="0" borderId="246" applyNumberFormat="0" applyFill="0" applyAlignment="0" applyProtection="0">
      <alignment vertical="center"/>
    </xf>
    <xf numFmtId="227" fontId="34" fillId="22" borderId="245" applyNumberFormat="0" applyAlignment="0" applyProtection="0">
      <alignment vertical="center"/>
    </xf>
    <xf numFmtId="227" fontId="34" fillId="22" borderId="245" applyNumberFormat="0" applyAlignment="0" applyProtection="0">
      <alignment vertical="center"/>
    </xf>
    <xf numFmtId="227" fontId="34" fillId="22" borderId="245" applyNumberFormat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227" fontId="40" fillId="22" borderId="244" applyNumberFormat="0" applyAlignment="0" applyProtection="0">
      <alignment vertical="center"/>
    </xf>
    <xf numFmtId="227" fontId="40" fillId="22" borderId="244" applyNumberFormat="0" applyAlignment="0" applyProtection="0">
      <alignment vertical="center"/>
    </xf>
    <xf numFmtId="227" fontId="40" fillId="22" borderId="244" applyNumberFormat="0" applyAlignment="0" applyProtection="0">
      <alignment vertical="center"/>
    </xf>
    <xf numFmtId="227" fontId="41" fillId="5" borderId="245" applyNumberFormat="0" applyAlignment="0" applyProtection="0">
      <alignment vertical="center"/>
    </xf>
    <xf numFmtId="227" fontId="41" fillId="5" borderId="245" applyNumberFormat="0" applyAlignment="0" applyProtection="0">
      <alignment vertical="center"/>
    </xf>
    <xf numFmtId="227" fontId="22" fillId="4" borderId="247" applyNumberFormat="0" applyFont="0" applyAlignment="0" applyProtection="0">
      <alignment vertical="center"/>
    </xf>
    <xf numFmtId="227" fontId="22" fillId="4" borderId="247" applyNumberFormat="0" applyFont="0" applyAlignment="0" applyProtection="0">
      <alignment vertical="center"/>
    </xf>
    <xf numFmtId="227" fontId="91" fillId="22" borderId="244" applyNumberFormat="0" applyAlignment="0" applyProtection="0"/>
    <xf numFmtId="227" fontId="91" fillId="22" borderId="244" applyNumberFormat="0" applyAlignment="0" applyProtection="0"/>
    <xf numFmtId="227" fontId="92" fillId="22" borderId="245" applyNumberFormat="0" applyAlignment="0" applyProtection="0"/>
    <xf numFmtId="227" fontId="92" fillId="22" borderId="245" applyNumberFormat="0" applyAlignment="0" applyProtection="0"/>
    <xf numFmtId="227" fontId="34" fillId="22" borderId="245" applyNumberFormat="0" applyAlignment="0" applyProtection="0">
      <alignment vertical="center"/>
    </xf>
    <xf numFmtId="227" fontId="95" fillId="5" borderId="245" applyNumberFormat="0" applyAlignment="0" applyProtection="0"/>
    <xf numFmtId="227" fontId="95" fillId="5" borderId="245" applyNumberFormat="0" applyAlignment="0" applyProtection="0"/>
    <xf numFmtId="227" fontId="96" fillId="0" borderId="246" applyNumberFormat="0" applyFill="0" applyAlignment="0" applyProtection="0"/>
    <xf numFmtId="227" fontId="96" fillId="0" borderId="246" applyNumberFormat="0" applyFill="0" applyAlignment="0" applyProtection="0"/>
    <xf numFmtId="227" fontId="55" fillId="0" borderId="231">
      <alignment horizontal="left" vertical="center"/>
    </xf>
    <xf numFmtId="227" fontId="55" fillId="0" borderId="231">
      <alignment horizontal="left" vertical="center"/>
    </xf>
    <xf numFmtId="227" fontId="41" fillId="5" borderId="245" applyNumberFormat="0" applyAlignment="0" applyProtection="0">
      <alignment vertical="center"/>
    </xf>
    <xf numFmtId="227" fontId="41" fillId="5" borderId="245" applyNumberFormat="0" applyAlignment="0" applyProtection="0">
      <alignment vertical="center"/>
    </xf>
    <xf numFmtId="227" fontId="22" fillId="4" borderId="247" applyNumberFormat="0" applyFont="0" applyAlignment="0" applyProtection="0">
      <alignment vertical="center"/>
    </xf>
    <xf numFmtId="227" fontId="88" fillId="4" borderId="247" applyNumberFormat="0" applyFont="0" applyAlignment="0" applyProtection="0"/>
    <xf numFmtId="227" fontId="88" fillId="4" borderId="247" applyNumberFormat="0" applyFont="0" applyAlignment="0" applyProtection="0"/>
    <xf numFmtId="227" fontId="88" fillId="4" borderId="247" applyNumberFormat="0" applyFont="0" applyAlignment="0" applyProtection="0"/>
    <xf numFmtId="227" fontId="40" fillId="22" borderId="244" applyNumberFormat="0" applyAlignment="0" applyProtection="0">
      <alignment vertical="center"/>
    </xf>
    <xf numFmtId="227" fontId="33" fillId="0" borderId="246" applyNumberFormat="0" applyFill="0" applyAlignment="0" applyProtection="0">
      <alignment vertical="center"/>
    </xf>
    <xf numFmtId="227" fontId="33" fillId="0" borderId="246" applyNumberFormat="0" applyFill="0" applyAlignment="0" applyProtection="0">
      <alignment vertical="center"/>
    </xf>
    <xf numFmtId="227" fontId="33" fillId="0" borderId="246" applyNumberFormat="0" applyFill="0" applyAlignment="0" applyProtection="0">
      <alignment vertical="center"/>
    </xf>
    <xf numFmtId="227" fontId="33" fillId="0" borderId="246" applyNumberFormat="0" applyFill="0" applyAlignment="0" applyProtection="0">
      <alignment vertical="center"/>
    </xf>
    <xf numFmtId="227" fontId="34" fillId="22" borderId="245" applyNumberFormat="0" applyAlignment="0" applyProtection="0">
      <alignment vertical="center"/>
    </xf>
    <xf numFmtId="227" fontId="34" fillId="22" borderId="245" applyNumberFormat="0" applyAlignment="0" applyProtection="0">
      <alignment vertical="center"/>
    </xf>
    <xf numFmtId="227" fontId="40" fillId="22" borderId="244" applyNumberFormat="0" applyAlignment="0" applyProtection="0">
      <alignment vertical="center"/>
    </xf>
    <xf numFmtId="227" fontId="40" fillId="22" borderId="244" applyNumberFormat="0" applyAlignment="0" applyProtection="0">
      <alignment vertical="center"/>
    </xf>
    <xf numFmtId="227" fontId="41" fillId="5" borderId="245" applyNumberFormat="0" applyAlignment="0" applyProtection="0">
      <alignment vertical="center"/>
    </xf>
    <xf numFmtId="227" fontId="41" fillId="5" borderId="245" applyNumberFormat="0" applyAlignment="0" applyProtection="0">
      <alignment vertical="center"/>
    </xf>
    <xf numFmtId="227" fontId="41" fillId="5" borderId="245" applyNumberFormat="0" applyAlignment="0" applyProtection="0">
      <alignment vertical="center"/>
    </xf>
    <xf numFmtId="227" fontId="22" fillId="4" borderId="247" applyNumberFormat="0" applyFont="0" applyAlignment="0" applyProtection="0">
      <alignment vertical="center"/>
    </xf>
    <xf numFmtId="227" fontId="22" fillId="4" borderId="247" applyNumberFormat="0" applyFont="0" applyAlignment="0" applyProtection="0">
      <alignment vertical="center"/>
    </xf>
    <xf numFmtId="227" fontId="22" fillId="4" borderId="247" applyNumberFormat="0" applyFont="0" applyAlignment="0" applyProtection="0">
      <alignment vertical="center"/>
    </xf>
    <xf numFmtId="227" fontId="33" fillId="0" borderId="246" applyNumberFormat="0" applyFill="0" applyAlignment="0" applyProtection="0">
      <alignment vertical="center"/>
    </xf>
    <xf numFmtId="227" fontId="41" fillId="5" borderId="245" applyNumberFormat="0" applyAlignment="0" applyProtection="0">
      <alignment vertical="center"/>
    </xf>
    <xf numFmtId="227" fontId="39" fillId="11" borderId="0" applyNumberFormat="0" applyBorder="0" applyAlignment="0" applyProtection="0">
      <alignment vertical="center"/>
    </xf>
    <xf numFmtId="227" fontId="90" fillId="0" borderId="236">
      <alignment horizontal="left"/>
    </xf>
    <xf numFmtId="216" fontId="15" fillId="0" borderId="206"/>
    <xf numFmtId="41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141" fillId="0" borderId="0" applyFont="0" applyFill="0" applyBorder="0" applyAlignment="0" applyProtection="0">
      <alignment vertical="center"/>
    </xf>
    <xf numFmtId="43" fontId="141" fillId="0" borderId="0" applyFont="0" applyFill="0" applyBorder="0" applyAlignment="0" applyProtection="0">
      <alignment vertical="center"/>
    </xf>
    <xf numFmtId="43" fontId="141" fillId="0" borderId="0" applyFont="0" applyFill="0" applyBorder="0" applyAlignment="0" applyProtection="0">
      <alignment vertical="center"/>
    </xf>
    <xf numFmtId="229" fontId="22" fillId="0" borderId="0"/>
    <xf numFmtId="38" fontId="14" fillId="0" borderId="236"/>
    <xf numFmtId="227" fontId="1" fillId="0" borderId="0"/>
    <xf numFmtId="227" fontId="1" fillId="0" borderId="0"/>
    <xf numFmtId="227" fontId="1" fillId="0" borderId="0"/>
    <xf numFmtId="227" fontId="103" fillId="0" borderId="206">
      <alignment horizontal="left"/>
    </xf>
    <xf numFmtId="227" fontId="101" fillId="26" borderId="248">
      <alignment horizontal="right"/>
      <protection locked="0"/>
    </xf>
    <xf numFmtId="227" fontId="90" fillId="0" borderId="236"/>
    <xf numFmtId="227" fontId="103" fillId="0" borderId="236">
      <alignment horizontal="left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227" fontId="1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227" fontId="1" fillId="0" borderId="0"/>
    <xf numFmtId="9" fontId="1" fillId="0" borderId="0" applyFont="0" applyFill="0" applyBorder="0" applyAlignment="0" applyProtection="0">
      <alignment vertical="center"/>
    </xf>
    <xf numFmtId="227" fontId="184" fillId="0" borderId="236">
      <alignment horizontal="left"/>
    </xf>
    <xf numFmtId="227" fontId="90" fillId="0" borderId="236">
      <alignment horizontal="left"/>
    </xf>
    <xf numFmtId="227" fontId="91" fillId="22" borderId="244" applyNumberFormat="0" applyAlignment="0" applyProtection="0"/>
    <xf numFmtId="227" fontId="91" fillId="22" borderId="244" applyNumberFormat="0" applyAlignment="0" applyProtection="0"/>
    <xf numFmtId="227" fontId="91" fillId="22" borderId="244" applyNumberFormat="0" applyAlignment="0" applyProtection="0"/>
    <xf numFmtId="227" fontId="91" fillId="22" borderId="244" applyNumberFormat="0" applyAlignment="0" applyProtection="0"/>
    <xf numFmtId="227" fontId="91" fillId="22" borderId="244" applyNumberFormat="0" applyAlignment="0" applyProtection="0"/>
    <xf numFmtId="227" fontId="91" fillId="22" borderId="244" applyNumberFormat="0" applyAlignment="0" applyProtection="0"/>
    <xf numFmtId="227" fontId="92" fillId="22" borderId="245" applyNumberFormat="0" applyAlignment="0" applyProtection="0"/>
    <xf numFmtId="227" fontId="92" fillId="22" borderId="245" applyNumberFormat="0" applyAlignment="0" applyProtection="0"/>
    <xf numFmtId="227" fontId="92" fillId="22" borderId="245" applyNumberFormat="0" applyAlignment="0" applyProtection="0"/>
    <xf numFmtId="227" fontId="92" fillId="22" borderId="245" applyNumberFormat="0" applyAlignment="0" applyProtection="0"/>
    <xf numFmtId="227" fontId="92" fillId="22" borderId="245" applyNumberFormat="0" applyAlignment="0" applyProtection="0"/>
    <xf numFmtId="227" fontId="92" fillId="22" borderId="245" applyNumberFormat="0" applyAlignment="0" applyProtection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188" fontId="1" fillId="0" borderId="0" applyFont="0" applyFill="0" applyBorder="0" applyAlignment="0" applyProtection="0"/>
    <xf numFmtId="43" fontId="186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227" fontId="95" fillId="5" borderId="245" applyNumberFormat="0" applyAlignment="0" applyProtection="0"/>
    <xf numFmtId="227" fontId="95" fillId="5" borderId="245" applyNumberFormat="0" applyAlignment="0" applyProtection="0"/>
    <xf numFmtId="227" fontId="95" fillId="5" borderId="245" applyNumberFormat="0" applyAlignment="0" applyProtection="0"/>
    <xf numFmtId="227" fontId="95" fillId="5" borderId="245" applyNumberFormat="0" applyAlignment="0" applyProtection="0"/>
    <xf numFmtId="227" fontId="95" fillId="5" borderId="245" applyNumberFormat="0" applyAlignment="0" applyProtection="0"/>
    <xf numFmtId="227" fontId="95" fillId="5" borderId="245" applyNumberFormat="0" applyAlignment="0" applyProtection="0"/>
    <xf numFmtId="227" fontId="96" fillId="0" borderId="246" applyNumberFormat="0" applyFill="0" applyAlignment="0" applyProtection="0"/>
    <xf numFmtId="227" fontId="96" fillId="0" borderId="246" applyNumberFormat="0" applyFill="0" applyAlignment="0" applyProtection="0"/>
    <xf numFmtId="227" fontId="96" fillId="0" borderId="246" applyNumberFormat="0" applyFill="0" applyAlignment="0" applyProtection="0"/>
    <xf numFmtId="227" fontId="96" fillId="0" borderId="246" applyNumberFormat="0" applyFill="0" applyAlignment="0" applyProtection="0"/>
    <xf numFmtId="227" fontId="96" fillId="0" borderId="246" applyNumberFormat="0" applyFill="0" applyAlignment="0" applyProtection="0"/>
    <xf numFmtId="227" fontId="96" fillId="0" borderId="246" applyNumberFormat="0" applyFill="0" applyAlignment="0" applyProtection="0"/>
    <xf numFmtId="9" fontId="22" fillId="0" borderId="0" applyFont="0" applyFill="0" applyBorder="0" applyAlignment="0" applyProtection="0">
      <alignment vertical="center"/>
    </xf>
    <xf numFmtId="227" fontId="55" fillId="0" borderId="249">
      <alignment horizontal="left" vertical="center"/>
    </xf>
    <xf numFmtId="227" fontId="55" fillId="0" borderId="249">
      <alignment horizontal="left" vertical="center"/>
    </xf>
    <xf numFmtId="227" fontId="55" fillId="0" borderId="249">
      <alignment horizontal="left" vertical="center"/>
    </xf>
    <xf numFmtId="10" fontId="18" fillId="25" borderId="250" applyNumberFormat="0" applyBorder="0" applyAlignment="0" applyProtection="0"/>
    <xf numFmtId="10" fontId="18" fillId="25" borderId="250" applyNumberFormat="0" applyBorder="0" applyAlignment="0" applyProtection="0"/>
    <xf numFmtId="227" fontId="95" fillId="5" borderId="245" applyNumberFormat="0" applyAlignment="0" applyProtection="0"/>
    <xf numFmtId="227" fontId="95" fillId="5" borderId="245" applyNumberFormat="0" applyAlignment="0" applyProtection="0"/>
    <xf numFmtId="227" fontId="95" fillId="5" borderId="245" applyNumberFormat="0" applyAlignment="0" applyProtection="0"/>
    <xf numFmtId="227" fontId="1" fillId="0" borderId="0"/>
    <xf numFmtId="227" fontId="1" fillId="0" borderId="0"/>
    <xf numFmtId="227" fontId="1" fillId="0" borderId="0"/>
    <xf numFmtId="227" fontId="88" fillId="4" borderId="247" applyNumberFormat="0" applyFont="0" applyAlignment="0" applyProtection="0"/>
    <xf numFmtId="227" fontId="88" fillId="4" borderId="247" applyNumberFormat="0" applyFont="0" applyAlignment="0" applyProtection="0"/>
    <xf numFmtId="227" fontId="88" fillId="4" borderId="247" applyNumberFormat="0" applyFont="0" applyAlignment="0" applyProtection="0"/>
    <xf numFmtId="227" fontId="88" fillId="4" borderId="247" applyNumberFormat="0" applyFont="0" applyAlignment="0" applyProtection="0"/>
    <xf numFmtId="227" fontId="88" fillId="4" borderId="247" applyNumberFormat="0" applyFont="0" applyAlignment="0" applyProtection="0"/>
    <xf numFmtId="227" fontId="88" fillId="4" borderId="247" applyNumberFormat="0" applyFont="0" applyAlignment="0" applyProtection="0"/>
    <xf numFmtId="227" fontId="101" fillId="26" borderId="248">
      <alignment horizontal="right"/>
      <protection locked="0"/>
    </xf>
    <xf numFmtId="227" fontId="101" fillId="26" borderId="248">
      <alignment horizontal="right"/>
      <protection locked="0"/>
    </xf>
    <xf numFmtId="227" fontId="101" fillId="26" borderId="248">
      <alignment horizontal="right"/>
      <protection locked="0"/>
    </xf>
    <xf numFmtId="227" fontId="101" fillId="26" borderId="248">
      <alignment horizontal="right"/>
      <protection locked="0"/>
    </xf>
    <xf numFmtId="227" fontId="101" fillId="26" borderId="248">
      <alignment horizontal="right"/>
      <protection locked="0"/>
    </xf>
    <xf numFmtId="227" fontId="101" fillId="26" borderId="248">
      <alignment horizontal="right"/>
      <protection locked="0"/>
    </xf>
    <xf numFmtId="9" fontId="1" fillId="0" borderId="0" applyFont="0" applyFill="0" applyBorder="0" applyAlignment="0" applyProtection="0"/>
    <xf numFmtId="227" fontId="184" fillId="0" borderId="236"/>
    <xf numFmtId="227" fontId="90" fillId="0" borderId="236"/>
    <xf numFmtId="227" fontId="189" fillId="0" borderId="236">
      <alignment horizontal="left"/>
    </xf>
    <xf numFmtId="227" fontId="103" fillId="0" borderId="236">
      <alignment horizontal="left"/>
    </xf>
    <xf numFmtId="0" fontId="217" fillId="64" borderId="243" applyNumberFormat="0" applyFont="0" applyAlignment="0" applyProtection="0">
      <alignment vertical="center"/>
    </xf>
    <xf numFmtId="43" fontId="186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227" fontId="33" fillId="0" borderId="246" applyNumberFormat="0" applyFill="0" applyAlignment="0" applyProtection="0">
      <alignment vertical="center"/>
    </xf>
    <xf numFmtId="227" fontId="33" fillId="0" borderId="246" applyNumberFormat="0" applyFill="0" applyAlignment="0" applyProtection="0">
      <alignment vertical="center"/>
    </xf>
    <xf numFmtId="227" fontId="33" fillId="0" borderId="246" applyNumberFormat="0" applyFill="0" applyAlignment="0" applyProtection="0">
      <alignment vertical="center"/>
    </xf>
    <xf numFmtId="227" fontId="33" fillId="0" borderId="246" applyNumberFormat="0" applyFill="0" applyAlignment="0" applyProtection="0">
      <alignment vertical="center"/>
    </xf>
    <xf numFmtId="227" fontId="33" fillId="0" borderId="246" applyNumberFormat="0" applyFill="0" applyAlignment="0" applyProtection="0">
      <alignment vertical="center"/>
    </xf>
    <xf numFmtId="227" fontId="22" fillId="4" borderId="247" applyNumberFormat="0" applyFont="0" applyAlignment="0" applyProtection="0">
      <alignment vertical="center"/>
    </xf>
    <xf numFmtId="227" fontId="22" fillId="4" borderId="247" applyNumberFormat="0" applyFont="0" applyAlignment="0" applyProtection="0">
      <alignment vertical="center"/>
    </xf>
    <xf numFmtId="227" fontId="22" fillId="4" borderId="247" applyNumberFormat="0" applyFont="0" applyAlignment="0" applyProtection="0">
      <alignment vertical="center"/>
    </xf>
    <xf numFmtId="227" fontId="22" fillId="4" borderId="247" applyNumberFormat="0" applyFont="0" applyAlignment="0" applyProtection="0">
      <alignment vertical="center"/>
    </xf>
    <xf numFmtId="227" fontId="22" fillId="4" borderId="247" applyNumberFormat="0" applyFont="0" applyAlignment="0" applyProtection="0">
      <alignment vertical="center"/>
    </xf>
    <xf numFmtId="227" fontId="34" fillId="22" borderId="245" applyNumberFormat="0" applyAlignment="0" applyProtection="0">
      <alignment vertical="center"/>
    </xf>
    <xf numFmtId="227" fontId="34" fillId="22" borderId="245" applyNumberFormat="0" applyAlignment="0" applyProtection="0">
      <alignment vertical="center"/>
    </xf>
    <xf numFmtId="227" fontId="34" fillId="22" borderId="245" applyNumberFormat="0" applyAlignment="0" applyProtection="0">
      <alignment vertical="center"/>
    </xf>
    <xf numFmtId="227" fontId="34" fillId="22" borderId="245" applyNumberFormat="0" applyAlignment="0" applyProtection="0">
      <alignment vertical="center"/>
    </xf>
    <xf numFmtId="227" fontId="34" fillId="22" borderId="245" applyNumberFormat="0" applyAlignment="0" applyProtection="0">
      <alignment vertical="center"/>
    </xf>
    <xf numFmtId="227" fontId="41" fillId="5" borderId="245" applyNumberFormat="0" applyAlignment="0" applyProtection="0">
      <alignment vertical="center"/>
    </xf>
    <xf numFmtId="227" fontId="41" fillId="5" borderId="245" applyNumberFormat="0" applyAlignment="0" applyProtection="0">
      <alignment vertical="center"/>
    </xf>
    <xf numFmtId="227" fontId="41" fillId="5" borderId="245" applyNumberFormat="0" applyAlignment="0" applyProtection="0">
      <alignment vertical="center"/>
    </xf>
    <xf numFmtId="227" fontId="41" fillId="5" borderId="245" applyNumberFormat="0" applyAlignment="0" applyProtection="0">
      <alignment vertical="center"/>
    </xf>
    <xf numFmtId="227" fontId="41" fillId="5" borderId="245" applyNumberFormat="0" applyAlignment="0" applyProtection="0">
      <alignment vertical="center"/>
    </xf>
    <xf numFmtId="227" fontId="40" fillId="22" borderId="244" applyNumberFormat="0" applyAlignment="0" applyProtection="0">
      <alignment vertical="center"/>
    </xf>
    <xf numFmtId="227" fontId="40" fillId="22" borderId="244" applyNumberFormat="0" applyAlignment="0" applyProtection="0">
      <alignment vertical="center"/>
    </xf>
    <xf numFmtId="227" fontId="40" fillId="22" borderId="244" applyNumberFormat="0" applyAlignment="0" applyProtection="0">
      <alignment vertical="center"/>
    </xf>
    <xf numFmtId="227" fontId="40" fillId="22" borderId="244" applyNumberFormat="0" applyAlignment="0" applyProtection="0">
      <alignment vertical="center"/>
    </xf>
    <xf numFmtId="227" fontId="40" fillId="22" borderId="244" applyNumberFormat="0" applyAlignment="0" applyProtection="0">
      <alignment vertical="center"/>
    </xf>
    <xf numFmtId="43" fontId="9" fillId="0" borderId="0" applyFont="0" applyFill="0" applyBorder="0" applyAlignment="0" applyProtection="0"/>
    <xf numFmtId="227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227" fontId="1" fillId="0" borderId="0"/>
    <xf numFmtId="0" fontId="142" fillId="0" borderId="0">
      <alignment vertical="center"/>
    </xf>
    <xf numFmtId="231" fontId="22" fillId="0" borderId="0">
      <alignment vertical="center"/>
    </xf>
    <xf numFmtId="0" fontId="31" fillId="0" borderId="0" applyNumberFormat="0" applyFill="0" applyBorder="0" applyAlignment="0" applyProtection="0">
      <alignment vertical="top"/>
      <protection locked="0"/>
    </xf>
    <xf numFmtId="9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229" fontId="22" fillId="0" borderId="0"/>
    <xf numFmtId="229" fontId="22" fillId="0" borderId="0"/>
    <xf numFmtId="43" fontId="22" fillId="0" borderId="0" applyFont="0" applyFill="0" applyBorder="0" applyAlignment="0" applyProtection="0"/>
    <xf numFmtId="229" fontId="22" fillId="0" borderId="0"/>
    <xf numFmtId="9" fontId="22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>
      <alignment vertical="center"/>
    </xf>
  </cellStyleXfs>
  <cellXfs count="2750">
    <xf numFmtId="227" fontId="0" fillId="0" borderId="0" xfId="0">
      <alignment vertical="center"/>
    </xf>
    <xf numFmtId="227" fontId="43" fillId="0" borderId="0" xfId="119" applyFont="1" applyFill="1" applyAlignment="1">
      <alignment horizontal="left" vertical="center"/>
    </xf>
    <xf numFmtId="227" fontId="44" fillId="0" borderId="0" xfId="119" applyFont="1" applyFill="1"/>
    <xf numFmtId="227" fontId="46" fillId="0" borderId="0" xfId="119" applyFont="1" applyFill="1" applyBorder="1" applyAlignment="1">
      <alignment horizontal="center" wrapText="1"/>
    </xf>
    <xf numFmtId="227" fontId="45" fillId="0" borderId="0" xfId="119" applyFont="1" applyFill="1" applyBorder="1"/>
    <xf numFmtId="227" fontId="44" fillId="0" borderId="0" xfId="119" applyFont="1" applyFill="1" applyBorder="1"/>
    <xf numFmtId="227" fontId="44" fillId="0" borderId="20" xfId="119" applyFont="1" applyFill="1" applyBorder="1"/>
    <xf numFmtId="227" fontId="44" fillId="0" borderId="21" xfId="119" applyFont="1" applyFill="1" applyBorder="1"/>
    <xf numFmtId="227" fontId="44" fillId="0" borderId="0" xfId="119" applyFont="1" applyFill="1" applyBorder="1" applyAlignment="1">
      <alignment horizontal="right"/>
    </xf>
    <xf numFmtId="227" fontId="44" fillId="0" borderId="0" xfId="119" applyFont="1" applyFill="1" applyBorder="1" applyAlignment="1">
      <alignment horizontal="left"/>
    </xf>
    <xf numFmtId="1" fontId="44" fillId="0" borderId="0" xfId="119" applyNumberFormat="1" applyFont="1" applyFill="1" applyBorder="1" applyAlignment="1">
      <alignment horizontal="left"/>
    </xf>
    <xf numFmtId="227" fontId="45" fillId="0" borderId="0" xfId="119" applyFont="1" applyFill="1" applyBorder="1" applyAlignment="1">
      <alignment horizontal="left"/>
    </xf>
    <xf numFmtId="227" fontId="44" fillId="0" borderId="0" xfId="119" applyFont="1" applyFill="1" applyBorder="1" applyAlignment="1">
      <alignment horizontal="center"/>
    </xf>
    <xf numFmtId="227" fontId="44" fillId="0" borderId="0" xfId="119" applyFont="1" applyFill="1" applyBorder="1" applyProtection="1">
      <protection locked="0"/>
    </xf>
    <xf numFmtId="227" fontId="45" fillId="0" borderId="0" xfId="119" applyFont="1" applyFill="1" applyBorder="1" applyProtection="1">
      <protection locked="0"/>
    </xf>
    <xf numFmtId="227" fontId="45" fillId="0" borderId="0" xfId="119" applyFont="1" applyFill="1" applyBorder="1" applyAlignment="1" applyProtection="1">
      <alignment horizontal="left"/>
      <protection locked="0"/>
    </xf>
    <xf numFmtId="15" fontId="44" fillId="0" borderId="0" xfId="119" applyNumberFormat="1" applyFont="1" applyFill="1" applyBorder="1" applyAlignment="1">
      <alignment horizontal="left"/>
    </xf>
    <xf numFmtId="15" fontId="44" fillId="0" borderId="0" xfId="119" applyNumberFormat="1" applyFont="1" applyFill="1" applyBorder="1" applyAlignment="1">
      <alignment horizontal="center"/>
    </xf>
    <xf numFmtId="179" fontId="44" fillId="0" borderId="0" xfId="248" applyFont="1" applyFill="1" applyBorder="1"/>
    <xf numFmtId="227" fontId="44" fillId="0" borderId="22" xfId="119" applyFont="1" applyFill="1" applyBorder="1"/>
    <xf numFmtId="227" fontId="44" fillId="0" borderId="23" xfId="119" applyFont="1" applyFill="1" applyBorder="1"/>
    <xf numFmtId="180" fontId="45" fillId="0" borderId="23" xfId="120" applyNumberFormat="1" applyFont="1" applyFill="1" applyBorder="1" applyAlignment="1" applyProtection="1">
      <alignment horizontal="center"/>
      <protection locked="0"/>
    </xf>
    <xf numFmtId="227" fontId="44" fillId="0" borderId="23" xfId="119" applyFont="1" applyFill="1" applyBorder="1" applyProtection="1">
      <protection locked="0"/>
    </xf>
    <xf numFmtId="227" fontId="44" fillId="0" borderId="25" xfId="119" applyFont="1" applyFill="1" applyBorder="1"/>
    <xf numFmtId="227" fontId="44" fillId="0" borderId="26" xfId="119" applyFont="1" applyFill="1" applyBorder="1"/>
    <xf numFmtId="179" fontId="44" fillId="0" borderId="26" xfId="248" applyFont="1" applyFill="1" applyBorder="1"/>
    <xf numFmtId="179" fontId="44" fillId="0" borderId="22" xfId="248" applyFont="1" applyFill="1" applyBorder="1" applyAlignment="1">
      <alignment horizontal="right"/>
    </xf>
    <xf numFmtId="179" fontId="44" fillId="0" borderId="23" xfId="248" applyFont="1" applyFill="1" applyBorder="1"/>
    <xf numFmtId="227" fontId="44" fillId="0" borderId="0" xfId="119" applyFont="1" applyFill="1" applyBorder="1" applyAlignment="1">
      <alignment vertical="center"/>
    </xf>
    <xf numFmtId="227" fontId="44" fillId="0" borderId="0" xfId="119" applyFont="1" applyFill="1" applyBorder="1" applyAlignment="1">
      <alignment horizontal="center" vertical="center"/>
    </xf>
    <xf numFmtId="227" fontId="45" fillId="0" borderId="25" xfId="119" applyFont="1" applyFill="1" applyBorder="1"/>
    <xf numFmtId="227" fontId="45" fillId="0" borderId="26" xfId="119" applyFont="1" applyFill="1" applyBorder="1"/>
    <xf numFmtId="227" fontId="45" fillId="0" borderId="26" xfId="119" applyFont="1" applyFill="1" applyBorder="1" applyAlignment="1">
      <alignment vertical="top"/>
    </xf>
    <xf numFmtId="179" fontId="45" fillId="0" borderId="26" xfId="248" applyFont="1" applyFill="1" applyBorder="1"/>
    <xf numFmtId="227" fontId="45" fillId="0" borderId="30" xfId="119" applyFont="1" applyFill="1" applyBorder="1" applyAlignment="1">
      <alignment horizontal="center" vertical="center"/>
    </xf>
    <xf numFmtId="179" fontId="45" fillId="0" borderId="0" xfId="248" applyFont="1" applyFill="1" applyBorder="1"/>
    <xf numFmtId="3" fontId="45" fillId="0" borderId="33" xfId="119" applyNumberFormat="1" applyFont="1" applyFill="1" applyBorder="1" applyAlignment="1">
      <alignment horizontal="center" vertical="center"/>
    </xf>
    <xf numFmtId="43" fontId="45" fillId="0" borderId="33" xfId="58" applyFont="1" applyFill="1" applyBorder="1" applyAlignment="1">
      <alignment horizontal="center" vertical="center"/>
    </xf>
    <xf numFmtId="3" fontId="45" fillId="0" borderId="34" xfId="119" applyNumberFormat="1" applyFont="1" applyFill="1" applyBorder="1" applyAlignment="1">
      <alignment horizontal="center" vertical="center"/>
    </xf>
    <xf numFmtId="181" fontId="45" fillId="0" borderId="24" xfId="70" applyNumberFormat="1" applyFont="1" applyFill="1" applyBorder="1" applyAlignment="1">
      <alignment horizontal="center" vertical="center"/>
    </xf>
    <xf numFmtId="3" fontId="45" fillId="0" borderId="31" xfId="119" applyNumberFormat="1" applyFont="1" applyFill="1" applyBorder="1" applyAlignment="1">
      <alignment horizontal="center" vertical="center"/>
    </xf>
    <xf numFmtId="181" fontId="45" fillId="0" borderId="21" xfId="248" applyNumberFormat="1" applyFont="1" applyFill="1" applyBorder="1" applyAlignment="1">
      <alignment horizontal="center" vertical="center"/>
    </xf>
    <xf numFmtId="3" fontId="45" fillId="0" borderId="33" xfId="248" applyNumberFormat="1" applyFont="1" applyFill="1" applyBorder="1" applyAlignment="1">
      <alignment horizontal="center" vertical="center"/>
    </xf>
    <xf numFmtId="179" fontId="45" fillId="0" borderId="0" xfId="248" applyFont="1" applyFill="1" applyBorder="1" applyAlignment="1">
      <alignment horizontal="right"/>
    </xf>
    <xf numFmtId="181" fontId="45" fillId="0" borderId="24" xfId="248" applyNumberFormat="1" applyFont="1" applyFill="1" applyBorder="1" applyAlignment="1">
      <alignment horizontal="center" vertical="center"/>
    </xf>
    <xf numFmtId="227" fontId="45" fillId="0" borderId="9" xfId="119" applyFont="1" applyFill="1" applyBorder="1" applyAlignment="1">
      <alignment vertical="center"/>
    </xf>
    <xf numFmtId="179" fontId="45" fillId="0" borderId="9" xfId="248" applyFont="1" applyFill="1" applyBorder="1"/>
    <xf numFmtId="3" fontId="45" fillId="0" borderId="29" xfId="248" applyNumberFormat="1" applyFont="1" applyFill="1" applyBorder="1" applyAlignment="1">
      <alignment horizontal="center" vertical="center"/>
    </xf>
    <xf numFmtId="227" fontId="45" fillId="0" borderId="0" xfId="119" applyFont="1" applyFill="1" applyBorder="1" applyAlignment="1">
      <alignment vertical="center"/>
    </xf>
    <xf numFmtId="3" fontId="45" fillId="0" borderId="31" xfId="248" applyNumberFormat="1" applyFont="1" applyFill="1" applyBorder="1" applyAlignment="1">
      <alignment horizontal="center" vertical="center"/>
    </xf>
    <xf numFmtId="179" fontId="44" fillId="0" borderId="0" xfId="248" applyFont="1" applyFill="1"/>
    <xf numFmtId="179" fontId="44" fillId="0" borderId="25" xfId="248" applyFont="1" applyFill="1" applyBorder="1"/>
    <xf numFmtId="179" fontId="44" fillId="0" borderId="20" xfId="248" applyFont="1" applyFill="1" applyBorder="1"/>
    <xf numFmtId="179" fontId="47" fillId="0" borderId="0" xfId="248" applyFont="1" applyFill="1" applyBorder="1"/>
    <xf numFmtId="179" fontId="47" fillId="0" borderId="0" xfId="248" applyFont="1" applyFill="1" applyBorder="1" applyAlignment="1">
      <alignment horizontal="right"/>
    </xf>
    <xf numFmtId="179" fontId="48" fillId="0" borderId="0" xfId="248" applyFont="1" applyFill="1" applyBorder="1"/>
    <xf numFmtId="227" fontId="47" fillId="0" borderId="0" xfId="119" applyFont="1" applyFill="1" applyBorder="1"/>
    <xf numFmtId="227" fontId="47" fillId="0" borderId="0" xfId="119" applyFont="1" applyFill="1" applyBorder="1" applyAlignment="1">
      <alignment horizontal="right"/>
    </xf>
    <xf numFmtId="227" fontId="44" fillId="0" borderId="42" xfId="119" applyFont="1" applyFill="1" applyBorder="1"/>
    <xf numFmtId="227" fontId="49" fillId="0" borderId="0" xfId="0" applyFont="1" applyAlignment="1">
      <alignment horizontal="center"/>
    </xf>
    <xf numFmtId="227" fontId="44" fillId="0" borderId="0" xfId="119" applyFont="1"/>
    <xf numFmtId="227" fontId="44" fillId="0" borderId="0" xfId="0" applyFont="1" applyAlignment="1">
      <alignment horizontal="right"/>
    </xf>
    <xf numFmtId="180" fontId="44" fillId="0" borderId="0" xfId="0" applyNumberFormat="1" applyFont="1">
      <alignment vertical="center"/>
    </xf>
    <xf numFmtId="227" fontId="45" fillId="0" borderId="0" xfId="119" applyFont="1" applyAlignment="1">
      <alignment horizontal="right"/>
    </xf>
    <xf numFmtId="2" fontId="45" fillId="0" borderId="0" xfId="119" applyNumberFormat="1" applyFont="1" applyAlignment="1">
      <alignment horizontal="center"/>
    </xf>
    <xf numFmtId="179" fontId="50" fillId="0" borderId="0" xfId="248" applyFont="1" applyFill="1" applyBorder="1" applyAlignment="1" applyProtection="1">
      <alignment horizontal="center"/>
    </xf>
    <xf numFmtId="179" fontId="51" fillId="0" borderId="0" xfId="248" applyFont="1" applyFill="1" applyBorder="1" applyAlignment="1" applyProtection="1">
      <alignment horizontal="right" vertical="center"/>
    </xf>
    <xf numFmtId="179" fontId="52" fillId="0" borderId="0" xfId="248" applyFont="1" applyBorder="1" applyAlignment="1" applyProtection="1">
      <alignment horizontal="right"/>
    </xf>
    <xf numFmtId="227" fontId="23" fillId="0" borderId="0" xfId="119" applyFont="1" applyBorder="1" applyAlignment="1" applyProtection="1">
      <alignment vertical="center"/>
    </xf>
    <xf numFmtId="179" fontId="50" fillId="0" borderId="26" xfId="248" applyFont="1" applyFill="1" applyBorder="1" applyProtection="1"/>
    <xf numFmtId="179" fontId="50" fillId="0" borderId="26" xfId="248" applyFont="1" applyFill="1" applyBorder="1" applyAlignment="1" applyProtection="1">
      <alignment horizontal="centerContinuous"/>
    </xf>
    <xf numFmtId="179" fontId="50" fillId="0" borderId="26" xfId="248" applyFont="1" applyBorder="1" applyProtection="1"/>
    <xf numFmtId="179" fontId="50" fillId="0" borderId="22" xfId="248" applyFont="1" applyBorder="1" applyProtection="1"/>
    <xf numFmtId="227" fontId="23" fillId="0" borderId="43" xfId="119" applyFont="1" applyFill="1" applyBorder="1" applyAlignment="1" applyProtection="1">
      <alignment horizontal="center" vertical="center" wrapText="1"/>
    </xf>
    <xf numFmtId="181" fontId="23" fillId="0" borderId="50" xfId="70" applyNumberFormat="1" applyFont="1" applyFill="1" applyBorder="1" applyAlignment="1" applyProtection="1">
      <alignment horizontal="center"/>
    </xf>
    <xf numFmtId="227" fontId="23" fillId="0" borderId="51" xfId="119" applyFont="1" applyBorder="1" applyAlignment="1" applyProtection="1">
      <alignment vertical="center"/>
    </xf>
    <xf numFmtId="41" fontId="23" fillId="0" borderId="50" xfId="70" applyNumberFormat="1" applyFont="1" applyFill="1" applyBorder="1" applyAlignment="1" applyProtection="1">
      <alignment vertical="center"/>
    </xf>
    <xf numFmtId="181" fontId="23" fillId="0" borderId="50" xfId="70" applyNumberFormat="1" applyFont="1" applyFill="1" applyBorder="1" applyAlignment="1" applyProtection="1">
      <alignment horizontal="center" vertical="center"/>
    </xf>
    <xf numFmtId="41" fontId="23" fillId="0" borderId="52" xfId="70" applyNumberFormat="1" applyFont="1" applyFill="1" applyBorder="1" applyAlignment="1" applyProtection="1">
      <alignment vertical="center"/>
    </xf>
    <xf numFmtId="227" fontId="23" fillId="0" borderId="0" xfId="0" applyFont="1" applyFill="1" applyBorder="1" applyAlignment="1">
      <alignment horizontal="right" vertical="center"/>
    </xf>
    <xf numFmtId="227" fontId="0" fillId="0" borderId="0" xfId="0" applyBorder="1">
      <alignment vertical="center"/>
    </xf>
    <xf numFmtId="227" fontId="51" fillId="0" borderId="0" xfId="0" applyFont="1" applyFill="1" applyBorder="1" applyAlignment="1">
      <alignment horizontal="right" vertical="center"/>
    </xf>
    <xf numFmtId="227" fontId="23" fillId="0" borderId="0" xfId="119" applyFont="1" applyBorder="1" applyAlignment="1">
      <alignment vertical="center"/>
    </xf>
    <xf numFmtId="227" fontId="50" fillId="0" borderId="27" xfId="0" applyFont="1" applyFill="1" applyBorder="1">
      <alignment vertical="center"/>
    </xf>
    <xf numFmtId="227" fontId="50" fillId="0" borderId="0" xfId="0" applyFont="1" applyBorder="1">
      <alignment vertical="center"/>
    </xf>
    <xf numFmtId="227" fontId="50" fillId="0" borderId="0" xfId="0" applyFont="1" applyBorder="1" applyAlignment="1">
      <alignment horizontal="center" vertical="center"/>
    </xf>
    <xf numFmtId="227" fontId="50" fillId="0" borderId="0" xfId="0" applyFont="1" applyFill="1" applyBorder="1">
      <alignment vertical="center"/>
    </xf>
    <xf numFmtId="227" fontId="50" fillId="0" borderId="21" xfId="0" applyFont="1" applyFill="1" applyBorder="1">
      <alignment vertical="center"/>
    </xf>
    <xf numFmtId="227" fontId="50" fillId="0" borderId="24" xfId="0" applyFont="1" applyFill="1" applyBorder="1">
      <alignment vertical="center"/>
    </xf>
    <xf numFmtId="227" fontId="50" fillId="0" borderId="0" xfId="0" applyFont="1" applyBorder="1" applyAlignment="1">
      <alignment horizontal="left"/>
    </xf>
    <xf numFmtId="184" fontId="23" fillId="0" borderId="55" xfId="245" applyNumberFormat="1" applyFont="1" applyBorder="1" applyAlignment="1">
      <alignment horizontal="center" vertical="center" wrapText="1"/>
    </xf>
    <xf numFmtId="184" fontId="23" fillId="0" borderId="11" xfId="245" applyNumberFormat="1" applyFont="1" applyBorder="1" applyAlignment="1">
      <alignment horizontal="center" vertical="center" wrapText="1"/>
    </xf>
    <xf numFmtId="184" fontId="23" fillId="0" borderId="63" xfId="245" applyNumberFormat="1" applyFont="1" applyBorder="1" applyAlignment="1">
      <alignment horizontal="left" vertical="center"/>
    </xf>
    <xf numFmtId="184" fontId="23" fillId="0" borderId="64" xfId="245" applyNumberFormat="1" applyFont="1" applyBorder="1" applyAlignment="1">
      <alignment horizontal="center" vertical="center" wrapText="1"/>
    </xf>
    <xf numFmtId="227" fontId="23" fillId="0" borderId="65" xfId="0" applyFont="1" applyFill="1" applyBorder="1" applyAlignment="1">
      <alignment horizontal="center"/>
    </xf>
    <xf numFmtId="184" fontId="23" fillId="0" borderId="11" xfId="116" applyNumberFormat="1" applyFont="1" applyBorder="1" applyAlignment="1">
      <alignment vertical="center" wrapText="1"/>
    </xf>
    <xf numFmtId="184" fontId="23" fillId="0" borderId="55" xfId="116" applyNumberFormat="1" applyFont="1" applyBorder="1" applyAlignment="1">
      <alignment horizontal="left" vertical="center"/>
    </xf>
    <xf numFmtId="38" fontId="23" fillId="0" borderId="11" xfId="70" applyNumberFormat="1" applyFont="1" applyFill="1" applyBorder="1" applyAlignment="1">
      <alignment horizontal="center" vertical="center"/>
    </xf>
    <xf numFmtId="184" fontId="23" fillId="0" borderId="51" xfId="116" applyNumberFormat="1" applyFont="1" applyBorder="1" applyAlignment="1">
      <alignment horizontal="left" vertical="center"/>
    </xf>
    <xf numFmtId="184" fontId="23" fillId="0" borderId="70" xfId="116" applyNumberFormat="1" applyFont="1" applyFill="1" applyBorder="1" applyAlignment="1">
      <alignment vertical="center" wrapText="1"/>
    </xf>
    <xf numFmtId="184" fontId="23" fillId="0" borderId="64" xfId="116" applyNumberFormat="1" applyFont="1" applyFill="1" applyBorder="1" applyAlignment="1">
      <alignment vertical="center" wrapText="1"/>
    </xf>
    <xf numFmtId="184" fontId="23" fillId="0" borderId="68" xfId="116" applyNumberFormat="1" applyFont="1" applyFill="1" applyBorder="1" applyAlignment="1">
      <alignment vertical="center" wrapText="1"/>
    </xf>
    <xf numFmtId="227" fontId="50" fillId="0" borderId="0" xfId="0" applyFont="1" applyFill="1" applyBorder="1" applyAlignment="1">
      <alignment horizontal="center" vertical="center"/>
    </xf>
    <xf numFmtId="184" fontId="23" fillId="0" borderId="73" xfId="116" applyNumberFormat="1" applyFont="1" applyFill="1" applyBorder="1" applyAlignment="1">
      <alignment vertical="center" wrapText="1"/>
    </xf>
    <xf numFmtId="38" fontId="23" fillId="0" borderId="50" xfId="70" applyNumberFormat="1" applyFont="1" applyFill="1" applyBorder="1" applyAlignment="1">
      <alignment horizontal="center" vertical="center"/>
    </xf>
    <xf numFmtId="184" fontId="23" fillId="0" borderId="11" xfId="116" applyNumberFormat="1" applyFont="1" applyFill="1" applyBorder="1" applyAlignment="1">
      <alignment vertical="center" wrapText="1"/>
    </xf>
    <xf numFmtId="227" fontId="23" fillId="0" borderId="11" xfId="119" applyFont="1" applyFill="1" applyBorder="1"/>
    <xf numFmtId="227" fontId="59" fillId="0" borderId="55" xfId="119" applyFont="1" applyFill="1" applyBorder="1" applyAlignment="1">
      <alignment horizontal="right"/>
    </xf>
    <xf numFmtId="227" fontId="61" fillId="0" borderId="11" xfId="119" applyFont="1" applyFill="1" applyBorder="1"/>
    <xf numFmtId="1" fontId="44" fillId="0" borderId="0" xfId="119" applyNumberFormat="1" applyFont="1" applyFill="1" applyAlignment="1">
      <alignment horizontal="left"/>
    </xf>
    <xf numFmtId="1" fontId="44" fillId="0" borderId="0" xfId="119" applyNumberFormat="1" applyFont="1" applyFill="1"/>
    <xf numFmtId="17" fontId="44" fillId="0" borderId="0" xfId="119" applyNumberFormat="1" applyFont="1" applyFill="1"/>
    <xf numFmtId="190" fontId="44" fillId="0" borderId="0" xfId="119" applyNumberFormat="1" applyFont="1" applyFill="1"/>
    <xf numFmtId="183" fontId="44" fillId="0" borderId="0" xfId="58" applyNumberFormat="1" applyFont="1" applyFill="1" applyAlignment="1"/>
    <xf numFmtId="1" fontId="44" fillId="23" borderId="0" xfId="119" applyNumberFormat="1" applyFont="1" applyFill="1"/>
    <xf numFmtId="227" fontId="45" fillId="0" borderId="0" xfId="119" applyFont="1" applyAlignment="1">
      <alignment horizontal="left"/>
    </xf>
    <xf numFmtId="190" fontId="45" fillId="0" borderId="0" xfId="119" applyNumberFormat="1" applyFont="1" applyFill="1" applyBorder="1" applyAlignment="1">
      <alignment horizontal="right"/>
    </xf>
    <xf numFmtId="190" fontId="45" fillId="0" borderId="75" xfId="119" applyNumberFormat="1" applyFont="1" applyFill="1" applyBorder="1" applyAlignment="1">
      <alignment horizontal="right"/>
    </xf>
    <xf numFmtId="3" fontId="45" fillId="0" borderId="76" xfId="119" applyNumberFormat="1" applyFont="1" applyFill="1" applyBorder="1" applyAlignment="1" applyProtection="1">
      <alignment horizontal="right"/>
      <protection locked="0"/>
    </xf>
    <xf numFmtId="2" fontId="45" fillId="0" borderId="77" xfId="119" applyNumberFormat="1" applyFont="1" applyFill="1" applyBorder="1" applyAlignment="1">
      <alignment horizontal="left"/>
    </xf>
    <xf numFmtId="9" fontId="44" fillId="28" borderId="78" xfId="127" applyFont="1" applyFill="1" applyBorder="1" applyAlignment="1">
      <alignment horizontal="center"/>
    </xf>
    <xf numFmtId="9" fontId="44" fillId="23" borderId="0" xfId="127" applyFont="1" applyFill="1" applyAlignment="1">
      <alignment horizontal="center"/>
    </xf>
    <xf numFmtId="9" fontId="44" fillId="0" borderId="0" xfId="127" applyFont="1" applyFill="1" applyAlignment="1">
      <alignment horizontal="center"/>
    </xf>
    <xf numFmtId="9" fontId="44" fillId="0" borderId="0" xfId="127" applyFont="1" applyFill="1" applyAlignment="1"/>
    <xf numFmtId="1" fontId="45" fillId="0" borderId="0" xfId="119" applyNumberFormat="1" applyFont="1" applyFill="1" applyBorder="1" applyAlignment="1">
      <alignment horizontal="right"/>
    </xf>
    <xf numFmtId="1" fontId="45" fillId="0" borderId="75" xfId="119" applyNumberFormat="1" applyFont="1" applyFill="1" applyBorder="1" applyAlignment="1">
      <alignment horizontal="right"/>
    </xf>
    <xf numFmtId="183" fontId="45" fillId="0" borderId="76" xfId="58" applyNumberFormat="1" applyFont="1" applyFill="1" applyBorder="1" applyAlignment="1" applyProtection="1">
      <alignment horizontal="right"/>
      <protection locked="0"/>
    </xf>
    <xf numFmtId="1" fontId="44" fillId="0" borderId="0" xfId="119" applyNumberFormat="1" applyFont="1" applyFill="1" applyBorder="1" applyAlignment="1">
      <alignment horizontal="center"/>
    </xf>
    <xf numFmtId="9" fontId="44" fillId="27" borderId="78" xfId="127" applyFont="1" applyFill="1" applyBorder="1" applyAlignment="1">
      <alignment horizontal="center"/>
    </xf>
    <xf numFmtId="196" fontId="44" fillId="0" borderId="0" xfId="119" applyNumberFormat="1" applyFont="1" applyFill="1" applyBorder="1" applyAlignment="1">
      <alignment horizontal="left"/>
    </xf>
    <xf numFmtId="2" fontId="44" fillId="0" borderId="0" xfId="119" applyNumberFormat="1" applyFont="1" applyFill="1" applyBorder="1" applyAlignment="1">
      <alignment horizontal="left"/>
    </xf>
    <xf numFmtId="2" fontId="44" fillId="0" borderId="79" xfId="119" applyNumberFormat="1" applyFont="1" applyFill="1" applyBorder="1" applyAlignment="1">
      <alignment horizontal="left"/>
    </xf>
    <xf numFmtId="9" fontId="44" fillId="0" borderId="0" xfId="127" applyFont="1" applyAlignment="1">
      <alignment horizontal="center"/>
    </xf>
    <xf numFmtId="9" fontId="44" fillId="0" borderId="0" xfId="127" applyFont="1" applyAlignment="1"/>
    <xf numFmtId="190" fontId="44" fillId="0" borderId="0" xfId="119" applyNumberFormat="1" applyFont="1" applyFill="1" applyAlignment="1">
      <alignment horizontal="left"/>
    </xf>
    <xf numFmtId="190" fontId="44" fillId="0" borderId="0" xfId="119" applyNumberFormat="1" applyFont="1" applyFill="1" applyBorder="1"/>
    <xf numFmtId="183" fontId="44" fillId="0" borderId="0" xfId="58" applyNumberFormat="1" applyFont="1" applyFill="1" applyBorder="1" applyAlignment="1">
      <alignment horizontal="left"/>
    </xf>
    <xf numFmtId="1" fontId="62" fillId="0" borderId="0" xfId="119" applyNumberFormat="1" applyFont="1" applyFill="1" applyAlignment="1">
      <alignment horizontal="center"/>
    </xf>
    <xf numFmtId="227" fontId="45" fillId="0" borderId="0" xfId="119" applyFont="1" applyFill="1" applyAlignment="1">
      <alignment horizontal="right"/>
    </xf>
    <xf numFmtId="15" fontId="44" fillId="0" borderId="0" xfId="119" applyNumberFormat="1" applyFont="1" applyFill="1" applyAlignment="1">
      <alignment horizontal="left"/>
    </xf>
    <xf numFmtId="1" fontId="44" fillId="0" borderId="0" xfId="119" applyNumberFormat="1" applyFont="1" applyFill="1" applyAlignment="1">
      <alignment horizontal="centerContinuous"/>
    </xf>
    <xf numFmtId="3" fontId="45" fillId="0" borderId="80" xfId="119" applyNumberFormat="1" applyFont="1" applyFill="1" applyBorder="1"/>
    <xf numFmtId="15" fontId="44" fillId="0" borderId="0" xfId="119" applyNumberFormat="1" applyFont="1" applyFill="1" applyAlignment="1">
      <alignment horizontal="left" vertical="center"/>
    </xf>
    <xf numFmtId="2" fontId="45" fillId="0" borderId="81" xfId="119" applyNumberFormat="1" applyFont="1" applyFill="1" applyBorder="1" applyAlignment="1">
      <alignment horizontal="left"/>
    </xf>
    <xf numFmtId="3" fontId="45" fillId="0" borderId="82" xfId="119" applyNumberFormat="1" applyFont="1" applyFill="1" applyBorder="1"/>
    <xf numFmtId="2" fontId="45" fillId="0" borderId="0" xfId="119" applyNumberFormat="1" applyFont="1" applyFill="1" applyBorder="1" applyAlignment="1">
      <alignment horizontal="left"/>
    </xf>
    <xf numFmtId="9" fontId="44" fillId="0" borderId="83" xfId="127" applyFont="1" applyBorder="1" applyAlignment="1">
      <alignment horizontal="center"/>
    </xf>
    <xf numFmtId="3" fontId="45" fillId="0" borderId="84" xfId="119" applyNumberFormat="1" applyFont="1" applyFill="1" applyBorder="1"/>
    <xf numFmtId="179" fontId="44" fillId="0" borderId="0" xfId="241" applyFont="1"/>
    <xf numFmtId="1" fontId="44" fillId="29" borderId="0" xfId="119" applyNumberFormat="1" applyFont="1" applyFill="1"/>
    <xf numFmtId="1" fontId="44" fillId="29" borderId="78" xfId="119" applyNumberFormat="1" applyFont="1" applyFill="1" applyBorder="1" applyAlignment="1">
      <alignment horizontal="center"/>
    </xf>
    <xf numFmtId="1" fontId="44" fillId="29" borderId="0" xfId="119" applyNumberFormat="1" applyFont="1" applyFill="1" applyAlignment="1">
      <alignment horizontal="center"/>
    </xf>
    <xf numFmtId="1" fontId="62" fillId="23" borderId="0" xfId="119" applyNumberFormat="1" applyFont="1" applyFill="1" applyAlignment="1">
      <alignment horizontal="center"/>
    </xf>
    <xf numFmtId="183" fontId="44" fillId="0" borderId="0" xfId="58" applyNumberFormat="1" applyFont="1" applyAlignment="1"/>
    <xf numFmtId="183" fontId="44" fillId="0" borderId="0" xfId="58" applyNumberFormat="1" applyFont="1" applyFill="1" applyBorder="1" applyAlignment="1"/>
    <xf numFmtId="1" fontId="44" fillId="27" borderId="0" xfId="119" applyNumberFormat="1" applyFont="1" applyFill="1" applyBorder="1" applyAlignment="1">
      <alignment horizontal="center"/>
    </xf>
    <xf numFmtId="1" fontId="44" fillId="28" borderId="78" xfId="244" applyNumberFormat="1" applyFont="1" applyFill="1" applyBorder="1" applyAlignment="1">
      <alignment horizontal="center"/>
    </xf>
    <xf numFmtId="1" fontId="44" fillId="28" borderId="78" xfId="241" applyNumberFormat="1" applyFont="1" applyFill="1" applyBorder="1" applyAlignment="1">
      <alignment horizontal="center"/>
    </xf>
    <xf numFmtId="1" fontId="45" fillId="23" borderId="0" xfId="241" applyNumberFormat="1" applyFont="1" applyFill="1" applyAlignment="1">
      <alignment horizontal="center"/>
    </xf>
    <xf numFmtId="2" fontId="44" fillId="27" borderId="0" xfId="241" applyNumberFormat="1" applyFont="1" applyFill="1" applyAlignment="1">
      <alignment horizontal="center"/>
    </xf>
    <xf numFmtId="179" fontId="44" fillId="0" borderId="0" xfId="241" applyFont="1" applyFill="1"/>
    <xf numFmtId="1" fontId="44" fillId="27" borderId="78" xfId="244" applyNumberFormat="1" applyFont="1" applyFill="1" applyBorder="1" applyAlignment="1">
      <alignment horizontal="center"/>
    </xf>
    <xf numFmtId="1" fontId="44" fillId="27" borderId="79" xfId="244" applyNumberFormat="1" applyFont="1" applyFill="1" applyBorder="1" applyAlignment="1">
      <alignment horizontal="center"/>
    </xf>
    <xf numFmtId="1" fontId="44" fillId="27" borderId="79" xfId="241" applyNumberFormat="1" applyFont="1" applyFill="1" applyBorder="1" applyAlignment="1">
      <alignment horizontal="center"/>
    </xf>
    <xf numFmtId="1" fontId="44" fillId="27" borderId="78" xfId="241" applyNumberFormat="1" applyFont="1" applyFill="1" applyBorder="1" applyAlignment="1">
      <alignment horizontal="center"/>
    </xf>
    <xf numFmtId="1" fontId="45" fillId="23" borderId="0" xfId="241" applyNumberFormat="1" applyFont="1" applyFill="1" applyAlignment="1">
      <alignment horizontal="left"/>
    </xf>
    <xf numFmtId="3" fontId="45" fillId="0" borderId="0" xfId="241" applyNumberFormat="1" applyFont="1"/>
    <xf numFmtId="1" fontId="44" fillId="28" borderId="79" xfId="241" applyNumberFormat="1" applyFont="1" applyFill="1" applyBorder="1" applyAlignment="1">
      <alignment horizontal="center"/>
    </xf>
    <xf numFmtId="179" fontId="44" fillId="27" borderId="0" xfId="241" applyFont="1" applyFill="1"/>
    <xf numFmtId="3" fontId="44" fillId="0" borderId="0" xfId="241" quotePrefix="1" applyNumberFormat="1" applyFont="1"/>
    <xf numFmtId="179" fontId="44" fillId="23" borderId="0" xfId="241" applyFont="1" applyFill="1"/>
    <xf numFmtId="1" fontId="44" fillId="0" borderId="85" xfId="119" applyNumberFormat="1" applyFont="1" applyFill="1" applyBorder="1" applyAlignment="1">
      <alignment wrapText="1"/>
    </xf>
    <xf numFmtId="179" fontId="44" fillId="0" borderId="86" xfId="241" applyFont="1" applyBorder="1"/>
    <xf numFmtId="3" fontId="44" fillId="0" borderId="87" xfId="119" applyNumberFormat="1" applyFont="1" applyBorder="1"/>
    <xf numFmtId="179" fontId="10" fillId="0" borderId="0" xfId="241"/>
    <xf numFmtId="179" fontId="10" fillId="0" borderId="0" xfId="241" applyAlignment="1">
      <alignment horizontal="center"/>
    </xf>
    <xf numFmtId="1" fontId="44" fillId="30" borderId="88" xfId="241" applyNumberFormat="1" applyFont="1" applyFill="1" applyBorder="1" applyAlignment="1">
      <alignment horizontal="center"/>
    </xf>
    <xf numFmtId="1" fontId="44" fillId="23" borderId="23" xfId="241" applyNumberFormat="1" applyFont="1" applyFill="1" applyBorder="1" applyAlignment="1">
      <alignment horizontal="center"/>
    </xf>
    <xf numFmtId="1" fontId="44" fillId="0" borderId="23" xfId="241" applyNumberFormat="1" applyFont="1" applyFill="1" applyBorder="1" applyAlignment="1">
      <alignment horizontal="center"/>
    </xf>
    <xf numFmtId="1" fontId="44" fillId="0" borderId="23" xfId="119" applyNumberFormat="1" applyFont="1" applyFill="1" applyBorder="1" applyAlignment="1">
      <alignment horizontal="center"/>
    </xf>
    <xf numFmtId="227" fontId="44" fillId="0" borderId="89" xfId="119" applyFont="1" applyBorder="1"/>
    <xf numFmtId="227" fontId="44" fillId="0" borderId="0" xfId="119" applyFont="1" applyBorder="1"/>
    <xf numFmtId="3" fontId="44" fillId="0" borderId="90" xfId="119" applyNumberFormat="1" applyFont="1" applyBorder="1"/>
    <xf numFmtId="183" fontId="45" fillId="0" borderId="0" xfId="58" applyNumberFormat="1" applyFont="1" applyFill="1" applyAlignment="1"/>
    <xf numFmtId="2" fontId="45" fillId="0" borderId="0" xfId="119" applyNumberFormat="1" applyFont="1" applyFill="1" applyBorder="1" applyAlignment="1">
      <alignment horizontal="right"/>
    </xf>
    <xf numFmtId="1" fontId="44" fillId="0" borderId="91" xfId="241" applyNumberFormat="1" applyFont="1" applyFill="1" applyBorder="1" applyAlignment="1">
      <alignment horizontal="center"/>
    </xf>
    <xf numFmtId="1" fontId="44" fillId="0" borderId="88" xfId="241" applyNumberFormat="1" applyFont="1" applyFill="1" applyBorder="1" applyAlignment="1">
      <alignment horizontal="center"/>
    </xf>
    <xf numFmtId="1" fontId="44" fillId="0" borderId="92" xfId="119" applyNumberFormat="1" applyFont="1" applyFill="1" applyBorder="1" applyAlignment="1">
      <alignment horizontal="center"/>
    </xf>
    <xf numFmtId="227" fontId="44" fillId="0" borderId="89" xfId="119" applyFont="1" applyFill="1" applyBorder="1"/>
    <xf numFmtId="3" fontId="44" fillId="0" borderId="90" xfId="119" applyNumberFormat="1" applyFont="1" applyFill="1" applyBorder="1"/>
    <xf numFmtId="15" fontId="44" fillId="0" borderId="93" xfId="119" applyNumberFormat="1" applyFont="1" applyFill="1" applyBorder="1"/>
    <xf numFmtId="17" fontId="44" fillId="0" borderId="93" xfId="119" applyNumberFormat="1" applyFont="1" applyFill="1" applyBorder="1"/>
    <xf numFmtId="1" fontId="44" fillId="0" borderId="94" xfId="119" applyNumberFormat="1" applyFont="1" applyFill="1" applyBorder="1"/>
    <xf numFmtId="1" fontId="44" fillId="0" borderId="77" xfId="119" applyNumberFormat="1" applyFont="1" applyFill="1" applyBorder="1"/>
    <xf numFmtId="2" fontId="45" fillId="0" borderId="95" xfId="119" applyNumberFormat="1" applyFont="1" applyFill="1" applyBorder="1" applyAlignment="1">
      <alignment horizontal="right"/>
    </xf>
    <xf numFmtId="183" fontId="44" fillId="0" borderId="92" xfId="58" applyNumberFormat="1" applyFont="1" applyFill="1" applyBorder="1" applyAlignment="1">
      <alignment horizontal="center"/>
    </xf>
    <xf numFmtId="1" fontId="44" fillId="0" borderId="92" xfId="119" applyNumberFormat="1" applyFont="1" applyFill="1" applyBorder="1" applyAlignment="1">
      <alignment horizontal="center" wrapText="1"/>
    </xf>
    <xf numFmtId="1" fontId="44" fillId="23" borderId="92" xfId="119" applyNumberFormat="1" applyFont="1" applyFill="1" applyBorder="1" applyAlignment="1">
      <alignment horizontal="center"/>
    </xf>
    <xf numFmtId="3" fontId="44" fillId="0" borderId="96" xfId="119" applyNumberFormat="1" applyFont="1" applyBorder="1"/>
    <xf numFmtId="15" fontId="44" fillId="0" borderId="97" xfId="119" quotePrefix="1" applyNumberFormat="1" applyFont="1" applyFill="1" applyBorder="1" applyAlignment="1">
      <alignment horizontal="center"/>
    </xf>
    <xf numFmtId="3" fontId="44" fillId="0" borderId="98" xfId="119" applyNumberFormat="1" applyFont="1" applyBorder="1"/>
    <xf numFmtId="3" fontId="45" fillId="0" borderId="0" xfId="119" applyNumberFormat="1" applyFont="1" applyBorder="1" applyAlignment="1">
      <alignment horizontal="center"/>
    </xf>
    <xf numFmtId="3" fontId="44" fillId="0" borderId="11" xfId="119" applyNumberFormat="1" applyFont="1" applyBorder="1"/>
    <xf numFmtId="183" fontId="45" fillId="0" borderId="11" xfId="58" applyNumberFormat="1" applyFont="1" applyFill="1" applyBorder="1" applyAlignment="1"/>
    <xf numFmtId="183" fontId="44" fillId="0" borderId="11" xfId="58" applyNumberFormat="1" applyFont="1" applyFill="1" applyBorder="1" applyAlignment="1"/>
    <xf numFmtId="183" fontId="44" fillId="0" borderId="11" xfId="58" applyNumberFormat="1" applyFont="1" applyBorder="1" applyAlignment="1"/>
    <xf numFmtId="15" fontId="44" fillId="0" borderId="0" xfId="119" applyNumberFormat="1" applyFont="1" applyFill="1"/>
    <xf numFmtId="1" fontId="45" fillId="0" borderId="78" xfId="119" applyNumberFormat="1" applyFont="1" applyFill="1" applyBorder="1" applyAlignment="1">
      <alignment horizontal="center" textRotation="90"/>
    </xf>
    <xf numFmtId="17" fontId="45" fillId="0" borderId="99" xfId="119" applyNumberFormat="1" applyFont="1" applyFill="1" applyBorder="1" applyAlignment="1">
      <alignment horizontal="center"/>
    </xf>
    <xf numFmtId="227" fontId="45" fillId="0" borderId="94" xfId="119" applyFont="1" applyBorder="1" applyAlignment="1">
      <alignment horizontal="center" wrapText="1"/>
    </xf>
    <xf numFmtId="1" fontId="45" fillId="0" borderId="94" xfId="119" applyNumberFormat="1" applyFont="1" applyFill="1" applyBorder="1" applyAlignment="1">
      <alignment horizontal="center" wrapText="1"/>
    </xf>
    <xf numFmtId="190" fontId="45" fillId="0" borderId="94" xfId="119" applyNumberFormat="1" applyFont="1" applyFill="1" applyBorder="1" applyAlignment="1">
      <alignment horizontal="center" wrapText="1"/>
    </xf>
    <xf numFmtId="183" fontId="45" fillId="0" borderId="94" xfId="58" applyNumberFormat="1" applyFont="1" applyFill="1" applyBorder="1" applyAlignment="1">
      <alignment horizontal="center" wrapText="1"/>
    </xf>
    <xf numFmtId="1" fontId="45" fillId="0" borderId="100" xfId="119" applyNumberFormat="1" applyFont="1" applyFill="1" applyBorder="1" applyAlignment="1">
      <alignment horizontal="center" textRotation="90"/>
    </xf>
    <xf numFmtId="17" fontId="45" fillId="0" borderId="101" xfId="119" applyNumberFormat="1" applyFont="1" applyFill="1" applyBorder="1" applyAlignment="1">
      <alignment horizontal="center" wrapText="1"/>
    </xf>
    <xf numFmtId="1" fontId="45" fillId="0" borderId="92" xfId="119" applyNumberFormat="1" applyFont="1" applyFill="1" applyBorder="1" applyAlignment="1">
      <alignment horizontal="center" textRotation="90" wrapText="1"/>
    </xf>
    <xf numFmtId="1" fontId="45" fillId="23" borderId="92" xfId="119" applyNumberFormat="1" applyFont="1" applyFill="1" applyBorder="1" applyAlignment="1">
      <alignment horizontal="center" textRotation="90" wrapText="1"/>
    </xf>
    <xf numFmtId="227" fontId="43" fillId="0" borderId="23" xfId="119" applyFont="1" applyBorder="1" applyAlignment="1">
      <alignment textRotation="90"/>
    </xf>
    <xf numFmtId="183" fontId="43" fillId="0" borderId="23" xfId="58" applyNumberFormat="1" applyFont="1" applyBorder="1" applyAlignment="1">
      <alignment textRotation="90" wrapText="1"/>
    </xf>
    <xf numFmtId="183" fontId="45" fillId="0" borderId="23" xfId="58" applyNumberFormat="1" applyFont="1" applyFill="1" applyBorder="1" applyAlignment="1">
      <alignment horizontal="center" textRotation="90" wrapText="1"/>
    </xf>
    <xf numFmtId="1" fontId="45" fillId="0" borderId="78" xfId="119" applyNumberFormat="1" applyFont="1" applyFill="1" applyBorder="1" applyAlignment="1">
      <alignment horizontal="center"/>
    </xf>
    <xf numFmtId="15" fontId="44" fillId="0" borderId="78" xfId="119" applyNumberFormat="1" applyFont="1" applyFill="1" applyBorder="1"/>
    <xf numFmtId="183" fontId="44" fillId="0" borderId="78" xfId="58" applyNumberFormat="1" applyFont="1" applyFill="1" applyBorder="1" applyAlignment="1"/>
    <xf numFmtId="1" fontId="44" fillId="0" borderId="78" xfId="119" applyNumberFormat="1" applyFont="1" applyFill="1" applyBorder="1"/>
    <xf numFmtId="10" fontId="44" fillId="31" borderId="78" xfId="127" applyNumberFormat="1" applyFont="1" applyFill="1" applyBorder="1" applyAlignment="1" applyProtection="1">
      <protection locked="0"/>
    </xf>
    <xf numFmtId="10" fontId="44" fillId="0" borderId="78" xfId="119" applyNumberFormat="1" applyFont="1" applyFill="1" applyBorder="1"/>
    <xf numFmtId="10" fontId="44" fillId="0" borderId="78" xfId="127" applyNumberFormat="1" applyFont="1" applyFill="1" applyBorder="1" applyAlignment="1"/>
    <xf numFmtId="10" fontId="44" fillId="0" borderId="78" xfId="127" quotePrefix="1" applyNumberFormat="1" applyFont="1" applyFill="1" applyBorder="1" applyAlignment="1"/>
    <xf numFmtId="1" fontId="44" fillId="0" borderId="78" xfId="119" applyNumberFormat="1" applyFont="1" applyBorder="1" applyAlignment="1">
      <alignment horizontal="center"/>
    </xf>
    <xf numFmtId="1" fontId="44" fillId="0" borderId="78" xfId="119" quotePrefix="1" applyNumberFormat="1" applyFont="1" applyFill="1" applyBorder="1" applyProtection="1">
      <protection locked="0"/>
    </xf>
    <xf numFmtId="1" fontId="44" fillId="23" borderId="78" xfId="119" applyNumberFormat="1" applyFont="1" applyFill="1" applyBorder="1" applyProtection="1">
      <protection locked="0"/>
    </xf>
    <xf numFmtId="1" fontId="44" fillId="0" borderId="78" xfId="119" applyNumberFormat="1" applyFont="1" applyFill="1" applyBorder="1" applyProtection="1">
      <protection locked="0"/>
    </xf>
    <xf numFmtId="1" fontId="44" fillId="0" borderId="102" xfId="119" applyNumberFormat="1" applyFont="1" applyFill="1" applyBorder="1" applyProtection="1">
      <protection locked="0"/>
    </xf>
    <xf numFmtId="1" fontId="44" fillId="32" borderId="78" xfId="119" applyNumberFormat="1" applyFont="1" applyFill="1" applyBorder="1" applyProtection="1">
      <protection locked="0"/>
    </xf>
    <xf numFmtId="3" fontId="44" fillId="0" borderId="0" xfId="241" applyNumberFormat="1" applyFont="1"/>
    <xf numFmtId="10" fontId="44" fillId="0" borderId="0" xfId="241" applyNumberFormat="1" applyFont="1"/>
    <xf numFmtId="1" fontId="44" fillId="0" borderId="78" xfId="119" applyNumberFormat="1" applyFont="1" applyFill="1" applyBorder="1" applyAlignment="1">
      <alignment horizontal="center"/>
    </xf>
    <xf numFmtId="1" fontId="45" fillId="0" borderId="103" xfId="119" applyNumberFormat="1" applyFont="1" applyFill="1" applyBorder="1" applyAlignment="1">
      <alignment horizontal="center"/>
    </xf>
    <xf numFmtId="1" fontId="44" fillId="0" borderId="103" xfId="119" applyNumberFormat="1" applyFont="1" applyFill="1" applyBorder="1" applyAlignment="1">
      <alignment horizontal="center"/>
    </xf>
    <xf numFmtId="15" fontId="44" fillId="0" borderId="103" xfId="119" applyNumberFormat="1" applyFont="1" applyFill="1" applyBorder="1"/>
    <xf numFmtId="10" fontId="44" fillId="0" borderId="103" xfId="119" applyNumberFormat="1" applyFont="1" applyFill="1" applyBorder="1"/>
    <xf numFmtId="1" fontId="44" fillId="0" borderId="103" xfId="119" applyNumberFormat="1" applyFont="1" applyBorder="1" applyAlignment="1">
      <alignment horizontal="center"/>
    </xf>
    <xf numFmtId="1" fontId="45" fillId="0" borderId="78" xfId="119" applyNumberFormat="1" applyFont="1" applyBorder="1" applyAlignment="1">
      <alignment horizontal="center"/>
    </xf>
    <xf numFmtId="1" fontId="44" fillId="0" borderId="103" xfId="119" applyNumberFormat="1" applyFont="1" applyFill="1" applyBorder="1" applyProtection="1">
      <protection locked="0"/>
    </xf>
    <xf numFmtId="1" fontId="45" fillId="0" borderId="104" xfId="119" applyNumberFormat="1" applyFont="1" applyFill="1" applyBorder="1" applyAlignment="1">
      <alignment horizontal="center"/>
    </xf>
    <xf numFmtId="191" fontId="44" fillId="0" borderId="0" xfId="119" applyNumberFormat="1" applyFont="1" applyFill="1"/>
    <xf numFmtId="1" fontId="45" fillId="0" borderId="105" xfId="119" applyNumberFormat="1" applyFont="1" applyFill="1" applyBorder="1" applyAlignment="1">
      <alignment horizontal="center"/>
    </xf>
    <xf numFmtId="1" fontId="45" fillId="0" borderId="94" xfId="119" applyNumberFormat="1" applyFont="1" applyFill="1" applyBorder="1" applyAlignment="1">
      <alignment horizontal="center"/>
    </xf>
    <xf numFmtId="1" fontId="45" fillId="0" borderId="106" xfId="119" applyNumberFormat="1" applyFont="1" applyFill="1" applyBorder="1" applyAlignment="1">
      <alignment horizontal="center"/>
    </xf>
    <xf numFmtId="1" fontId="44" fillId="0" borderId="107" xfId="119" applyNumberFormat="1" applyFont="1" applyFill="1" applyBorder="1" applyAlignment="1">
      <alignment horizontal="center"/>
    </xf>
    <xf numFmtId="227" fontId="44" fillId="0" borderId="108" xfId="119" applyFont="1" applyBorder="1"/>
    <xf numFmtId="1" fontId="44" fillId="0" borderId="107" xfId="119" applyNumberFormat="1" applyFont="1" applyBorder="1" applyAlignment="1">
      <alignment horizontal="center"/>
    </xf>
    <xf numFmtId="15" fontId="44" fillId="0" borderId="107" xfId="119" applyNumberFormat="1" applyFont="1" applyFill="1" applyBorder="1"/>
    <xf numFmtId="1" fontId="45" fillId="0" borderId="109" xfId="119" applyNumberFormat="1" applyFont="1" applyFill="1" applyBorder="1" applyAlignment="1">
      <alignment horizontal="center"/>
    </xf>
    <xf numFmtId="1" fontId="45" fillId="0" borderId="110" xfId="119" applyNumberFormat="1" applyFont="1" applyFill="1" applyBorder="1" applyAlignment="1">
      <alignment horizontal="center"/>
    </xf>
    <xf numFmtId="1" fontId="45" fillId="0" borderId="0" xfId="119" applyNumberFormat="1" applyFont="1" applyFill="1" applyBorder="1" applyAlignment="1">
      <alignment horizontal="center"/>
    </xf>
    <xf numFmtId="1" fontId="44" fillId="0" borderId="79" xfId="119" applyNumberFormat="1" applyFont="1" applyFill="1" applyBorder="1" applyAlignment="1">
      <alignment horizontal="center"/>
    </xf>
    <xf numFmtId="1" fontId="44" fillId="0" borderId="78" xfId="119" applyNumberFormat="1" applyFont="1" applyFill="1" applyBorder="1" applyAlignment="1">
      <alignment horizontal="left"/>
    </xf>
    <xf numFmtId="190" fontId="44" fillId="0" borderId="78" xfId="119" applyNumberFormat="1" applyFont="1" applyFill="1" applyBorder="1"/>
    <xf numFmtId="1" fontId="44" fillId="0" borderId="78" xfId="119" quotePrefix="1" applyNumberFormat="1" applyFont="1" applyFill="1" applyBorder="1"/>
    <xf numFmtId="1" fontId="44" fillId="23" borderId="78" xfId="119" applyNumberFormat="1" applyFont="1" applyFill="1" applyBorder="1"/>
    <xf numFmtId="1" fontId="45" fillId="0" borderId="111" xfId="119" applyNumberFormat="1" applyFont="1" applyFill="1" applyBorder="1"/>
    <xf numFmtId="10" fontId="45" fillId="0" borderId="111" xfId="119" applyNumberFormat="1" applyFont="1" applyFill="1" applyBorder="1"/>
    <xf numFmtId="190" fontId="44" fillId="0" borderId="111" xfId="119" applyNumberFormat="1" applyFont="1" applyFill="1" applyBorder="1"/>
    <xf numFmtId="183" fontId="45" fillId="0" borderId="111" xfId="58" applyNumberFormat="1" applyFont="1" applyFill="1" applyBorder="1" applyAlignment="1"/>
    <xf numFmtId="1" fontId="45" fillId="0" borderId="111" xfId="119" applyNumberFormat="1" applyFont="1" applyFill="1" applyBorder="1" applyAlignment="1">
      <alignment horizontal="left"/>
    </xf>
    <xf numFmtId="1" fontId="45" fillId="0" borderId="111" xfId="119" applyNumberFormat="1" applyFont="1" applyFill="1" applyBorder="1" applyAlignment="1">
      <alignment horizontal="right"/>
    </xf>
    <xf numFmtId="1" fontId="45" fillId="23" borderId="111" xfId="119" applyNumberFormat="1" applyFont="1" applyFill="1" applyBorder="1"/>
    <xf numFmtId="1" fontId="45" fillId="0" borderId="0" xfId="119" quotePrefix="1" applyNumberFormat="1" applyFont="1" applyFill="1"/>
    <xf numFmtId="190" fontId="45" fillId="0" borderId="0" xfId="119" applyNumberFormat="1" applyFont="1" applyFill="1"/>
    <xf numFmtId="1" fontId="45" fillId="0" borderId="0" xfId="119" applyNumberFormat="1" applyFont="1" applyFill="1" applyAlignment="1">
      <alignment horizontal="left"/>
    </xf>
    <xf numFmtId="1" fontId="45" fillId="0" borderId="0" xfId="119" applyNumberFormat="1" applyFont="1" applyFill="1" applyAlignment="1">
      <alignment horizontal="right"/>
    </xf>
    <xf numFmtId="1" fontId="45" fillId="0" borderId="0" xfId="119" applyNumberFormat="1" applyFont="1" applyFill="1"/>
    <xf numFmtId="1" fontId="45" fillId="23" borderId="0" xfId="119" applyNumberFormat="1" applyFont="1" applyFill="1"/>
    <xf numFmtId="191" fontId="44" fillId="0" borderId="78" xfId="119" quotePrefix="1" applyNumberFormat="1" applyFont="1" applyFill="1" applyBorder="1" applyProtection="1">
      <protection locked="0"/>
    </xf>
    <xf numFmtId="1" fontId="24" fillId="0" borderId="0" xfId="119" applyNumberFormat="1" applyFont="1" applyFill="1" applyBorder="1" applyAlignment="1">
      <alignment horizontal="left"/>
    </xf>
    <xf numFmtId="15" fontId="24" fillId="0" borderId="0" xfId="119" applyNumberFormat="1" applyFont="1" applyFill="1" applyBorder="1" applyAlignment="1">
      <alignment horizontal="left"/>
    </xf>
    <xf numFmtId="15" fontId="63" fillId="0" borderId="0" xfId="119" applyNumberFormat="1" applyFont="1"/>
    <xf numFmtId="49" fontId="24" fillId="0" borderId="0" xfId="119" applyNumberFormat="1" applyFont="1"/>
    <xf numFmtId="15" fontId="24" fillId="0" borderId="0" xfId="119" applyNumberFormat="1" applyFont="1" applyBorder="1" applyAlignment="1">
      <alignment horizontal="center"/>
    </xf>
    <xf numFmtId="10" fontId="24" fillId="0" borderId="0" xfId="119" applyNumberFormat="1" applyFont="1"/>
    <xf numFmtId="179" fontId="31" fillId="0" borderId="0" xfId="93" applyNumberFormat="1" applyAlignment="1" applyProtection="1"/>
    <xf numFmtId="179" fontId="10" fillId="0" borderId="0" xfId="241" applyAlignment="1">
      <alignment horizontal="right"/>
    </xf>
    <xf numFmtId="2" fontId="10" fillId="27" borderId="0" xfId="241" applyNumberFormat="1" applyFill="1" applyProtection="1">
      <protection locked="0"/>
    </xf>
    <xf numFmtId="179" fontId="10" fillId="0" borderId="0" xfId="241" applyFont="1"/>
    <xf numFmtId="227" fontId="64" fillId="0" borderId="0" xfId="119" applyFont="1"/>
    <xf numFmtId="15" fontId="64" fillId="0" borderId="0" xfId="119" applyNumberFormat="1" applyFont="1"/>
    <xf numFmtId="182" fontId="64" fillId="27" borderId="0" xfId="119" applyNumberFormat="1" applyFont="1" applyFill="1" applyProtection="1">
      <protection locked="0"/>
    </xf>
    <xf numFmtId="227" fontId="65" fillId="0" borderId="112" xfId="119" applyFont="1" applyBorder="1" applyAlignment="1">
      <alignment horizontal="centerContinuous" vertical="center"/>
    </xf>
    <xf numFmtId="227" fontId="65" fillId="0" borderId="113" xfId="119" applyFont="1" applyBorder="1" applyAlignment="1">
      <alignment horizontal="centerContinuous"/>
    </xf>
    <xf numFmtId="227" fontId="64" fillId="0" borderId="113" xfId="119" applyFont="1" applyBorder="1" applyAlignment="1">
      <alignment horizontal="centerContinuous"/>
    </xf>
    <xf numFmtId="227" fontId="64" fillId="0" borderId="114" xfId="119" applyFont="1" applyBorder="1" applyAlignment="1">
      <alignment horizontal="centerContinuous"/>
    </xf>
    <xf numFmtId="227" fontId="65" fillId="0" borderId="94" xfId="119" applyFont="1" applyBorder="1" applyAlignment="1">
      <alignment horizontal="center" wrapText="1"/>
    </xf>
    <xf numFmtId="1" fontId="65" fillId="0" borderId="77" xfId="119" applyNumberFormat="1" applyFont="1" applyBorder="1" applyAlignment="1">
      <alignment horizontal="centerContinuous" vertical="center" wrapText="1"/>
    </xf>
    <xf numFmtId="227" fontId="64" fillId="0" borderId="115" xfId="119" applyFont="1" applyBorder="1" applyAlignment="1">
      <alignment horizontal="centerContinuous"/>
    </xf>
    <xf numFmtId="227" fontId="64" fillId="0" borderId="99" xfId="119" applyFont="1" applyBorder="1" applyAlignment="1">
      <alignment horizontal="centerContinuous"/>
    </xf>
    <xf numFmtId="227" fontId="24" fillId="0" borderId="0" xfId="119" applyFont="1"/>
    <xf numFmtId="227" fontId="64" fillId="0" borderId="94" xfId="119" applyFont="1" applyBorder="1" applyAlignment="1">
      <alignment horizontal="center" textRotation="90"/>
    </xf>
    <xf numFmtId="15" fontId="64" fillId="0" borderId="94" xfId="119" applyNumberFormat="1" applyFont="1" applyBorder="1" applyAlignment="1">
      <alignment horizontal="center" wrapText="1"/>
    </xf>
    <xf numFmtId="10" fontId="64" fillId="0" borderId="94" xfId="119" applyNumberFormat="1" applyFont="1" applyBorder="1" applyAlignment="1">
      <alignment horizontal="center" wrapText="1"/>
    </xf>
    <xf numFmtId="227" fontId="64" fillId="33" borderId="94" xfId="119" applyFont="1" applyFill="1" applyBorder="1" applyAlignment="1">
      <alignment horizontal="center" wrapText="1"/>
    </xf>
    <xf numFmtId="227" fontId="66" fillId="0" borderId="94" xfId="119" applyFont="1" applyBorder="1" applyAlignment="1">
      <alignment horizontal="center" wrapText="1"/>
    </xf>
    <xf numFmtId="227" fontId="64" fillId="0" borderId="0" xfId="119" applyFont="1" applyBorder="1"/>
    <xf numFmtId="227" fontId="67" fillId="0" borderId="116" xfId="119" applyFont="1" applyBorder="1" applyAlignment="1">
      <alignment horizontal="center" wrapText="1"/>
    </xf>
    <xf numFmtId="227" fontId="64" fillId="0" borderId="94" xfId="119" applyFont="1" applyBorder="1" applyAlignment="1">
      <alignment horizontal="center" wrapText="1"/>
    </xf>
    <xf numFmtId="227" fontId="64" fillId="0" borderId="0" xfId="119" applyFont="1" applyBorder="1" applyAlignment="1">
      <alignment horizontal="center" wrapText="1"/>
    </xf>
    <xf numFmtId="1" fontId="64" fillId="0" borderId="94" xfId="119" applyNumberFormat="1" applyFont="1" applyBorder="1" applyAlignment="1">
      <alignment horizontal="center" wrapText="1"/>
    </xf>
    <xf numFmtId="227" fontId="24" fillId="0" borderId="0" xfId="119" applyFont="1" applyBorder="1" applyAlignment="1">
      <alignment horizontal="center" wrapText="1"/>
    </xf>
    <xf numFmtId="227" fontId="68" fillId="34" borderId="117" xfId="119" applyFont="1" applyFill="1" applyBorder="1" applyAlignment="1">
      <alignment horizontal="center" vertical="center" wrapText="1"/>
    </xf>
    <xf numFmtId="1" fontId="64" fillId="0" borderId="78" xfId="119" applyNumberFormat="1" applyFont="1" applyBorder="1" applyAlignment="1">
      <alignment horizontal="center"/>
    </xf>
    <xf numFmtId="15" fontId="64" fillId="0" borderId="78" xfId="119" applyNumberFormat="1" applyFont="1" applyFill="1" applyBorder="1" applyAlignment="1">
      <alignment horizontal="center"/>
    </xf>
    <xf numFmtId="10" fontId="64" fillId="0" borderId="78" xfId="127" applyNumberFormat="1" applyFont="1" applyFill="1" applyBorder="1" applyAlignment="1"/>
    <xf numFmtId="192" fontId="64" fillId="0" borderId="78" xfId="119" applyNumberFormat="1" applyFont="1" applyBorder="1"/>
    <xf numFmtId="1" fontId="66" fillId="0" borderId="78" xfId="119" applyNumberFormat="1" applyFont="1" applyFill="1" applyBorder="1"/>
    <xf numFmtId="1" fontId="66" fillId="32" borderId="78" xfId="119" applyNumberFormat="1" applyFont="1" applyFill="1" applyBorder="1"/>
    <xf numFmtId="1" fontId="67" fillId="0" borderId="118" xfId="119" applyNumberFormat="1" applyFont="1" applyFill="1" applyBorder="1"/>
    <xf numFmtId="1" fontId="67" fillId="32" borderId="118" xfId="119" applyNumberFormat="1" applyFont="1" applyFill="1" applyBorder="1"/>
    <xf numFmtId="1" fontId="64" fillId="32" borderId="78" xfId="119" applyNumberFormat="1" applyFont="1" applyFill="1" applyBorder="1"/>
    <xf numFmtId="1" fontId="64" fillId="0" borderId="0" xfId="119" applyNumberFormat="1" applyFont="1" applyFill="1"/>
    <xf numFmtId="1" fontId="64" fillId="0" borderId="78" xfId="119" applyNumberFormat="1" applyFont="1" applyFill="1" applyBorder="1"/>
    <xf numFmtId="227" fontId="69" fillId="0" borderId="0" xfId="119" applyFont="1"/>
    <xf numFmtId="182" fontId="10" fillId="0" borderId="0" xfId="241" applyNumberFormat="1"/>
    <xf numFmtId="1" fontId="64" fillId="0" borderId="78" xfId="119" applyNumberFormat="1" applyFont="1" applyBorder="1"/>
    <xf numFmtId="1" fontId="64" fillId="0" borderId="0" xfId="119" applyNumberFormat="1" applyFont="1" applyFill="1" applyBorder="1"/>
    <xf numFmtId="1" fontId="64" fillId="0" borderId="118" xfId="119" applyNumberFormat="1" applyFont="1" applyFill="1" applyBorder="1"/>
    <xf numFmtId="1" fontId="64" fillId="0" borderId="118" xfId="119" applyNumberFormat="1" applyFont="1" applyBorder="1"/>
    <xf numFmtId="227" fontId="64" fillId="0" borderId="0" xfId="119" applyFont="1" applyFill="1"/>
    <xf numFmtId="1" fontId="64" fillId="0" borderId="78" xfId="119" applyNumberFormat="1" applyFont="1" applyFill="1" applyBorder="1" applyAlignment="1">
      <alignment horizontal="center"/>
    </xf>
    <xf numFmtId="192" fontId="64" fillId="0" borderId="78" xfId="119" applyNumberFormat="1" applyFont="1" applyFill="1" applyBorder="1"/>
    <xf numFmtId="179" fontId="10" fillId="0" borderId="0" xfId="241" applyFill="1"/>
    <xf numFmtId="227" fontId="64" fillId="0" borderId="103" xfId="119" applyFont="1" applyBorder="1"/>
    <xf numFmtId="15" fontId="64" fillId="0" borderId="103" xfId="119" applyNumberFormat="1" applyFont="1" applyFill="1" applyBorder="1" applyAlignment="1">
      <alignment horizontal="center"/>
    </xf>
    <xf numFmtId="10" fontId="64" fillId="0" borderId="103" xfId="119" applyNumberFormat="1" applyFont="1" applyFill="1" applyBorder="1"/>
    <xf numFmtId="192" fontId="64" fillId="0" borderId="103" xfId="119" applyNumberFormat="1" applyFont="1" applyBorder="1"/>
    <xf numFmtId="1" fontId="66" fillId="0" borderId="103" xfId="119" applyNumberFormat="1" applyFont="1" applyBorder="1"/>
    <xf numFmtId="1" fontId="64" fillId="0" borderId="0" xfId="119" applyNumberFormat="1" applyFont="1" applyFill="1" applyBorder="1" applyAlignment="1">
      <alignment vertical="top"/>
    </xf>
    <xf numFmtId="1" fontId="67" fillId="0" borderId="119" xfId="119" applyNumberFormat="1" applyFont="1" applyBorder="1"/>
    <xf numFmtId="1" fontId="64" fillId="0" borderId="103" xfId="119" applyNumberFormat="1" applyFont="1" applyBorder="1"/>
    <xf numFmtId="1" fontId="64" fillId="0" borderId="109" xfId="119" applyNumberFormat="1" applyFont="1" applyBorder="1"/>
    <xf numFmtId="227" fontId="64" fillId="0" borderId="109" xfId="119" applyFont="1" applyBorder="1"/>
    <xf numFmtId="227" fontId="64" fillId="0" borderId="111" xfId="119" applyFont="1" applyBorder="1"/>
    <xf numFmtId="15" fontId="65" fillId="0" borderId="111" xfId="119" applyNumberFormat="1" applyFont="1" applyBorder="1" applyAlignment="1">
      <alignment horizontal="center"/>
    </xf>
    <xf numFmtId="10" fontId="64" fillId="0" borderId="111" xfId="119" applyNumberFormat="1" applyFont="1" applyBorder="1"/>
    <xf numFmtId="1" fontId="64" fillId="0" borderId="111" xfId="119" applyNumberFormat="1" applyFont="1" applyBorder="1"/>
    <xf numFmtId="1" fontId="64" fillId="32" borderId="111" xfId="119" applyNumberFormat="1" applyFont="1" applyFill="1" applyBorder="1"/>
    <xf numFmtId="1" fontId="64" fillId="0" borderId="0" xfId="119" applyNumberFormat="1" applyFont="1" applyBorder="1"/>
    <xf numFmtId="1" fontId="64" fillId="0" borderId="120" xfId="119" applyNumberFormat="1" applyFont="1" applyBorder="1"/>
    <xf numFmtId="1" fontId="64" fillId="32" borderId="120" xfId="119" applyNumberFormat="1" applyFont="1" applyFill="1" applyBorder="1"/>
    <xf numFmtId="227" fontId="64" fillId="0" borderId="120" xfId="119" applyFont="1" applyBorder="1"/>
    <xf numFmtId="1" fontId="65" fillId="34" borderId="0" xfId="119" applyNumberFormat="1" applyFont="1" applyFill="1"/>
    <xf numFmtId="227" fontId="64" fillId="34" borderId="0" xfId="119" applyFont="1" applyFill="1"/>
    <xf numFmtId="38" fontId="23" fillId="0" borderId="121" xfId="70" applyNumberFormat="1" applyFont="1" applyFill="1" applyBorder="1" applyAlignment="1">
      <alignment horizontal="center" vertical="center"/>
    </xf>
    <xf numFmtId="179" fontId="55" fillId="0" borderId="0" xfId="242" applyFont="1"/>
    <xf numFmtId="179" fontId="70" fillId="0" borderId="0" xfId="242"/>
    <xf numFmtId="179" fontId="70" fillId="0" borderId="0" xfId="242" applyFill="1" applyBorder="1"/>
    <xf numFmtId="179" fontId="19" fillId="0" borderId="0" xfId="242" applyFont="1"/>
    <xf numFmtId="227" fontId="58" fillId="0" borderId="0" xfId="0" applyFont="1" applyFill="1" applyBorder="1">
      <alignment vertical="center"/>
    </xf>
    <xf numFmtId="227" fontId="50" fillId="0" borderId="0" xfId="0" applyFont="1" applyFill="1" applyBorder="1" applyAlignment="1">
      <alignment vertical="center"/>
    </xf>
    <xf numFmtId="227" fontId="23" fillId="0" borderId="11" xfId="119" applyFont="1" applyFill="1" applyBorder="1" applyAlignment="1">
      <alignment horizontal="left"/>
    </xf>
    <xf numFmtId="184" fontId="61" fillId="0" borderId="122" xfId="116" applyNumberFormat="1" applyFont="1" applyFill="1" applyBorder="1" applyAlignment="1">
      <alignment horizontal="left" vertical="center"/>
    </xf>
    <xf numFmtId="227" fontId="74" fillId="0" borderId="0" xfId="0" applyFont="1" applyFill="1" applyBorder="1" applyAlignment="1">
      <alignment vertical="center"/>
    </xf>
    <xf numFmtId="179" fontId="55" fillId="0" borderId="0" xfId="241" applyFont="1"/>
    <xf numFmtId="179" fontId="23" fillId="0" borderId="0" xfId="241" applyFont="1" applyAlignment="1">
      <alignment horizontal="center"/>
    </xf>
    <xf numFmtId="3" fontId="10" fillId="0" borderId="0" xfId="241" applyNumberFormat="1"/>
    <xf numFmtId="179" fontId="23" fillId="0" borderId="0" xfId="241" applyFont="1"/>
    <xf numFmtId="179" fontId="10" fillId="27" borderId="0" xfId="241" applyFill="1" applyAlignment="1" applyProtection="1">
      <alignment wrapText="1"/>
      <protection locked="0"/>
    </xf>
    <xf numFmtId="3" fontId="10" fillId="0" borderId="125" xfId="241" applyNumberFormat="1" applyBorder="1"/>
    <xf numFmtId="179" fontId="10" fillId="0" borderId="0" xfId="241" applyFill="1" applyAlignment="1">
      <alignment horizontal="left"/>
    </xf>
    <xf numFmtId="179" fontId="10" fillId="0" borderId="0" xfId="241" applyFont="1" applyAlignment="1">
      <alignment horizontal="right"/>
    </xf>
    <xf numFmtId="227" fontId="80" fillId="0" borderId="0" xfId="120" applyFont="1" applyAlignment="1">
      <alignment horizontal="left"/>
    </xf>
    <xf numFmtId="9" fontId="10" fillId="0" borderId="0" xfId="241" applyNumberFormat="1" applyAlignment="1">
      <alignment horizontal="center"/>
    </xf>
    <xf numFmtId="9" fontId="81" fillId="0" borderId="0" xfId="241" applyNumberFormat="1" applyFont="1" applyBorder="1" applyAlignment="1">
      <alignment horizontal="center"/>
    </xf>
    <xf numFmtId="3" fontId="44" fillId="0" borderId="0" xfId="241" applyNumberFormat="1" applyFont="1" applyFill="1"/>
    <xf numFmtId="10" fontId="44" fillId="0" borderId="0" xfId="241" applyNumberFormat="1" applyFont="1" applyFill="1"/>
    <xf numFmtId="183" fontId="10" fillId="0" borderId="0" xfId="58" applyNumberFormat="1" applyAlignment="1"/>
    <xf numFmtId="179" fontId="83" fillId="0" borderId="0" xfId="241" applyFont="1"/>
    <xf numFmtId="179" fontId="10" fillId="32" borderId="0" xfId="241" applyFill="1" applyAlignment="1">
      <alignment horizontal="left"/>
    </xf>
    <xf numFmtId="41" fontId="10" fillId="0" borderId="0" xfId="241" applyNumberFormat="1"/>
    <xf numFmtId="41" fontId="10" fillId="0" borderId="125" xfId="241" applyNumberFormat="1" applyBorder="1"/>
    <xf numFmtId="43" fontId="10" fillId="0" borderId="0" xfId="58" applyAlignment="1"/>
    <xf numFmtId="227" fontId="20" fillId="0" borderId="11" xfId="0" applyFont="1" applyFill="1" applyBorder="1" applyAlignment="1">
      <alignment horizontal="center" vertical="center"/>
    </xf>
    <xf numFmtId="182" fontId="50" fillId="0" borderId="25" xfId="248" applyNumberFormat="1" applyFont="1" applyFill="1" applyBorder="1" applyAlignment="1" applyProtection="1">
      <alignment horizontal="left"/>
    </xf>
    <xf numFmtId="184" fontId="20" fillId="0" borderId="55" xfId="116" applyNumberFormat="1" applyFont="1" applyBorder="1" applyAlignment="1">
      <alignment horizontal="center" vertical="center"/>
    </xf>
    <xf numFmtId="227" fontId="20" fillId="0" borderId="0" xfId="0" applyFont="1" applyBorder="1">
      <alignment vertical="center"/>
    </xf>
    <xf numFmtId="43" fontId="20" fillId="0" borderId="0" xfId="58" applyFont="1" applyBorder="1">
      <alignment vertical="center"/>
    </xf>
    <xf numFmtId="184" fontId="20" fillId="0" borderId="11" xfId="116" applyNumberFormat="1" applyFont="1" applyFill="1" applyBorder="1" applyAlignment="1">
      <alignment vertical="center" wrapText="1"/>
    </xf>
    <xf numFmtId="184" fontId="20" fillId="0" borderId="68" xfId="116" applyNumberFormat="1" applyFont="1" applyFill="1" applyBorder="1" applyAlignment="1">
      <alignment vertical="center" wrapText="1"/>
    </xf>
    <xf numFmtId="227" fontId="20" fillId="0" borderId="50" xfId="0" applyFont="1" applyFill="1" applyBorder="1">
      <alignment vertical="center"/>
    </xf>
    <xf numFmtId="227" fontId="60" fillId="0" borderId="0" xfId="0" applyFont="1" applyFill="1" applyBorder="1">
      <alignment vertical="center"/>
    </xf>
    <xf numFmtId="38" fontId="20" fillId="0" borderId="0" xfId="0" applyNumberFormat="1" applyFont="1" applyFill="1" applyBorder="1">
      <alignment vertical="center"/>
    </xf>
    <xf numFmtId="40" fontId="20" fillId="0" borderId="11" xfId="119" applyNumberFormat="1" applyFont="1" applyFill="1" applyBorder="1" applyAlignment="1">
      <alignment horizontal="center" vertical="center"/>
    </xf>
    <xf numFmtId="227" fontId="20" fillId="0" borderId="0" xfId="0" applyFont="1" applyBorder="1" applyAlignment="1">
      <alignment horizontal="center" vertical="center"/>
    </xf>
    <xf numFmtId="227" fontId="56" fillId="0" borderId="11" xfId="0" applyFont="1" applyFill="1" applyBorder="1" applyAlignment="1">
      <alignment horizontal="left" vertical="center"/>
    </xf>
    <xf numFmtId="227" fontId="20" fillId="0" borderId="11" xfId="119" applyFont="1" applyFill="1" applyBorder="1"/>
    <xf numFmtId="227" fontId="13" fillId="0" borderId="0" xfId="0" applyFont="1">
      <alignment vertical="center"/>
    </xf>
    <xf numFmtId="49" fontId="13" fillId="0" borderId="0" xfId="0" applyNumberFormat="1" applyFont="1" applyAlignment="1">
      <alignment horizontal="center" vertical="center"/>
    </xf>
    <xf numFmtId="183" fontId="13" fillId="0" borderId="0" xfId="58" applyNumberFormat="1" applyFont="1">
      <alignment vertical="center"/>
    </xf>
    <xf numFmtId="227" fontId="13" fillId="0" borderId="0" xfId="0" applyFont="1" applyAlignment="1">
      <alignment horizontal="center" vertical="center"/>
    </xf>
    <xf numFmtId="43" fontId="13" fillId="0" borderId="0" xfId="58" applyFont="1" applyAlignment="1">
      <alignment horizontal="center" vertical="center"/>
    </xf>
    <xf numFmtId="43" fontId="13" fillId="0" borderId="0" xfId="58" applyFont="1">
      <alignment vertical="center"/>
    </xf>
    <xf numFmtId="227" fontId="13" fillId="0" borderId="11" xfId="0" applyFont="1" applyBorder="1" applyAlignment="1">
      <alignment horizontal="center" vertical="center"/>
    </xf>
    <xf numFmtId="38" fontId="13" fillId="0" borderId="0" xfId="0" applyNumberFormat="1" applyFont="1" applyAlignment="1">
      <alignment horizontal="center" vertical="center"/>
    </xf>
    <xf numFmtId="14" fontId="13" fillId="0" borderId="0" xfId="0" applyNumberFormat="1" applyFont="1" applyAlignment="1">
      <alignment horizontal="center" vertical="center"/>
    </xf>
    <xf numFmtId="43" fontId="13" fillId="0" borderId="0" xfId="58" applyFont="1" applyFill="1" applyAlignment="1">
      <alignment horizontal="center" vertical="center"/>
    </xf>
    <xf numFmtId="227" fontId="13" fillId="0" borderId="0" xfId="0" applyFont="1" applyBorder="1">
      <alignment vertical="center"/>
    </xf>
    <xf numFmtId="227" fontId="13" fillId="0" borderId="0" xfId="0" applyFont="1" applyFill="1" applyBorder="1">
      <alignment vertical="center"/>
    </xf>
    <xf numFmtId="38" fontId="13" fillId="0" borderId="11" xfId="0" applyNumberFormat="1" applyFont="1" applyFill="1" applyBorder="1" applyAlignment="1">
      <alignment horizontal="center" vertical="center"/>
    </xf>
    <xf numFmtId="227" fontId="13" fillId="0" borderId="0" xfId="0" applyFont="1" applyFill="1">
      <alignment vertical="center"/>
    </xf>
    <xf numFmtId="184" fontId="23" fillId="0" borderId="55" xfId="116" applyNumberFormat="1" applyFont="1" applyBorder="1" applyAlignment="1">
      <alignment vertical="center" wrapText="1"/>
    </xf>
    <xf numFmtId="183" fontId="13" fillId="0" borderId="0" xfId="58" applyNumberFormat="1" applyFont="1" applyAlignment="1">
      <alignment horizontal="center" vertical="center"/>
    </xf>
    <xf numFmtId="183" fontId="13" fillId="0" borderId="11" xfId="58" applyNumberFormat="1" applyFont="1" applyFill="1" applyBorder="1" applyAlignment="1">
      <alignment horizontal="center" vertical="center"/>
    </xf>
    <xf numFmtId="184" fontId="0" fillId="0" borderId="0" xfId="0" applyNumberFormat="1">
      <alignment vertical="center"/>
    </xf>
    <xf numFmtId="227" fontId="59" fillId="0" borderId="0" xfId="0" applyFont="1" applyFill="1" applyBorder="1">
      <alignment vertical="center"/>
    </xf>
    <xf numFmtId="43" fontId="13" fillId="0" borderId="11" xfId="58" applyFont="1" applyFill="1" applyBorder="1" applyAlignment="1">
      <alignment vertical="center"/>
    </xf>
    <xf numFmtId="38" fontId="13" fillId="0" borderId="11" xfId="0" applyNumberFormat="1" applyFont="1" applyFill="1" applyBorder="1" applyAlignment="1">
      <alignment vertical="center"/>
    </xf>
    <xf numFmtId="40" fontId="50" fillId="0" borderId="11" xfId="119" applyNumberFormat="1" applyFont="1" applyFill="1" applyBorder="1" applyAlignment="1">
      <alignment horizontal="center" vertical="center"/>
    </xf>
    <xf numFmtId="227" fontId="20" fillId="0" borderId="50" xfId="0" applyFont="1" applyFill="1" applyBorder="1" applyAlignment="1">
      <alignment vertical="center" wrapText="1"/>
    </xf>
    <xf numFmtId="38" fontId="0" fillId="0" borderId="0" xfId="0" applyNumberFormat="1">
      <alignment vertical="center"/>
    </xf>
    <xf numFmtId="43" fontId="13" fillId="0" borderId="0" xfId="58" applyFont="1" applyFill="1" applyBorder="1" applyAlignment="1">
      <alignment horizontal="center" vertical="center"/>
    </xf>
    <xf numFmtId="43" fontId="13" fillId="0" borderId="0" xfId="58" applyFont="1" applyFill="1" applyBorder="1">
      <alignment vertical="center"/>
    </xf>
    <xf numFmtId="184" fontId="23" fillId="0" borderId="68" xfId="116" applyNumberFormat="1" applyFont="1" applyBorder="1" applyAlignment="1">
      <alignment horizontal="center" vertical="center" wrapText="1"/>
    </xf>
    <xf numFmtId="38" fontId="20" fillId="0" borderId="11" xfId="119" applyNumberFormat="1" applyFont="1" applyFill="1" applyBorder="1" applyAlignment="1">
      <alignment horizontal="center" vertical="center"/>
    </xf>
    <xf numFmtId="179" fontId="19" fillId="0" borderId="0" xfId="248" applyFont="1" applyProtection="1"/>
    <xf numFmtId="179" fontId="19" fillId="0" borderId="0" xfId="248" applyFont="1" applyFill="1" applyProtection="1"/>
    <xf numFmtId="38" fontId="13" fillId="0" borderId="0" xfId="58" applyNumberFormat="1" applyFont="1" applyAlignment="1">
      <alignment horizontal="center" vertical="center"/>
    </xf>
    <xf numFmtId="184" fontId="23" fillId="0" borderId="6" xfId="116" applyNumberFormat="1" applyFont="1" applyFill="1" applyBorder="1" applyAlignment="1">
      <alignment vertical="center" wrapText="1"/>
    </xf>
    <xf numFmtId="38" fontId="23" fillId="0" borderId="137" xfId="70" applyNumberFormat="1" applyFont="1" applyFill="1" applyBorder="1" applyAlignment="1">
      <alignment horizontal="center" vertical="center"/>
    </xf>
    <xf numFmtId="38" fontId="23" fillId="0" borderId="65" xfId="70" applyNumberFormat="1" applyFont="1" applyFill="1" applyBorder="1" applyAlignment="1">
      <alignment horizontal="center" vertical="center"/>
    </xf>
    <xf numFmtId="227" fontId="0" fillId="0" borderId="11" xfId="119" applyFont="1" applyFill="1" applyBorder="1"/>
    <xf numFmtId="9" fontId="43" fillId="0" borderId="0" xfId="127" applyFont="1" applyFill="1" applyAlignment="1">
      <alignment horizontal="left" vertical="center"/>
    </xf>
    <xf numFmtId="9" fontId="44" fillId="0" borderId="0" xfId="127" applyFont="1" applyFill="1" applyBorder="1" applyAlignment="1"/>
    <xf numFmtId="9" fontId="45" fillId="0" borderId="0" xfId="127" applyFont="1" applyFill="1" applyBorder="1" applyAlignment="1" applyProtection="1">
      <alignment horizontal="left"/>
      <protection locked="0"/>
    </xf>
    <xf numFmtId="227" fontId="73" fillId="0" borderId="0" xfId="119" applyFont="1" applyFill="1" applyBorder="1"/>
    <xf numFmtId="9" fontId="73" fillId="0" borderId="0" xfId="127" applyFont="1" applyFill="1" applyBorder="1" applyAlignment="1"/>
    <xf numFmtId="9" fontId="44" fillId="0" borderId="0" xfId="127" applyFont="1" applyFill="1" applyBorder="1" applyAlignment="1" applyProtection="1">
      <protection locked="0"/>
    </xf>
    <xf numFmtId="9" fontId="44" fillId="0" borderId="23" xfId="127" applyFont="1" applyFill="1" applyBorder="1" applyAlignment="1" applyProtection="1">
      <protection locked="0"/>
    </xf>
    <xf numFmtId="9" fontId="44" fillId="0" borderId="26" xfId="127" applyFont="1" applyFill="1" applyBorder="1" applyAlignment="1"/>
    <xf numFmtId="179" fontId="44" fillId="0" borderId="23" xfId="248" applyFont="1" applyFill="1" applyBorder="1" applyAlignment="1"/>
    <xf numFmtId="9" fontId="44" fillId="0" borderId="23" xfId="127" applyFont="1" applyFill="1" applyBorder="1" applyAlignment="1"/>
    <xf numFmtId="9" fontId="45" fillId="0" borderId="28" xfId="127" applyFont="1" applyFill="1" applyBorder="1" applyAlignment="1">
      <alignment horizontal="center" vertical="center"/>
    </xf>
    <xf numFmtId="3" fontId="45" fillId="0" borderId="6" xfId="70" applyNumberFormat="1" applyFont="1" applyFill="1" applyBorder="1" applyAlignment="1">
      <alignment horizontal="center" vertical="center"/>
    </xf>
    <xf numFmtId="9" fontId="45" fillId="0" borderId="21" xfId="127" applyFont="1" applyFill="1" applyBorder="1" applyAlignment="1">
      <alignment horizontal="center" vertical="center"/>
    </xf>
    <xf numFmtId="43" fontId="45" fillId="0" borderId="6" xfId="58" applyFont="1" applyFill="1" applyBorder="1" applyAlignment="1">
      <alignment horizontal="center" vertical="center"/>
    </xf>
    <xf numFmtId="3" fontId="45" fillId="0" borderId="35" xfId="70" applyNumberFormat="1" applyFont="1" applyFill="1" applyBorder="1" applyAlignment="1">
      <alignment horizontal="center" vertical="center"/>
    </xf>
    <xf numFmtId="9" fontId="45" fillId="0" borderId="24" xfId="127" applyFont="1" applyFill="1" applyBorder="1" applyAlignment="1">
      <alignment horizontal="center" vertical="center"/>
    </xf>
    <xf numFmtId="3" fontId="45" fillId="0" borderId="32" xfId="70" applyNumberFormat="1" applyFont="1" applyFill="1" applyBorder="1" applyAlignment="1">
      <alignment horizontal="center" vertical="center"/>
    </xf>
    <xf numFmtId="9" fontId="45" fillId="0" borderId="27" xfId="127" applyFont="1" applyFill="1" applyBorder="1" applyAlignment="1">
      <alignment horizontal="center" vertical="center"/>
    </xf>
    <xf numFmtId="3" fontId="45" fillId="0" borderId="1" xfId="70" applyNumberFormat="1" applyFont="1" applyFill="1" applyBorder="1" applyAlignment="1">
      <alignment horizontal="center" vertical="center"/>
    </xf>
    <xf numFmtId="3" fontId="45" fillId="0" borderId="40" xfId="70" applyNumberFormat="1" applyFont="1" applyFill="1" applyBorder="1" applyAlignment="1">
      <alignment horizontal="center" vertical="center"/>
    </xf>
    <xf numFmtId="179" fontId="44" fillId="0" borderId="9" xfId="248" applyFont="1" applyFill="1" applyBorder="1"/>
    <xf numFmtId="9" fontId="47" fillId="0" borderId="0" xfId="127" applyFont="1" applyFill="1" applyBorder="1" applyAlignment="1">
      <alignment horizontal="right"/>
    </xf>
    <xf numFmtId="9" fontId="47" fillId="0" borderId="0" xfId="127" applyFont="1" applyFill="1" applyBorder="1" applyAlignment="1"/>
    <xf numFmtId="9" fontId="44" fillId="0" borderId="0" xfId="127" applyFont="1">
      <alignment vertical="center"/>
    </xf>
    <xf numFmtId="9" fontId="45" fillId="0" borderId="0" xfId="127" applyFont="1" applyAlignment="1">
      <alignment horizontal="center"/>
    </xf>
    <xf numFmtId="9" fontId="51" fillId="0" borderId="0" xfId="127" applyFont="1" applyFill="1" applyBorder="1" applyAlignment="1" applyProtection="1">
      <alignment horizontal="left" vertical="center"/>
    </xf>
    <xf numFmtId="9" fontId="51" fillId="0" borderId="0" xfId="127" applyFont="1" applyFill="1" applyBorder="1" applyAlignment="1" applyProtection="1">
      <alignment horizontal="right" vertical="center"/>
    </xf>
    <xf numFmtId="9" fontId="23" fillId="0" borderId="0" xfId="127" applyFont="1" applyBorder="1" applyAlignment="1" applyProtection="1">
      <alignment vertical="center"/>
    </xf>
    <xf numFmtId="182" fontId="50" fillId="0" borderId="26" xfId="248" applyNumberFormat="1" applyFont="1" applyFill="1" applyBorder="1" applyAlignment="1" applyProtection="1">
      <alignment horizontal="left"/>
    </xf>
    <xf numFmtId="9" fontId="50" fillId="0" borderId="26" xfId="127" applyFont="1" applyFill="1" applyBorder="1" applyAlignment="1" applyProtection="1">
      <alignment horizontal="left"/>
    </xf>
    <xf numFmtId="9" fontId="50" fillId="0" borderId="26" xfId="127" applyFont="1" applyFill="1" applyBorder="1" applyAlignment="1" applyProtection="1">
      <alignment horizontal="centerContinuous"/>
    </xf>
    <xf numFmtId="179" fontId="53" fillId="0" borderId="26" xfId="248" applyFont="1" applyBorder="1" applyProtection="1"/>
    <xf numFmtId="9" fontId="53" fillId="0" borderId="26" xfId="127" applyFont="1" applyBorder="1" applyAlignment="1" applyProtection="1"/>
    <xf numFmtId="227" fontId="23" fillId="0" borderId="43" xfId="119" applyFont="1" applyBorder="1" applyAlignment="1" applyProtection="1">
      <alignment vertical="center"/>
    </xf>
    <xf numFmtId="227" fontId="23" fillId="0" borderId="57" xfId="119" applyFont="1" applyFill="1" applyBorder="1" applyAlignment="1" applyProtection="1">
      <alignment horizontal="center" vertical="center" wrapText="1"/>
    </xf>
    <xf numFmtId="183" fontId="23" fillId="0" borderId="51" xfId="58" applyNumberFormat="1" applyFont="1" applyBorder="1" applyAlignment="1" applyProtection="1">
      <alignment vertical="center"/>
    </xf>
    <xf numFmtId="9" fontId="23" fillId="0" borderId="50" xfId="127" applyFont="1" applyFill="1" applyBorder="1" applyAlignment="1" applyProtection="1">
      <alignment horizontal="center" vertical="center"/>
    </xf>
    <xf numFmtId="9" fontId="19" fillId="0" borderId="0" xfId="127" applyFont="1" applyAlignment="1" applyProtection="1"/>
    <xf numFmtId="227" fontId="23" fillId="0" borderId="124" xfId="119" applyFont="1" applyBorder="1" applyAlignment="1" applyProtection="1">
      <alignment horizontal="center" vertical="center"/>
    </xf>
    <xf numFmtId="10" fontId="23" fillId="0" borderId="50" xfId="127" applyNumberFormat="1" applyFont="1" applyFill="1" applyBorder="1" applyAlignment="1" applyProtection="1">
      <alignment horizontal="center"/>
    </xf>
    <xf numFmtId="38" fontId="20" fillId="0" borderId="50" xfId="70" applyNumberFormat="1" applyFont="1" applyFill="1" applyBorder="1" applyAlignment="1">
      <alignment horizontal="center" vertical="center"/>
    </xf>
    <xf numFmtId="183" fontId="19" fillId="0" borderId="0" xfId="58" applyNumberFormat="1" applyFont="1" applyAlignment="1" applyProtection="1"/>
    <xf numFmtId="14" fontId="50" fillId="0" borderId="0" xfId="0" applyNumberFormat="1" applyFont="1" applyBorder="1">
      <alignment vertical="center"/>
    </xf>
    <xf numFmtId="14" fontId="44" fillId="0" borderId="0" xfId="119" applyNumberFormat="1" applyFont="1" applyFill="1"/>
    <xf numFmtId="227" fontId="10" fillId="0" borderId="0" xfId="119" applyFont="1" applyFill="1"/>
    <xf numFmtId="198" fontId="20" fillId="0" borderId="0" xfId="127" applyNumberFormat="1" applyFont="1" applyBorder="1" applyAlignment="1">
      <alignment horizontal="center" vertical="center"/>
    </xf>
    <xf numFmtId="183" fontId="20" fillId="0" borderId="0" xfId="58" applyNumberFormat="1" applyFont="1" applyFill="1" applyBorder="1">
      <alignment vertical="center"/>
    </xf>
    <xf numFmtId="227" fontId="20" fillId="33" borderId="0" xfId="0" applyFont="1" applyFill="1" applyBorder="1">
      <alignment vertical="center"/>
    </xf>
    <xf numFmtId="1" fontId="44" fillId="27" borderId="0" xfId="119" applyNumberFormat="1" applyFont="1" applyFill="1"/>
    <xf numFmtId="179" fontId="54" fillId="0" borderId="0" xfId="248" applyFont="1" applyProtection="1"/>
    <xf numFmtId="9" fontId="54" fillId="0" borderId="0" xfId="127" applyFont="1" applyAlignment="1" applyProtection="1"/>
    <xf numFmtId="43" fontId="54" fillId="0" borderId="0" xfId="58" applyFont="1" applyFill="1" applyAlignment="1" applyProtection="1"/>
    <xf numFmtId="179" fontId="54" fillId="0" borderId="0" xfId="248" applyFont="1" applyFill="1" applyProtection="1"/>
    <xf numFmtId="184" fontId="0" fillId="0" borderId="11" xfId="116" applyNumberFormat="1" applyFont="1" applyBorder="1" applyAlignment="1">
      <alignment vertical="center" wrapText="1"/>
    </xf>
    <xf numFmtId="10" fontId="20" fillId="0" borderId="0" xfId="127" applyNumberFormat="1" applyFont="1" applyBorder="1">
      <alignment vertical="center"/>
    </xf>
    <xf numFmtId="183" fontId="20" fillId="0" borderId="0" xfId="58" applyNumberFormat="1" applyFont="1" applyBorder="1">
      <alignment vertical="center"/>
    </xf>
    <xf numFmtId="183" fontId="20" fillId="33" borderId="0" xfId="58" applyNumberFormat="1" applyFont="1" applyFill="1" applyBorder="1">
      <alignment vertical="center"/>
    </xf>
    <xf numFmtId="227" fontId="20" fillId="0" borderId="0" xfId="0" applyFont="1" applyFill="1" applyBorder="1" applyAlignment="1">
      <alignment horizontal="center" vertical="center"/>
    </xf>
    <xf numFmtId="184" fontId="23" fillId="28" borderId="60" xfId="116" applyNumberFormat="1" applyFont="1" applyFill="1" applyBorder="1" applyAlignment="1">
      <alignment horizontal="left" vertical="center"/>
    </xf>
    <xf numFmtId="184" fontId="23" fillId="28" borderId="61" xfId="116" applyNumberFormat="1" applyFont="1" applyFill="1" applyBorder="1" applyAlignment="1">
      <alignment vertical="center" wrapText="1"/>
    </xf>
    <xf numFmtId="43" fontId="0" fillId="0" borderId="0" xfId="58" applyFont="1">
      <alignment vertical="center"/>
    </xf>
    <xf numFmtId="227" fontId="13" fillId="0" borderId="0" xfId="0" applyFont="1" applyAlignment="1">
      <alignment vertical="center" shrinkToFit="1"/>
    </xf>
    <xf numFmtId="179" fontId="13" fillId="0" borderId="0" xfId="249" applyFont="1" applyBorder="1" applyAlignment="1" applyProtection="1">
      <alignment horizontal="right"/>
    </xf>
    <xf numFmtId="15" fontId="13" fillId="27" borderId="0" xfId="249" applyNumberFormat="1" applyFont="1" applyFill="1" applyBorder="1" applyAlignment="1" applyProtection="1">
      <alignment horizontal="left"/>
    </xf>
    <xf numFmtId="227" fontId="85" fillId="0" borderId="0" xfId="240" applyFont="1" applyBorder="1"/>
    <xf numFmtId="43" fontId="13" fillId="0" borderId="0" xfId="58" applyFont="1" applyBorder="1">
      <alignment vertical="center"/>
    </xf>
    <xf numFmtId="227" fontId="13" fillId="0" borderId="0" xfId="0" applyFont="1" applyBorder="1" applyAlignment="1">
      <alignment horizontal="center" vertical="center"/>
    </xf>
    <xf numFmtId="227" fontId="85" fillId="0" borderId="0" xfId="240" applyFont="1" applyFill="1" applyBorder="1" applyAlignment="1">
      <alignment horizontal="left" vertical="center"/>
    </xf>
    <xf numFmtId="183" fontId="85" fillId="0" borderId="0" xfId="58" applyNumberFormat="1" applyFont="1" applyFill="1" applyBorder="1" applyAlignment="1">
      <alignment horizontal="left" vertical="center"/>
    </xf>
    <xf numFmtId="38" fontId="13" fillId="0" borderId="0" xfId="58" applyNumberFormat="1" applyFont="1" applyBorder="1" applyAlignment="1">
      <alignment horizontal="center" vertical="center"/>
    </xf>
    <xf numFmtId="14" fontId="13" fillId="0" borderId="0" xfId="0" applyNumberFormat="1" applyFont="1" applyBorder="1" applyAlignment="1">
      <alignment horizontal="center" vertical="center"/>
    </xf>
    <xf numFmtId="183" fontId="13" fillId="0" borderId="0" xfId="58" applyNumberFormat="1" applyFont="1" applyBorder="1">
      <alignment vertical="center"/>
    </xf>
    <xf numFmtId="43" fontId="13" fillId="0" borderId="0" xfId="58" applyFont="1" applyBorder="1" applyAlignment="1">
      <alignment horizontal="center" vertical="center"/>
    </xf>
    <xf numFmtId="227" fontId="13" fillId="0" borderId="0" xfId="240" applyFont="1" applyBorder="1"/>
    <xf numFmtId="9" fontId="13" fillId="27" borderId="0" xfId="127" applyFont="1" applyFill="1" applyBorder="1">
      <alignment vertical="center"/>
    </xf>
    <xf numFmtId="10" fontId="13" fillId="27" borderId="0" xfId="58" applyNumberFormat="1" applyFont="1" applyFill="1" applyBorder="1" applyAlignment="1">
      <alignment horizontal="center" vertical="center"/>
    </xf>
    <xf numFmtId="9" fontId="13" fillId="30" borderId="0" xfId="0" applyNumberFormat="1" applyFont="1" applyFill="1" applyBorder="1" applyAlignment="1">
      <alignment horizontal="center" vertical="center"/>
    </xf>
    <xf numFmtId="227" fontId="13" fillId="27" borderId="0" xfId="240" applyFont="1" applyFill="1" applyBorder="1"/>
    <xf numFmtId="9" fontId="13" fillId="36" borderId="56" xfId="127" applyNumberFormat="1" applyFont="1" applyFill="1" applyBorder="1" applyAlignment="1" applyProtection="1">
      <alignment horizontal="center" vertical="center" wrapText="1"/>
      <protection locked="0"/>
    </xf>
    <xf numFmtId="43" fontId="13" fillId="27" borderId="56" xfId="58" applyFont="1" applyFill="1" applyBorder="1" applyAlignment="1" applyProtection="1">
      <alignment horizontal="center" vertical="center" wrapText="1"/>
      <protection locked="0"/>
    </xf>
    <xf numFmtId="183" fontId="13" fillId="38" borderId="56" xfId="58" applyNumberFormat="1" applyFont="1" applyFill="1" applyBorder="1" applyAlignment="1" applyProtection="1">
      <alignment horizontal="center" vertical="center" wrapText="1"/>
      <protection locked="0"/>
    </xf>
    <xf numFmtId="227" fontId="13" fillId="27" borderId="56" xfId="246" applyFont="1" applyFill="1" applyBorder="1" applyAlignment="1">
      <alignment horizontal="center" vertical="center" wrapText="1"/>
    </xf>
    <xf numFmtId="43" fontId="13" fillId="38" borderId="56" xfId="58" applyFont="1" applyFill="1" applyBorder="1" applyAlignment="1">
      <alignment horizontal="center" vertical="center" wrapText="1"/>
    </xf>
    <xf numFmtId="14" fontId="13" fillId="36" borderId="56" xfId="246" applyNumberFormat="1" applyFont="1" applyFill="1" applyBorder="1" applyAlignment="1">
      <alignment horizontal="center" vertical="center" wrapText="1"/>
    </xf>
    <xf numFmtId="14" fontId="13" fillId="27" borderId="56" xfId="246" applyNumberFormat="1" applyFont="1" applyFill="1" applyBorder="1" applyAlignment="1">
      <alignment horizontal="center" vertical="center" wrapText="1"/>
    </xf>
    <xf numFmtId="9" fontId="13" fillId="36" borderId="56" xfId="0" applyNumberFormat="1" applyFont="1" applyFill="1" applyBorder="1" applyAlignment="1">
      <alignment horizontal="center" vertical="center" wrapText="1"/>
    </xf>
    <xf numFmtId="227" fontId="13" fillId="36" borderId="56" xfId="0" applyFont="1" applyFill="1" applyBorder="1" applyAlignment="1">
      <alignment horizontal="center" vertical="center" wrapText="1"/>
    </xf>
    <xf numFmtId="227" fontId="13" fillId="36" borderId="56" xfId="243" applyFont="1" applyFill="1" applyBorder="1" applyAlignment="1">
      <alignment horizontal="center" vertical="center" wrapText="1"/>
    </xf>
    <xf numFmtId="9" fontId="13" fillId="0" borderId="11" xfId="127" applyFont="1" applyFill="1" applyBorder="1" applyAlignment="1">
      <alignment vertical="center"/>
    </xf>
    <xf numFmtId="9" fontId="44" fillId="0" borderId="139" xfId="127" applyFont="1" applyBorder="1" applyAlignment="1">
      <alignment horizontal="center"/>
    </xf>
    <xf numFmtId="227" fontId="0" fillId="0" borderId="0" xfId="0" pivotButton="1" applyAlignment="1">
      <alignment vertical="center"/>
    </xf>
    <xf numFmtId="227" fontId="0" fillId="0" borderId="0" xfId="0" applyAlignment="1">
      <alignment horizontal="center" vertical="center"/>
    </xf>
    <xf numFmtId="227" fontId="23" fillId="0" borderId="0" xfId="0" applyFont="1">
      <alignment vertical="center"/>
    </xf>
    <xf numFmtId="183" fontId="54" fillId="0" borderId="0" xfId="58" applyNumberFormat="1" applyFont="1" applyFill="1" applyBorder="1" applyAlignment="1">
      <alignment horizontal="right" vertical="center"/>
    </xf>
    <xf numFmtId="179" fontId="10" fillId="0" borderId="0" xfId="241" applyBorder="1"/>
    <xf numFmtId="227" fontId="23" fillId="36" borderId="25" xfId="0" applyFont="1" applyFill="1" applyBorder="1" applyAlignment="1">
      <alignment horizontal="center" vertical="center"/>
    </xf>
    <xf numFmtId="227" fontId="23" fillId="36" borderId="27" xfId="0" applyFont="1" applyFill="1" applyBorder="1" applyAlignment="1">
      <alignment horizontal="center" vertical="center"/>
    </xf>
    <xf numFmtId="227" fontId="0" fillId="0" borderId="20" xfId="0" applyBorder="1">
      <alignment vertical="center"/>
    </xf>
    <xf numFmtId="183" fontId="0" fillId="0" borderId="21" xfId="58" applyNumberFormat="1" applyFont="1" applyBorder="1">
      <alignment vertical="center"/>
    </xf>
    <xf numFmtId="227" fontId="0" fillId="0" borderId="22" xfId="0" applyBorder="1">
      <alignment vertical="center"/>
    </xf>
    <xf numFmtId="183" fontId="0" fillId="0" borderId="24" xfId="58" applyNumberFormat="1" applyFont="1" applyBorder="1">
      <alignment vertical="center"/>
    </xf>
    <xf numFmtId="40" fontId="23" fillId="0" borderId="0" xfId="0" applyNumberFormat="1" applyFont="1" applyBorder="1">
      <alignment vertical="center"/>
    </xf>
    <xf numFmtId="38" fontId="116" fillId="0" borderId="0" xfId="58" applyNumberFormat="1" applyFont="1" applyBorder="1">
      <alignment vertical="center"/>
    </xf>
    <xf numFmtId="227" fontId="0" fillId="0" borderId="83" xfId="0" applyBorder="1">
      <alignment vertical="center"/>
    </xf>
    <xf numFmtId="227" fontId="0" fillId="0" borderId="70" xfId="0" applyBorder="1">
      <alignment vertical="center"/>
    </xf>
    <xf numFmtId="227" fontId="0" fillId="0" borderId="3" xfId="0" applyBorder="1">
      <alignment vertical="center"/>
    </xf>
    <xf numFmtId="227" fontId="0" fillId="0" borderId="6" xfId="0" applyBorder="1">
      <alignment vertical="center"/>
    </xf>
    <xf numFmtId="227" fontId="0" fillId="0" borderId="136" xfId="0" applyBorder="1">
      <alignment vertical="center"/>
    </xf>
    <xf numFmtId="227" fontId="0" fillId="0" borderId="42" xfId="0" applyBorder="1">
      <alignment vertical="center"/>
    </xf>
    <xf numFmtId="179" fontId="10" fillId="0" borderId="42" xfId="241" applyBorder="1"/>
    <xf numFmtId="227" fontId="0" fillId="0" borderId="67" xfId="0" applyBorder="1">
      <alignment vertical="center"/>
    </xf>
    <xf numFmtId="183" fontId="50" fillId="0" borderId="0" xfId="58" applyNumberFormat="1" applyFont="1" applyFill="1" applyBorder="1">
      <alignment vertical="center"/>
    </xf>
    <xf numFmtId="183" fontId="50" fillId="0" borderId="0" xfId="58" applyNumberFormat="1" applyFont="1" applyFill="1" applyBorder="1" applyAlignment="1">
      <alignment vertical="center"/>
    </xf>
    <xf numFmtId="227" fontId="117" fillId="39" borderId="141" xfId="0" applyFont="1" applyFill="1" applyBorder="1" applyAlignment="1">
      <alignment horizontal="right" vertical="center"/>
    </xf>
    <xf numFmtId="184" fontId="118" fillId="0" borderId="141" xfId="0" applyNumberFormat="1" applyFont="1" applyBorder="1">
      <alignment vertical="center"/>
    </xf>
    <xf numFmtId="184" fontId="119" fillId="25" borderId="142" xfId="0" applyNumberFormat="1" applyFont="1" applyFill="1" applyBorder="1">
      <alignment vertical="center"/>
    </xf>
    <xf numFmtId="227" fontId="117" fillId="39" borderId="0" xfId="0" applyFont="1" applyFill="1" applyAlignment="1">
      <alignment horizontal="right" vertical="center"/>
    </xf>
    <xf numFmtId="184" fontId="119" fillId="25" borderId="143" xfId="0" applyNumberFormat="1" applyFont="1" applyFill="1" applyBorder="1" applyAlignment="1">
      <alignment horizontal="right" vertical="center"/>
    </xf>
    <xf numFmtId="3" fontId="20" fillId="0" borderId="0" xfId="0" applyNumberFormat="1" applyFont="1" applyFill="1" applyBorder="1" applyAlignment="1">
      <alignment horizontal="center" vertical="center"/>
    </xf>
    <xf numFmtId="227" fontId="13" fillId="30" borderId="56" xfId="239" applyFont="1" applyFill="1" applyBorder="1" applyAlignment="1" applyProtection="1">
      <alignment horizontal="center" vertical="center" wrapText="1"/>
      <protection locked="0"/>
    </xf>
    <xf numFmtId="9" fontId="13" fillId="30" borderId="56" xfId="58" applyNumberFormat="1" applyFont="1" applyFill="1" applyBorder="1" applyAlignment="1" applyProtection="1">
      <alignment horizontal="center" vertical="center" wrapText="1"/>
      <protection locked="0"/>
    </xf>
    <xf numFmtId="227" fontId="13" fillId="0" borderId="11" xfId="0" applyFont="1" applyBorder="1" applyAlignment="1">
      <alignment horizontal="left" vertical="center"/>
    </xf>
    <xf numFmtId="183" fontId="0" fillId="0" borderId="0" xfId="58" applyNumberFormat="1" applyFont="1" applyBorder="1">
      <alignment vertical="center"/>
    </xf>
    <xf numFmtId="183" fontId="0" fillId="0" borderId="42" xfId="58" applyNumberFormat="1" applyFont="1" applyBorder="1">
      <alignment vertical="center"/>
    </xf>
    <xf numFmtId="183" fontId="13" fillId="38" borderId="56" xfId="58" applyNumberFormat="1" applyFont="1" applyFill="1" applyBorder="1" applyAlignment="1">
      <alignment horizontal="center" vertical="center" wrapText="1"/>
    </xf>
    <xf numFmtId="227" fontId="50" fillId="0" borderId="26" xfId="0" applyFont="1" applyFill="1" applyBorder="1" applyAlignment="1">
      <alignment vertical="center"/>
    </xf>
    <xf numFmtId="227" fontId="50" fillId="0" borderId="23" xfId="0" applyFont="1" applyFill="1" applyBorder="1" applyAlignment="1">
      <alignment vertical="center"/>
    </xf>
    <xf numFmtId="227" fontId="23" fillId="0" borderId="61" xfId="119" applyFont="1" applyFill="1" applyBorder="1" applyAlignment="1">
      <alignment horizontal="center" vertical="center"/>
    </xf>
    <xf numFmtId="227" fontId="23" fillId="0" borderId="145" xfId="0" applyFont="1" applyFill="1" applyBorder="1" applyAlignment="1">
      <alignment horizontal="center" vertical="center"/>
    </xf>
    <xf numFmtId="227" fontId="23" fillId="0" borderId="11" xfId="119" applyFont="1" applyFill="1" applyBorder="1" applyAlignment="1">
      <alignment horizontal="center" vertical="center"/>
    </xf>
    <xf numFmtId="227" fontId="23" fillId="0" borderId="52" xfId="119" applyFont="1" applyFill="1" applyBorder="1" applyAlignment="1">
      <alignment horizontal="center" vertical="center"/>
    </xf>
    <xf numFmtId="227" fontId="23" fillId="0" borderId="73" xfId="119" applyFont="1" applyFill="1" applyBorder="1" applyAlignment="1">
      <alignment horizontal="center" vertical="center"/>
    </xf>
    <xf numFmtId="227" fontId="23" fillId="0" borderId="69" xfId="119" applyFont="1" applyFill="1" applyBorder="1" applyAlignment="1">
      <alignment horizontal="center" vertical="center"/>
    </xf>
    <xf numFmtId="227" fontId="23" fillId="0" borderId="133" xfId="119" applyFont="1" applyFill="1" applyBorder="1" applyAlignment="1">
      <alignment horizontal="center" vertical="center"/>
    </xf>
    <xf numFmtId="40" fontId="54" fillId="0" borderId="11" xfId="119" applyNumberFormat="1" applyFont="1" applyFill="1" applyBorder="1" applyAlignment="1">
      <alignment horizontal="center" vertical="center"/>
    </xf>
    <xf numFmtId="38" fontId="20" fillId="27" borderId="11" xfId="119" applyNumberFormat="1" applyFont="1" applyFill="1" applyBorder="1" applyAlignment="1" applyProtection="1">
      <alignment horizontal="center" vertical="center"/>
      <protection locked="0"/>
    </xf>
    <xf numFmtId="40" fontId="20" fillId="0" borderId="73" xfId="119" applyNumberFormat="1" applyFont="1" applyFill="1" applyBorder="1" applyAlignment="1">
      <alignment horizontal="center" vertical="center"/>
    </xf>
    <xf numFmtId="40" fontId="20" fillId="0" borderId="54" xfId="119" applyNumberFormat="1" applyFont="1" applyFill="1" applyBorder="1" applyAlignment="1">
      <alignment horizontal="center" vertical="center"/>
    </xf>
    <xf numFmtId="40" fontId="59" fillId="0" borderId="11" xfId="119" applyNumberFormat="1" applyFont="1" applyFill="1" applyBorder="1" applyAlignment="1">
      <alignment horizontal="center" vertical="center"/>
    </xf>
    <xf numFmtId="40" fontId="20" fillId="0" borderId="68" xfId="119" applyNumberFormat="1" applyFont="1" applyFill="1" applyBorder="1" applyAlignment="1">
      <alignment horizontal="center" vertical="center"/>
    </xf>
    <xf numFmtId="38" fontId="50" fillId="0" borderId="144" xfId="0" applyNumberFormat="1" applyFont="1" applyFill="1" applyBorder="1" applyAlignment="1">
      <alignment vertical="center"/>
    </xf>
    <xf numFmtId="40" fontId="60" fillId="0" borderId="11" xfId="119" applyNumberFormat="1" applyFont="1" applyFill="1" applyBorder="1" applyAlignment="1">
      <alignment horizontal="center" vertical="center"/>
    </xf>
    <xf numFmtId="227" fontId="54" fillId="0" borderId="11" xfId="0" applyFont="1" applyFill="1" applyBorder="1" applyAlignment="1">
      <alignment horizontal="center" vertical="center"/>
    </xf>
    <xf numFmtId="38" fontId="20" fillId="0" borderId="50" xfId="119" applyNumberFormat="1" applyFont="1" applyFill="1" applyBorder="1" applyAlignment="1">
      <alignment horizontal="center" vertical="center"/>
    </xf>
    <xf numFmtId="227" fontId="60" fillId="0" borderId="11" xfId="0" applyFont="1" applyFill="1" applyBorder="1" applyAlignment="1">
      <alignment vertical="center"/>
    </xf>
    <xf numFmtId="40" fontId="20" fillId="0" borderId="59" xfId="119" applyNumberFormat="1" applyFont="1" applyFill="1" applyBorder="1" applyAlignment="1">
      <alignment horizontal="center" vertical="center"/>
    </xf>
    <xf numFmtId="40" fontId="20" fillId="0" borderId="26" xfId="119" applyNumberFormat="1" applyFont="1" applyFill="1" applyBorder="1" applyAlignment="1">
      <alignment horizontal="center" vertical="center"/>
    </xf>
    <xf numFmtId="40" fontId="20" fillId="0" borderId="61" xfId="119" applyNumberFormat="1" applyFont="1" applyFill="1" applyBorder="1" applyAlignment="1">
      <alignment horizontal="center" vertical="center"/>
    </xf>
    <xf numFmtId="10" fontId="20" fillId="0" borderId="46" xfId="0" applyNumberFormat="1" applyFont="1" applyFill="1" applyBorder="1" applyAlignment="1">
      <alignment vertical="center"/>
    </xf>
    <xf numFmtId="227" fontId="20" fillId="0" borderId="0" xfId="0" applyFont="1" applyFill="1" applyBorder="1" applyAlignment="1">
      <alignment vertical="center"/>
    </xf>
    <xf numFmtId="227" fontId="19" fillId="0" borderId="0" xfId="0" applyFont="1" applyBorder="1" applyAlignment="1">
      <alignment horizontal="center" vertical="center"/>
    </xf>
    <xf numFmtId="227" fontId="19" fillId="0" borderId="0" xfId="0" applyFont="1" applyBorder="1">
      <alignment vertical="center"/>
    </xf>
    <xf numFmtId="183" fontId="19" fillId="0" borderId="0" xfId="58" applyNumberFormat="1" applyFont="1" applyBorder="1">
      <alignment vertical="center"/>
    </xf>
    <xf numFmtId="227" fontId="19" fillId="0" borderId="0" xfId="0" applyFont="1" applyFill="1" applyBorder="1">
      <alignment vertical="center"/>
    </xf>
    <xf numFmtId="38" fontId="19" fillId="0" borderId="0" xfId="58" applyNumberFormat="1" applyFont="1" applyBorder="1" applyAlignment="1">
      <alignment horizontal="center" vertical="center"/>
    </xf>
    <xf numFmtId="38" fontId="0" fillId="0" borderId="11" xfId="119" applyNumberFormat="1" applyFont="1" applyFill="1" applyBorder="1" applyAlignment="1">
      <alignment horizontal="center" vertical="center"/>
    </xf>
    <xf numFmtId="184" fontId="0" fillId="0" borderId="11" xfId="116" applyNumberFormat="1" applyFont="1" applyFill="1" applyBorder="1" applyAlignment="1">
      <alignment vertical="center" wrapText="1"/>
    </xf>
    <xf numFmtId="227" fontId="50" fillId="0" borderId="26" xfId="0" applyFont="1" applyFill="1" applyBorder="1" applyAlignment="1">
      <alignment horizontal="center" vertical="center"/>
    </xf>
    <xf numFmtId="227" fontId="50" fillId="0" borderId="23" xfId="0" applyFont="1" applyFill="1" applyBorder="1" applyAlignment="1">
      <alignment horizontal="center" vertical="center"/>
    </xf>
    <xf numFmtId="38" fontId="23" fillId="0" borderId="11" xfId="119" applyNumberFormat="1" applyFont="1" applyFill="1" applyBorder="1" applyAlignment="1">
      <alignment horizontal="center" vertical="center"/>
    </xf>
    <xf numFmtId="38" fontId="54" fillId="0" borderId="11" xfId="119" applyNumberFormat="1" applyFont="1" applyFill="1" applyBorder="1" applyAlignment="1">
      <alignment horizontal="center" vertical="center"/>
    </xf>
    <xf numFmtId="38" fontId="23" fillId="0" borderId="73" xfId="119" applyNumberFormat="1" applyFont="1" applyFill="1" applyBorder="1" applyAlignment="1">
      <alignment horizontal="center" vertical="center"/>
    </xf>
    <xf numFmtId="38" fontId="23" fillId="0" borderId="56" xfId="119" applyNumberFormat="1" applyFont="1" applyFill="1" applyBorder="1" applyAlignment="1">
      <alignment horizontal="center" vertical="center"/>
    </xf>
    <xf numFmtId="3" fontId="23" fillId="0" borderId="11" xfId="0" applyNumberFormat="1" applyFont="1" applyFill="1" applyBorder="1" applyAlignment="1">
      <alignment horizontal="center" vertical="center"/>
    </xf>
    <xf numFmtId="227" fontId="59" fillId="0" borderId="11" xfId="0" applyFont="1" applyFill="1" applyBorder="1" applyAlignment="1">
      <alignment horizontal="center" vertical="center"/>
    </xf>
    <xf numFmtId="184" fontId="23" fillId="0" borderId="11" xfId="116" applyNumberFormat="1" applyFont="1" applyFill="1" applyBorder="1" applyAlignment="1">
      <alignment horizontal="center" vertical="center" wrapText="1"/>
    </xf>
    <xf numFmtId="227" fontId="0" fillId="0" borderId="50" xfId="0" applyFont="1" applyFill="1" applyBorder="1" applyAlignment="1">
      <alignment vertical="center" wrapText="1"/>
    </xf>
    <xf numFmtId="1" fontId="44" fillId="32" borderId="92" xfId="119" applyNumberFormat="1" applyFont="1" applyFill="1" applyBorder="1" applyAlignment="1">
      <alignment horizontal="center" wrapText="1"/>
    </xf>
    <xf numFmtId="1" fontId="44" fillId="32" borderId="92" xfId="119" applyNumberFormat="1" applyFont="1" applyFill="1" applyBorder="1" applyAlignment="1">
      <alignment horizontal="center"/>
    </xf>
    <xf numFmtId="1" fontId="44" fillId="42" borderId="92" xfId="119" applyNumberFormat="1" applyFont="1" applyFill="1" applyBorder="1" applyAlignment="1">
      <alignment horizontal="center"/>
    </xf>
    <xf numFmtId="227" fontId="122" fillId="0" borderId="0" xfId="119" applyFont="1" applyFill="1" applyAlignment="1">
      <alignment horizontal="left" vertical="center"/>
    </xf>
    <xf numFmtId="227" fontId="44" fillId="0" borderId="23" xfId="119" applyFont="1" applyFill="1" applyBorder="1" applyAlignment="1" applyProtection="1">
      <alignment horizontal="right"/>
      <protection locked="0"/>
    </xf>
    <xf numFmtId="227" fontId="43" fillId="0" borderId="0" xfId="119" applyFont="1" applyFill="1" applyAlignment="1">
      <alignment horizontal="right" vertical="center"/>
    </xf>
    <xf numFmtId="227" fontId="132" fillId="0" borderId="0" xfId="0" applyFont="1" applyFill="1" applyBorder="1">
      <alignment vertical="center"/>
    </xf>
    <xf numFmtId="227" fontId="0" fillId="0" borderId="0" xfId="0" applyFont="1" applyBorder="1" applyAlignment="1">
      <alignment horizontal="center" vertical="center"/>
    </xf>
    <xf numFmtId="227" fontId="133" fillId="0" borderId="50" xfId="0" applyFont="1" applyFill="1" applyBorder="1">
      <alignment vertical="center"/>
    </xf>
    <xf numFmtId="227" fontId="0" fillId="0" borderId="0" xfId="0" applyFont="1" applyFill="1" applyBorder="1">
      <alignment vertical="center"/>
    </xf>
    <xf numFmtId="38" fontId="50" fillId="0" borderId="0" xfId="0" applyNumberFormat="1" applyFont="1" applyFill="1" applyBorder="1" applyAlignment="1">
      <alignment horizontal="center" vertical="center"/>
    </xf>
    <xf numFmtId="9" fontId="45" fillId="0" borderId="21" xfId="248" applyNumberFormat="1" applyFont="1" applyFill="1" applyBorder="1" applyAlignment="1">
      <alignment horizontal="center" vertical="center"/>
    </xf>
    <xf numFmtId="9" fontId="45" fillId="0" borderId="36" xfId="248" applyNumberFormat="1" applyFont="1" applyFill="1" applyBorder="1" applyAlignment="1">
      <alignment horizontal="center" vertical="center"/>
    </xf>
    <xf numFmtId="227" fontId="13" fillId="0" borderId="11" xfId="0" applyFont="1" applyFill="1" applyBorder="1" applyAlignment="1">
      <alignment horizontal="center" vertical="center"/>
    </xf>
    <xf numFmtId="227" fontId="0" fillId="0" borderId="0" xfId="0" applyFont="1" applyBorder="1">
      <alignment vertical="center"/>
    </xf>
    <xf numFmtId="9" fontId="0" fillId="0" borderId="26" xfId="0" applyNumberFormat="1" applyFont="1" applyBorder="1" applyAlignment="1">
      <alignment horizontal="left"/>
    </xf>
    <xf numFmtId="227" fontId="0" fillId="0" borderId="0" xfId="0" applyFont="1" applyBorder="1" applyAlignment="1">
      <alignment horizontal="left"/>
    </xf>
    <xf numFmtId="49" fontId="0" fillId="0" borderId="23" xfId="0" applyNumberFormat="1" applyFont="1" applyBorder="1" applyAlignment="1">
      <alignment horizontal="left"/>
    </xf>
    <xf numFmtId="227" fontId="0" fillId="0" borderId="61" xfId="119" applyFont="1" applyBorder="1" applyAlignment="1">
      <alignment vertical="top"/>
    </xf>
    <xf numFmtId="227" fontId="0" fillId="0" borderId="11" xfId="119" applyFont="1" applyFill="1" applyBorder="1" applyAlignment="1">
      <alignment wrapText="1"/>
    </xf>
    <xf numFmtId="227" fontId="0" fillId="0" borderId="11" xfId="119" applyFont="1" applyFill="1" applyBorder="1" applyAlignment="1">
      <alignment horizontal="left"/>
    </xf>
    <xf numFmtId="227" fontId="59" fillId="0" borderId="11" xfId="119" applyFont="1" applyFill="1" applyBorder="1"/>
    <xf numFmtId="184" fontId="0" fillId="0" borderId="59" xfId="116" applyNumberFormat="1" applyFont="1" applyFill="1" applyBorder="1" applyAlignment="1">
      <alignment vertical="center" wrapText="1"/>
    </xf>
    <xf numFmtId="184" fontId="0" fillId="0" borderId="26" xfId="116" applyNumberFormat="1" applyFont="1" applyFill="1" applyBorder="1" applyAlignment="1">
      <alignment vertical="center" wrapText="1"/>
    </xf>
    <xf numFmtId="227" fontId="0" fillId="0" borderId="0" xfId="119" applyFont="1" applyBorder="1"/>
    <xf numFmtId="227" fontId="23" fillId="0" borderId="0" xfId="119" applyFont="1" applyFill="1" applyBorder="1"/>
    <xf numFmtId="227" fontId="132" fillId="0" borderId="0" xfId="119" applyFont="1" applyFill="1" applyBorder="1" applyAlignment="1" applyProtection="1">
      <alignment horizontal="left" indent="2"/>
      <protection locked="0"/>
    </xf>
    <xf numFmtId="227" fontId="134" fillId="0" borderId="0" xfId="119" applyFont="1" applyFill="1" applyBorder="1" applyProtection="1">
      <protection locked="0"/>
    </xf>
    <xf numFmtId="227" fontId="23" fillId="0" borderId="0" xfId="119" applyFont="1" applyFill="1" applyBorder="1" applyProtection="1">
      <protection locked="0"/>
    </xf>
    <xf numFmtId="227" fontId="132" fillId="0" borderId="0" xfId="119" applyFont="1" applyFill="1" applyBorder="1" applyAlignment="1">
      <alignment horizontal="left" indent="2"/>
    </xf>
    <xf numFmtId="183" fontId="134" fillId="0" borderId="0" xfId="58" applyNumberFormat="1" applyFont="1" applyFill="1" applyBorder="1" applyAlignment="1"/>
    <xf numFmtId="227" fontId="134" fillId="0" borderId="0" xfId="119" applyFont="1" applyFill="1" applyBorder="1"/>
    <xf numFmtId="179" fontId="70" fillId="0" borderId="0" xfId="241" applyFont="1"/>
    <xf numFmtId="9" fontId="13" fillId="43" borderId="56" xfId="127" applyNumberFormat="1" applyFont="1" applyFill="1" applyBorder="1" applyAlignment="1" applyProtection="1">
      <alignment horizontal="center" vertical="center" wrapText="1"/>
      <protection locked="0"/>
    </xf>
    <xf numFmtId="227" fontId="126" fillId="0" borderId="0" xfId="0" applyFont="1" applyFill="1" applyAlignment="1">
      <alignment horizontal="center" vertical="center"/>
    </xf>
    <xf numFmtId="227" fontId="13" fillId="40" borderId="11" xfId="0" applyFont="1" applyFill="1" applyBorder="1" applyAlignment="1">
      <alignment horizontal="center" vertical="center" wrapText="1"/>
    </xf>
    <xf numFmtId="227" fontId="126" fillId="0" borderId="0" xfId="0" applyFont="1" applyFill="1" applyAlignment="1">
      <alignment horizontal="center" vertical="center" wrapText="1"/>
    </xf>
    <xf numFmtId="227" fontId="23" fillId="0" borderId="68" xfId="112" applyFont="1" applyBorder="1" applyAlignment="1">
      <alignment horizontal="center" wrapText="1"/>
    </xf>
    <xf numFmtId="227" fontId="70" fillId="0" borderId="11" xfId="112" applyFont="1" applyBorder="1" applyAlignment="1">
      <alignment horizontal="center" vertical="center" wrapText="1"/>
    </xf>
    <xf numFmtId="227" fontId="23" fillId="0" borderId="11" xfId="112" applyFont="1" applyBorder="1" applyAlignment="1">
      <alignment horizontal="center" wrapText="1"/>
    </xf>
    <xf numFmtId="9" fontId="13" fillId="43" borderId="56" xfId="131" applyNumberFormat="1" applyFont="1" applyFill="1" applyBorder="1" applyAlignment="1" applyProtection="1">
      <alignment horizontal="center" vertical="center" wrapText="1"/>
      <protection locked="0"/>
    </xf>
    <xf numFmtId="227" fontId="0" fillId="0" borderId="50" xfId="0" applyFont="1" applyFill="1" applyBorder="1">
      <alignment vertical="center"/>
    </xf>
    <xf numFmtId="43" fontId="13" fillId="36" borderId="56" xfId="58" applyFont="1" applyFill="1" applyBorder="1" applyAlignment="1">
      <alignment horizontal="center" vertical="center" wrapText="1"/>
    </xf>
    <xf numFmtId="38" fontId="13" fillId="36" borderId="56" xfId="0" applyNumberFormat="1" applyFont="1" applyFill="1" applyBorder="1" applyAlignment="1">
      <alignment horizontal="center" vertical="center" wrapText="1"/>
    </xf>
    <xf numFmtId="227" fontId="128" fillId="0" borderId="0" xfId="93" applyFont="1" applyAlignment="1" applyProtection="1">
      <alignment vertical="center"/>
    </xf>
    <xf numFmtId="227" fontId="135" fillId="0" borderId="0" xfId="119" applyFont="1" applyFill="1" applyBorder="1" applyProtection="1">
      <protection locked="0"/>
    </xf>
    <xf numFmtId="43" fontId="13" fillId="27" borderId="11" xfId="58" applyFont="1" applyFill="1" applyBorder="1" applyAlignment="1">
      <alignment horizontal="center" vertical="center"/>
    </xf>
    <xf numFmtId="38" fontId="13" fillId="0" borderId="11" xfId="0" applyNumberFormat="1" applyFont="1" applyBorder="1" applyAlignment="1">
      <alignment horizontal="right" vertical="center"/>
    </xf>
    <xf numFmtId="14" fontId="13" fillId="0" borderId="0" xfId="58" applyNumberFormat="1" applyFont="1" applyFill="1" applyBorder="1" applyAlignment="1" applyProtection="1">
      <alignment horizontal="center" vertical="center"/>
      <protection locked="0"/>
    </xf>
    <xf numFmtId="14" fontId="13" fillId="27" borderId="11" xfId="58" applyNumberFormat="1" applyFont="1" applyFill="1" applyBorder="1" applyAlignment="1" applyProtection="1">
      <alignment horizontal="center" vertical="center"/>
      <protection locked="0"/>
    </xf>
    <xf numFmtId="183" fontId="13" fillId="27" borderId="56" xfId="58" applyNumberFormat="1" applyFont="1" applyFill="1" applyBorder="1" applyAlignment="1">
      <alignment horizontal="center" vertical="center" wrapText="1"/>
    </xf>
    <xf numFmtId="227" fontId="0" fillId="0" borderId="0" xfId="0" applyFont="1" applyFill="1" applyAlignment="1">
      <alignment horizontal="center" vertical="center"/>
    </xf>
    <xf numFmtId="9" fontId="0" fillId="0" borderId="0" xfId="0" applyNumberFormat="1" applyFont="1" applyFill="1" applyAlignment="1">
      <alignment horizontal="center" vertical="center"/>
    </xf>
    <xf numFmtId="214" fontId="0" fillId="40" borderId="11" xfId="0" applyNumberFormat="1" applyFont="1" applyFill="1" applyBorder="1" applyAlignment="1">
      <alignment horizontal="center" vertical="center" wrapText="1"/>
    </xf>
    <xf numFmtId="9" fontId="0" fillId="40" borderId="11" xfId="0" applyNumberFormat="1" applyFont="1" applyFill="1" applyBorder="1" applyAlignment="1">
      <alignment horizontal="center" vertical="center" wrapText="1"/>
    </xf>
    <xf numFmtId="209" fontId="23" fillId="0" borderId="0" xfId="112" applyNumberFormat="1" applyFont="1" applyAlignment="1">
      <alignment horizontal="center" vertical="center"/>
    </xf>
    <xf numFmtId="214" fontId="23" fillId="0" borderId="0" xfId="112" applyNumberFormat="1" applyFont="1" applyAlignment="1">
      <alignment horizontal="center" vertical="center"/>
    </xf>
    <xf numFmtId="227" fontId="70" fillId="0" borderId="0" xfId="112" applyFont="1" applyAlignment="1">
      <alignment horizontal="center" vertical="center"/>
    </xf>
    <xf numFmtId="14" fontId="70" fillId="0" borderId="0" xfId="112" applyNumberFormat="1" applyFont="1" applyAlignment="1">
      <alignment horizontal="center" vertical="center"/>
    </xf>
    <xf numFmtId="227" fontId="70" fillId="0" borderId="0" xfId="112" applyFont="1" applyAlignment="1">
      <alignment horizontal="center" vertical="center"/>
    </xf>
    <xf numFmtId="40" fontId="23" fillId="0" borderId="0" xfId="112" applyNumberFormat="1" applyFont="1" applyAlignment="1">
      <alignment horizontal="center" vertical="center"/>
    </xf>
    <xf numFmtId="227" fontId="70" fillId="0" borderId="42" xfId="112" applyFont="1" applyBorder="1" applyAlignment="1">
      <alignment horizontal="center" vertical="center"/>
    </xf>
    <xf numFmtId="40" fontId="70" fillId="0" borderId="42" xfId="112" applyNumberFormat="1" applyFont="1" applyBorder="1" applyAlignment="1">
      <alignment horizontal="center" vertical="center"/>
    </xf>
    <xf numFmtId="214" fontId="70" fillId="0" borderId="42" xfId="112" applyNumberFormat="1" applyFont="1" applyBorder="1" applyAlignment="1">
      <alignment horizontal="center" vertical="center"/>
    </xf>
    <xf numFmtId="227" fontId="70" fillId="0" borderId="0" xfId="112" applyFont="1" applyAlignment="1">
      <alignment horizontal="center" vertical="center" wrapText="1"/>
    </xf>
    <xf numFmtId="227" fontId="70" fillId="0" borderId="11" xfId="112" applyFont="1" applyBorder="1" applyAlignment="1">
      <alignment horizontal="center" vertical="center"/>
    </xf>
    <xf numFmtId="40" fontId="70" fillId="0" borderId="0" xfId="112" applyNumberFormat="1" applyFont="1" applyAlignment="1">
      <alignment horizontal="center" vertical="center"/>
    </xf>
    <xf numFmtId="214" fontId="70" fillId="0" borderId="0" xfId="112" applyNumberFormat="1" applyFont="1" applyAlignment="1">
      <alignment horizontal="center" vertical="center"/>
    </xf>
    <xf numFmtId="227" fontId="23" fillId="0" borderId="0" xfId="0" applyFont="1" applyFill="1" applyAlignment="1">
      <alignment vertical="center"/>
    </xf>
    <xf numFmtId="209" fontId="23" fillId="0" borderId="0" xfId="0" applyNumberFormat="1" applyFont="1" applyFill="1" applyAlignment="1">
      <alignment vertical="center"/>
    </xf>
    <xf numFmtId="209" fontId="23" fillId="0" borderId="0" xfId="0" applyNumberFormat="1" applyFont="1" applyFill="1" applyAlignment="1">
      <alignment horizontal="center" vertical="center"/>
    </xf>
    <xf numFmtId="227" fontId="23" fillId="0" borderId="0" xfId="0" applyFont="1" applyFill="1" applyAlignment="1">
      <alignment horizontal="center" vertical="center"/>
    </xf>
    <xf numFmtId="227" fontId="0" fillId="0" borderId="11" xfId="0" applyFont="1" applyBorder="1" applyAlignment="1">
      <alignment horizontal="center" vertical="center" wrapText="1"/>
    </xf>
    <xf numFmtId="227" fontId="0" fillId="0" borderId="11" xfId="0" applyFont="1" applyFill="1" applyBorder="1" applyAlignment="1">
      <alignment horizontal="center" vertical="center"/>
    </xf>
    <xf numFmtId="209" fontId="0" fillId="0" borderId="0" xfId="0" applyNumberFormat="1" applyFont="1" applyFill="1" applyAlignment="1">
      <alignment horizontal="center" vertical="center"/>
    </xf>
    <xf numFmtId="227" fontId="0" fillId="0" borderId="0" xfId="0" applyFont="1" applyAlignment="1">
      <alignment horizontal="center" vertical="center" wrapText="1"/>
    </xf>
    <xf numFmtId="227" fontId="0" fillId="0" borderId="11" xfId="0" applyFont="1" applyBorder="1" applyAlignment="1">
      <alignment horizontal="center" vertical="center"/>
    </xf>
    <xf numFmtId="214" fontId="0" fillId="0" borderId="11" xfId="0" applyNumberFormat="1" applyFont="1" applyBorder="1" applyAlignment="1">
      <alignment horizontal="center" vertical="center"/>
    </xf>
    <xf numFmtId="227" fontId="0" fillId="0" borderId="0" xfId="0" applyFont="1">
      <alignment vertical="center"/>
    </xf>
    <xf numFmtId="197" fontId="45" fillId="0" borderId="20" xfId="119" applyNumberFormat="1" applyFont="1" applyFill="1" applyBorder="1" applyAlignment="1">
      <alignment horizontal="right" vertical="center"/>
    </xf>
    <xf numFmtId="197" fontId="45" fillId="0" borderId="39" xfId="119" applyNumberFormat="1" applyFont="1" applyFill="1" applyBorder="1" applyAlignment="1">
      <alignment horizontal="right" vertical="center"/>
    </xf>
    <xf numFmtId="3" fontId="45" fillId="0" borderId="29" xfId="119" applyNumberFormat="1" applyFont="1" applyFill="1" applyBorder="1" applyAlignment="1">
      <alignment horizontal="center" vertical="center"/>
    </xf>
    <xf numFmtId="9" fontId="45" fillId="0" borderId="28" xfId="248" applyNumberFormat="1" applyFont="1" applyFill="1" applyBorder="1" applyAlignment="1">
      <alignment horizontal="center" vertical="center"/>
    </xf>
    <xf numFmtId="227" fontId="45" fillId="0" borderId="26" xfId="119" applyFont="1" applyFill="1" applyBorder="1" applyAlignment="1">
      <alignment vertical="center"/>
    </xf>
    <xf numFmtId="183" fontId="23" fillId="0" borderId="51" xfId="58" applyNumberFormat="1" applyFont="1" applyFill="1" applyBorder="1" applyAlignment="1" applyProtection="1">
      <alignment horizontal="center"/>
    </xf>
    <xf numFmtId="9" fontId="13" fillId="43" borderId="11" xfId="131" applyNumberFormat="1" applyFont="1" applyFill="1" applyBorder="1" applyAlignment="1" applyProtection="1">
      <alignment horizontal="center" vertical="center" wrapText="1"/>
      <protection locked="0"/>
    </xf>
    <xf numFmtId="214" fontId="56" fillId="0" borderId="11" xfId="0" applyNumberFormat="1" applyFont="1" applyFill="1" applyBorder="1" applyAlignment="1">
      <alignment horizontal="center" vertical="center"/>
    </xf>
    <xf numFmtId="214" fontId="56" fillId="0" borderId="11" xfId="0" applyNumberFormat="1" applyFont="1" applyBorder="1" applyAlignment="1">
      <alignment horizontal="center" vertical="center"/>
    </xf>
    <xf numFmtId="183" fontId="20" fillId="0" borderId="0" xfId="68" applyNumberFormat="1" applyFont="1" applyFill="1" applyBorder="1">
      <alignment vertical="center"/>
    </xf>
    <xf numFmtId="43" fontId="13" fillId="0" borderId="11" xfId="58" applyFont="1" applyFill="1" applyBorder="1" applyAlignment="1">
      <alignment horizontal="center" vertical="center"/>
    </xf>
    <xf numFmtId="227" fontId="13" fillId="0" borderId="0" xfId="0" applyFont="1" applyAlignment="1">
      <alignment horizontal="center" vertical="center"/>
    </xf>
    <xf numFmtId="227" fontId="13" fillId="0" borderId="0" xfId="0" applyFont="1" applyBorder="1" applyAlignment="1">
      <alignment horizontal="center" vertical="center"/>
    </xf>
    <xf numFmtId="183" fontId="0" fillId="0" borderId="0" xfId="0" applyNumberFormat="1">
      <alignment vertical="center"/>
    </xf>
    <xf numFmtId="227" fontId="23" fillId="0" borderId="11" xfId="0" applyFont="1" applyBorder="1" applyAlignment="1">
      <alignment horizontal="center" wrapText="1"/>
    </xf>
    <xf numFmtId="215" fontId="70" fillId="0" borderId="11" xfId="0" applyNumberFormat="1" applyFont="1" applyFill="1" applyBorder="1" applyAlignment="1" applyProtection="1">
      <alignment horizontal="center" vertical="center" wrapText="1"/>
    </xf>
    <xf numFmtId="209" fontId="70" fillId="0" borderId="11" xfId="0" applyNumberFormat="1" applyFont="1" applyFill="1" applyBorder="1" applyAlignment="1" applyProtection="1">
      <alignment horizontal="center" vertical="center" wrapText="1"/>
    </xf>
    <xf numFmtId="227" fontId="0" fillId="0" borderId="11" xfId="0" applyFont="1" applyBorder="1" applyAlignment="1">
      <alignment horizontal="left" vertical="center" wrapText="1"/>
    </xf>
    <xf numFmtId="227" fontId="0" fillId="0" borderId="0" xfId="0" applyFont="1" applyAlignment="1">
      <alignment horizontal="left" vertical="center"/>
    </xf>
    <xf numFmtId="198" fontId="0" fillId="0" borderId="11" xfId="116" applyNumberFormat="1" applyFont="1" applyFill="1" applyBorder="1" applyAlignment="1">
      <alignment vertical="center" wrapText="1"/>
    </xf>
    <xf numFmtId="227" fontId="0" fillId="0" borderId="0" xfId="0" pivotButton="1">
      <alignment vertical="center"/>
    </xf>
    <xf numFmtId="227" fontId="24" fillId="0" borderId="0" xfId="119" applyFont="1" applyFill="1" applyBorder="1" applyAlignment="1">
      <alignment horizontal="left"/>
    </xf>
    <xf numFmtId="227" fontId="20" fillId="0" borderId="0" xfId="0" applyFont="1" applyFill="1" applyBorder="1">
      <alignment vertical="center"/>
    </xf>
    <xf numFmtId="179" fontId="44" fillId="0" borderId="0" xfId="281" applyFont="1" applyFill="1"/>
    <xf numFmtId="183" fontId="44" fillId="0" borderId="0" xfId="282" applyNumberFormat="1" applyFont="1" applyFill="1" applyAlignment="1"/>
    <xf numFmtId="183" fontId="45" fillId="0" borderId="0" xfId="282" applyNumberFormat="1" applyFont="1" applyFill="1" applyBorder="1" applyAlignment="1">
      <alignment horizontal="right"/>
    </xf>
    <xf numFmtId="9" fontId="44" fillId="44" borderId="78" xfId="283" applyFont="1" applyFill="1" applyBorder="1" applyAlignment="1">
      <alignment horizontal="center"/>
    </xf>
    <xf numFmtId="9" fontId="44" fillId="28" borderId="78" xfId="283" applyFont="1" applyFill="1" applyBorder="1" applyAlignment="1">
      <alignment horizontal="center"/>
    </xf>
    <xf numFmtId="9" fontId="44" fillId="23" borderId="0" xfId="283" applyFont="1" applyFill="1" applyAlignment="1">
      <alignment horizontal="center"/>
    </xf>
    <xf numFmtId="9" fontId="44" fillId="0" borderId="0" xfId="283" applyFont="1" applyFill="1" applyAlignment="1">
      <alignment horizontal="center"/>
    </xf>
    <xf numFmtId="9" fontId="44" fillId="0" borderId="0" xfId="283" applyFont="1" applyFill="1" applyAlignment="1"/>
    <xf numFmtId="9" fontId="44" fillId="45" borderId="78" xfId="283" applyFont="1" applyFill="1" applyBorder="1" applyAlignment="1">
      <alignment horizontal="center"/>
    </xf>
    <xf numFmtId="9" fontId="44" fillId="27" borderId="78" xfId="283" applyFont="1" applyFill="1" applyBorder="1" applyAlignment="1">
      <alignment horizontal="center"/>
    </xf>
    <xf numFmtId="9" fontId="44" fillId="0" borderId="0" xfId="283" applyFont="1" applyAlignment="1">
      <alignment horizontal="center"/>
    </xf>
    <xf numFmtId="9" fontId="44" fillId="0" borderId="0" xfId="283" applyFont="1" applyAlignment="1"/>
    <xf numFmtId="3" fontId="45" fillId="0" borderId="0" xfId="119" applyNumberFormat="1" applyFont="1" applyFill="1" applyBorder="1"/>
    <xf numFmtId="9" fontId="44" fillId="0" borderId="139" xfId="283" applyFont="1" applyBorder="1" applyAlignment="1">
      <alignment horizontal="center"/>
    </xf>
    <xf numFmtId="9" fontId="44" fillId="0" borderId="83" xfId="283" applyFont="1" applyBorder="1" applyAlignment="1">
      <alignment horizontal="center"/>
    </xf>
    <xf numFmtId="179" fontId="44" fillId="0" borderId="0" xfId="281" applyFont="1"/>
    <xf numFmtId="183" fontId="44" fillId="0" borderId="0" xfId="282" applyNumberFormat="1" applyFont="1" applyAlignment="1"/>
    <xf numFmtId="1" fontId="44" fillId="44" borderId="78" xfId="244" applyNumberFormat="1" applyFont="1" applyFill="1" applyBorder="1" applyAlignment="1">
      <alignment horizontal="center"/>
    </xf>
    <xf numFmtId="1" fontId="44" fillId="28" borderId="78" xfId="281" applyNumberFormat="1" applyFont="1" applyFill="1" applyBorder="1" applyAlignment="1">
      <alignment horizontal="center"/>
    </xf>
    <xf numFmtId="1" fontId="45" fillId="23" borderId="0" xfId="281" applyNumberFormat="1" applyFont="1" applyFill="1" applyAlignment="1">
      <alignment horizontal="center"/>
    </xf>
    <xf numFmtId="2" fontId="44" fillId="0" borderId="0" xfId="281" applyNumberFormat="1" applyFont="1" applyFill="1" applyAlignment="1">
      <alignment horizontal="center"/>
    </xf>
    <xf numFmtId="1" fontId="44" fillId="0" borderId="78" xfId="244" applyNumberFormat="1" applyFont="1" applyFill="1" applyBorder="1" applyAlignment="1">
      <alignment horizontal="center"/>
    </xf>
    <xf numFmtId="1" fontId="44" fillId="27" borderId="79" xfId="281" applyNumberFormat="1" applyFont="1" applyFill="1" applyBorder="1" applyAlignment="1">
      <alignment horizontal="center"/>
    </xf>
    <xf numFmtId="1" fontId="44" fillId="27" borderId="78" xfId="281" applyNumberFormat="1" applyFont="1" applyFill="1" applyBorder="1" applyAlignment="1">
      <alignment horizontal="center"/>
    </xf>
    <xf numFmtId="1" fontId="45" fillId="23" borderId="0" xfId="281" applyNumberFormat="1" applyFont="1" applyFill="1" applyAlignment="1">
      <alignment horizontal="left"/>
    </xf>
    <xf numFmtId="3" fontId="45" fillId="0" borderId="0" xfId="281" applyNumberFormat="1" applyFont="1"/>
    <xf numFmtId="1" fontId="44" fillId="28" borderId="79" xfId="281" applyNumberFormat="1" applyFont="1" applyFill="1" applyBorder="1" applyAlignment="1">
      <alignment horizontal="center"/>
    </xf>
    <xf numFmtId="3" fontId="44" fillId="0" borderId="0" xfId="281" quotePrefix="1" applyNumberFormat="1" applyFont="1"/>
    <xf numFmtId="179" fontId="44" fillId="23" borderId="0" xfId="281" applyFont="1" applyFill="1"/>
    <xf numFmtId="179" fontId="44" fillId="0" borderId="86" xfId="281" applyFont="1" applyBorder="1"/>
    <xf numFmtId="179" fontId="9" fillId="0" borderId="0" xfId="281"/>
    <xf numFmtId="179" fontId="9" fillId="0" borderId="0" xfId="281" applyAlignment="1">
      <alignment horizontal="center"/>
    </xf>
    <xf numFmtId="1" fontId="44" fillId="0" borderId="88" xfId="281" applyNumberFormat="1" applyFont="1" applyFill="1" applyBorder="1" applyAlignment="1">
      <alignment horizontal="center"/>
    </xf>
    <xf numFmtId="1" fontId="44" fillId="30" borderId="88" xfId="281" applyNumberFormat="1" applyFont="1" applyFill="1" applyBorder="1" applyAlignment="1">
      <alignment horizontal="center"/>
    </xf>
    <xf numFmtId="1" fontId="44" fillId="23" borderId="23" xfId="281" applyNumberFormat="1" applyFont="1" applyFill="1" applyBorder="1" applyAlignment="1">
      <alignment horizontal="center"/>
    </xf>
    <xf numFmtId="1" fontId="44" fillId="0" borderId="23" xfId="281" applyNumberFormat="1" applyFont="1" applyFill="1" applyBorder="1" applyAlignment="1">
      <alignment horizontal="center"/>
    </xf>
    <xf numFmtId="183" fontId="45" fillId="0" borderId="0" xfId="282" applyNumberFormat="1" applyFont="1" applyFill="1" applyAlignment="1"/>
    <xf numFmtId="1" fontId="44" fillId="0" borderId="91" xfId="281" applyNumberFormat="1" applyFont="1" applyFill="1" applyBorder="1" applyAlignment="1">
      <alignment horizontal="center"/>
    </xf>
    <xf numFmtId="227" fontId="0" fillId="28" borderId="0" xfId="0" applyFill="1" applyAlignment="1"/>
    <xf numFmtId="227" fontId="23" fillId="28" borderId="0" xfId="0" applyFont="1" applyFill="1" applyAlignment="1">
      <alignment horizontal="center"/>
    </xf>
    <xf numFmtId="183" fontId="44" fillId="0" borderId="92" xfId="282" applyNumberFormat="1" applyFont="1" applyFill="1" applyBorder="1" applyAlignment="1">
      <alignment horizontal="center"/>
    </xf>
    <xf numFmtId="183" fontId="45" fillId="0" borderId="11" xfId="282" applyNumberFormat="1" applyFont="1" applyFill="1" applyBorder="1" applyAlignment="1"/>
    <xf numFmtId="183" fontId="44" fillId="0" borderId="11" xfId="282" applyNumberFormat="1" applyFont="1" applyFill="1" applyBorder="1" applyAlignment="1"/>
    <xf numFmtId="183" fontId="44" fillId="0" borderId="11" xfId="282" applyNumberFormat="1" applyFont="1" applyBorder="1" applyAlignment="1"/>
    <xf numFmtId="190" fontId="45" fillId="27" borderId="152" xfId="119" applyNumberFormat="1" applyFont="1" applyFill="1" applyBorder="1" applyAlignment="1">
      <alignment horizontal="center" wrapText="1"/>
    </xf>
    <xf numFmtId="190" fontId="45" fillId="0" borderId="99" xfId="119" applyNumberFormat="1" applyFont="1" applyFill="1" applyBorder="1" applyAlignment="1">
      <alignment horizontal="center" wrapText="1"/>
    </xf>
    <xf numFmtId="183" fontId="43" fillId="0" borderId="23" xfId="282" applyNumberFormat="1" applyFont="1" applyBorder="1" applyAlignment="1">
      <alignment textRotation="90" wrapText="1"/>
    </xf>
    <xf numFmtId="183" fontId="45" fillId="0" borderId="23" xfId="282" applyNumberFormat="1" applyFont="1" applyFill="1" applyBorder="1" applyAlignment="1">
      <alignment horizontal="center" textRotation="90" wrapText="1"/>
    </xf>
    <xf numFmtId="183" fontId="44" fillId="0" borderId="78" xfId="282" applyNumberFormat="1" applyFont="1" applyFill="1" applyBorder="1" applyAlignment="1"/>
    <xf numFmtId="9" fontId="44" fillId="0" borderId="78" xfId="283" applyFont="1" applyFill="1" applyBorder="1" applyAlignment="1"/>
    <xf numFmtId="10" fontId="44" fillId="0" borderId="78" xfId="283" applyNumberFormat="1" applyFont="1" applyFill="1" applyBorder="1" applyAlignment="1" applyProtection="1">
      <protection locked="0"/>
    </xf>
    <xf numFmtId="3" fontId="44" fillId="0" borderId="0" xfId="281" applyNumberFormat="1" applyFont="1"/>
    <xf numFmtId="10" fontId="44" fillId="0" borderId="0" xfId="281" applyNumberFormat="1" applyFont="1"/>
    <xf numFmtId="3" fontId="44" fillId="0" borderId="0" xfId="281" applyNumberFormat="1" applyFont="1" applyFill="1"/>
    <xf numFmtId="10" fontId="44" fillId="0" borderId="0" xfId="281" applyNumberFormat="1" applyFont="1" applyFill="1"/>
    <xf numFmtId="10" fontId="44" fillId="0" borderId="78" xfId="283" applyNumberFormat="1" applyFont="1" applyFill="1" applyBorder="1" applyAlignment="1"/>
    <xf numFmtId="183" fontId="45" fillId="0" borderId="111" xfId="282" applyNumberFormat="1" applyFont="1" applyFill="1" applyBorder="1" applyAlignment="1"/>
    <xf numFmtId="179" fontId="9" fillId="0" borderId="0" xfId="284"/>
    <xf numFmtId="179" fontId="23" fillId="0" borderId="0" xfId="284" applyFont="1"/>
    <xf numFmtId="179" fontId="9" fillId="0" borderId="0" xfId="284" applyBorder="1"/>
    <xf numFmtId="15" fontId="63" fillId="0" borderId="25" xfId="119" applyNumberFormat="1" applyFont="1" applyBorder="1"/>
    <xf numFmtId="179" fontId="9" fillId="0" borderId="26" xfId="284" applyBorder="1"/>
    <xf numFmtId="179" fontId="78" fillId="0" borderId="0" xfId="284" applyFont="1" applyBorder="1"/>
    <xf numFmtId="15" fontId="63" fillId="0" borderId="20" xfId="119" applyNumberFormat="1" applyFont="1" applyBorder="1"/>
    <xf numFmtId="179" fontId="18" fillId="0" borderId="0" xfId="284" applyFont="1" applyBorder="1"/>
    <xf numFmtId="3" fontId="9" fillId="0" borderId="3" xfId="284" applyNumberFormat="1" applyBorder="1"/>
    <xf numFmtId="179" fontId="23" fillId="0" borderId="0" xfId="284" applyFont="1" applyBorder="1" applyAlignment="1">
      <alignment horizontal="center"/>
    </xf>
    <xf numFmtId="3" fontId="9" fillId="0" borderId="0" xfId="284" applyNumberFormat="1" applyBorder="1"/>
    <xf numFmtId="179" fontId="9" fillId="0" borderId="20" xfId="284" applyBorder="1"/>
    <xf numFmtId="179" fontId="18" fillId="0" borderId="0" xfId="284" applyFont="1" applyBorder="1" applyAlignment="1">
      <alignment horizontal="right"/>
    </xf>
    <xf numFmtId="3" fontId="9" fillId="27" borderId="0" xfId="284" applyNumberFormat="1" applyFill="1" applyBorder="1"/>
    <xf numFmtId="179" fontId="9" fillId="33" borderId="0" xfId="284" applyFill="1"/>
    <xf numFmtId="227" fontId="64" fillId="0" borderId="20" xfId="119" applyFont="1" applyBorder="1"/>
    <xf numFmtId="15" fontId="64" fillId="0" borderId="0" xfId="119" applyNumberFormat="1" applyFont="1" applyBorder="1"/>
    <xf numFmtId="179" fontId="9" fillId="33" borderId="3" xfId="284" applyFill="1" applyBorder="1"/>
    <xf numFmtId="179" fontId="9" fillId="33" borderId="0" xfId="284" applyFill="1" applyBorder="1"/>
    <xf numFmtId="179" fontId="23" fillId="0" borderId="20" xfId="284" applyFont="1" applyBorder="1" applyAlignment="1">
      <alignment horizontal="center"/>
    </xf>
    <xf numFmtId="179" fontId="9" fillId="0" borderId="21" xfId="284" applyBorder="1"/>
    <xf numFmtId="179" fontId="23" fillId="0" borderId="0" xfId="284" applyFont="1" applyBorder="1"/>
    <xf numFmtId="179" fontId="23" fillId="0" borderId="20" xfId="284" applyFont="1" applyBorder="1"/>
    <xf numFmtId="179" fontId="9" fillId="0" borderId="0" xfId="284" applyFill="1" applyBorder="1" applyAlignment="1">
      <alignment horizontal="center" wrapText="1"/>
    </xf>
    <xf numFmtId="227" fontId="64" fillId="0" borderId="153" xfId="119" applyFont="1" applyBorder="1" applyAlignment="1">
      <alignment horizontal="center" textRotation="90"/>
    </xf>
    <xf numFmtId="179" fontId="9" fillId="33" borderId="23" xfId="284" applyFill="1" applyBorder="1" applyAlignment="1">
      <alignment horizontal="center" wrapText="1"/>
    </xf>
    <xf numFmtId="179" fontId="9" fillId="0" borderId="22" xfId="284" applyBorder="1" applyAlignment="1">
      <alignment horizontal="center" wrapText="1"/>
    </xf>
    <xf numFmtId="179" fontId="9" fillId="0" borderId="24" xfId="284" applyBorder="1" applyAlignment="1">
      <alignment horizontal="center" wrapText="1"/>
    </xf>
    <xf numFmtId="179" fontId="9" fillId="0" borderId="23" xfId="284" applyBorder="1" applyAlignment="1">
      <alignment horizontal="center" wrapText="1"/>
    </xf>
    <xf numFmtId="1" fontId="64" fillId="0" borderId="154" xfId="119" applyNumberFormat="1" applyFont="1" applyBorder="1" applyAlignment="1">
      <alignment horizontal="center"/>
    </xf>
    <xf numFmtId="9" fontId="9" fillId="0" borderId="3" xfId="284" applyNumberFormat="1" applyBorder="1"/>
    <xf numFmtId="181" fontId="9" fillId="0" borderId="20" xfId="284" applyNumberFormat="1" applyBorder="1"/>
    <xf numFmtId="3" fontId="9" fillId="0" borderId="21" xfId="284" applyNumberFormat="1" applyBorder="1"/>
    <xf numFmtId="181" fontId="9" fillId="27" borderId="0" xfId="284" applyNumberFormat="1" applyFill="1" applyBorder="1"/>
    <xf numFmtId="181" fontId="9" fillId="27" borderId="20" xfId="284" applyNumberFormat="1" applyFill="1" applyBorder="1"/>
    <xf numFmtId="3" fontId="9" fillId="0" borderId="0" xfId="284" applyNumberFormat="1"/>
    <xf numFmtId="38" fontId="74" fillId="0" borderId="0" xfId="0" applyNumberFormat="1" applyFont="1" applyFill="1" applyBorder="1" applyAlignment="1">
      <alignment vertical="center"/>
    </xf>
    <xf numFmtId="227" fontId="0" fillId="0" borderId="0" xfId="0">
      <alignment vertical="center"/>
    </xf>
    <xf numFmtId="3" fontId="0" fillId="0" borderId="0" xfId="0" applyNumberFormat="1">
      <alignment vertical="center"/>
    </xf>
    <xf numFmtId="14" fontId="20" fillId="0" borderId="0" xfId="0" applyNumberFormat="1" applyFont="1" applyFill="1" applyBorder="1" applyAlignment="1" applyProtection="1">
      <alignment horizontal="center" vertical="center"/>
      <protection locked="0"/>
    </xf>
    <xf numFmtId="14" fontId="20" fillId="0" borderId="0" xfId="0" applyNumberFormat="1" applyFont="1" applyFill="1" applyBorder="1">
      <alignment vertical="center"/>
    </xf>
    <xf numFmtId="14" fontId="0" fillId="0" borderId="0" xfId="0" applyNumberFormat="1" applyFont="1" applyFill="1" applyBorder="1">
      <alignment vertical="center"/>
    </xf>
    <xf numFmtId="14" fontId="50" fillId="0" borderId="0" xfId="0" applyNumberFormat="1" applyFont="1" applyFill="1" applyBorder="1">
      <alignment vertical="center"/>
    </xf>
    <xf numFmtId="14" fontId="50" fillId="0" borderId="0" xfId="0" applyNumberFormat="1" applyFont="1" applyFill="1" applyBorder="1" applyAlignment="1">
      <alignment vertical="center"/>
    </xf>
    <xf numFmtId="14" fontId="20" fillId="0" borderId="0" xfId="0" applyNumberFormat="1" applyFont="1" applyFill="1" applyBorder="1" applyAlignment="1">
      <alignment horizontal="center" vertical="center"/>
    </xf>
    <xf numFmtId="179" fontId="137" fillId="0" borderId="11" xfId="284" applyFont="1" applyFill="1" applyBorder="1" applyAlignment="1">
      <alignment horizontal="center" vertical="center"/>
    </xf>
    <xf numFmtId="215" fontId="0" fillId="0" borderId="11" xfId="0" applyNumberFormat="1" applyFont="1" applyFill="1" applyBorder="1" applyAlignment="1" applyProtection="1">
      <alignment horizontal="center" vertical="center" wrapText="1"/>
    </xf>
    <xf numFmtId="227" fontId="138" fillId="0" borderId="0" xfId="0" applyFont="1" applyFill="1" applyBorder="1">
      <alignment vertical="center"/>
    </xf>
    <xf numFmtId="184" fontId="23" fillId="0" borderId="122" xfId="116" applyNumberFormat="1" applyFont="1" applyFill="1" applyBorder="1" applyAlignment="1">
      <alignment horizontal="left" vertical="center"/>
    </xf>
    <xf numFmtId="184" fontId="23" fillId="0" borderId="123" xfId="116" applyNumberFormat="1" applyFont="1" applyFill="1" applyBorder="1" applyAlignment="1">
      <alignment vertical="center" wrapText="1"/>
    </xf>
    <xf numFmtId="227" fontId="23" fillId="0" borderId="126" xfId="0" applyFont="1" applyFill="1" applyBorder="1" applyAlignment="1">
      <alignment horizontal="center" vertical="center"/>
    </xf>
    <xf numFmtId="9" fontId="23" fillId="0" borderId="50" xfId="127" applyFont="1" applyFill="1" applyBorder="1" applyAlignment="1" applyProtection="1">
      <alignment horizontal="center"/>
    </xf>
    <xf numFmtId="15" fontId="44" fillId="42" borderId="78" xfId="119" applyNumberFormat="1" applyFont="1" applyFill="1" applyBorder="1"/>
    <xf numFmtId="38" fontId="23" fillId="0" borderId="0" xfId="0" applyNumberFormat="1" applyFont="1" applyFill="1" applyBorder="1" applyAlignment="1">
      <alignment horizontal="right" vertical="center"/>
    </xf>
    <xf numFmtId="38" fontId="13" fillId="0" borderId="11" xfId="58" applyNumberFormat="1" applyFont="1" applyFill="1" applyBorder="1" applyAlignment="1">
      <alignment horizontal="center" vertical="center"/>
    </xf>
    <xf numFmtId="14" fontId="13" fillId="0" borderId="11" xfId="0" applyNumberFormat="1" applyFont="1" applyFill="1" applyBorder="1" applyAlignment="1">
      <alignment horizontal="center" vertical="center"/>
    </xf>
    <xf numFmtId="9" fontId="13" fillId="0" borderId="11" xfId="0" applyNumberFormat="1" applyFont="1" applyFill="1" applyBorder="1" applyAlignment="1">
      <alignment horizontal="center" vertical="center"/>
    </xf>
    <xf numFmtId="183" fontId="13" fillId="0" borderId="11" xfId="282" applyNumberFormat="1" applyFont="1" applyFill="1" applyBorder="1" applyAlignment="1">
      <alignment horizontal="center" vertical="center"/>
    </xf>
    <xf numFmtId="3" fontId="119" fillId="25" borderId="142" xfId="0" applyNumberFormat="1" applyFont="1" applyFill="1" applyBorder="1" applyAlignment="1">
      <alignment horizontal="right" vertical="center"/>
    </xf>
    <xf numFmtId="43" fontId="13" fillId="38" borderId="56" xfId="282" applyFont="1" applyFill="1" applyBorder="1" applyAlignment="1">
      <alignment horizontal="center" vertical="center" wrapText="1"/>
    </xf>
    <xf numFmtId="14" fontId="24" fillId="0" borderId="0" xfId="119" applyNumberFormat="1" applyFont="1" applyFill="1" applyBorder="1" applyAlignment="1">
      <alignment horizontal="left"/>
    </xf>
    <xf numFmtId="1" fontId="13" fillId="0" borderId="0" xfId="0" applyNumberFormat="1" applyFont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13" fillId="36" borderId="56" xfId="246" applyNumberFormat="1" applyFont="1" applyFill="1" applyBorder="1" applyAlignment="1">
      <alignment horizontal="center" vertical="center" wrapText="1"/>
    </xf>
    <xf numFmtId="1" fontId="13" fillId="0" borderId="11" xfId="0" applyNumberFormat="1" applyFont="1" applyFill="1" applyBorder="1" applyAlignment="1">
      <alignment horizontal="center" vertical="center"/>
    </xf>
    <xf numFmtId="3" fontId="13" fillId="0" borderId="11" xfId="0" applyNumberFormat="1" applyFont="1" applyFill="1" applyBorder="1" applyAlignment="1">
      <alignment horizontal="center" vertical="center"/>
    </xf>
    <xf numFmtId="214" fontId="56" fillId="0" borderId="11" xfId="284" applyNumberFormat="1" applyFont="1" applyFill="1" applyBorder="1" applyAlignment="1">
      <alignment horizontal="center" vertical="center"/>
    </xf>
    <xf numFmtId="1" fontId="23" fillId="0" borderId="0" xfId="119" applyNumberFormat="1" applyFont="1" applyBorder="1" applyAlignment="1" applyProtection="1">
      <alignment vertical="center"/>
    </xf>
    <xf numFmtId="1" fontId="50" fillId="0" borderId="25" xfId="248" applyNumberFormat="1" applyFont="1" applyBorder="1" applyAlignment="1" applyProtection="1">
      <alignment horizontal="right"/>
    </xf>
    <xf numFmtId="1" fontId="50" fillId="0" borderId="22" xfId="248" applyNumberFormat="1" applyFont="1" applyBorder="1" applyProtection="1"/>
    <xf numFmtId="1" fontId="23" fillId="0" borderId="51" xfId="119" applyNumberFormat="1" applyFont="1" applyBorder="1" applyProtection="1"/>
    <xf numFmtId="1" fontId="23" fillId="0" borderId="51" xfId="119" applyNumberFormat="1" applyFont="1" applyBorder="1" applyAlignment="1" applyProtection="1">
      <alignment vertical="center"/>
    </xf>
    <xf numFmtId="1" fontId="23" fillId="0" borderId="51" xfId="119" applyNumberFormat="1" applyFont="1" applyBorder="1" applyAlignment="1" applyProtection="1">
      <alignment horizontal="right" vertical="center"/>
    </xf>
    <xf numFmtId="1" fontId="54" fillId="0" borderId="0" xfId="248" applyNumberFormat="1" applyFont="1" applyProtection="1"/>
    <xf numFmtId="1" fontId="54" fillId="0" borderId="0" xfId="127" applyNumberFormat="1" applyFont="1" applyAlignment="1" applyProtection="1"/>
    <xf numFmtId="3" fontId="44" fillId="0" borderId="0" xfId="119" applyNumberFormat="1" applyFont="1" applyFill="1" applyBorder="1" applyAlignment="1">
      <alignment horizontal="left"/>
    </xf>
    <xf numFmtId="1" fontId="13" fillId="0" borderId="0" xfId="58" applyNumberFormat="1" applyFont="1" applyFill="1" applyBorder="1" applyAlignment="1" applyProtection="1">
      <alignment horizontal="center" vertical="center"/>
      <protection locked="0"/>
    </xf>
    <xf numFmtId="38" fontId="13" fillId="0" borderId="0" xfId="58" applyNumberFormat="1" applyFont="1" applyFill="1" applyBorder="1" applyAlignment="1" applyProtection="1">
      <alignment horizontal="center" vertical="center"/>
      <protection locked="0"/>
    </xf>
    <xf numFmtId="183" fontId="13" fillId="0" borderId="0" xfId="58" applyNumberFormat="1" applyFont="1" applyFill="1" applyBorder="1" applyAlignment="1" applyProtection="1">
      <alignment horizontal="center" vertical="center"/>
      <protection locked="0"/>
    </xf>
    <xf numFmtId="183" fontId="86" fillId="0" borderId="0" xfId="58" quotePrefix="1" applyNumberFormat="1" applyFont="1" applyFill="1" applyBorder="1" applyAlignment="1" applyProtection="1">
      <alignment horizontal="center" vertical="center"/>
      <protection locked="0"/>
    </xf>
    <xf numFmtId="43" fontId="13" fillId="0" borderId="0" xfId="58" applyFont="1" applyFill="1" applyBorder="1" applyAlignment="1" applyProtection="1">
      <alignment horizontal="center" vertical="center"/>
      <protection locked="0"/>
    </xf>
    <xf numFmtId="183" fontId="79" fillId="0" borderId="0" xfId="58" applyNumberFormat="1" applyFont="1" applyFill="1" applyBorder="1" applyAlignment="1" applyProtection="1">
      <alignment horizontal="center" vertical="center"/>
      <protection locked="0"/>
    </xf>
    <xf numFmtId="227" fontId="86" fillId="0" borderId="0" xfId="0" applyFont="1" applyBorder="1" applyAlignment="1">
      <alignment horizontal="center" vertical="center" wrapText="1"/>
    </xf>
    <xf numFmtId="183" fontId="86" fillId="0" borderId="0" xfId="58" applyNumberFormat="1" applyFont="1" applyBorder="1" applyAlignment="1">
      <alignment horizontal="center" vertical="center"/>
    </xf>
    <xf numFmtId="15" fontId="13" fillId="0" borderId="0" xfId="249" applyNumberFormat="1" applyFont="1" applyFill="1" applyBorder="1" applyAlignment="1" applyProtection="1">
      <alignment horizontal="left"/>
    </xf>
    <xf numFmtId="227" fontId="86" fillId="0" borderId="0" xfId="0" applyFont="1" applyFill="1" applyBorder="1" applyAlignment="1">
      <alignment horizontal="center" vertical="center"/>
    </xf>
    <xf numFmtId="227" fontId="86" fillId="0" borderId="0" xfId="0" applyFont="1" applyFill="1" applyBorder="1" applyAlignment="1">
      <alignment horizontal="center" vertical="center" wrapText="1"/>
    </xf>
    <xf numFmtId="183" fontId="86" fillId="0" borderId="0" xfId="58" applyNumberFormat="1" applyFont="1" applyFill="1" applyBorder="1" applyAlignment="1">
      <alignment horizontal="center" vertical="center"/>
    </xf>
    <xf numFmtId="3" fontId="0" fillId="0" borderId="0" xfId="58" applyNumberFormat="1" applyFont="1">
      <alignment vertical="center"/>
    </xf>
    <xf numFmtId="40" fontId="23" fillId="0" borderId="11" xfId="119" applyNumberFormat="1" applyFont="1" applyFill="1" applyBorder="1" applyAlignment="1">
      <alignment horizontal="center" vertical="center"/>
    </xf>
    <xf numFmtId="179" fontId="10" fillId="0" borderId="0" xfId="241" applyAlignment="1">
      <alignment horizontal="center"/>
    </xf>
    <xf numFmtId="179" fontId="10" fillId="27" borderId="0" xfId="241" applyFill="1" applyAlignment="1" applyProtection="1">
      <alignment wrapText="1"/>
      <protection locked="0"/>
    </xf>
    <xf numFmtId="227" fontId="20" fillId="0" borderId="50" xfId="119" applyFont="1" applyFill="1" applyBorder="1"/>
    <xf numFmtId="181" fontId="23" fillId="0" borderId="50" xfId="127" applyNumberFormat="1" applyFont="1" applyFill="1" applyBorder="1" applyAlignment="1" applyProtection="1">
      <alignment horizontal="center"/>
    </xf>
    <xf numFmtId="1" fontId="64" fillId="42" borderId="78" xfId="119" applyNumberFormat="1" applyFont="1" applyFill="1" applyBorder="1" applyAlignment="1">
      <alignment horizontal="center"/>
    </xf>
    <xf numFmtId="15" fontId="64" fillId="42" borderId="78" xfId="119" applyNumberFormat="1" applyFont="1" applyFill="1" applyBorder="1" applyAlignment="1">
      <alignment horizontal="center"/>
    </xf>
    <xf numFmtId="179" fontId="0" fillId="0" borderId="0" xfId="241" applyFont="1"/>
    <xf numFmtId="227" fontId="23" fillId="0" borderId="51" xfId="119" applyFont="1" applyFill="1" applyBorder="1" applyProtection="1"/>
    <xf numFmtId="41" fontId="23" fillId="0" borderId="50" xfId="248" applyNumberFormat="1" applyFont="1" applyFill="1" applyBorder="1" applyProtection="1"/>
    <xf numFmtId="179" fontId="23" fillId="0" borderId="10" xfId="248" applyFont="1" applyBorder="1" applyProtection="1"/>
    <xf numFmtId="9" fontId="13" fillId="36" borderId="30" xfId="0" applyNumberFormat="1" applyFont="1" applyFill="1" applyBorder="1" applyAlignment="1">
      <alignment horizontal="center" vertical="center" wrapText="1"/>
    </xf>
    <xf numFmtId="227" fontId="13" fillId="36" borderId="30" xfId="0" applyFont="1" applyFill="1" applyBorder="1" applyAlignment="1">
      <alignment horizontal="center" vertical="center" wrapText="1"/>
    </xf>
    <xf numFmtId="3" fontId="50" fillId="0" borderId="0" xfId="0" applyNumberFormat="1" applyFont="1" applyBorder="1">
      <alignment vertical="center"/>
    </xf>
    <xf numFmtId="3" fontId="83" fillId="0" borderId="0" xfId="240" applyNumberFormat="1" applyFont="1" applyFill="1" applyBorder="1" applyAlignment="1">
      <alignment horizontal="left" vertical="center"/>
    </xf>
    <xf numFmtId="3" fontId="50" fillId="0" borderId="0" xfId="0" applyNumberFormat="1" applyFont="1" applyFill="1" applyBorder="1">
      <alignment vertical="center"/>
    </xf>
    <xf numFmtId="3" fontId="50" fillId="0" borderId="0" xfId="0" applyNumberFormat="1" applyFont="1" applyFill="1" applyBorder="1" applyAlignment="1">
      <alignment vertical="center"/>
    </xf>
    <xf numFmtId="3" fontId="20" fillId="0" borderId="0" xfId="0" applyNumberFormat="1" applyFont="1" applyFill="1" applyBorder="1">
      <alignment vertical="center"/>
    </xf>
    <xf numFmtId="43" fontId="13" fillId="0" borderId="0" xfId="282" applyFont="1" applyBorder="1" applyAlignment="1">
      <alignment horizontal="center" vertical="center"/>
    </xf>
    <xf numFmtId="3" fontId="20" fillId="0" borderId="0" xfId="132" applyNumberFormat="1" applyFont="1" applyBorder="1" applyAlignment="1">
      <alignment horizontal="center" vertical="center"/>
    </xf>
    <xf numFmtId="3" fontId="20" fillId="0" borderId="0" xfId="127" applyNumberFormat="1" applyFont="1" applyBorder="1" applyAlignment="1">
      <alignment horizontal="center" vertical="center"/>
    </xf>
    <xf numFmtId="37" fontId="20" fillId="0" borderId="0" xfId="282" applyNumberFormat="1" applyFont="1" applyBorder="1">
      <alignment vertical="center"/>
    </xf>
    <xf numFmtId="3" fontId="20" fillId="0" borderId="0" xfId="282" applyNumberFormat="1" applyFont="1" applyBorder="1">
      <alignment vertical="center"/>
    </xf>
    <xf numFmtId="3" fontId="20" fillId="0" borderId="0" xfId="0" applyNumberFormat="1" applyFont="1" applyBorder="1">
      <alignment vertical="center"/>
    </xf>
    <xf numFmtId="3" fontId="60" fillId="0" borderId="0" xfId="0" applyNumberFormat="1" applyFont="1" applyFill="1" applyBorder="1">
      <alignment vertical="center"/>
    </xf>
    <xf numFmtId="3" fontId="74" fillId="0" borderId="0" xfId="0" applyNumberFormat="1" applyFont="1" applyFill="1" applyBorder="1" applyAlignment="1">
      <alignment vertical="center"/>
    </xf>
    <xf numFmtId="3" fontId="0" fillId="0" borderId="0" xfId="0" applyNumberFormat="1" applyFont="1" applyFill="1" applyBorder="1">
      <alignment vertical="center"/>
    </xf>
    <xf numFmtId="3" fontId="138" fillId="0" borderId="0" xfId="0" applyNumberFormat="1" applyFont="1" applyFill="1" applyBorder="1">
      <alignment vertical="center"/>
    </xf>
    <xf numFmtId="3" fontId="58" fillId="0" borderId="0" xfId="0" applyNumberFormat="1" applyFont="1" applyFill="1" applyBorder="1">
      <alignment vertical="center"/>
    </xf>
    <xf numFmtId="3" fontId="13" fillId="36" borderId="30" xfId="0" applyNumberFormat="1" applyFont="1" applyFill="1" applyBorder="1" applyAlignment="1">
      <alignment horizontal="center" vertical="center" wrapText="1"/>
    </xf>
    <xf numFmtId="3" fontId="0" fillId="0" borderId="0" xfId="0" applyNumberFormat="1" applyFont="1" applyBorder="1">
      <alignment vertical="center"/>
    </xf>
    <xf numFmtId="3" fontId="0" fillId="33" borderId="0" xfId="0" applyNumberFormat="1" applyFont="1" applyFill="1" applyBorder="1" applyAlignment="1">
      <alignment horizontal="center" vertical="center"/>
    </xf>
    <xf numFmtId="3" fontId="0" fillId="0" borderId="0" xfId="0" applyNumberFormat="1" applyFont="1" applyFill="1" applyBorder="1" applyAlignment="1">
      <alignment vertical="center"/>
    </xf>
    <xf numFmtId="9" fontId="50" fillId="0" borderId="0" xfId="0" applyNumberFormat="1" applyFont="1" applyBorder="1">
      <alignment vertical="center"/>
    </xf>
    <xf numFmtId="9" fontId="20" fillId="33" borderId="0" xfId="127" applyNumberFormat="1" applyFont="1" applyFill="1" applyBorder="1">
      <alignment vertical="center"/>
    </xf>
    <xf numFmtId="9" fontId="20" fillId="0" borderId="0" xfId="0" applyNumberFormat="1" applyFont="1" applyBorder="1">
      <alignment vertical="center"/>
    </xf>
    <xf numFmtId="9" fontId="20" fillId="0" borderId="0" xfId="0" applyNumberFormat="1" applyFont="1" applyFill="1" applyBorder="1">
      <alignment vertical="center"/>
    </xf>
    <xf numFmtId="9" fontId="60" fillId="0" borderId="0" xfId="0" applyNumberFormat="1" applyFont="1" applyFill="1" applyBorder="1">
      <alignment vertical="center"/>
    </xf>
    <xf numFmtId="9" fontId="50" fillId="0" borderId="0" xfId="0" applyNumberFormat="1" applyFont="1" applyFill="1" applyBorder="1">
      <alignment vertical="center"/>
    </xf>
    <xf numFmtId="9" fontId="74" fillId="0" borderId="0" xfId="0" applyNumberFormat="1" applyFont="1" applyFill="1" applyBorder="1" applyAlignment="1">
      <alignment vertical="center"/>
    </xf>
    <xf numFmtId="9" fontId="50" fillId="0" borderId="0" xfId="0" applyNumberFormat="1" applyFont="1" applyFill="1" applyBorder="1" applyAlignment="1">
      <alignment vertical="center"/>
    </xf>
    <xf numFmtId="9" fontId="138" fillId="0" borderId="0" xfId="0" applyNumberFormat="1" applyFont="1" applyFill="1" applyBorder="1">
      <alignment vertical="center"/>
    </xf>
    <xf numFmtId="9" fontId="58" fillId="0" borderId="0" xfId="0" applyNumberFormat="1" applyFont="1" applyFill="1" applyBorder="1">
      <alignment vertical="center"/>
    </xf>
    <xf numFmtId="9" fontId="0" fillId="36" borderId="132" xfId="70" applyNumberFormat="1" applyFont="1" applyFill="1" applyBorder="1" applyAlignment="1">
      <alignment horizontal="center" vertical="center" wrapText="1"/>
    </xf>
    <xf numFmtId="9" fontId="20" fillId="0" borderId="0" xfId="127" applyNumberFormat="1" applyFont="1" applyBorder="1">
      <alignment vertical="center"/>
    </xf>
    <xf numFmtId="9" fontId="50" fillId="0" borderId="0" xfId="58" applyNumberFormat="1" applyFont="1" applyBorder="1">
      <alignment vertical="center"/>
    </xf>
    <xf numFmtId="9" fontId="20" fillId="0" borderId="0" xfId="58" applyNumberFormat="1" applyFont="1" applyBorder="1">
      <alignment vertical="center"/>
    </xf>
    <xf numFmtId="9" fontId="20" fillId="33" borderId="0" xfId="58" applyNumberFormat="1" applyFont="1" applyFill="1" applyBorder="1">
      <alignment vertical="center"/>
    </xf>
    <xf numFmtId="9" fontId="50" fillId="0" borderId="0" xfId="58" applyNumberFormat="1" applyFont="1" applyFill="1" applyBorder="1">
      <alignment vertical="center"/>
    </xf>
    <xf numFmtId="9" fontId="20" fillId="0" borderId="0" xfId="58" applyNumberFormat="1" applyFont="1" applyFill="1" applyBorder="1">
      <alignment vertical="center"/>
    </xf>
    <xf numFmtId="9" fontId="20" fillId="0" borderId="0" xfId="127" applyNumberFormat="1" applyFont="1" applyBorder="1" applyAlignment="1">
      <alignment horizontal="center" vertical="center"/>
    </xf>
    <xf numFmtId="183" fontId="20" fillId="0" borderId="0" xfId="282" applyNumberFormat="1" applyFont="1" applyBorder="1">
      <alignment vertical="center"/>
    </xf>
    <xf numFmtId="3" fontId="13" fillId="0" borderId="0" xfId="282" applyNumberFormat="1" applyFont="1" applyBorder="1" applyAlignment="1">
      <alignment horizontal="center" vertical="center"/>
    </xf>
    <xf numFmtId="3" fontId="20" fillId="0" borderId="0" xfId="127" applyNumberFormat="1" applyFont="1" applyFill="1" applyBorder="1">
      <alignment vertical="center"/>
    </xf>
    <xf numFmtId="183" fontId="0" fillId="0" borderId="0" xfId="68" applyNumberFormat="1" applyFont="1" applyFill="1" applyBorder="1">
      <alignment vertical="center"/>
    </xf>
    <xf numFmtId="183" fontId="0" fillId="0" borderId="0" xfId="58" applyNumberFormat="1" applyFont="1" applyFill="1" applyBorder="1">
      <alignment vertical="center"/>
    </xf>
    <xf numFmtId="9" fontId="0" fillId="0" borderId="0" xfId="0" applyNumberFormat="1" applyFont="1" applyFill="1" applyBorder="1">
      <alignment vertical="center"/>
    </xf>
    <xf numFmtId="3" fontId="14" fillId="0" borderId="0" xfId="120" applyNumberFormat="1" applyFont="1" applyFill="1" applyBorder="1" applyAlignment="1">
      <alignment horizontal="left"/>
    </xf>
    <xf numFmtId="227" fontId="0" fillId="0" borderId="0" xfId="0">
      <alignment vertical="center"/>
    </xf>
    <xf numFmtId="14" fontId="0" fillId="0" borderId="0" xfId="0" applyNumberFormat="1" applyFont="1" applyBorder="1" applyAlignment="1">
      <alignment horizontal="left"/>
    </xf>
    <xf numFmtId="10" fontId="45" fillId="0" borderId="21" xfId="127" applyNumberFormat="1" applyFont="1" applyFill="1" applyBorder="1" applyAlignment="1">
      <alignment horizontal="center" vertical="center"/>
    </xf>
    <xf numFmtId="179" fontId="23" fillId="36" borderId="26" xfId="248" applyFont="1" applyFill="1" applyBorder="1" applyAlignment="1" applyProtection="1">
      <alignment vertical="center"/>
    </xf>
    <xf numFmtId="179" fontId="23" fillId="36" borderId="27" xfId="248" applyFont="1" applyFill="1" applyBorder="1" applyAlignment="1" applyProtection="1">
      <alignment vertical="center"/>
    </xf>
    <xf numFmtId="179" fontId="23" fillId="36" borderId="23" xfId="248" applyFont="1" applyFill="1" applyBorder="1" applyAlignment="1" applyProtection="1">
      <alignment vertical="center"/>
    </xf>
    <xf numFmtId="179" fontId="23" fillId="36" borderId="24" xfId="248" applyFont="1" applyFill="1" applyBorder="1" applyAlignment="1" applyProtection="1">
      <alignment vertical="center"/>
    </xf>
    <xf numFmtId="3" fontId="13" fillId="0" borderId="0" xfId="0" applyNumberFormat="1" applyFont="1" applyAlignment="1">
      <alignment horizontal="center" vertical="center"/>
    </xf>
    <xf numFmtId="3" fontId="13" fillId="0" borderId="0" xfId="0" applyNumberFormat="1" applyFont="1" applyBorder="1" applyAlignment="1">
      <alignment horizontal="center" vertical="center"/>
    </xf>
    <xf numFmtId="3" fontId="13" fillId="0" borderId="0" xfId="58" applyNumberFormat="1" applyFont="1" applyFill="1" applyBorder="1" applyAlignment="1" applyProtection="1">
      <alignment horizontal="center" vertical="center"/>
      <protection locked="0"/>
    </xf>
    <xf numFmtId="3" fontId="18" fillId="0" borderId="11" xfId="121" applyNumberFormat="1" applyFont="1" applyFill="1" applyBorder="1" applyAlignment="1">
      <alignment horizontal="center" vertical="center" shrinkToFit="1"/>
    </xf>
    <xf numFmtId="3" fontId="13" fillId="0" borderId="0" xfId="58" applyNumberFormat="1" applyFont="1">
      <alignment vertical="center"/>
    </xf>
    <xf numFmtId="3" fontId="13" fillId="0" borderId="0" xfId="58" applyNumberFormat="1" applyFont="1" applyBorder="1">
      <alignment vertical="center"/>
    </xf>
    <xf numFmtId="3" fontId="13" fillId="0" borderId="0" xfId="58" applyNumberFormat="1" applyFont="1" applyFill="1" applyBorder="1" applyAlignment="1" applyProtection="1">
      <alignment vertical="center"/>
      <protection locked="0"/>
    </xf>
    <xf numFmtId="184" fontId="118" fillId="0" borderId="0" xfId="0" applyNumberFormat="1" applyFont="1" applyAlignment="1">
      <alignment horizontal="right" vertical="center"/>
    </xf>
    <xf numFmtId="3" fontId="118" fillId="0" borderId="141" xfId="0" applyNumberFormat="1" applyFont="1" applyBorder="1" applyAlignment="1">
      <alignment horizontal="right" vertical="center"/>
    </xf>
    <xf numFmtId="179" fontId="23" fillId="0" borderId="0" xfId="248" applyFont="1" applyProtection="1"/>
    <xf numFmtId="41" fontId="9" fillId="0" borderId="20" xfId="70" applyNumberFormat="1" applyFont="1" applyFill="1" applyBorder="1" applyProtection="1"/>
    <xf numFmtId="9" fontId="133" fillId="0" borderId="0" xfId="127" applyNumberFormat="1" applyFont="1" applyBorder="1">
      <alignment vertical="center"/>
    </xf>
    <xf numFmtId="227" fontId="0" fillId="0" borderId="156" xfId="0" applyBorder="1">
      <alignment vertical="center"/>
    </xf>
    <xf numFmtId="2" fontId="20" fillId="0" borderId="0" xfId="70" applyNumberFormat="1" applyFont="1" applyFill="1" applyBorder="1" applyAlignment="1">
      <alignment horizontal="center" vertical="center"/>
    </xf>
    <xf numFmtId="213" fontId="13" fillId="27" borderId="11" xfId="58" applyNumberFormat="1" applyFont="1" applyFill="1" applyBorder="1">
      <alignment vertical="center"/>
    </xf>
    <xf numFmtId="38" fontId="133" fillId="0" borderId="11" xfId="119" applyNumberFormat="1" applyFont="1" applyFill="1" applyBorder="1" applyAlignment="1">
      <alignment horizontal="center" vertical="center"/>
    </xf>
    <xf numFmtId="9" fontId="133" fillId="0" borderId="0" xfId="127" applyNumberFormat="1" applyFont="1" applyFill="1" applyBorder="1">
      <alignment vertical="center"/>
    </xf>
    <xf numFmtId="9" fontId="133" fillId="0" borderId="0" xfId="58" applyNumberFormat="1" applyFont="1" applyFill="1" applyBorder="1">
      <alignment vertical="center"/>
    </xf>
    <xf numFmtId="43" fontId="13" fillId="0" borderId="11" xfId="0" applyNumberFormat="1" applyFont="1" applyFill="1" applyBorder="1" applyAlignment="1">
      <alignment horizontal="center" vertical="center"/>
    </xf>
    <xf numFmtId="3" fontId="70" fillId="0" borderId="0" xfId="112" applyNumberFormat="1" applyFont="1" applyAlignment="1">
      <alignment horizontal="center" vertical="center"/>
    </xf>
    <xf numFmtId="211" fontId="86" fillId="0" borderId="0" xfId="0" applyNumberFormat="1" applyFont="1" applyBorder="1" applyAlignment="1">
      <alignment horizontal="center" vertical="center" wrapText="1"/>
    </xf>
    <xf numFmtId="211" fontId="86" fillId="0" borderId="0" xfId="0" applyNumberFormat="1" applyFont="1" applyBorder="1" applyAlignment="1">
      <alignment horizontal="center" vertical="center"/>
    </xf>
    <xf numFmtId="38" fontId="9" fillId="0" borderId="52" xfId="70" applyNumberFormat="1" applyFont="1" applyFill="1" applyBorder="1" applyAlignment="1">
      <alignment horizontal="center" vertical="center"/>
    </xf>
    <xf numFmtId="3" fontId="0" fillId="0" borderId="0" xfId="0" applyNumberFormat="1" applyFont="1" applyFill="1" applyBorder="1" applyAlignment="1">
      <alignment horizontal="center" vertical="center"/>
    </xf>
    <xf numFmtId="9" fontId="20" fillId="0" borderId="0" xfId="127" applyNumberFormat="1" applyFont="1" applyFill="1" applyBorder="1">
      <alignment vertical="center"/>
    </xf>
    <xf numFmtId="41" fontId="9" fillId="0" borderId="155" xfId="70" applyNumberFormat="1" applyFont="1" applyFill="1" applyBorder="1" applyProtection="1"/>
    <xf numFmtId="181" fontId="23" fillId="0" borderId="51" xfId="127" applyNumberFormat="1" applyFont="1" applyFill="1" applyBorder="1" applyAlignment="1" applyProtection="1">
      <alignment horizontal="center"/>
    </xf>
    <xf numFmtId="181" fontId="23" fillId="0" borderId="51" xfId="70" applyNumberFormat="1" applyFont="1" applyFill="1" applyBorder="1" applyAlignment="1" applyProtection="1">
      <alignment horizontal="center"/>
    </xf>
    <xf numFmtId="49" fontId="14" fillId="0" borderId="0" xfId="120" applyNumberFormat="1" applyFont="1" applyFill="1" applyBorder="1" applyAlignment="1">
      <alignment horizontal="left"/>
    </xf>
    <xf numFmtId="9" fontId="45" fillId="0" borderId="37" xfId="283" applyFont="1" applyFill="1" applyBorder="1" applyAlignment="1">
      <alignment horizontal="center" vertical="center"/>
    </xf>
    <xf numFmtId="9" fontId="45" fillId="0" borderId="38" xfId="283" applyFont="1" applyFill="1" applyBorder="1" applyAlignment="1">
      <alignment horizontal="center" vertical="center"/>
    </xf>
    <xf numFmtId="3" fontId="45" fillId="0" borderId="23" xfId="119" applyNumberFormat="1" applyFont="1" applyFill="1" applyBorder="1" applyAlignment="1">
      <alignment horizontal="center" vertical="center"/>
    </xf>
    <xf numFmtId="9" fontId="45" fillId="0" borderId="27" xfId="283" applyFont="1" applyFill="1" applyBorder="1" applyAlignment="1">
      <alignment horizontal="center" vertical="center"/>
    </xf>
    <xf numFmtId="9" fontId="45" fillId="0" borderId="21" xfId="283" applyFont="1" applyFill="1" applyBorder="1" applyAlignment="1">
      <alignment horizontal="center" vertical="center"/>
    </xf>
    <xf numFmtId="9" fontId="45" fillId="0" borderId="28" xfId="283" applyFont="1" applyFill="1" applyBorder="1" applyAlignment="1">
      <alignment horizontal="center" vertical="center"/>
    </xf>
    <xf numFmtId="43" fontId="45" fillId="0" borderId="33" xfId="282" applyFont="1" applyFill="1" applyBorder="1" applyAlignment="1">
      <alignment horizontal="center" vertical="center"/>
    </xf>
    <xf numFmtId="9" fontId="45" fillId="0" borderId="9" xfId="283" applyFont="1" applyFill="1" applyBorder="1" applyAlignment="1">
      <alignment horizontal="center" vertical="center"/>
    </xf>
    <xf numFmtId="9" fontId="45" fillId="0" borderId="41" xfId="127" applyFont="1" applyFill="1" applyBorder="1" applyAlignment="1">
      <alignment horizontal="center" vertical="center"/>
    </xf>
    <xf numFmtId="181" fontId="45" fillId="0" borderId="24" xfId="127" applyNumberFormat="1" applyFont="1" applyFill="1" applyBorder="1" applyAlignment="1">
      <alignment horizontal="center" vertical="center"/>
    </xf>
    <xf numFmtId="9" fontId="133" fillId="0" borderId="0" xfId="58" applyNumberFormat="1" applyFont="1" applyBorder="1">
      <alignment vertical="center"/>
    </xf>
    <xf numFmtId="3" fontId="10" fillId="0" borderId="0" xfId="58" applyNumberFormat="1" applyAlignment="1"/>
    <xf numFmtId="10" fontId="45" fillId="0" borderId="24" xfId="283" applyNumberFormat="1" applyFont="1" applyFill="1" applyBorder="1" applyAlignment="1">
      <alignment horizontal="center" vertical="center"/>
    </xf>
    <xf numFmtId="179" fontId="52" fillId="0" borderId="0" xfId="242" applyFont="1"/>
    <xf numFmtId="227" fontId="45" fillId="0" borderId="28" xfId="119" applyFont="1" applyFill="1" applyBorder="1" applyAlignment="1">
      <alignment horizontal="center" vertical="center"/>
    </xf>
    <xf numFmtId="179" fontId="23" fillId="36" borderId="25" xfId="248" applyFont="1" applyFill="1" applyBorder="1" applyAlignment="1" applyProtection="1">
      <alignment vertical="center"/>
    </xf>
    <xf numFmtId="179" fontId="23" fillId="36" borderId="22" xfId="248" applyFont="1" applyFill="1" applyBorder="1" applyAlignment="1" applyProtection="1">
      <alignment vertical="center"/>
    </xf>
    <xf numFmtId="41" fontId="9" fillId="0" borderId="37" xfId="70" applyNumberFormat="1" applyFont="1" applyFill="1" applyBorder="1" applyProtection="1"/>
    <xf numFmtId="227" fontId="44" fillId="0" borderId="27" xfId="119" applyFont="1" applyFill="1" applyBorder="1"/>
    <xf numFmtId="227" fontId="44" fillId="0" borderId="24" xfId="119" applyFont="1" applyFill="1" applyBorder="1"/>
    <xf numFmtId="181" fontId="45" fillId="0" borderId="24" xfId="283" applyNumberFormat="1" applyFont="1" applyFill="1" applyBorder="1" applyAlignment="1">
      <alignment horizontal="center" vertical="center"/>
    </xf>
    <xf numFmtId="181" fontId="45" fillId="0" borderId="28" xfId="248" applyNumberFormat="1" applyFont="1" applyFill="1" applyBorder="1" applyAlignment="1">
      <alignment horizontal="center" vertical="center"/>
    </xf>
    <xf numFmtId="179" fontId="47" fillId="0" borderId="157" xfId="248" applyFont="1" applyFill="1" applyBorder="1" applyAlignment="1">
      <alignment horizontal="right"/>
    </xf>
    <xf numFmtId="227" fontId="44" fillId="0" borderId="157" xfId="119" applyFont="1" applyFill="1" applyBorder="1"/>
    <xf numFmtId="227" fontId="47" fillId="0" borderId="157" xfId="119" applyFont="1" applyFill="1" applyBorder="1" applyAlignment="1">
      <alignment horizontal="right"/>
    </xf>
    <xf numFmtId="227" fontId="140" fillId="0" borderId="25" xfId="119" applyFont="1" applyFill="1" applyBorder="1" applyAlignment="1">
      <alignment vertical="center"/>
    </xf>
    <xf numFmtId="227" fontId="140" fillId="0" borderId="27" xfId="119" applyFont="1" applyFill="1" applyBorder="1" applyAlignment="1">
      <alignment vertical="center"/>
    </xf>
    <xf numFmtId="227" fontId="140" fillId="0" borderId="22" xfId="119" applyFont="1" applyFill="1" applyBorder="1" applyAlignment="1">
      <alignment vertical="center"/>
    </xf>
    <xf numFmtId="227" fontId="140" fillId="0" borderId="24" xfId="119" applyFont="1" applyFill="1" applyBorder="1" applyAlignment="1">
      <alignment vertical="center"/>
    </xf>
    <xf numFmtId="10" fontId="45" fillId="0" borderId="24" xfId="127" applyNumberFormat="1" applyFont="1" applyFill="1" applyBorder="1" applyAlignment="1">
      <alignment horizontal="center" vertical="center"/>
    </xf>
    <xf numFmtId="227" fontId="0" fillId="0" borderId="54" xfId="0" applyFont="1" applyFill="1" applyBorder="1" applyAlignment="1">
      <alignment horizontal="center" vertical="center"/>
    </xf>
    <xf numFmtId="227" fontId="0" fillId="0" borderId="158" xfId="0" applyFont="1" applyFill="1" applyBorder="1" applyAlignment="1">
      <alignment horizontal="center" vertical="center"/>
    </xf>
    <xf numFmtId="209" fontId="0" fillId="0" borderId="158" xfId="0" applyNumberFormat="1" applyFont="1" applyFill="1" applyBorder="1" applyAlignment="1">
      <alignment horizontal="center" vertical="center"/>
    </xf>
    <xf numFmtId="9" fontId="0" fillId="0" borderId="158" xfId="0" applyNumberFormat="1" applyFont="1" applyFill="1" applyBorder="1" applyAlignment="1">
      <alignment horizontal="center" vertical="center"/>
    </xf>
    <xf numFmtId="227" fontId="70" fillId="0" borderId="11" xfId="112" applyFont="1" applyFill="1" applyBorder="1" applyAlignment="1">
      <alignment horizontal="center" vertical="center"/>
    </xf>
    <xf numFmtId="227" fontId="70" fillId="0" borderId="0" xfId="112" applyFont="1" applyFill="1" applyAlignment="1">
      <alignment horizontal="center" vertical="center"/>
    </xf>
    <xf numFmtId="183" fontId="13" fillId="0" borderId="158" xfId="58" applyNumberFormat="1" applyFont="1" applyFill="1" applyBorder="1" applyAlignment="1">
      <alignment horizontal="center" vertical="center"/>
    </xf>
    <xf numFmtId="14" fontId="13" fillId="27" borderId="165" xfId="246" applyNumberFormat="1" applyFont="1" applyFill="1" applyBorder="1" applyAlignment="1">
      <alignment horizontal="center" vertical="center"/>
    </xf>
    <xf numFmtId="14" fontId="13" fillId="0" borderId="163" xfId="0" applyNumberFormat="1" applyFont="1" applyFill="1" applyBorder="1" applyAlignment="1">
      <alignment horizontal="center" vertical="center"/>
    </xf>
    <xf numFmtId="227" fontId="13" fillId="0" borderId="164" xfId="0" applyFont="1" applyBorder="1">
      <alignment vertical="center"/>
    </xf>
    <xf numFmtId="227" fontId="13" fillId="0" borderId="164" xfId="0" applyFont="1" applyBorder="1" applyAlignment="1">
      <alignment horizontal="center" vertical="center"/>
    </xf>
    <xf numFmtId="227" fontId="86" fillId="0" borderId="164" xfId="0" applyFont="1" applyBorder="1" applyAlignment="1">
      <alignment horizontal="center" vertical="center"/>
    </xf>
    <xf numFmtId="227" fontId="86" fillId="0" borderId="164" xfId="0" applyFont="1" applyFill="1" applyBorder="1" applyAlignment="1">
      <alignment horizontal="center" vertical="center"/>
    </xf>
    <xf numFmtId="43" fontId="13" fillId="38" borderId="166" xfId="58" applyFont="1" applyFill="1" applyBorder="1" applyAlignment="1">
      <alignment horizontal="center" vertical="center" wrapText="1"/>
    </xf>
    <xf numFmtId="183" fontId="13" fillId="0" borderId="167" xfId="58" applyNumberFormat="1" applyFont="1" applyFill="1" applyBorder="1" applyAlignment="1">
      <alignment horizontal="center" vertical="center"/>
    </xf>
    <xf numFmtId="14" fontId="13" fillId="0" borderId="11" xfId="58" applyNumberFormat="1" applyFont="1" applyFill="1" applyBorder="1" applyAlignment="1">
      <alignment horizontal="center" vertical="center"/>
    </xf>
    <xf numFmtId="227" fontId="13" fillId="0" borderId="0" xfId="0" applyFont="1" applyFill="1" applyBorder="1" applyAlignment="1">
      <alignment horizontal="center" vertical="center"/>
    </xf>
    <xf numFmtId="184" fontId="13" fillId="0" borderId="11" xfId="116" applyNumberFormat="1" applyFont="1" applyFill="1" applyBorder="1" applyAlignment="1">
      <alignment horizontal="center" vertical="center" wrapText="1"/>
    </xf>
    <xf numFmtId="227" fontId="0" fillId="0" borderId="0" xfId="0">
      <alignment vertical="center"/>
    </xf>
    <xf numFmtId="227" fontId="119" fillId="0" borderId="0" xfId="0" applyFont="1" applyFill="1" applyBorder="1" applyAlignment="1">
      <alignment horizontal="left" vertical="center"/>
    </xf>
    <xf numFmtId="184" fontId="119" fillId="0" borderId="0" xfId="0" applyNumberFormat="1" applyFont="1" applyFill="1" applyBorder="1">
      <alignment vertical="center"/>
    </xf>
    <xf numFmtId="3" fontId="0" fillId="0" borderId="0" xfId="0" applyNumberFormat="1" applyFill="1">
      <alignment vertical="center"/>
    </xf>
    <xf numFmtId="227" fontId="0" fillId="0" borderId="0" xfId="0" applyFill="1">
      <alignment vertical="center"/>
    </xf>
    <xf numFmtId="10" fontId="133" fillId="27" borderId="20" xfId="127" applyNumberFormat="1" applyFont="1" applyFill="1" applyBorder="1" applyAlignment="1" applyProtection="1">
      <alignment horizontal="center"/>
    </xf>
    <xf numFmtId="10" fontId="9" fillId="27" borderId="20" xfId="127" applyNumberFormat="1" applyFont="1" applyFill="1" applyBorder="1" applyAlignment="1" applyProtection="1">
      <alignment horizontal="center"/>
    </xf>
    <xf numFmtId="190" fontId="0" fillId="0" borderId="0" xfId="0" applyNumberFormat="1">
      <alignment vertical="center"/>
    </xf>
    <xf numFmtId="3" fontId="10" fillId="43" borderId="0" xfId="241" applyNumberFormat="1" applyFill="1"/>
    <xf numFmtId="184" fontId="0" fillId="0" borderId="0" xfId="0" applyNumberFormat="1" applyFill="1">
      <alignment vertical="center"/>
    </xf>
    <xf numFmtId="9" fontId="54" fillId="0" borderId="169" xfId="0" applyNumberFormat="1" applyFont="1" applyFill="1" applyBorder="1" applyAlignment="1">
      <alignment vertical="center" wrapText="1"/>
    </xf>
    <xf numFmtId="1" fontId="148" fillId="27" borderId="78" xfId="244" applyNumberFormat="1" applyFont="1" applyFill="1" applyBorder="1" applyAlignment="1">
      <alignment horizontal="center"/>
    </xf>
    <xf numFmtId="1" fontId="148" fillId="30" borderId="88" xfId="241" applyNumberFormat="1" applyFont="1" applyFill="1" applyBorder="1" applyAlignment="1">
      <alignment horizontal="center"/>
    </xf>
    <xf numFmtId="1" fontId="148" fillId="28" borderId="78" xfId="244" applyNumberFormat="1" applyFont="1" applyFill="1" applyBorder="1" applyAlignment="1">
      <alignment horizontal="center"/>
    </xf>
    <xf numFmtId="1" fontId="148" fillId="28" borderId="79" xfId="244" applyNumberFormat="1" applyFont="1" applyFill="1" applyBorder="1" applyAlignment="1">
      <alignment horizontal="center"/>
    </xf>
    <xf numFmtId="1" fontId="148" fillId="27" borderId="79" xfId="244" applyNumberFormat="1" applyFont="1" applyFill="1" applyBorder="1" applyAlignment="1">
      <alignment horizontal="center"/>
    </xf>
    <xf numFmtId="43" fontId="13" fillId="45" borderId="11" xfId="58" applyFont="1" applyFill="1" applyBorder="1">
      <alignment vertical="center"/>
    </xf>
    <xf numFmtId="43" fontId="13" fillId="51" borderId="11" xfId="58" applyFont="1" applyFill="1" applyBorder="1">
      <alignment vertical="center"/>
    </xf>
    <xf numFmtId="43" fontId="13" fillId="51" borderId="11" xfId="58" applyNumberFormat="1" applyFont="1" applyFill="1" applyBorder="1">
      <alignment vertical="center"/>
    </xf>
    <xf numFmtId="227" fontId="23" fillId="0" borderId="11" xfId="0" applyFont="1" applyFill="1" applyBorder="1" applyAlignment="1">
      <alignment horizontal="left" vertical="center"/>
    </xf>
    <xf numFmtId="184" fontId="0" fillId="0" borderId="68" xfId="116" applyNumberFormat="1" applyFont="1" applyFill="1" applyBorder="1" applyAlignment="1">
      <alignment vertical="center" wrapText="1"/>
    </xf>
    <xf numFmtId="1" fontId="44" fillId="28" borderId="79" xfId="244" applyNumberFormat="1" applyFont="1" applyFill="1" applyBorder="1" applyAlignment="1">
      <alignment horizontal="center"/>
    </xf>
    <xf numFmtId="43" fontId="13" fillId="38" borderId="162" xfId="58" applyFont="1" applyFill="1" applyBorder="1" applyAlignment="1">
      <alignment horizontal="center" vertical="center" wrapText="1"/>
    </xf>
    <xf numFmtId="43" fontId="13" fillId="42" borderId="162" xfId="58" applyFont="1" applyFill="1" applyBorder="1" applyAlignment="1">
      <alignment horizontal="center" vertical="center" wrapText="1"/>
    </xf>
    <xf numFmtId="198" fontId="20" fillId="0" borderId="0" xfId="127" applyNumberFormat="1" applyFont="1" applyFill="1" applyBorder="1" applyAlignment="1">
      <alignment horizontal="center" vertical="center"/>
    </xf>
    <xf numFmtId="3" fontId="20" fillId="0" borderId="0" xfId="132" applyNumberFormat="1" applyFont="1" applyFill="1" applyBorder="1" applyAlignment="1">
      <alignment horizontal="center" vertical="center"/>
    </xf>
    <xf numFmtId="3" fontId="150" fillId="0" borderId="0" xfId="282" applyNumberFormat="1" applyFont="1" applyFill="1" applyBorder="1">
      <alignment vertical="center"/>
    </xf>
    <xf numFmtId="10" fontId="20" fillId="0" borderId="0" xfId="127" applyNumberFormat="1" applyFont="1" applyFill="1" applyBorder="1">
      <alignment vertical="center"/>
    </xf>
    <xf numFmtId="227" fontId="0" fillId="0" borderId="0" xfId="0" applyFont="1" applyFill="1" applyBorder="1" applyAlignment="1">
      <alignment horizontal="center" vertical="center"/>
    </xf>
    <xf numFmtId="3" fontId="20" fillId="0" borderId="0" xfId="127" applyNumberFormat="1" applyFont="1" applyFill="1" applyBorder="1" applyAlignment="1">
      <alignment horizontal="center" vertical="center"/>
    </xf>
    <xf numFmtId="183" fontId="20" fillId="0" borderId="0" xfId="282" applyNumberFormat="1" applyFont="1" applyFill="1" applyBorder="1">
      <alignment vertical="center"/>
    </xf>
    <xf numFmtId="184" fontId="20" fillId="0" borderId="68" xfId="116" applyNumberFormat="1" applyFont="1" applyFill="1" applyBorder="1" applyAlignment="1">
      <alignment horizontal="left" vertical="center" wrapText="1"/>
    </xf>
    <xf numFmtId="9" fontId="0" fillId="0" borderId="0" xfId="58" applyNumberFormat="1" applyFont="1" applyFill="1" applyBorder="1">
      <alignment vertical="center"/>
    </xf>
    <xf numFmtId="198" fontId="0" fillId="0" borderId="0" xfId="127" applyNumberFormat="1" applyFont="1" applyFill="1" applyBorder="1" applyAlignment="1">
      <alignment horizontal="center" vertical="center"/>
    </xf>
    <xf numFmtId="3" fontId="20" fillId="0" borderId="11" xfId="0" applyNumberFormat="1" applyFont="1" applyFill="1" applyBorder="1" applyAlignment="1">
      <alignment horizontal="center" vertical="center"/>
    </xf>
    <xf numFmtId="3" fontId="132" fillId="0" borderId="0" xfId="127" applyNumberFormat="1" applyFont="1" applyFill="1" applyBorder="1" applyAlignment="1">
      <alignment horizontal="center" vertical="center"/>
    </xf>
    <xf numFmtId="3" fontId="150" fillId="0" borderId="0" xfId="0" applyNumberFormat="1" applyFont="1" applyFill="1" applyBorder="1">
      <alignment vertical="center"/>
    </xf>
    <xf numFmtId="9" fontId="132" fillId="0" borderId="0" xfId="127" applyNumberFormat="1" applyFont="1" applyFill="1" applyBorder="1">
      <alignment vertical="center"/>
    </xf>
    <xf numFmtId="3" fontId="20" fillId="0" borderId="158" xfId="0" applyNumberFormat="1" applyFont="1" applyFill="1" applyBorder="1" applyAlignment="1">
      <alignment horizontal="center" vertical="center"/>
    </xf>
    <xf numFmtId="227" fontId="0" fillId="0" borderId="46" xfId="119" applyFont="1" applyFill="1" applyBorder="1"/>
    <xf numFmtId="38" fontId="19" fillId="0" borderId="0" xfId="58" applyNumberFormat="1" applyFont="1" applyFill="1" applyBorder="1" applyAlignment="1">
      <alignment horizontal="center" vertical="center"/>
    </xf>
    <xf numFmtId="9" fontId="120" fillId="0" borderId="0" xfId="127" applyFont="1" applyFill="1" applyBorder="1" applyAlignment="1">
      <alignment horizontal="right" vertical="center"/>
    </xf>
    <xf numFmtId="38" fontId="120" fillId="0" borderId="0" xfId="0" applyNumberFormat="1" applyFont="1" applyFill="1" applyBorder="1" applyAlignment="1">
      <alignment horizontal="center" vertical="center"/>
    </xf>
    <xf numFmtId="43" fontId="23" fillId="0" borderId="0" xfId="58" applyFont="1" applyFill="1" applyBorder="1" applyAlignment="1">
      <alignment horizontal="center" vertical="center"/>
    </xf>
    <xf numFmtId="3" fontId="20" fillId="0" borderId="11" xfId="0" applyNumberFormat="1" applyFont="1" applyFill="1" applyBorder="1" applyAlignment="1" applyProtection="1">
      <alignment horizontal="center" vertical="center"/>
      <protection locked="0"/>
    </xf>
    <xf numFmtId="227" fontId="0" fillId="0" borderId="11" xfId="119" applyFont="1" applyFill="1" applyBorder="1" applyAlignment="1">
      <alignment vertical="center"/>
    </xf>
    <xf numFmtId="227" fontId="0" fillId="0" borderId="0" xfId="0" applyFont="1" applyAlignment="1">
      <alignment vertical="center"/>
    </xf>
    <xf numFmtId="3" fontId="0" fillId="0" borderId="0" xfId="0" applyNumberFormat="1" applyFont="1" applyAlignment="1">
      <alignment vertical="center"/>
    </xf>
    <xf numFmtId="227" fontId="9" fillId="0" borderId="0" xfId="619" applyFont="1" applyAlignment="1">
      <alignment vertical="center"/>
    </xf>
    <xf numFmtId="227" fontId="9" fillId="0" borderId="0" xfId="619" applyFont="1" applyAlignment="1">
      <alignment horizontal="left" vertical="center"/>
    </xf>
    <xf numFmtId="3" fontId="9" fillId="0" borderId="0" xfId="619" applyNumberFormat="1" applyFont="1" applyAlignment="1">
      <alignment vertical="center"/>
    </xf>
    <xf numFmtId="227" fontId="0" fillId="0" borderId="0" xfId="0" applyFont="1" applyAlignment="1"/>
    <xf numFmtId="227" fontId="9" fillId="42" borderId="158" xfId="619" applyFont="1" applyFill="1" applyBorder="1" applyAlignment="1">
      <alignment horizontal="center" vertical="center"/>
    </xf>
    <xf numFmtId="227" fontId="9" fillId="42" borderId="158" xfId="619" applyFont="1" applyFill="1" applyBorder="1" applyAlignment="1">
      <alignment horizontal="left" vertical="center"/>
    </xf>
    <xf numFmtId="3" fontId="9" fillId="42" borderId="158" xfId="619" applyNumberFormat="1" applyFont="1" applyFill="1" applyBorder="1" applyAlignment="1">
      <alignment horizontal="center" vertical="center" wrapText="1"/>
    </xf>
    <xf numFmtId="3" fontId="9" fillId="52" borderId="158" xfId="619" applyNumberFormat="1" applyFont="1" applyFill="1" applyBorder="1" applyAlignment="1">
      <alignment horizontal="center" vertical="center"/>
    </xf>
    <xf numFmtId="227" fontId="9" fillId="52" borderId="158" xfId="619" applyFont="1" applyFill="1" applyBorder="1" applyAlignment="1">
      <alignment horizontal="center" vertical="center"/>
    </xf>
    <xf numFmtId="3" fontId="0" fillId="48" borderId="158" xfId="0" applyNumberFormat="1" applyFont="1" applyFill="1" applyBorder="1" applyAlignment="1">
      <alignment horizontal="center" vertical="center" wrapText="1"/>
    </xf>
    <xf numFmtId="227" fontId="0" fillId="48" borderId="158" xfId="0" applyFont="1" applyFill="1" applyBorder="1" applyAlignment="1">
      <alignment horizontal="center" vertical="center"/>
    </xf>
    <xf numFmtId="3" fontId="9" fillId="0" borderId="158" xfId="619" applyNumberFormat="1" applyFont="1" applyFill="1" applyBorder="1" applyAlignment="1">
      <alignment vertical="center"/>
    </xf>
    <xf numFmtId="43" fontId="0" fillId="0" borderId="158" xfId="486" applyNumberFormat="1" applyFont="1" applyFill="1" applyBorder="1">
      <alignment vertical="center"/>
    </xf>
    <xf numFmtId="227" fontId="9" fillId="0" borderId="158" xfId="619" applyFont="1" applyFill="1" applyBorder="1" applyAlignment="1">
      <alignment vertical="center"/>
    </xf>
    <xf numFmtId="9" fontId="9" fillId="0" borderId="158" xfId="127" applyFont="1" applyFill="1" applyBorder="1" applyAlignment="1">
      <alignment horizontal="center" vertical="center"/>
    </xf>
    <xf numFmtId="227" fontId="57" fillId="0" borderId="158" xfId="619" applyFont="1" applyBorder="1" applyAlignment="1">
      <alignment horizontal="center" vertical="center"/>
    </xf>
    <xf numFmtId="227" fontId="23" fillId="0" borderId="158" xfId="619" applyFont="1" applyBorder="1" applyAlignment="1">
      <alignment horizontal="left" vertical="center"/>
    </xf>
    <xf numFmtId="227" fontId="23" fillId="0" borderId="158" xfId="619" applyFont="1" applyBorder="1" applyAlignment="1">
      <alignment vertical="center"/>
    </xf>
    <xf numFmtId="3" fontId="149" fillId="0" borderId="158" xfId="58" applyNumberFormat="1" applyFont="1" applyBorder="1" applyAlignment="1">
      <alignment vertical="center"/>
    </xf>
    <xf numFmtId="43" fontId="23" fillId="0" borderId="158" xfId="486" applyNumberFormat="1" applyFont="1" applyBorder="1">
      <alignment vertical="center"/>
    </xf>
    <xf numFmtId="43" fontId="23" fillId="0" borderId="158" xfId="486" applyFont="1" applyBorder="1">
      <alignment vertical="center"/>
    </xf>
    <xf numFmtId="3" fontId="23" fillId="0" borderId="158" xfId="58" applyNumberFormat="1" applyFont="1" applyBorder="1" applyAlignment="1">
      <alignment vertical="center"/>
    </xf>
    <xf numFmtId="227" fontId="23" fillId="0" borderId="0" xfId="0" applyFont="1" applyAlignment="1"/>
    <xf numFmtId="227" fontId="57" fillId="0" borderId="0" xfId="619" applyFont="1" applyBorder="1" applyAlignment="1">
      <alignment horizontal="center" vertical="center"/>
    </xf>
    <xf numFmtId="227" fontId="23" fillId="0" borderId="0" xfId="619" applyFont="1" applyBorder="1" applyAlignment="1">
      <alignment horizontal="left" vertical="center"/>
    </xf>
    <xf numFmtId="227" fontId="23" fillId="0" borderId="0" xfId="619" applyFont="1" applyBorder="1" applyAlignment="1">
      <alignment vertical="center"/>
    </xf>
    <xf numFmtId="3" fontId="149" fillId="0" borderId="0" xfId="58" applyNumberFormat="1" applyFont="1" applyBorder="1" applyAlignment="1">
      <alignment vertical="center"/>
    </xf>
    <xf numFmtId="43" fontId="23" fillId="0" borderId="0" xfId="486" applyNumberFormat="1" applyFont="1" applyBorder="1">
      <alignment vertical="center"/>
    </xf>
    <xf numFmtId="43" fontId="23" fillId="0" borderId="0" xfId="486" applyFont="1" applyBorder="1">
      <alignment vertical="center"/>
    </xf>
    <xf numFmtId="3" fontId="23" fillId="0" borderId="0" xfId="58" applyNumberFormat="1" applyFont="1" applyBorder="1" applyAlignment="1">
      <alignment vertical="center"/>
    </xf>
    <xf numFmtId="227" fontId="9" fillId="45" borderId="158" xfId="619" applyFont="1" applyFill="1" applyBorder="1" applyAlignment="1">
      <alignment vertical="center"/>
    </xf>
    <xf numFmtId="3" fontId="9" fillId="45" borderId="158" xfId="619" applyNumberFormat="1" applyFont="1" applyFill="1" applyBorder="1" applyAlignment="1">
      <alignment vertical="center"/>
    </xf>
    <xf numFmtId="43" fontId="0" fillId="45" borderId="158" xfId="486" applyNumberFormat="1" applyFont="1" applyFill="1" applyBorder="1">
      <alignment vertical="center"/>
    </xf>
    <xf numFmtId="9" fontId="9" fillId="45" borderId="158" xfId="127" applyFont="1" applyFill="1" applyBorder="1" applyAlignment="1">
      <alignment horizontal="center" vertical="center"/>
    </xf>
    <xf numFmtId="3" fontId="149" fillId="45" borderId="158" xfId="58" applyNumberFormat="1" applyFont="1" applyFill="1" applyBorder="1" applyAlignment="1">
      <alignment vertical="center"/>
    </xf>
    <xf numFmtId="3" fontId="0" fillId="0" borderId="158" xfId="58" applyNumberFormat="1" applyFont="1" applyFill="1" applyBorder="1" applyAlignment="1">
      <alignment vertical="center"/>
    </xf>
    <xf numFmtId="227" fontId="9" fillId="0" borderId="158" xfId="619" applyFont="1" applyBorder="1" applyAlignment="1">
      <alignment horizontal="left" vertical="center"/>
    </xf>
    <xf numFmtId="227" fontId="9" fillId="0" borderId="158" xfId="619" applyFont="1" applyBorder="1" applyAlignment="1">
      <alignment vertical="center"/>
    </xf>
    <xf numFmtId="43" fontId="23" fillId="0" borderId="158" xfId="486" applyNumberFormat="1" applyFont="1" applyFill="1" applyBorder="1">
      <alignment vertical="center"/>
    </xf>
    <xf numFmtId="3" fontId="149" fillId="0" borderId="159" xfId="58" applyNumberFormat="1" applyFont="1" applyBorder="1" applyAlignment="1">
      <alignment vertical="center"/>
    </xf>
    <xf numFmtId="3" fontId="0" fillId="0" borderId="0" xfId="0" applyNumberFormat="1" applyFont="1" applyAlignment="1"/>
    <xf numFmtId="3" fontId="0" fillId="45" borderId="0" xfId="0" applyNumberFormat="1" applyFont="1" applyFill="1" applyAlignment="1"/>
    <xf numFmtId="227" fontId="13" fillId="0" borderId="11" xfId="0" applyFont="1" applyFill="1" applyBorder="1" applyAlignment="1">
      <alignment horizontal="center" vertical="center"/>
    </xf>
    <xf numFmtId="184" fontId="13" fillId="0" borderId="55" xfId="116" applyNumberFormat="1" applyFont="1" applyBorder="1" applyAlignment="1">
      <alignment horizontal="left" vertical="center"/>
    </xf>
    <xf numFmtId="184" fontId="0" fillId="0" borderId="158" xfId="116" applyNumberFormat="1" applyFont="1" applyFill="1" applyBorder="1" applyAlignment="1">
      <alignment vertical="center" wrapText="1"/>
    </xf>
    <xf numFmtId="184" fontId="13" fillId="0" borderId="55" xfId="116" applyNumberFormat="1" applyFont="1" applyFill="1" applyBorder="1" applyAlignment="1">
      <alignment horizontal="left" vertical="center"/>
    </xf>
    <xf numFmtId="227" fontId="18" fillId="0" borderId="11" xfId="121" applyFont="1" applyFill="1" applyBorder="1" applyAlignment="1">
      <alignment horizontal="left" vertical="center" shrinkToFit="1"/>
    </xf>
    <xf numFmtId="227" fontId="0" fillId="0" borderId="181" xfId="0" applyFont="1" applyFill="1" applyBorder="1" applyAlignment="1">
      <alignment horizontal="center" vertical="center"/>
    </xf>
    <xf numFmtId="10" fontId="56" fillId="35" borderId="181" xfId="665" applyNumberFormat="1" applyFont="1" applyFill="1" applyBorder="1" applyAlignment="1">
      <alignment horizontal="center" vertical="center" wrapText="1"/>
    </xf>
    <xf numFmtId="214" fontId="56" fillId="35" borderId="181" xfId="579" applyNumberFormat="1" applyFont="1" applyFill="1" applyBorder="1" applyAlignment="1">
      <alignment horizontal="center" vertical="center" wrapText="1"/>
    </xf>
    <xf numFmtId="227" fontId="13" fillId="35" borderId="181" xfId="579" applyFont="1" applyFill="1" applyBorder="1" applyAlignment="1">
      <alignment horizontal="center" vertical="center" wrapText="1"/>
    </xf>
    <xf numFmtId="214" fontId="56" fillId="0" borderId="181" xfId="284" applyNumberFormat="1" applyFont="1" applyFill="1" applyBorder="1" applyAlignment="1">
      <alignment horizontal="center" vertical="center"/>
    </xf>
    <xf numFmtId="43" fontId="18" fillId="53" borderId="0" xfId="282" applyFont="1" applyFill="1">
      <alignment vertical="center"/>
    </xf>
    <xf numFmtId="183" fontId="18" fillId="53" borderId="0" xfId="475" applyNumberFormat="1" applyFont="1" applyFill="1">
      <alignment vertical="center"/>
    </xf>
    <xf numFmtId="43" fontId="18" fillId="0" borderId="0" xfId="282" applyFont="1">
      <alignment vertical="center"/>
    </xf>
    <xf numFmtId="2" fontId="18" fillId="0" borderId="0" xfId="282" applyNumberFormat="1" applyFont="1">
      <alignment vertical="center"/>
    </xf>
    <xf numFmtId="2" fontId="18" fillId="0" borderId="0" xfId="475" applyNumberFormat="1" applyFont="1">
      <alignment vertical="center"/>
    </xf>
    <xf numFmtId="227" fontId="153" fillId="0" borderId="23" xfId="1127" applyFont="1" applyBorder="1" applyAlignment="1">
      <alignment vertical="center"/>
    </xf>
    <xf numFmtId="227" fontId="154" fillId="0" borderId="23" xfId="1127" applyFont="1" applyFill="1" applyBorder="1" applyAlignment="1">
      <alignment vertical="center"/>
    </xf>
    <xf numFmtId="227" fontId="154" fillId="0" borderId="23" xfId="1127" applyFont="1" applyBorder="1" applyAlignment="1">
      <alignment horizontal="center" vertical="center"/>
    </xf>
    <xf numFmtId="227" fontId="154" fillId="0" borderId="23" xfId="1127" applyFont="1" applyBorder="1" applyAlignment="1">
      <alignment vertical="center"/>
    </xf>
    <xf numFmtId="227" fontId="154" fillId="0" borderId="0" xfId="1127" applyFont="1" applyBorder="1" applyAlignment="1">
      <alignment vertical="center"/>
    </xf>
    <xf numFmtId="227" fontId="154" fillId="0" borderId="0" xfId="1127" applyFont="1" applyBorder="1" applyAlignment="1">
      <alignment horizontal="left" vertical="center"/>
    </xf>
    <xf numFmtId="207" fontId="154" fillId="0" borderId="0" xfId="1127" applyNumberFormat="1" applyFont="1" applyFill="1" applyBorder="1" applyAlignment="1">
      <alignment horizontal="left" vertical="center"/>
    </xf>
    <xf numFmtId="207" fontId="154" fillId="0" borderId="0" xfId="1127" applyNumberFormat="1" applyFont="1" applyFill="1" applyBorder="1" applyAlignment="1">
      <alignment horizontal="center" vertical="center"/>
    </xf>
    <xf numFmtId="227" fontId="155" fillId="0" borderId="0" xfId="1127" applyFont="1" applyFill="1" applyBorder="1" applyAlignment="1">
      <alignment horizontal="left" vertical="center"/>
    </xf>
    <xf numFmtId="227" fontId="155" fillId="0" borderId="0" xfId="1127" applyFont="1" applyBorder="1" applyAlignment="1">
      <alignment horizontal="left" vertical="center"/>
    </xf>
    <xf numFmtId="227" fontId="156" fillId="0" borderId="128" xfId="1128" applyFont="1" applyBorder="1" applyAlignment="1">
      <alignment horizontal="center" vertical="center" wrapText="1"/>
    </xf>
    <xf numFmtId="227" fontId="155" fillId="0" borderId="61" xfId="1128" applyFont="1" applyFill="1" applyBorder="1" applyAlignment="1">
      <alignment horizontal="center" vertical="center" wrapText="1"/>
    </xf>
    <xf numFmtId="227" fontId="154" fillId="0" borderId="61" xfId="1128" applyFont="1" applyFill="1" applyBorder="1" applyAlignment="1">
      <alignment horizontal="center" vertical="center" wrapText="1"/>
    </xf>
    <xf numFmtId="227" fontId="47" fillId="0" borderId="127" xfId="1127" applyFont="1" applyFill="1" applyBorder="1" applyAlignment="1">
      <alignment horizontal="center" vertical="center" wrapText="1"/>
    </xf>
    <xf numFmtId="227" fontId="154" fillId="0" borderId="124" xfId="1127" applyFont="1" applyFill="1" applyBorder="1" applyAlignment="1">
      <alignment horizontal="center" vertical="center" wrapText="1"/>
    </xf>
    <xf numFmtId="9" fontId="154" fillId="0" borderId="124" xfId="1129" applyFont="1" applyFill="1" applyBorder="1" applyAlignment="1">
      <alignment horizontal="center" vertical="center" wrapText="1"/>
    </xf>
    <xf numFmtId="9" fontId="154" fillId="0" borderId="131" xfId="1129" applyFont="1" applyFill="1" applyBorder="1" applyAlignment="1">
      <alignment horizontal="center" vertical="center" wrapText="1"/>
    </xf>
    <xf numFmtId="9" fontId="154" fillId="54" borderId="131" xfId="1129" applyFont="1" applyFill="1" applyBorder="1" applyAlignment="1">
      <alignment horizontal="center" vertical="center" wrapText="1"/>
    </xf>
    <xf numFmtId="207" fontId="154" fillId="0" borderId="131" xfId="1127" applyNumberFormat="1" applyFont="1" applyFill="1" applyBorder="1" applyAlignment="1">
      <alignment horizontal="center" vertical="center" wrapText="1"/>
    </xf>
    <xf numFmtId="207" fontId="154" fillId="0" borderId="27" xfId="1127" applyNumberFormat="1" applyFont="1" applyFill="1" applyBorder="1" applyAlignment="1">
      <alignment horizontal="center" vertical="center" wrapText="1"/>
    </xf>
    <xf numFmtId="227" fontId="155" fillId="0" borderId="0" xfId="1127" applyFont="1" applyBorder="1" applyAlignment="1">
      <alignment horizontal="center" vertical="center" wrapText="1"/>
    </xf>
    <xf numFmtId="184" fontId="47" fillId="0" borderId="51" xfId="1130" applyNumberFormat="1" applyFont="1" applyBorder="1" applyAlignment="1">
      <alignment horizontal="left" vertical="center" wrapText="1"/>
    </xf>
    <xf numFmtId="184" fontId="47" fillId="0" borderId="181" xfId="1130" applyNumberFormat="1" applyFont="1" applyFill="1" applyBorder="1" applyAlignment="1">
      <alignment horizontal="left" vertical="center" wrapText="1"/>
    </xf>
    <xf numFmtId="227" fontId="154" fillId="0" borderId="181" xfId="1128" applyFont="1" applyFill="1" applyBorder="1" applyAlignment="1">
      <alignment horizontal="center" vertical="center"/>
    </xf>
    <xf numFmtId="227" fontId="154" fillId="0" borderId="168" xfId="1128" applyFont="1" applyFill="1" applyBorder="1" applyAlignment="1">
      <alignment horizontal="center" vertical="center"/>
    </xf>
    <xf numFmtId="227" fontId="156" fillId="0" borderId="57" xfId="1127" applyFont="1" applyBorder="1" applyAlignment="1">
      <alignment horizontal="left" vertical="center" wrapText="1"/>
    </xf>
    <xf numFmtId="9" fontId="154" fillId="0" borderId="57" xfId="1129" applyFont="1" applyBorder="1" applyAlignment="1">
      <alignment horizontal="left" vertical="center" wrapText="1"/>
    </xf>
    <xf numFmtId="9" fontId="154" fillId="0" borderId="50" xfId="1129" applyFont="1" applyBorder="1" applyAlignment="1">
      <alignment horizontal="left" vertical="center" wrapText="1"/>
    </xf>
    <xf numFmtId="207" fontId="154" fillId="0" borderId="50" xfId="1129" applyNumberFormat="1" applyFont="1" applyFill="1" applyBorder="1" applyAlignment="1">
      <alignment horizontal="left" vertical="center" wrapText="1"/>
    </xf>
    <xf numFmtId="207" fontId="154" fillId="0" borderId="50" xfId="1129" applyNumberFormat="1" applyFont="1" applyFill="1" applyBorder="1" applyAlignment="1">
      <alignment horizontal="center" vertical="center" wrapText="1"/>
    </xf>
    <xf numFmtId="227" fontId="155" fillId="0" borderId="168" xfId="1127" applyFont="1" applyFill="1" applyBorder="1" applyAlignment="1">
      <alignment horizontal="left" vertical="center"/>
    </xf>
    <xf numFmtId="184" fontId="47" fillId="0" borderId="51" xfId="1130" applyNumberFormat="1" applyFont="1" applyBorder="1" applyAlignment="1">
      <alignment vertical="center" wrapText="1"/>
    </xf>
    <xf numFmtId="184" fontId="47" fillId="0" borderId="181" xfId="1130" applyNumberFormat="1" applyFont="1" applyBorder="1" applyAlignment="1">
      <alignment vertical="center" wrapText="1"/>
    </xf>
    <xf numFmtId="227" fontId="156" fillId="0" borderId="50" xfId="1127" applyFont="1" applyBorder="1" applyAlignment="1">
      <alignment horizontal="left" vertical="center" wrapText="1"/>
    </xf>
    <xf numFmtId="9" fontId="154" fillId="0" borderId="50" xfId="1129" applyFont="1" applyFill="1" applyBorder="1" applyAlignment="1">
      <alignment horizontal="center" vertical="center" wrapText="1"/>
    </xf>
    <xf numFmtId="207" fontId="154" fillId="0" borderId="168" xfId="1129" applyNumberFormat="1" applyFont="1" applyFill="1" applyBorder="1" applyAlignment="1">
      <alignment horizontal="center" vertical="center" wrapText="1"/>
    </xf>
    <xf numFmtId="227" fontId="156" fillId="0" borderId="169" xfId="1127" applyFont="1" applyFill="1" applyBorder="1" applyAlignment="1">
      <alignment horizontal="left" vertical="center" wrapText="1"/>
    </xf>
    <xf numFmtId="9" fontId="154" fillId="0" borderId="169" xfId="1129" applyFont="1" applyFill="1" applyBorder="1" applyAlignment="1">
      <alignment horizontal="left" vertical="center" wrapText="1"/>
    </xf>
    <xf numFmtId="9" fontId="154" fillId="0" borderId="50" xfId="1129" applyFont="1" applyFill="1" applyBorder="1" applyAlignment="1">
      <alignment horizontal="left" vertical="center" wrapText="1"/>
    </xf>
    <xf numFmtId="49" fontId="155" fillId="0" borderId="51" xfId="1131" quotePrefix="1" applyNumberFormat="1" applyFont="1" applyBorder="1" applyAlignment="1">
      <alignment horizontal="left" vertical="center"/>
    </xf>
    <xf numFmtId="184" fontId="157" fillId="0" borderId="181" xfId="1131" applyNumberFormat="1" applyFont="1" applyFill="1" applyBorder="1" applyAlignment="1">
      <alignment horizontal="left" vertical="center" wrapText="1"/>
    </xf>
    <xf numFmtId="38" fontId="9" fillId="0" borderId="178" xfId="70" applyNumberFormat="1" applyFont="1" applyFill="1" applyBorder="1" applyAlignment="1">
      <alignment horizontal="center" vertical="center"/>
    </xf>
    <xf numFmtId="40" fontId="9" fillId="0" borderId="181" xfId="1128" applyNumberFormat="1" applyFont="1" applyFill="1" applyBorder="1" applyAlignment="1">
      <alignment horizontal="center" vertical="center"/>
    </xf>
    <xf numFmtId="38" fontId="9" fillId="0" borderId="168" xfId="70" applyNumberFormat="1" applyFont="1" applyFill="1" applyBorder="1" applyAlignment="1">
      <alignment horizontal="center" vertical="center"/>
    </xf>
    <xf numFmtId="9" fontId="154" fillId="0" borderId="183" xfId="1129" applyFont="1" applyFill="1" applyBorder="1" applyAlignment="1">
      <alignment horizontal="left" vertical="center" wrapText="1"/>
    </xf>
    <xf numFmtId="9" fontId="158" fillId="0" borderId="50" xfId="1129" applyFont="1" applyFill="1" applyBorder="1" applyAlignment="1">
      <alignment horizontal="center" vertical="center" wrapText="1"/>
    </xf>
    <xf numFmtId="227" fontId="154" fillId="0" borderId="50" xfId="1127" applyFont="1" applyFill="1" applyBorder="1" applyAlignment="1">
      <alignment horizontal="left" vertical="center" wrapText="1"/>
    </xf>
    <xf numFmtId="9" fontId="154" fillId="0" borderId="168" xfId="1129" applyFont="1" applyFill="1" applyBorder="1" applyAlignment="1">
      <alignment horizontal="center" vertical="center" wrapText="1"/>
    </xf>
    <xf numFmtId="49" fontId="155" fillId="0" borderId="51" xfId="1131" applyNumberFormat="1" applyFont="1" applyBorder="1" applyAlignment="1">
      <alignment horizontal="left" vertical="center"/>
    </xf>
    <xf numFmtId="40" fontId="156" fillId="0" borderId="181" xfId="1128" applyNumberFormat="1" applyFont="1" applyFill="1" applyBorder="1" applyAlignment="1">
      <alignment horizontal="center" vertical="center"/>
    </xf>
    <xf numFmtId="38" fontId="156" fillId="0" borderId="168" xfId="70" applyNumberFormat="1" applyFont="1" applyFill="1" applyBorder="1" applyAlignment="1">
      <alignment horizontal="center" vertical="center"/>
    </xf>
    <xf numFmtId="227" fontId="154" fillId="0" borderId="57" xfId="1127" applyFont="1" applyFill="1" applyBorder="1" applyAlignment="1">
      <alignment horizontal="left" vertical="center" wrapText="1"/>
    </xf>
    <xf numFmtId="9" fontId="154" fillId="0" borderId="168" xfId="1129" applyFont="1" applyFill="1" applyBorder="1" applyAlignment="1">
      <alignment horizontal="left" vertical="center" wrapText="1"/>
    </xf>
    <xf numFmtId="207" fontId="158" fillId="0" borderId="50" xfId="1129" applyNumberFormat="1" applyFont="1" applyFill="1" applyBorder="1" applyAlignment="1">
      <alignment horizontal="left" vertical="center" wrapText="1"/>
    </xf>
    <xf numFmtId="227" fontId="159" fillId="0" borderId="168" xfId="1127" applyFont="1" applyFill="1" applyBorder="1" applyAlignment="1">
      <alignment horizontal="left" vertical="center"/>
    </xf>
    <xf numFmtId="227" fontId="157" fillId="0" borderId="168" xfId="1127" applyFont="1" applyFill="1" applyBorder="1" applyAlignment="1">
      <alignment horizontal="left" vertical="center"/>
    </xf>
    <xf numFmtId="184" fontId="47" fillId="0" borderId="181" xfId="1131" applyNumberFormat="1" applyFont="1" applyFill="1" applyBorder="1" applyAlignment="1">
      <alignment horizontal="left" vertical="center" wrapText="1"/>
    </xf>
    <xf numFmtId="38" fontId="154" fillId="0" borderId="181" xfId="1128" applyNumberFormat="1" applyFont="1" applyFill="1" applyBorder="1" applyAlignment="1">
      <alignment horizontal="center" vertical="center"/>
    </xf>
    <xf numFmtId="38" fontId="154" fillId="0" borderId="168" xfId="267" applyNumberFormat="1" applyFont="1" applyFill="1" applyBorder="1" applyAlignment="1">
      <alignment horizontal="center" vertical="center"/>
    </xf>
    <xf numFmtId="38" fontId="154" fillId="0" borderId="52" xfId="267" applyNumberFormat="1" applyFont="1" applyFill="1" applyBorder="1" applyAlignment="1">
      <alignment horizontal="center" vertical="center"/>
    </xf>
    <xf numFmtId="227" fontId="156" fillId="0" borderId="57" xfId="1127" applyFont="1" applyFill="1" applyBorder="1" applyAlignment="1">
      <alignment horizontal="left" vertical="center" wrapText="1"/>
    </xf>
    <xf numFmtId="9" fontId="154" fillId="0" borderId="57" xfId="1129" applyFont="1" applyFill="1" applyBorder="1" applyAlignment="1">
      <alignment horizontal="left" vertical="center" wrapText="1"/>
    </xf>
    <xf numFmtId="9" fontId="154" fillId="0" borderId="160" xfId="1129" applyFont="1" applyFill="1" applyBorder="1" applyAlignment="1">
      <alignment horizontal="left" vertical="center" wrapText="1"/>
    </xf>
    <xf numFmtId="38" fontId="47" fillId="0" borderId="73" xfId="1127" applyNumberFormat="1" applyFont="1" applyFill="1" applyBorder="1" applyAlignment="1">
      <alignment horizontal="center" vertical="center"/>
    </xf>
    <xf numFmtId="40" fontId="156" fillId="0" borderId="73" xfId="1128" applyNumberFormat="1" applyFont="1" applyFill="1" applyBorder="1" applyAlignment="1">
      <alignment horizontal="center" vertical="center"/>
    </xf>
    <xf numFmtId="38" fontId="154" fillId="0" borderId="133" xfId="70" applyNumberFormat="1" applyFont="1" applyFill="1" applyBorder="1" applyAlignment="1">
      <alignment horizontal="center" vertical="center"/>
    </xf>
    <xf numFmtId="38" fontId="154" fillId="0" borderId="65" xfId="70" applyNumberFormat="1" applyFont="1" applyFill="1" applyBorder="1" applyAlignment="1">
      <alignment horizontal="center" vertical="center"/>
    </xf>
    <xf numFmtId="184" fontId="47" fillId="0" borderId="122" xfId="1131" applyNumberFormat="1" applyFont="1" applyFill="1" applyBorder="1" applyAlignment="1">
      <alignment vertical="center"/>
    </xf>
    <xf numFmtId="184" fontId="47" fillId="0" borderId="126" xfId="1131" applyNumberFormat="1" applyFont="1" applyFill="1" applyBorder="1" applyAlignment="1">
      <alignment vertical="center"/>
    </xf>
    <xf numFmtId="38" fontId="156" fillId="0" borderId="54" xfId="1128" applyNumberFormat="1" applyFont="1" applyFill="1" applyBorder="1" applyAlignment="1">
      <alignment horizontal="center" vertical="center"/>
    </xf>
    <xf numFmtId="40" fontId="156" fillId="0" borderId="54" xfId="1128" applyNumberFormat="1" applyFont="1" applyFill="1" applyBorder="1" applyAlignment="1">
      <alignment horizontal="center" vertical="center"/>
    </xf>
    <xf numFmtId="38" fontId="156" fillId="0" borderId="160" xfId="70" applyNumberFormat="1" applyFont="1" applyFill="1" applyBorder="1" applyAlignment="1">
      <alignment horizontal="center" vertical="center"/>
    </xf>
    <xf numFmtId="227" fontId="156" fillId="0" borderId="144" xfId="1127" applyFont="1" applyFill="1" applyBorder="1" applyAlignment="1">
      <alignment horizontal="left" vertical="center" wrapText="1"/>
    </xf>
    <xf numFmtId="9" fontId="154" fillId="0" borderId="144" xfId="1129" applyFont="1" applyFill="1" applyBorder="1" applyAlignment="1">
      <alignment horizontal="left" vertical="center" wrapText="1"/>
    </xf>
    <xf numFmtId="207" fontId="154" fillId="0" borderId="144" xfId="1129" applyNumberFormat="1" applyFont="1" applyFill="1" applyBorder="1" applyAlignment="1">
      <alignment horizontal="left" vertical="center" wrapText="1"/>
    </xf>
    <xf numFmtId="207" fontId="154" fillId="0" borderId="144" xfId="1129" applyNumberFormat="1" applyFont="1" applyFill="1" applyBorder="1" applyAlignment="1">
      <alignment horizontal="center" vertical="center" wrapText="1"/>
    </xf>
    <xf numFmtId="207" fontId="154" fillId="0" borderId="134" xfId="1129" applyNumberFormat="1" applyFont="1" applyFill="1" applyBorder="1" applyAlignment="1">
      <alignment horizontal="center" vertical="center" wrapText="1"/>
    </xf>
    <xf numFmtId="227" fontId="155" fillId="0" borderId="134" xfId="1127" applyFont="1" applyFill="1" applyBorder="1" applyAlignment="1">
      <alignment horizontal="left" vertical="center"/>
    </xf>
    <xf numFmtId="184" fontId="155" fillId="0" borderId="181" xfId="1131" applyNumberFormat="1" applyFont="1" applyFill="1" applyBorder="1" applyAlignment="1">
      <alignment horizontal="left" vertical="center" wrapText="1"/>
    </xf>
    <xf numFmtId="38" fontId="156" fillId="0" borderId="181" xfId="1128" applyNumberFormat="1" applyFont="1" applyFill="1" applyBorder="1" applyAlignment="1">
      <alignment horizontal="center" vertical="center"/>
    </xf>
    <xf numFmtId="227" fontId="160" fillId="0" borderId="168" xfId="1127" applyFont="1" applyFill="1" applyBorder="1" applyAlignment="1">
      <alignment horizontal="left" vertical="center" wrapText="1"/>
    </xf>
    <xf numFmtId="184" fontId="155" fillId="0" borderId="181" xfId="1131" applyNumberFormat="1" applyFont="1" applyFill="1" applyBorder="1" applyAlignment="1">
      <alignment horizontal="left" vertical="center"/>
    </xf>
    <xf numFmtId="227" fontId="156" fillId="0" borderId="50" xfId="1127" applyFont="1" applyFill="1" applyBorder="1" applyAlignment="1">
      <alignment horizontal="left" vertical="center" wrapText="1"/>
    </xf>
    <xf numFmtId="49" fontId="155" fillId="0" borderId="184" xfId="1131" applyNumberFormat="1" applyFont="1" applyFill="1" applyBorder="1" applyAlignment="1">
      <alignment horizontal="left" vertical="center"/>
    </xf>
    <xf numFmtId="184" fontId="47" fillId="0" borderId="162" xfId="1131" applyNumberFormat="1" applyFont="1" applyFill="1" applyBorder="1" applyAlignment="1">
      <alignment horizontal="left" vertical="center" wrapText="1"/>
    </xf>
    <xf numFmtId="38" fontId="47" fillId="0" borderId="162" xfId="1127" applyNumberFormat="1" applyFont="1" applyFill="1" applyBorder="1" applyAlignment="1">
      <alignment horizontal="center" vertical="center"/>
    </xf>
    <xf numFmtId="40" fontId="156" fillId="0" borderId="162" xfId="1128" applyNumberFormat="1" applyFont="1" applyFill="1" applyBorder="1" applyAlignment="1">
      <alignment horizontal="center" vertical="center"/>
    </xf>
    <xf numFmtId="38" fontId="154" fillId="36" borderId="183" xfId="70" applyNumberFormat="1" applyFont="1" applyFill="1" applyBorder="1" applyAlignment="1">
      <alignment horizontal="center" vertical="center"/>
    </xf>
    <xf numFmtId="38" fontId="154" fillId="36" borderId="169" xfId="70" applyNumberFormat="1" applyFont="1" applyFill="1" applyBorder="1" applyAlignment="1">
      <alignment horizontal="center" vertical="center"/>
    </xf>
    <xf numFmtId="49" fontId="155" fillId="0" borderId="63" xfId="1131" applyNumberFormat="1" applyFont="1" applyFill="1" applyBorder="1" applyAlignment="1">
      <alignment horizontal="left" vertical="center"/>
    </xf>
    <xf numFmtId="184" fontId="47" fillId="0" borderId="73" xfId="1131" applyNumberFormat="1" applyFont="1" applyFill="1" applyBorder="1" applyAlignment="1">
      <alignment horizontal="left" vertical="center" wrapText="1"/>
    </xf>
    <xf numFmtId="38" fontId="154" fillId="0" borderId="162" xfId="1128" applyNumberFormat="1" applyFont="1" applyFill="1" applyBorder="1" applyAlignment="1">
      <alignment horizontal="center" vertical="center"/>
    </xf>
    <xf numFmtId="38" fontId="154" fillId="0" borderId="73" xfId="1128" applyNumberFormat="1" applyFont="1" applyFill="1" applyBorder="1" applyAlignment="1">
      <alignment horizontal="center" vertical="center"/>
    </xf>
    <xf numFmtId="49" fontId="163" fillId="0" borderId="51" xfId="1131" applyNumberFormat="1" applyFont="1" applyBorder="1" applyAlignment="1">
      <alignment horizontal="left" vertical="center"/>
    </xf>
    <xf numFmtId="49" fontId="155" fillId="0" borderId="51" xfId="1131" applyNumberFormat="1" applyFont="1" applyFill="1" applyBorder="1" applyAlignment="1">
      <alignment horizontal="left" vertical="center"/>
    </xf>
    <xf numFmtId="38" fontId="154" fillId="36" borderId="168" xfId="70" applyNumberFormat="1" applyFont="1" applyFill="1" applyBorder="1" applyAlignment="1">
      <alignment horizontal="center" vertical="center"/>
    </xf>
    <xf numFmtId="38" fontId="154" fillId="36" borderId="50" xfId="70" applyNumberFormat="1" applyFont="1" applyFill="1" applyBorder="1" applyAlignment="1">
      <alignment horizontal="center" vertical="center"/>
    </xf>
    <xf numFmtId="49" fontId="155" fillId="0" borderId="185" xfId="1131" applyNumberFormat="1" applyFont="1" applyFill="1" applyBorder="1" applyAlignment="1">
      <alignment horizontal="left" vertical="center"/>
    </xf>
    <xf numFmtId="184" fontId="47" fillId="0" borderId="138" xfId="1131" applyNumberFormat="1" applyFont="1" applyFill="1" applyBorder="1" applyAlignment="1">
      <alignment horizontal="left" vertical="center" wrapText="1"/>
    </xf>
    <xf numFmtId="38" fontId="154" fillId="0" borderId="138" xfId="1128" applyNumberFormat="1" applyFont="1" applyFill="1" applyBorder="1" applyAlignment="1">
      <alignment horizontal="center" vertical="center"/>
    </xf>
    <xf numFmtId="40" fontId="156" fillId="0" borderId="138" xfId="1128" applyNumberFormat="1" applyFont="1" applyFill="1" applyBorder="1" applyAlignment="1">
      <alignment horizontal="center" vertical="center"/>
    </xf>
    <xf numFmtId="38" fontId="154" fillId="0" borderId="186" xfId="70" applyNumberFormat="1" applyFont="1" applyFill="1" applyBorder="1" applyAlignment="1">
      <alignment horizontal="center" vertical="center"/>
    </xf>
    <xf numFmtId="38" fontId="154" fillId="0" borderId="72" xfId="70" applyNumberFormat="1" applyFont="1" applyFill="1" applyBorder="1" applyAlignment="1">
      <alignment horizontal="center" vertical="center"/>
    </xf>
    <xf numFmtId="227" fontId="164" fillId="0" borderId="50" xfId="1127" applyFont="1" applyFill="1" applyBorder="1" applyAlignment="1">
      <alignment horizontal="left" vertical="center" wrapText="1"/>
    </xf>
    <xf numFmtId="9" fontId="164" fillId="0" borderId="50" xfId="1129" applyFont="1" applyFill="1" applyBorder="1" applyAlignment="1">
      <alignment horizontal="left" vertical="center" wrapText="1"/>
    </xf>
    <xf numFmtId="9" fontId="164" fillId="0" borderId="168" xfId="1129" applyFont="1" applyFill="1" applyBorder="1" applyAlignment="1">
      <alignment horizontal="left" vertical="center" wrapText="1"/>
    </xf>
    <xf numFmtId="207" fontId="164" fillId="0" borderId="50" xfId="1129" applyNumberFormat="1" applyFont="1" applyFill="1" applyBorder="1" applyAlignment="1">
      <alignment horizontal="left" vertical="center" wrapText="1"/>
    </xf>
    <xf numFmtId="207" fontId="164" fillId="0" borderId="168" xfId="1129" applyNumberFormat="1" applyFont="1" applyFill="1" applyBorder="1" applyAlignment="1">
      <alignment horizontal="center" vertical="center" wrapText="1"/>
    </xf>
    <xf numFmtId="184" fontId="47" fillId="0" borderId="20" xfId="1131" applyNumberFormat="1" applyFont="1" applyFill="1" applyBorder="1" applyAlignment="1">
      <alignment horizontal="left" vertical="center"/>
    </xf>
    <xf numFmtId="184" fontId="47" fillId="0" borderId="182" xfId="1131" applyNumberFormat="1" applyFont="1" applyFill="1" applyBorder="1" applyAlignment="1">
      <alignment horizontal="left" vertical="center" wrapText="1"/>
    </xf>
    <xf numFmtId="38" fontId="154" fillId="0" borderId="182" xfId="1128" applyNumberFormat="1" applyFont="1" applyFill="1" applyBorder="1" applyAlignment="1">
      <alignment horizontal="center" vertical="center"/>
    </xf>
    <xf numFmtId="40" fontId="156" fillId="0" borderId="182" xfId="1128" applyNumberFormat="1" applyFont="1" applyFill="1" applyBorder="1" applyAlignment="1">
      <alignment horizontal="center" vertical="center"/>
    </xf>
    <xf numFmtId="38" fontId="154" fillId="0" borderId="21" xfId="70" applyNumberFormat="1" applyFont="1" applyFill="1" applyBorder="1" applyAlignment="1">
      <alignment horizontal="center" vertical="center"/>
    </xf>
    <xf numFmtId="207" fontId="164" fillId="0" borderId="50" xfId="1129" applyNumberFormat="1" applyFont="1" applyFill="1" applyBorder="1" applyAlignment="1">
      <alignment horizontal="center" vertical="center" wrapText="1"/>
    </xf>
    <xf numFmtId="49" fontId="165" fillId="0" borderId="51" xfId="1131" applyNumberFormat="1" applyFont="1" applyFill="1" applyBorder="1" applyAlignment="1">
      <alignment horizontal="left" vertical="center"/>
    </xf>
    <xf numFmtId="184" fontId="11" fillId="0" borderId="181" xfId="1131" applyNumberFormat="1" applyFont="1" applyFill="1" applyBorder="1" applyAlignment="1">
      <alignment horizontal="left" vertical="center" wrapText="1"/>
    </xf>
    <xf numFmtId="38" fontId="166" fillId="0" borderId="181" xfId="1128" applyNumberFormat="1" applyFont="1" applyFill="1" applyBorder="1" applyAlignment="1">
      <alignment horizontal="center" vertical="center"/>
    </xf>
    <xf numFmtId="40" fontId="166" fillId="0" borderId="181" xfId="1128" applyNumberFormat="1" applyFont="1" applyFill="1" applyBorder="1" applyAlignment="1">
      <alignment horizontal="center" vertical="center"/>
    </xf>
    <xf numFmtId="38" fontId="166" fillId="0" borderId="168" xfId="70" applyNumberFormat="1" applyFont="1" applyFill="1" applyBorder="1" applyAlignment="1">
      <alignment horizontal="center" vertical="center"/>
    </xf>
    <xf numFmtId="227" fontId="167" fillId="0" borderId="50" xfId="1127" applyFont="1" applyFill="1" applyBorder="1" applyAlignment="1">
      <alignment horizontal="left" vertical="center" wrapText="1"/>
    </xf>
    <xf numFmtId="9" fontId="167" fillId="0" borderId="169" xfId="1129" applyFont="1" applyFill="1" applyBorder="1" applyAlignment="1">
      <alignment horizontal="left" vertical="center" wrapText="1"/>
    </xf>
    <xf numFmtId="9" fontId="167" fillId="0" borderId="183" xfId="1129" applyFont="1" applyFill="1" applyBorder="1" applyAlignment="1">
      <alignment horizontal="left" vertical="center" wrapText="1"/>
    </xf>
    <xf numFmtId="227" fontId="165" fillId="0" borderId="168" xfId="1127" applyFont="1" applyFill="1" applyBorder="1" applyAlignment="1">
      <alignment horizontal="left" vertical="center"/>
    </xf>
    <xf numFmtId="227" fontId="168" fillId="0" borderId="50" xfId="1127" applyFont="1" applyFill="1" applyBorder="1" applyAlignment="1">
      <alignment horizontal="left" vertical="center"/>
    </xf>
    <xf numFmtId="207" fontId="167" fillId="0" borderId="50" xfId="1129" applyNumberFormat="1" applyFont="1" applyFill="1" applyBorder="1" applyAlignment="1">
      <alignment horizontal="left" vertical="center" wrapText="1"/>
    </xf>
    <xf numFmtId="184" fontId="155" fillId="0" borderId="51" xfId="1131" applyNumberFormat="1" applyFont="1" applyBorder="1" applyAlignment="1">
      <alignment horizontal="left" vertical="center"/>
    </xf>
    <xf numFmtId="184" fontId="155" fillId="0" borderId="51" xfId="1131" applyNumberFormat="1" applyFont="1" applyFill="1" applyBorder="1" applyAlignment="1">
      <alignment horizontal="left" vertical="center"/>
    </xf>
    <xf numFmtId="184" fontId="155" fillId="0" borderId="185" xfId="1131" applyNumberFormat="1" applyFont="1" applyFill="1" applyBorder="1" applyAlignment="1">
      <alignment horizontal="left" vertical="center"/>
    </xf>
    <xf numFmtId="40" fontId="169" fillId="0" borderId="181" xfId="1128" applyNumberFormat="1" applyFont="1" applyFill="1" applyBorder="1" applyAlignment="1">
      <alignment horizontal="center" vertical="center"/>
    </xf>
    <xf numFmtId="49" fontId="155" fillId="0" borderId="66" xfId="1131" applyNumberFormat="1" applyFont="1" applyBorder="1" applyAlignment="1">
      <alignment horizontal="left" vertical="center"/>
    </xf>
    <xf numFmtId="38" fontId="155" fillId="0" borderId="181" xfId="1127" applyNumberFormat="1" applyFont="1" applyFill="1" applyBorder="1" applyAlignment="1">
      <alignment horizontal="center" vertical="center"/>
    </xf>
    <xf numFmtId="38" fontId="163" fillId="0" borderId="181" xfId="1127" applyNumberFormat="1" applyFont="1" applyFill="1" applyBorder="1" applyAlignment="1">
      <alignment horizontal="center" vertical="center"/>
    </xf>
    <xf numFmtId="9" fontId="154" fillId="0" borderId="168" xfId="1129" applyFont="1" applyBorder="1" applyAlignment="1">
      <alignment horizontal="left" vertical="center" wrapText="1"/>
    </xf>
    <xf numFmtId="38" fontId="154" fillId="0" borderId="181" xfId="1127" applyNumberFormat="1" applyFont="1" applyFill="1" applyBorder="1" applyAlignment="1">
      <alignment horizontal="center" vertical="center"/>
    </xf>
    <xf numFmtId="49" fontId="155" fillId="0" borderId="20" xfId="1131" applyNumberFormat="1" applyFont="1" applyFill="1" applyBorder="1" applyAlignment="1">
      <alignment horizontal="left" vertical="center"/>
    </xf>
    <xf numFmtId="38" fontId="154" fillId="36" borderId="186" xfId="70" applyNumberFormat="1" applyFont="1" applyFill="1" applyBorder="1" applyAlignment="1">
      <alignment horizontal="center" vertical="center"/>
    </xf>
    <xf numFmtId="38" fontId="154" fillId="36" borderId="72" xfId="70" applyNumberFormat="1" applyFont="1" applyFill="1" applyBorder="1" applyAlignment="1">
      <alignment horizontal="center" vertical="center"/>
    </xf>
    <xf numFmtId="207" fontId="154" fillId="0" borderId="169" xfId="1129" applyNumberFormat="1" applyFont="1" applyFill="1" applyBorder="1" applyAlignment="1">
      <alignment horizontal="left" vertical="center" wrapText="1"/>
    </xf>
    <xf numFmtId="207" fontId="154" fillId="0" borderId="169" xfId="1129" applyNumberFormat="1" applyFont="1" applyFill="1" applyBorder="1" applyAlignment="1">
      <alignment horizontal="center" vertical="center" wrapText="1"/>
    </xf>
    <xf numFmtId="207" fontId="154" fillId="0" borderId="183" xfId="1129" applyNumberFormat="1" applyFont="1" applyFill="1" applyBorder="1" applyAlignment="1">
      <alignment horizontal="center" vertical="center" wrapText="1"/>
    </xf>
    <xf numFmtId="227" fontId="155" fillId="0" borderId="183" xfId="1127" applyFont="1" applyFill="1" applyBorder="1" applyAlignment="1">
      <alignment horizontal="left" vertical="center"/>
    </xf>
    <xf numFmtId="38" fontId="155" fillId="0" borderId="187" xfId="1127" applyNumberFormat="1" applyFont="1" applyFill="1" applyBorder="1" applyAlignment="1">
      <alignment horizontal="center" vertical="center"/>
    </xf>
    <xf numFmtId="40" fontId="156" fillId="0" borderId="187" xfId="1128" applyNumberFormat="1" applyFont="1" applyFill="1" applyBorder="1" applyAlignment="1">
      <alignment horizontal="center" vertical="center"/>
    </xf>
    <xf numFmtId="38" fontId="156" fillId="0" borderId="188" xfId="70" applyNumberFormat="1" applyFont="1" applyFill="1" applyBorder="1" applyAlignment="1">
      <alignment horizontal="center" vertical="center"/>
    </xf>
    <xf numFmtId="49" fontId="155" fillId="0" borderId="51" xfId="1128" applyNumberFormat="1" applyFont="1" applyFill="1" applyBorder="1" applyAlignment="1">
      <alignment horizontal="left" vertical="center"/>
    </xf>
    <xf numFmtId="227" fontId="155" fillId="0" borderId="54" xfId="1128" applyFont="1" applyFill="1" applyBorder="1" applyAlignment="1">
      <alignment horizontal="left" vertical="center"/>
    </xf>
    <xf numFmtId="3" fontId="155" fillId="0" borderId="181" xfId="1127" applyNumberFormat="1" applyFont="1" applyFill="1" applyBorder="1" applyAlignment="1">
      <alignment horizontal="center" vertical="center"/>
    </xf>
    <xf numFmtId="2" fontId="155" fillId="0" borderId="181" xfId="1127" applyNumberFormat="1" applyFont="1" applyFill="1" applyBorder="1" applyAlignment="1">
      <alignment horizontal="center" vertical="center"/>
    </xf>
    <xf numFmtId="49" fontId="155" fillId="0" borderId="184" xfId="1128" applyNumberFormat="1" applyFont="1" applyFill="1" applyBorder="1" applyAlignment="1">
      <alignment horizontal="left" vertical="center"/>
    </xf>
    <xf numFmtId="227" fontId="155" fillId="0" borderId="181" xfId="1127" applyFont="1" applyFill="1" applyBorder="1" applyAlignment="1">
      <alignment horizontal="center" vertical="center"/>
    </xf>
    <xf numFmtId="38" fontId="154" fillId="0" borderId="168" xfId="70" applyNumberFormat="1" applyFont="1" applyFill="1" applyBorder="1" applyAlignment="1">
      <alignment horizontal="center" vertical="center"/>
    </xf>
    <xf numFmtId="38" fontId="154" fillId="0" borderId="50" xfId="70" applyNumberFormat="1" applyFont="1" applyFill="1" applyBorder="1" applyAlignment="1">
      <alignment horizontal="center" vertical="center"/>
    </xf>
    <xf numFmtId="49" fontId="155" fillId="0" borderId="66" xfId="1131" applyNumberFormat="1" applyFont="1" applyFill="1" applyBorder="1" applyAlignment="1">
      <alignment horizontal="left" vertical="center"/>
    </xf>
    <xf numFmtId="49" fontId="155" fillId="0" borderId="66" xfId="1128" applyNumberFormat="1" applyFont="1" applyFill="1" applyBorder="1" applyAlignment="1">
      <alignment horizontal="left" vertical="center"/>
    </xf>
    <xf numFmtId="38" fontId="155" fillId="0" borderId="54" xfId="1127" applyNumberFormat="1" applyFont="1" applyFill="1" applyBorder="1" applyAlignment="1">
      <alignment horizontal="center" vertical="center"/>
    </xf>
    <xf numFmtId="227" fontId="155" fillId="0" borderId="54" xfId="1127" applyFont="1" applyFill="1" applyBorder="1" applyAlignment="1">
      <alignment horizontal="center" vertical="center"/>
    </xf>
    <xf numFmtId="38" fontId="156" fillId="0" borderId="15" xfId="70" applyNumberFormat="1" applyFont="1" applyFill="1" applyBorder="1" applyAlignment="1">
      <alignment horizontal="center" vertical="center"/>
    </xf>
    <xf numFmtId="227" fontId="155" fillId="0" borderId="181" xfId="1128" applyFont="1" applyFill="1" applyBorder="1" applyAlignment="1">
      <alignment horizontal="left" vertical="center"/>
    </xf>
    <xf numFmtId="38" fontId="154" fillId="0" borderId="52" xfId="70" applyNumberFormat="1" applyFont="1" applyFill="1" applyBorder="1" applyAlignment="1">
      <alignment horizontal="center" vertical="center"/>
    </xf>
    <xf numFmtId="49" fontId="155" fillId="0" borderId="51" xfId="1127" applyNumberFormat="1" applyFont="1" applyBorder="1" applyAlignment="1">
      <alignment horizontal="left" vertical="center"/>
    </xf>
    <xf numFmtId="227" fontId="171" fillId="0" borderId="181" xfId="1127" applyFont="1" applyFill="1" applyBorder="1" applyAlignment="1">
      <alignment horizontal="left" vertical="center"/>
    </xf>
    <xf numFmtId="49" fontId="155" fillId="0" borderId="129" xfId="1127" applyNumberFormat="1" applyFont="1" applyBorder="1" applyAlignment="1">
      <alignment horizontal="left" vertical="center"/>
    </xf>
    <xf numFmtId="227" fontId="171" fillId="0" borderId="46" xfId="1127" applyFont="1" applyFill="1" applyBorder="1" applyAlignment="1">
      <alignment horizontal="left" vertical="center"/>
    </xf>
    <xf numFmtId="227" fontId="155" fillId="0" borderId="46" xfId="1127" applyFont="1" applyFill="1" applyBorder="1" applyAlignment="1">
      <alignment horizontal="center" vertical="center"/>
    </xf>
    <xf numFmtId="227" fontId="155" fillId="0" borderId="48" xfId="1127" applyFont="1" applyFill="1" applyBorder="1" applyAlignment="1">
      <alignment horizontal="center" vertical="center"/>
    </xf>
    <xf numFmtId="227" fontId="155" fillId="0" borderId="44" xfId="1127" applyFont="1" applyFill="1" applyBorder="1" applyAlignment="1">
      <alignment horizontal="center" vertical="center"/>
    </xf>
    <xf numFmtId="227" fontId="156" fillId="0" borderId="44" xfId="1127" applyFont="1" applyBorder="1" applyAlignment="1">
      <alignment horizontal="left" vertical="center" wrapText="1"/>
    </xf>
    <xf numFmtId="9" fontId="154" fillId="0" borderId="44" xfId="1129" applyFont="1" applyBorder="1" applyAlignment="1">
      <alignment horizontal="left" vertical="center" wrapText="1"/>
    </xf>
    <xf numFmtId="207" fontId="158" fillId="0" borderId="44" xfId="1129" applyNumberFormat="1" applyFont="1" applyFill="1" applyBorder="1" applyAlignment="1">
      <alignment horizontal="left" vertical="center" wrapText="1"/>
    </xf>
    <xf numFmtId="9" fontId="158" fillId="0" borderId="44" xfId="1129" applyFont="1" applyFill="1" applyBorder="1" applyAlignment="1">
      <alignment horizontal="center" vertical="center" wrapText="1"/>
    </xf>
    <xf numFmtId="9" fontId="154" fillId="0" borderId="189" xfId="1129" applyFont="1" applyFill="1" applyBorder="1" applyAlignment="1">
      <alignment horizontal="center" vertical="center" wrapText="1"/>
    </xf>
    <xf numFmtId="227" fontId="155" fillId="0" borderId="189" xfId="1127" applyFont="1" applyFill="1" applyBorder="1" applyAlignment="1">
      <alignment horizontal="left" vertical="center"/>
    </xf>
    <xf numFmtId="227" fontId="155" fillId="0" borderId="0" xfId="1127" applyFont="1" applyFill="1" applyBorder="1" applyAlignment="1">
      <alignment horizontal="center" vertical="center"/>
    </xf>
    <xf numFmtId="227" fontId="156" fillId="0" borderId="0" xfId="1127" applyFont="1" applyBorder="1" applyAlignment="1">
      <alignment horizontal="left" vertical="center" wrapText="1"/>
    </xf>
    <xf numFmtId="9" fontId="154" fillId="0" borderId="0" xfId="1129" applyFont="1" applyBorder="1" applyAlignment="1">
      <alignment horizontal="left" vertical="center" wrapText="1"/>
    </xf>
    <xf numFmtId="207" fontId="154" fillId="0" borderId="0" xfId="1129" applyNumberFormat="1" applyFont="1" applyFill="1" applyBorder="1" applyAlignment="1">
      <alignment horizontal="left" vertical="center" wrapText="1"/>
    </xf>
    <xf numFmtId="207" fontId="154" fillId="0" borderId="0" xfId="1129" applyNumberFormat="1" applyFont="1" applyFill="1" applyBorder="1" applyAlignment="1">
      <alignment horizontal="center" vertical="center" wrapText="1"/>
    </xf>
    <xf numFmtId="49" fontId="155" fillId="0" borderId="184" xfId="1127" applyNumberFormat="1" applyFont="1" applyBorder="1" applyAlignment="1">
      <alignment horizontal="left" vertical="center"/>
    </xf>
    <xf numFmtId="227" fontId="171" fillId="0" borderId="162" xfId="1127" applyFont="1" applyFill="1" applyBorder="1" applyAlignment="1">
      <alignment horizontal="left" vertical="center"/>
    </xf>
    <xf numFmtId="38" fontId="156" fillId="0" borderId="182" xfId="1128" applyNumberFormat="1" applyFont="1" applyFill="1" applyBorder="1" applyAlignment="1">
      <alignment horizontal="center" vertical="center"/>
    </xf>
    <xf numFmtId="38" fontId="156" fillId="0" borderId="183" xfId="70" applyNumberFormat="1" applyFont="1" applyFill="1" applyBorder="1" applyAlignment="1">
      <alignment horizontal="center" vertical="center"/>
    </xf>
    <xf numFmtId="227" fontId="156" fillId="0" borderId="169" xfId="1127" applyFont="1" applyBorder="1" applyAlignment="1">
      <alignment horizontal="left" vertical="center" wrapText="1"/>
    </xf>
    <xf numFmtId="9" fontId="154" fillId="0" borderId="169" xfId="1129" applyFont="1" applyBorder="1" applyAlignment="1">
      <alignment horizontal="left" vertical="center" wrapText="1"/>
    </xf>
    <xf numFmtId="207" fontId="158" fillId="0" borderId="169" xfId="1129" applyNumberFormat="1" applyFont="1" applyFill="1" applyBorder="1" applyAlignment="1">
      <alignment horizontal="left" vertical="center" wrapText="1"/>
    </xf>
    <xf numFmtId="9" fontId="154" fillId="0" borderId="183" xfId="1129" applyFont="1" applyFill="1" applyBorder="1" applyAlignment="1">
      <alignment horizontal="center" vertical="center" wrapText="1"/>
    </xf>
    <xf numFmtId="179" fontId="10" fillId="0" borderId="0" xfId="241" applyAlignment="1">
      <alignment horizontal="center"/>
    </xf>
    <xf numFmtId="179" fontId="10" fillId="27" borderId="0" xfId="241" applyFill="1" applyAlignment="1" applyProtection="1">
      <alignment wrapText="1"/>
      <protection locked="0"/>
    </xf>
    <xf numFmtId="208" fontId="13" fillId="45" borderId="11" xfId="58" applyNumberFormat="1" applyFont="1" applyFill="1" applyBorder="1">
      <alignment vertical="center"/>
    </xf>
    <xf numFmtId="9" fontId="45" fillId="0" borderId="0" xfId="127" applyFont="1" applyFill="1" applyBorder="1" applyAlignment="1" applyProtection="1">
      <protection locked="0"/>
    </xf>
    <xf numFmtId="9" fontId="45" fillId="0" borderId="0" xfId="127" applyFont="1" applyFill="1" applyBorder="1" applyAlignment="1">
      <alignment horizontal="left"/>
    </xf>
    <xf numFmtId="9" fontId="45" fillId="0" borderId="0" xfId="127" applyFont="1" applyFill="1" applyBorder="1" applyAlignment="1"/>
    <xf numFmtId="9" fontId="47" fillId="0" borderId="157" xfId="127" applyFont="1" applyFill="1" applyBorder="1" applyAlignment="1">
      <alignment horizontal="right"/>
    </xf>
    <xf numFmtId="227" fontId="44" fillId="0" borderId="0" xfId="119" applyFont="1" applyFill="1" applyBorder="1" applyAlignment="1" applyProtection="1">
      <alignment horizontal="right"/>
      <protection locked="0"/>
    </xf>
    <xf numFmtId="180" fontId="45" fillId="0" borderId="0" xfId="120" applyNumberFormat="1" applyFont="1" applyFill="1" applyBorder="1" applyAlignment="1" applyProtection="1">
      <alignment horizontal="center"/>
      <protection locked="0"/>
    </xf>
    <xf numFmtId="179" fontId="0" fillId="0" borderId="0" xfId="281" applyFont="1"/>
    <xf numFmtId="179" fontId="0" fillId="0" borderId="0" xfId="281" applyFont="1" applyAlignment="1">
      <alignment horizontal="right"/>
    </xf>
    <xf numFmtId="183" fontId="9" fillId="0" borderId="0" xfId="475" applyNumberFormat="1" applyAlignment="1"/>
    <xf numFmtId="179" fontId="9" fillId="0" borderId="0" xfId="281" applyAlignment="1">
      <alignment horizontal="right"/>
    </xf>
    <xf numFmtId="9" fontId="9" fillId="0" borderId="0" xfId="1129" applyAlignment="1"/>
    <xf numFmtId="181" fontId="23" fillId="0" borderId="43" xfId="127" applyNumberFormat="1" applyFont="1" applyFill="1" applyBorder="1" applyAlignment="1" applyProtection="1">
      <alignment horizontal="center"/>
    </xf>
    <xf numFmtId="227" fontId="0" fillId="0" borderId="0" xfId="0" applyFont="1" applyFill="1" applyBorder="1" applyAlignment="1">
      <alignment horizontal="left" vertical="center"/>
    </xf>
    <xf numFmtId="10" fontId="44" fillId="0" borderId="0" xfId="127" applyNumberFormat="1" applyFont="1" applyFill="1" applyAlignment="1"/>
    <xf numFmtId="10" fontId="43" fillId="0" borderId="0" xfId="127" applyNumberFormat="1" applyFont="1" applyFill="1" applyAlignment="1">
      <alignment horizontal="left" vertical="center"/>
    </xf>
    <xf numFmtId="10" fontId="44" fillId="0" borderId="0" xfId="127" applyNumberFormat="1" applyFont="1" applyFill="1" applyBorder="1" applyAlignment="1"/>
    <xf numFmtId="10" fontId="45" fillId="0" borderId="0" xfId="127" applyNumberFormat="1" applyFont="1" applyFill="1" applyBorder="1" applyAlignment="1" applyProtection="1">
      <alignment horizontal="left"/>
      <protection locked="0"/>
    </xf>
    <xf numFmtId="10" fontId="23" fillId="0" borderId="0" xfId="119" applyNumberFormat="1" applyFont="1" applyFill="1" applyBorder="1"/>
    <xf numFmtId="10" fontId="132" fillId="0" borderId="0" xfId="119" applyNumberFormat="1" applyFont="1" applyFill="1" applyBorder="1" applyAlignment="1" applyProtection="1">
      <alignment horizontal="left" indent="2"/>
      <protection locked="0"/>
    </xf>
    <xf numFmtId="10" fontId="132" fillId="0" borderId="0" xfId="119" applyNumberFormat="1" applyFont="1" applyFill="1" applyBorder="1" applyAlignment="1">
      <alignment horizontal="left" indent="2"/>
    </xf>
    <xf numFmtId="10" fontId="73" fillId="0" borderId="0" xfId="127" applyNumberFormat="1" applyFont="1" applyFill="1" applyBorder="1" applyAlignment="1"/>
    <xf numFmtId="10" fontId="44" fillId="0" borderId="0" xfId="127" applyNumberFormat="1" applyFont="1" applyFill="1" applyBorder="1" applyAlignment="1" applyProtection="1">
      <protection locked="0"/>
    </xf>
    <xf numFmtId="10" fontId="44" fillId="0" borderId="23" xfId="127" applyNumberFormat="1" applyFont="1" applyFill="1" applyBorder="1" applyAlignment="1" applyProtection="1">
      <protection locked="0"/>
    </xf>
    <xf numFmtId="10" fontId="44" fillId="0" borderId="26" xfId="127" applyNumberFormat="1" applyFont="1" applyFill="1" applyBorder="1" applyAlignment="1"/>
    <xf numFmtId="10" fontId="44" fillId="0" borderId="23" xfId="127" applyNumberFormat="1" applyFont="1" applyFill="1" applyBorder="1" applyAlignment="1"/>
    <xf numFmtId="10" fontId="45" fillId="0" borderId="37" xfId="283" applyNumberFormat="1" applyFont="1" applyFill="1" applyBorder="1" applyAlignment="1">
      <alignment horizontal="center" vertical="center"/>
    </xf>
    <xf numFmtId="10" fontId="45" fillId="0" borderId="38" xfId="283" applyNumberFormat="1" applyFont="1" applyFill="1" applyBorder="1" applyAlignment="1">
      <alignment horizontal="center" vertical="center"/>
    </xf>
    <xf numFmtId="10" fontId="45" fillId="0" borderId="27" xfId="283" applyNumberFormat="1" applyFont="1" applyFill="1" applyBorder="1" applyAlignment="1">
      <alignment horizontal="center" vertical="center"/>
    </xf>
    <xf numFmtId="10" fontId="45" fillId="0" borderId="21" xfId="283" applyNumberFormat="1" applyFont="1" applyFill="1" applyBorder="1" applyAlignment="1">
      <alignment horizontal="center" vertical="center"/>
    </xf>
    <xf numFmtId="10" fontId="45" fillId="0" borderId="28" xfId="283" applyNumberFormat="1" applyFont="1" applyFill="1" applyBorder="1" applyAlignment="1">
      <alignment horizontal="center" vertical="center"/>
    </xf>
    <xf numFmtId="10" fontId="47" fillId="0" borderId="0" xfId="127" applyNumberFormat="1" applyFont="1" applyFill="1" applyBorder="1" applyAlignment="1">
      <alignment horizontal="right"/>
    </xf>
    <xf numFmtId="10" fontId="47" fillId="0" borderId="0" xfId="127" applyNumberFormat="1" applyFont="1" applyFill="1" applyBorder="1" applyAlignment="1"/>
    <xf numFmtId="10" fontId="44" fillId="0" borderId="0" xfId="127" applyNumberFormat="1" applyFont="1" applyAlignment="1"/>
    <xf numFmtId="10" fontId="44" fillId="0" borderId="0" xfId="127" applyNumberFormat="1" applyFont="1">
      <alignment vertical="center"/>
    </xf>
    <xf numFmtId="10" fontId="45" fillId="0" borderId="0" xfId="127" applyNumberFormat="1" applyFont="1" applyAlignment="1">
      <alignment horizontal="center"/>
    </xf>
    <xf numFmtId="10" fontId="44" fillId="0" borderId="27" xfId="127" applyNumberFormat="1" applyFont="1" applyFill="1" applyBorder="1" applyAlignment="1"/>
    <xf numFmtId="10" fontId="44" fillId="0" borderId="24" xfId="127" applyNumberFormat="1" applyFont="1" applyFill="1" applyBorder="1" applyAlignment="1"/>
    <xf numFmtId="10" fontId="45" fillId="0" borderId="28" xfId="127" applyNumberFormat="1" applyFont="1" applyFill="1" applyBorder="1" applyAlignment="1">
      <alignment horizontal="center" vertical="center"/>
    </xf>
    <xf numFmtId="10" fontId="45" fillId="0" borderId="27" xfId="127" applyNumberFormat="1" applyFont="1" applyFill="1" applyBorder="1" applyAlignment="1">
      <alignment horizontal="center" vertical="center"/>
    </xf>
    <xf numFmtId="227" fontId="45" fillId="0" borderId="21" xfId="119" applyFont="1" applyFill="1" applyBorder="1" applyProtection="1">
      <protection locked="0"/>
    </xf>
    <xf numFmtId="227" fontId="45" fillId="0" borderId="21" xfId="119" applyFont="1" applyFill="1" applyBorder="1" applyAlignment="1">
      <alignment horizontal="left"/>
    </xf>
    <xf numFmtId="227" fontId="45" fillId="0" borderId="21" xfId="119" applyFont="1" applyFill="1" applyBorder="1"/>
    <xf numFmtId="227" fontId="45" fillId="0" borderId="21" xfId="119" applyFont="1" applyFill="1" applyBorder="1" applyAlignment="1" applyProtection="1">
      <alignment horizontal="left"/>
      <protection locked="0"/>
    </xf>
    <xf numFmtId="227" fontId="73" fillId="0" borderId="21" xfId="119" applyFont="1" applyFill="1" applyBorder="1"/>
    <xf numFmtId="227" fontId="44" fillId="0" borderId="21" xfId="119" applyFont="1" applyFill="1" applyBorder="1" applyProtection="1">
      <protection locked="0"/>
    </xf>
    <xf numFmtId="227" fontId="44" fillId="0" borderId="24" xfId="119" applyFont="1" applyFill="1" applyBorder="1" applyProtection="1">
      <protection locked="0"/>
    </xf>
    <xf numFmtId="227" fontId="56" fillId="35" borderId="181" xfId="579" applyFont="1" applyFill="1" applyBorder="1" applyAlignment="1">
      <alignment horizontal="center" vertical="center" wrapText="1"/>
    </xf>
    <xf numFmtId="227" fontId="0" fillId="0" borderId="0" xfId="0" applyFont="1">
      <alignment vertical="center"/>
    </xf>
    <xf numFmtId="227" fontId="13" fillId="35" borderId="181" xfId="579" applyFont="1" applyFill="1" applyBorder="1" applyAlignment="1">
      <alignment horizontal="center" vertical="center" wrapText="1"/>
    </xf>
    <xf numFmtId="179" fontId="9" fillId="0" borderId="0" xfId="248" applyFont="1" applyProtection="1"/>
    <xf numFmtId="9" fontId="9" fillId="0" borderId="0" xfId="127" applyFont="1" applyAlignment="1" applyProtection="1"/>
    <xf numFmtId="179" fontId="9" fillId="0" borderId="0" xfId="248" applyFont="1" applyFill="1" applyProtection="1"/>
    <xf numFmtId="9" fontId="136" fillId="0" borderId="0" xfId="127" applyFont="1" applyAlignment="1" applyProtection="1"/>
    <xf numFmtId="183" fontId="0" fillId="0" borderId="0" xfId="58" applyNumberFormat="1" applyFont="1" applyAlignment="1">
      <alignment vertical="center"/>
    </xf>
    <xf numFmtId="183" fontId="0" fillId="0" borderId="0" xfId="58" applyNumberFormat="1" applyFont="1" applyAlignment="1"/>
    <xf numFmtId="183" fontId="23" fillId="0" borderId="0" xfId="58" applyNumberFormat="1" applyFont="1" applyAlignment="1"/>
    <xf numFmtId="9" fontId="44" fillId="0" borderId="0" xfId="1129" applyFont="1" applyFill="1" applyAlignment="1"/>
    <xf numFmtId="43" fontId="44" fillId="0" borderId="0" xfId="475" applyFont="1" applyFill="1" applyAlignment="1"/>
    <xf numFmtId="213" fontId="13" fillId="0" borderId="11" xfId="58" applyNumberFormat="1" applyFont="1" applyFill="1" applyBorder="1">
      <alignment vertical="center"/>
    </xf>
    <xf numFmtId="227" fontId="56" fillId="0" borderId="11" xfId="287" applyFont="1" applyFill="1" applyBorder="1" applyAlignment="1">
      <alignment horizontal="center" vertical="center"/>
    </xf>
    <xf numFmtId="209" fontId="56" fillId="0" borderId="11" xfId="287" applyNumberFormat="1" applyFont="1" applyFill="1" applyBorder="1" applyAlignment="1">
      <alignment horizontal="center" vertical="center"/>
    </xf>
    <xf numFmtId="181" fontId="45" fillId="0" borderId="27" xfId="248" applyNumberFormat="1" applyFont="1" applyFill="1" applyBorder="1" applyAlignment="1">
      <alignment horizontal="center" vertical="center"/>
    </xf>
    <xf numFmtId="181" fontId="45" fillId="0" borderId="160" xfId="248" applyNumberFormat="1" applyFont="1" applyFill="1" applyBorder="1" applyAlignment="1">
      <alignment horizontal="center" vertical="center"/>
    </xf>
    <xf numFmtId="177" fontId="9" fillId="0" borderId="0" xfId="475" applyNumberFormat="1" applyAlignment="1"/>
    <xf numFmtId="9" fontId="13" fillId="30" borderId="193" xfId="58" applyNumberFormat="1" applyFont="1" applyFill="1" applyBorder="1" applyAlignment="1" applyProtection="1">
      <alignment horizontal="center" vertical="center" wrapText="1"/>
      <protection locked="0"/>
    </xf>
    <xf numFmtId="179" fontId="56" fillId="0" borderId="11" xfId="284" applyFont="1" applyFill="1" applyBorder="1" applyAlignment="1">
      <alignment horizontal="center" vertical="center"/>
    </xf>
    <xf numFmtId="40" fontId="56" fillId="0" borderId="11" xfId="284" applyNumberFormat="1" applyFont="1" applyFill="1" applyBorder="1" applyAlignment="1">
      <alignment horizontal="center" vertical="center" wrapText="1"/>
    </xf>
    <xf numFmtId="183" fontId="56" fillId="47" borderId="11" xfId="58" applyNumberFormat="1" applyFont="1" applyFill="1" applyBorder="1" applyAlignment="1">
      <alignment horizontal="center" vertical="center"/>
    </xf>
    <xf numFmtId="179" fontId="56" fillId="47" borderId="11" xfId="284" applyFont="1" applyFill="1" applyBorder="1" applyAlignment="1">
      <alignment horizontal="center" vertical="center"/>
    </xf>
    <xf numFmtId="14" fontId="56" fillId="47" borderId="11" xfId="284" applyNumberFormat="1" applyFont="1" applyFill="1" applyBorder="1" applyAlignment="1">
      <alignment horizontal="center" vertical="center"/>
    </xf>
    <xf numFmtId="9" fontId="56" fillId="47" borderId="11" xfId="665" applyFont="1" applyFill="1" applyBorder="1" applyAlignment="1">
      <alignment horizontal="center" vertical="center"/>
    </xf>
    <xf numFmtId="227" fontId="56" fillId="0" borderId="11" xfId="287" applyFont="1" applyFill="1" applyBorder="1" applyAlignment="1">
      <alignment horizontal="center" vertical="center"/>
    </xf>
    <xf numFmtId="1" fontId="44" fillId="42" borderId="78" xfId="119" applyNumberFormat="1" applyFont="1" applyFill="1" applyBorder="1" applyAlignment="1">
      <alignment horizontal="center"/>
    </xf>
    <xf numFmtId="184" fontId="0" fillId="0" borderId="195" xfId="116" applyNumberFormat="1" applyFont="1" applyFill="1" applyBorder="1" applyAlignment="1">
      <alignment vertical="center" wrapText="1"/>
    </xf>
    <xf numFmtId="10" fontId="9" fillId="27" borderId="43" xfId="127" applyNumberFormat="1" applyFont="1" applyFill="1" applyBorder="1" applyAlignment="1" applyProtection="1">
      <alignment horizontal="center"/>
    </xf>
    <xf numFmtId="179" fontId="10" fillId="0" borderId="0" xfId="241" applyAlignment="1">
      <alignment horizontal="center"/>
    </xf>
    <xf numFmtId="179" fontId="10" fillId="27" borderId="0" xfId="241" applyFill="1" applyAlignment="1" applyProtection="1">
      <alignment wrapText="1"/>
      <protection locked="0"/>
    </xf>
    <xf numFmtId="3" fontId="44" fillId="0" borderId="0" xfId="127" applyNumberFormat="1" applyFont="1" applyFill="1" applyAlignment="1"/>
    <xf numFmtId="3" fontId="44" fillId="0" borderId="0" xfId="127" applyNumberFormat="1" applyFont="1" applyAlignment="1"/>
    <xf numFmtId="227" fontId="177" fillId="0" borderId="201" xfId="1570" applyFont="1" applyBorder="1" applyAlignment="1">
      <alignment vertical="center"/>
    </xf>
    <xf numFmtId="227" fontId="177" fillId="0" borderId="203" xfId="1570" applyFont="1" applyBorder="1" applyAlignment="1">
      <alignment vertical="center"/>
    </xf>
    <xf numFmtId="227" fontId="141" fillId="0" borderId="203" xfId="1570" applyFont="1" applyBorder="1"/>
    <xf numFmtId="43" fontId="141" fillId="0" borderId="203" xfId="1571" applyFont="1" applyBorder="1" applyAlignment="1"/>
    <xf numFmtId="183" fontId="141" fillId="0" borderId="203" xfId="1571" applyNumberFormat="1" applyFont="1" applyBorder="1" applyAlignment="1"/>
    <xf numFmtId="227" fontId="141" fillId="0" borderId="202" xfId="1570" applyFont="1" applyBorder="1"/>
    <xf numFmtId="43" fontId="0" fillId="0" borderId="0" xfId="1571" applyFont="1" applyAlignment="1"/>
    <xf numFmtId="227" fontId="3" fillId="0" borderId="0" xfId="1570"/>
    <xf numFmtId="227" fontId="178" fillId="58" borderId="202" xfId="1570" applyFont="1" applyFill="1" applyBorder="1" applyAlignment="1">
      <alignment horizontal="center" vertical="center"/>
    </xf>
    <xf numFmtId="227" fontId="178" fillId="58" borderId="200" xfId="1570" applyFont="1" applyFill="1" applyBorder="1" applyAlignment="1">
      <alignment horizontal="center" vertical="center"/>
    </xf>
    <xf numFmtId="43" fontId="178" fillId="52" borderId="200" xfId="1571" applyFont="1" applyFill="1" applyBorder="1" applyAlignment="1">
      <alignment horizontal="center" vertical="center" wrapText="1"/>
    </xf>
    <xf numFmtId="183" fontId="178" fillId="52" borderId="200" xfId="1571" applyNumberFormat="1" applyFont="1" applyFill="1" applyBorder="1" applyAlignment="1">
      <alignment horizontal="center" vertical="center" wrapText="1"/>
    </xf>
    <xf numFmtId="227" fontId="178" fillId="57" borderId="200" xfId="1570" applyFont="1" applyFill="1" applyBorder="1" applyAlignment="1">
      <alignment horizontal="center" vertical="center" wrapText="1"/>
    </xf>
    <xf numFmtId="183" fontId="178" fillId="57" borderId="200" xfId="1571" applyNumberFormat="1" applyFont="1" applyFill="1" applyBorder="1" applyAlignment="1">
      <alignment horizontal="center" vertical="center" wrapText="1"/>
    </xf>
    <xf numFmtId="227" fontId="178" fillId="58" borderId="200" xfId="1570" applyFont="1" applyFill="1" applyBorder="1" applyAlignment="1">
      <alignment horizontal="center" vertical="center" wrapText="1"/>
    </xf>
    <xf numFmtId="227" fontId="178" fillId="58" borderId="54" xfId="1570" applyFont="1" applyFill="1" applyBorder="1" applyAlignment="1">
      <alignment horizontal="center" vertical="center" wrapText="1"/>
    </xf>
    <xf numFmtId="227" fontId="85" fillId="49" borderId="200" xfId="1572" applyFont="1" applyFill="1" applyBorder="1" applyAlignment="1">
      <alignment vertical="center"/>
    </xf>
    <xf numFmtId="227" fontId="13" fillId="49" borderId="200" xfId="1572" applyFont="1" applyFill="1" applyBorder="1" applyAlignment="1">
      <alignment horizontal="center" vertical="center"/>
    </xf>
    <xf numFmtId="227" fontId="13" fillId="49" borderId="200" xfId="1572" applyFont="1" applyFill="1" applyBorder="1" applyAlignment="1">
      <alignment vertical="center"/>
    </xf>
    <xf numFmtId="184" fontId="13" fillId="49" borderId="200" xfId="1572" applyNumberFormat="1" applyFont="1" applyFill="1" applyBorder="1" applyAlignment="1">
      <alignment horizontal="center" vertical="center"/>
    </xf>
    <xf numFmtId="43" fontId="13" fillId="49" borderId="200" xfId="1571" applyFont="1" applyFill="1" applyBorder="1" applyAlignment="1">
      <alignment vertical="center"/>
    </xf>
    <xf numFmtId="183" fontId="13" fillId="49" borderId="200" xfId="1571" applyNumberFormat="1" applyFont="1" applyFill="1" applyBorder="1">
      <alignment vertical="center"/>
    </xf>
    <xf numFmtId="9" fontId="13" fillId="49" borderId="200" xfId="1573" applyFont="1" applyFill="1" applyBorder="1" applyAlignment="1">
      <alignment horizontal="center" vertical="center"/>
    </xf>
    <xf numFmtId="184" fontId="13" fillId="49" borderId="200" xfId="1572" applyNumberFormat="1" applyFont="1" applyFill="1" applyBorder="1" applyAlignment="1">
      <alignment vertical="center"/>
    </xf>
    <xf numFmtId="184" fontId="179" fillId="0" borderId="200" xfId="1574" applyNumberFormat="1" applyFont="1" applyFill="1" applyBorder="1" applyAlignment="1">
      <alignment vertical="center" wrapText="1"/>
    </xf>
    <xf numFmtId="9" fontId="13" fillId="0" borderId="200" xfId="1572" applyNumberFormat="1" applyFont="1" applyBorder="1" applyAlignment="1">
      <alignment horizontal="center" vertical="center"/>
    </xf>
    <xf numFmtId="10" fontId="13" fillId="0" borderId="200" xfId="1572" applyNumberFormat="1" applyFont="1" applyBorder="1" applyAlignment="1">
      <alignment horizontal="center" vertical="center"/>
    </xf>
    <xf numFmtId="3" fontId="13" fillId="0" borderId="200" xfId="1572" applyNumberFormat="1" applyFont="1" applyBorder="1" applyAlignment="1">
      <alignment vertical="center"/>
    </xf>
    <xf numFmtId="227" fontId="13" fillId="0" borderId="200" xfId="1572" applyFont="1" applyBorder="1" applyAlignment="1">
      <alignment horizontal="center" vertical="center"/>
    </xf>
    <xf numFmtId="184" fontId="13" fillId="0" borderId="200" xfId="1572" applyNumberFormat="1" applyFont="1" applyBorder="1" applyAlignment="1">
      <alignment horizontal="center" vertical="center"/>
    </xf>
    <xf numFmtId="43" fontId="13" fillId="0" borderId="200" xfId="1571" applyFont="1" applyBorder="1" applyAlignment="1">
      <alignment vertical="center"/>
    </xf>
    <xf numFmtId="183" fontId="13" fillId="0" borderId="200" xfId="1571" applyNumberFormat="1" applyFont="1" applyBorder="1">
      <alignment vertical="center"/>
    </xf>
    <xf numFmtId="9" fontId="13" fillId="0" borderId="200" xfId="1573" applyFont="1" applyBorder="1">
      <alignment vertical="center"/>
    </xf>
    <xf numFmtId="9" fontId="13" fillId="0" borderId="200" xfId="1573" applyFont="1" applyBorder="1" applyAlignment="1">
      <alignment horizontal="center" vertical="center"/>
    </xf>
    <xf numFmtId="184" fontId="13" fillId="0" borderId="200" xfId="1572" applyNumberFormat="1" applyFont="1" applyBorder="1" applyAlignment="1">
      <alignment vertical="center"/>
    </xf>
    <xf numFmtId="227" fontId="3" fillId="0" borderId="0" xfId="1570" applyFill="1"/>
    <xf numFmtId="43" fontId="180" fillId="0" borderId="0" xfId="1571" applyFont="1" applyAlignment="1"/>
    <xf numFmtId="227" fontId="180" fillId="0" borderId="0" xfId="1570" applyFont="1"/>
    <xf numFmtId="227" fontId="3" fillId="0" borderId="0" xfId="1570" applyFont="1"/>
    <xf numFmtId="227" fontId="3" fillId="0" borderId="0" xfId="1570" applyFont="1" applyFill="1"/>
    <xf numFmtId="227" fontId="149" fillId="0" borderId="0" xfId="1570" applyFont="1"/>
    <xf numFmtId="43" fontId="149" fillId="0" borderId="0" xfId="1571" applyFont="1" applyAlignment="1"/>
    <xf numFmtId="183" fontId="149" fillId="0" borderId="0" xfId="1571" applyNumberFormat="1" applyFont="1" applyAlignment="1"/>
    <xf numFmtId="183" fontId="0" fillId="0" borderId="0" xfId="1571" applyNumberFormat="1" applyFont="1" applyAlignment="1"/>
    <xf numFmtId="227" fontId="181" fillId="0" borderId="0" xfId="1575" applyFont="1" applyAlignment="1" applyProtection="1"/>
    <xf numFmtId="227" fontId="3" fillId="0" borderId="0" xfId="1576"/>
    <xf numFmtId="227" fontId="177" fillId="0" borderId="200" xfId="1576" applyFont="1" applyBorder="1" applyAlignment="1">
      <alignment vertical="center"/>
    </xf>
    <xf numFmtId="227" fontId="3" fillId="0" borderId="201" xfId="1576" applyBorder="1" applyAlignment="1"/>
    <xf numFmtId="227" fontId="3" fillId="0" borderId="203" xfId="1576" applyBorder="1" applyAlignment="1"/>
    <xf numFmtId="227" fontId="3" fillId="0" borderId="202" xfId="1576" applyBorder="1" applyAlignment="1"/>
    <xf numFmtId="227" fontId="183" fillId="0" borderId="200" xfId="1576" applyFont="1" applyBorder="1" applyAlignment="1">
      <alignment vertical="center"/>
    </xf>
    <xf numFmtId="227" fontId="183" fillId="0" borderId="200" xfId="1576" applyFont="1" applyBorder="1" applyAlignment="1">
      <alignment horizontal="center" vertical="center"/>
    </xf>
    <xf numFmtId="3" fontId="183" fillId="0" borderId="200" xfId="1576" applyNumberFormat="1" applyFont="1" applyFill="1" applyBorder="1" applyAlignment="1">
      <alignment vertical="center"/>
    </xf>
    <xf numFmtId="9" fontId="183" fillId="0" borderId="200" xfId="1577" applyFont="1" applyBorder="1" applyAlignment="1">
      <alignment horizontal="center" vertical="center"/>
    </xf>
    <xf numFmtId="227" fontId="183" fillId="0" borderId="200" xfId="1576" applyFont="1" applyBorder="1" applyAlignment="1">
      <alignment vertical="center" wrapText="1"/>
    </xf>
    <xf numFmtId="227" fontId="178" fillId="0" borderId="200" xfId="1576" applyFont="1" applyBorder="1" applyAlignment="1">
      <alignment vertical="center"/>
    </xf>
    <xf numFmtId="177" fontId="3" fillId="0" borderId="0" xfId="1570" applyNumberFormat="1" applyFont="1"/>
    <xf numFmtId="181" fontId="149" fillId="0" borderId="0" xfId="127" applyNumberFormat="1" applyFont="1" applyAlignment="1"/>
    <xf numFmtId="227" fontId="0" fillId="28" borderId="200" xfId="0" applyFill="1" applyBorder="1" applyAlignment="1">
      <alignment horizontal="center" vertical="center" wrapText="1"/>
    </xf>
    <xf numFmtId="179" fontId="23" fillId="0" borderId="200" xfId="242" applyFont="1" applyBorder="1" applyAlignment="1">
      <alignment horizontal="center" vertical="center"/>
    </xf>
    <xf numFmtId="179" fontId="55" fillId="0" borderId="200" xfId="242" applyFont="1" applyBorder="1" applyAlignment="1">
      <alignment horizontal="center" vertical="center" wrapText="1"/>
    </xf>
    <xf numFmtId="179" fontId="70" fillId="0" borderId="200" xfId="242" applyFont="1" applyFill="1" applyBorder="1" applyAlignment="1">
      <alignment vertical="center"/>
    </xf>
    <xf numFmtId="179" fontId="9" fillId="0" borderId="200" xfId="242" applyFont="1" applyFill="1" applyBorder="1" applyAlignment="1">
      <alignment horizontal="center" vertical="center"/>
    </xf>
    <xf numFmtId="15" fontId="9" fillId="0" borderId="200" xfId="242" applyNumberFormat="1" applyFont="1" applyFill="1" applyBorder="1" applyAlignment="1">
      <alignment horizontal="center" vertical="center"/>
    </xf>
    <xf numFmtId="179" fontId="0" fillId="0" borderId="200" xfId="242" applyFont="1" applyFill="1" applyBorder="1" applyAlignment="1">
      <alignment vertical="center" wrapText="1"/>
    </xf>
    <xf numFmtId="179" fontId="70" fillId="0" borderId="200" xfId="242" applyFont="1" applyFill="1" applyBorder="1" applyAlignment="1">
      <alignment vertical="center" wrapText="1"/>
    </xf>
    <xf numFmtId="179" fontId="70" fillId="0" borderId="200" xfId="242" applyFill="1" applyBorder="1" applyAlignment="1">
      <alignment vertical="center"/>
    </xf>
    <xf numFmtId="179" fontId="70" fillId="0" borderId="200" xfId="242" applyFont="1" applyFill="1" applyBorder="1" applyAlignment="1">
      <alignment horizontal="center" vertical="center"/>
    </xf>
    <xf numFmtId="15" fontId="70" fillId="0" borderId="200" xfId="242" applyNumberFormat="1" applyFont="1" applyFill="1" applyBorder="1" applyAlignment="1">
      <alignment horizontal="center" vertical="center"/>
    </xf>
    <xf numFmtId="227" fontId="192" fillId="59" borderId="0" xfId="1919" applyFont="1" applyFill="1" applyAlignment="1">
      <alignment horizontal="left" vertical="center"/>
    </xf>
    <xf numFmtId="49" fontId="192" fillId="59" borderId="0" xfId="1919" applyNumberFormat="1" applyFont="1" applyFill="1" applyAlignment="1">
      <alignment horizontal="left" vertical="center"/>
    </xf>
    <xf numFmtId="227" fontId="192" fillId="0" borderId="0" xfId="1919" applyFont="1" applyFill="1" applyAlignment="1">
      <alignment horizontal="left" vertical="center"/>
    </xf>
    <xf numFmtId="227" fontId="141" fillId="0" borderId="0" xfId="1800" applyFont="1">
      <alignment vertical="center"/>
    </xf>
    <xf numFmtId="227" fontId="149" fillId="46" borderId="0" xfId="1919" applyFont="1" applyFill="1"/>
    <xf numFmtId="227" fontId="168" fillId="46" borderId="0" xfId="1919" applyFont="1" applyFill="1"/>
    <xf numFmtId="227" fontId="168" fillId="46" borderId="0" xfId="1919" applyFont="1" applyFill="1" applyAlignment="1">
      <alignment horizontal="left"/>
    </xf>
    <xf numFmtId="49" fontId="168" fillId="46" borderId="0" xfId="1919" applyNumberFormat="1" applyFont="1" applyFill="1"/>
    <xf numFmtId="227" fontId="168" fillId="0" borderId="0" xfId="1919" applyFont="1" applyFill="1"/>
    <xf numFmtId="227" fontId="168" fillId="0" borderId="0" xfId="1919" applyFont="1"/>
    <xf numFmtId="227" fontId="168" fillId="0" borderId="0" xfId="1919" applyFont="1" applyAlignment="1">
      <alignment horizontal="left"/>
    </xf>
    <xf numFmtId="227" fontId="193" fillId="60" borderId="193" xfId="1800" applyFont="1" applyFill="1" applyBorder="1" applyAlignment="1">
      <alignment horizontal="center" vertical="center" wrapText="1"/>
    </xf>
    <xf numFmtId="227" fontId="193" fillId="60" borderId="193" xfId="1800" applyFont="1" applyFill="1" applyBorder="1" applyAlignment="1">
      <alignment horizontal="left" vertical="center" wrapText="1"/>
    </xf>
    <xf numFmtId="49" fontId="193" fillId="60" borderId="193" xfId="1800" applyNumberFormat="1" applyFont="1" applyFill="1" applyBorder="1" applyAlignment="1">
      <alignment horizontal="center" vertical="center" wrapText="1"/>
    </xf>
    <xf numFmtId="227" fontId="193" fillId="60" borderId="198" xfId="1800" applyFont="1" applyFill="1" applyBorder="1" applyAlignment="1">
      <alignment horizontal="center" vertical="center" wrapText="1"/>
    </xf>
    <xf numFmtId="227" fontId="141" fillId="0" borderId="0" xfId="1800" applyFont="1" applyAlignment="1"/>
    <xf numFmtId="49" fontId="152" fillId="0" borderId="200" xfId="1800" applyNumberFormat="1" applyFont="1" applyBorder="1" applyAlignment="1">
      <alignment vertical="center" wrapText="1"/>
    </xf>
    <xf numFmtId="222" fontId="152" fillId="0" borderId="200" xfId="1800" applyNumberFormat="1" applyFont="1" applyBorder="1" applyAlignment="1">
      <alignment horizontal="left" vertical="center" wrapText="1"/>
    </xf>
    <xf numFmtId="49" fontId="152" fillId="0" borderId="200" xfId="1800" applyNumberFormat="1" applyFont="1" applyBorder="1" applyAlignment="1">
      <alignment horizontal="center" vertical="center" wrapText="1"/>
    </xf>
    <xf numFmtId="49" fontId="152" fillId="0" borderId="200" xfId="1800" quotePrefix="1" applyNumberFormat="1" applyFont="1" applyBorder="1" applyAlignment="1">
      <alignment vertical="center" wrapText="1"/>
    </xf>
    <xf numFmtId="227" fontId="168" fillId="0" borderId="0" xfId="1919" applyFont="1" applyAlignment="1">
      <alignment wrapText="1"/>
    </xf>
    <xf numFmtId="183" fontId="168" fillId="0" borderId="0" xfId="1700" applyNumberFormat="1" applyFont="1" applyAlignment="1"/>
    <xf numFmtId="227" fontId="168" fillId="0" borderId="0" xfId="1919" applyFont="1" applyAlignment="1">
      <alignment horizontal="left" wrapText="1"/>
    </xf>
    <xf numFmtId="49" fontId="168" fillId="0" borderId="0" xfId="1919" applyNumberFormat="1" applyFont="1" applyAlignment="1">
      <alignment wrapText="1"/>
    </xf>
    <xf numFmtId="227" fontId="168" fillId="0" borderId="0" xfId="1919" applyFont="1" applyFill="1" applyAlignment="1">
      <alignment wrapText="1"/>
    </xf>
    <xf numFmtId="227" fontId="141" fillId="0" borderId="0" xfId="1800" applyFont="1" applyAlignment="1">
      <alignment horizontal="left" vertical="center"/>
    </xf>
    <xf numFmtId="227" fontId="141" fillId="0" borderId="0" xfId="1800" applyFont="1" applyFill="1">
      <alignment vertical="center"/>
    </xf>
    <xf numFmtId="179" fontId="0" fillId="0" borderId="200" xfId="242" applyFont="1" applyFill="1" applyBorder="1" applyAlignment="1">
      <alignment vertical="center"/>
    </xf>
    <xf numFmtId="227" fontId="0" fillId="0" borderId="200" xfId="119" applyFont="1" applyFill="1" applyBorder="1"/>
    <xf numFmtId="227" fontId="20" fillId="0" borderId="200" xfId="0" applyFont="1" applyFill="1" applyBorder="1" applyAlignment="1">
      <alignment vertical="center"/>
    </xf>
    <xf numFmtId="184" fontId="0" fillId="0" borderId="200" xfId="116" applyNumberFormat="1" applyFont="1" applyFill="1" applyBorder="1" applyAlignment="1">
      <alignment horizontal="left" vertical="center"/>
    </xf>
    <xf numFmtId="184" fontId="23" fillId="0" borderId="200" xfId="116" applyNumberFormat="1" applyFont="1" applyFill="1" applyBorder="1" applyAlignment="1">
      <alignment horizontal="center" vertical="center" wrapText="1"/>
    </xf>
    <xf numFmtId="227" fontId="20" fillId="0" borderId="200" xfId="0" applyFont="1" applyFill="1" applyBorder="1" applyAlignment="1">
      <alignment horizontal="center" vertical="center"/>
    </xf>
    <xf numFmtId="38" fontId="23" fillId="0" borderId="199" xfId="70" applyNumberFormat="1" applyFont="1" applyFill="1" applyBorder="1" applyAlignment="1">
      <alignment horizontal="center" vertical="center"/>
    </xf>
    <xf numFmtId="179" fontId="0" fillId="0" borderId="200" xfId="248" applyFont="1" applyFill="1" applyBorder="1" applyAlignment="1" applyProtection="1">
      <alignment wrapText="1"/>
    </xf>
    <xf numFmtId="179" fontId="136" fillId="0" borderId="0" xfId="248" applyFont="1" applyBorder="1" applyProtection="1"/>
    <xf numFmtId="183" fontId="0" fillId="0" borderId="0" xfId="58" applyNumberFormat="1" applyFont="1">
      <alignment vertical="center"/>
    </xf>
    <xf numFmtId="43" fontId="141" fillId="0" borderId="0" xfId="1700" applyFont="1">
      <alignment vertical="center"/>
    </xf>
    <xf numFmtId="38" fontId="13" fillId="0" borderId="192" xfId="1800" applyNumberFormat="1" applyFont="1" applyBorder="1" applyAlignment="1">
      <alignment horizontal="right" vertical="center"/>
    </xf>
    <xf numFmtId="208" fontId="13" fillId="27" borderId="192" xfId="1700" applyNumberFormat="1" applyFont="1" applyFill="1" applyBorder="1">
      <alignment vertical="center"/>
    </xf>
    <xf numFmtId="227" fontId="13" fillId="0" borderId="192" xfId="1800" applyFont="1" applyBorder="1" applyAlignment="1">
      <alignment horizontal="left" vertical="center"/>
    </xf>
    <xf numFmtId="227" fontId="13" fillId="0" borderId="192" xfId="1800" applyFont="1" applyBorder="1" applyAlignment="1">
      <alignment horizontal="center" vertical="center"/>
    </xf>
    <xf numFmtId="227" fontId="186" fillId="0" borderId="0" xfId="1800">
      <alignment vertical="center"/>
    </xf>
    <xf numFmtId="227" fontId="13" fillId="0" borderId="0" xfId="1800" applyFont="1" applyFill="1" applyBorder="1" applyAlignment="1">
      <alignment horizontal="left" vertical="center"/>
    </xf>
    <xf numFmtId="183" fontId="141" fillId="0" borderId="0" xfId="1700" applyNumberFormat="1" applyFont="1">
      <alignment vertical="center"/>
    </xf>
    <xf numFmtId="183" fontId="141" fillId="0" borderId="0" xfId="58" applyNumberFormat="1" applyFont="1" applyAlignment="1"/>
    <xf numFmtId="183" fontId="141" fillId="0" borderId="0" xfId="58" applyNumberFormat="1" applyFont="1">
      <alignment vertical="center"/>
    </xf>
    <xf numFmtId="183" fontId="141" fillId="43" borderId="0" xfId="58" applyNumberFormat="1" applyFont="1" applyFill="1" applyAlignment="1"/>
    <xf numFmtId="49" fontId="152" fillId="0" borderId="0" xfId="1800" applyNumberFormat="1" applyFont="1" applyBorder="1" applyAlignment="1">
      <alignment vertical="center" wrapText="1"/>
    </xf>
    <xf numFmtId="227" fontId="193" fillId="0" borderId="0" xfId="1800" applyFont="1" applyFill="1" applyBorder="1" applyAlignment="1">
      <alignment horizontal="center" vertical="center" wrapText="1"/>
    </xf>
    <xf numFmtId="49" fontId="152" fillId="0" borderId="0" xfId="1800" applyNumberFormat="1" applyFont="1" applyFill="1" applyBorder="1" applyAlignment="1">
      <alignment vertical="center" wrapText="1"/>
    </xf>
    <xf numFmtId="9" fontId="13" fillId="30" borderId="162" xfId="58" applyNumberFormat="1" applyFont="1" applyFill="1" applyBorder="1" applyAlignment="1" applyProtection="1">
      <alignment horizontal="center" vertical="center" wrapText="1"/>
      <protection locked="0"/>
    </xf>
    <xf numFmtId="43" fontId="56" fillId="47" borderId="192" xfId="58" applyFont="1" applyFill="1" applyBorder="1" applyAlignment="1">
      <alignment horizontal="center" vertical="center" wrapText="1"/>
    </xf>
    <xf numFmtId="183" fontId="0" fillId="0" borderId="0" xfId="58" applyNumberFormat="1" applyFont="1" applyFill="1" applyAlignment="1">
      <alignment horizontal="center" vertical="center"/>
    </xf>
    <xf numFmtId="183" fontId="13" fillId="40" borderId="11" xfId="58" applyNumberFormat="1" applyFont="1" applyFill="1" applyBorder="1" applyAlignment="1">
      <alignment horizontal="center" vertical="center" wrapText="1"/>
    </xf>
    <xf numFmtId="183" fontId="0" fillId="0" borderId="158" xfId="58" applyNumberFormat="1" applyFont="1" applyFill="1" applyBorder="1" applyAlignment="1">
      <alignment horizontal="center" vertical="center"/>
    </xf>
    <xf numFmtId="184" fontId="17" fillId="0" borderId="67" xfId="116" applyNumberFormat="1" applyFont="1" applyFill="1" applyBorder="1" applyAlignment="1">
      <alignment vertical="center" wrapText="1"/>
    </xf>
    <xf numFmtId="227" fontId="85" fillId="49" borderId="0" xfId="1572" applyFont="1" applyFill="1" applyBorder="1" applyAlignment="1">
      <alignment vertical="center"/>
    </xf>
    <xf numFmtId="227" fontId="13" fillId="49" borderId="0" xfId="1572" applyFont="1" applyFill="1" applyBorder="1" applyAlignment="1">
      <alignment horizontal="center" vertical="center"/>
    </xf>
    <xf numFmtId="227" fontId="13" fillId="49" borderId="0" xfId="1572" applyFont="1" applyFill="1" applyBorder="1" applyAlignment="1">
      <alignment vertical="center"/>
    </xf>
    <xf numFmtId="184" fontId="13" fillId="49" borderId="0" xfId="1572" applyNumberFormat="1" applyFont="1" applyFill="1" applyBorder="1" applyAlignment="1">
      <alignment horizontal="center" vertical="center"/>
    </xf>
    <xf numFmtId="43" fontId="13" fillId="49" borderId="0" xfId="1571" applyFont="1" applyFill="1" applyBorder="1" applyAlignment="1">
      <alignment vertical="center"/>
    </xf>
    <xf numFmtId="183" fontId="13" fillId="49" borderId="0" xfId="1571" applyNumberFormat="1" applyFont="1" applyFill="1" applyBorder="1">
      <alignment vertical="center"/>
    </xf>
    <xf numFmtId="9" fontId="13" fillId="49" borderId="0" xfId="1573" applyFont="1" applyFill="1" applyBorder="1" applyAlignment="1">
      <alignment horizontal="center" vertical="center"/>
    </xf>
    <xf numFmtId="184" fontId="13" fillId="49" borderId="0" xfId="1572" applyNumberFormat="1" applyFont="1" applyFill="1" applyBorder="1" applyAlignment="1">
      <alignment vertical="center"/>
    </xf>
    <xf numFmtId="49" fontId="152" fillId="0" borderId="192" xfId="1800" applyNumberFormat="1" applyFont="1" applyBorder="1" applyAlignment="1">
      <alignment vertical="center" wrapText="1"/>
    </xf>
    <xf numFmtId="49" fontId="152" fillId="0" borderId="192" xfId="1800" applyNumberFormat="1" applyFont="1" applyBorder="1" applyAlignment="1">
      <alignment horizontal="center" vertical="center" wrapText="1"/>
    </xf>
    <xf numFmtId="227" fontId="152" fillId="0" borderId="192" xfId="0" applyFont="1" applyFill="1" applyBorder="1" applyAlignment="1">
      <alignment vertical="center" wrapText="1"/>
    </xf>
    <xf numFmtId="49" fontId="152" fillId="0" borderId="192" xfId="0" applyNumberFormat="1" applyFont="1" applyFill="1" applyBorder="1" applyAlignment="1">
      <alignment vertical="center" wrapText="1"/>
    </xf>
    <xf numFmtId="49" fontId="152" fillId="0" borderId="192" xfId="0" applyNumberFormat="1" applyFont="1" applyFill="1" applyBorder="1" applyAlignment="1">
      <alignment horizontal="center" vertical="center" wrapText="1"/>
    </xf>
    <xf numFmtId="222" fontId="152" fillId="0" borderId="192" xfId="1800" applyNumberFormat="1" applyFont="1" applyBorder="1" applyAlignment="1">
      <alignment horizontal="left" vertical="center" wrapText="1"/>
    </xf>
    <xf numFmtId="208" fontId="141" fillId="0" borderId="0" xfId="58" applyNumberFormat="1" applyFont="1">
      <alignment vertical="center"/>
    </xf>
    <xf numFmtId="179" fontId="45" fillId="0" borderId="28" xfId="248" applyFont="1" applyFill="1" applyBorder="1"/>
    <xf numFmtId="197" fontId="45" fillId="0" borderId="25" xfId="119" applyNumberFormat="1" applyFont="1" applyFill="1" applyBorder="1" applyAlignment="1">
      <alignment horizontal="right" vertical="center"/>
    </xf>
    <xf numFmtId="197" fontId="45" fillId="0" borderId="9" xfId="119" applyNumberFormat="1" applyFont="1" applyFill="1" applyBorder="1" applyAlignment="1">
      <alignment horizontal="right" vertical="center"/>
    </xf>
    <xf numFmtId="43" fontId="45" fillId="0" borderId="9" xfId="58" applyFont="1" applyFill="1" applyBorder="1" applyAlignment="1">
      <alignment horizontal="center" vertical="center"/>
    </xf>
    <xf numFmtId="10" fontId="45" fillId="0" borderId="9" xfId="127" applyNumberFormat="1" applyFont="1" applyFill="1" applyBorder="1" applyAlignment="1">
      <alignment horizontal="center" vertical="center"/>
    </xf>
    <xf numFmtId="43" fontId="45" fillId="0" borderId="9" xfId="282" applyFont="1" applyFill="1" applyBorder="1" applyAlignment="1">
      <alignment horizontal="center" vertical="center"/>
    </xf>
    <xf numFmtId="10" fontId="45" fillId="0" borderId="9" xfId="283" applyNumberFormat="1" applyFont="1" applyFill="1" applyBorder="1" applyAlignment="1">
      <alignment horizontal="center" vertical="center"/>
    </xf>
    <xf numFmtId="9" fontId="45" fillId="0" borderId="9" xfId="127" applyFont="1" applyFill="1" applyBorder="1" applyAlignment="1">
      <alignment horizontal="center" vertical="center"/>
    </xf>
    <xf numFmtId="181" fontId="45" fillId="0" borderId="9" xfId="70" applyNumberFormat="1" applyFont="1" applyFill="1" applyBorder="1" applyAlignment="1">
      <alignment horizontal="center" vertical="center"/>
    </xf>
    <xf numFmtId="3" fontId="45" fillId="0" borderId="9" xfId="119" applyNumberFormat="1" applyFont="1" applyFill="1" applyBorder="1" applyAlignment="1">
      <alignment horizontal="center" vertical="center"/>
    </xf>
    <xf numFmtId="9" fontId="45" fillId="0" borderId="9" xfId="248" applyNumberFormat="1" applyFont="1" applyFill="1" applyBorder="1" applyAlignment="1">
      <alignment horizontal="center" vertical="center"/>
    </xf>
    <xf numFmtId="179" fontId="45" fillId="0" borderId="9" xfId="248" applyFont="1" applyFill="1" applyBorder="1" applyAlignment="1">
      <alignment horizontal="right"/>
    </xf>
    <xf numFmtId="3" fontId="45" fillId="0" borderId="40" xfId="248" applyNumberFormat="1" applyFont="1" applyFill="1" applyBorder="1" applyAlignment="1">
      <alignment horizontal="center" vertical="center"/>
    </xf>
    <xf numFmtId="3" fontId="45" fillId="0" borderId="9" xfId="248" applyNumberFormat="1" applyFont="1" applyFill="1" applyBorder="1" applyAlignment="1">
      <alignment horizontal="center" vertical="center"/>
    </xf>
    <xf numFmtId="3" fontId="45" fillId="0" borderId="6" xfId="248" applyNumberFormat="1" applyFont="1" applyFill="1" applyBorder="1" applyAlignment="1">
      <alignment horizontal="center" vertical="center"/>
    </xf>
    <xf numFmtId="10" fontId="45" fillId="0" borderId="37" xfId="127" applyNumberFormat="1" applyFont="1" applyFill="1" applyBorder="1" applyAlignment="1">
      <alignment horizontal="center" vertical="center"/>
    </xf>
    <xf numFmtId="9" fontId="45" fillId="0" borderId="37" xfId="127" applyFont="1" applyFill="1" applyBorder="1" applyAlignment="1">
      <alignment horizontal="center" vertical="center"/>
    </xf>
    <xf numFmtId="9" fontId="45" fillId="0" borderId="37" xfId="248" applyNumberFormat="1" applyFont="1" applyFill="1" applyBorder="1" applyAlignment="1">
      <alignment horizontal="center" vertical="center"/>
    </xf>
    <xf numFmtId="3" fontId="45" fillId="0" borderId="204" xfId="70" applyNumberFormat="1" applyFont="1" applyFill="1" applyBorder="1" applyAlignment="1">
      <alignment horizontal="center" vertical="center"/>
    </xf>
    <xf numFmtId="181" fontId="45" fillId="0" borderId="28" xfId="283" applyNumberFormat="1" applyFont="1" applyFill="1" applyBorder="1" applyAlignment="1">
      <alignment horizontal="center" vertical="center"/>
    </xf>
    <xf numFmtId="181" fontId="45" fillId="0" borderId="28" xfId="127" applyNumberFormat="1" applyFont="1" applyFill="1" applyBorder="1" applyAlignment="1">
      <alignment horizontal="center" vertical="center"/>
    </xf>
    <xf numFmtId="227" fontId="45" fillId="0" borderId="9" xfId="119" applyFont="1" applyFill="1" applyBorder="1" applyAlignment="1">
      <alignment horizontal="right" vertical="center"/>
    </xf>
    <xf numFmtId="181" fontId="45" fillId="0" borderId="9" xfId="248" applyNumberFormat="1" applyFont="1" applyFill="1" applyBorder="1" applyAlignment="1">
      <alignment horizontal="center" vertical="center"/>
    </xf>
    <xf numFmtId="179" fontId="44" fillId="0" borderId="27" xfId="248" applyFont="1" applyFill="1" applyBorder="1"/>
    <xf numFmtId="179" fontId="44" fillId="0" borderId="21" xfId="248" applyFont="1" applyFill="1" applyBorder="1"/>
    <xf numFmtId="179" fontId="44" fillId="0" borderId="28" xfId="248" applyFont="1" applyFill="1" applyBorder="1"/>
    <xf numFmtId="179" fontId="44" fillId="0" borderId="39" xfId="248" applyFont="1" applyFill="1" applyBorder="1"/>
    <xf numFmtId="10" fontId="44" fillId="0" borderId="21" xfId="127" applyNumberFormat="1" applyFont="1" applyFill="1" applyBorder="1" applyAlignment="1"/>
    <xf numFmtId="10" fontId="44" fillId="0" borderId="28" xfId="127" applyNumberFormat="1" applyFont="1" applyFill="1" applyBorder="1" applyAlignment="1"/>
    <xf numFmtId="179" fontId="44" fillId="0" borderId="49" xfId="248" applyFont="1" applyFill="1" applyBorder="1"/>
    <xf numFmtId="179" fontId="44" fillId="0" borderId="204" xfId="248" applyFont="1" applyFill="1" applyBorder="1"/>
    <xf numFmtId="179" fontId="44" fillId="0" borderId="30" xfId="248" applyFont="1" applyFill="1" applyBorder="1"/>
    <xf numFmtId="9" fontId="44" fillId="0" borderId="25" xfId="127" applyFont="1" applyFill="1" applyBorder="1" applyAlignment="1"/>
    <xf numFmtId="9" fontId="44" fillId="0" borderId="20" xfId="127" applyFont="1" applyFill="1" applyBorder="1" applyAlignment="1"/>
    <xf numFmtId="9" fontId="44" fillId="0" borderId="39" xfId="127" applyFont="1" applyFill="1" applyBorder="1" applyAlignment="1"/>
    <xf numFmtId="9" fontId="44" fillId="0" borderId="27" xfId="127" applyFont="1" applyFill="1" applyBorder="1" applyAlignment="1"/>
    <xf numFmtId="9" fontId="44" fillId="0" borderId="21" xfId="127" applyFont="1" applyFill="1" applyBorder="1" applyAlignment="1"/>
    <xf numFmtId="9" fontId="44" fillId="0" borderId="28" xfId="127" applyFont="1" applyFill="1" applyBorder="1" applyAlignment="1"/>
    <xf numFmtId="10" fontId="44" fillId="0" borderId="36" xfId="127" applyNumberFormat="1" applyFont="1" applyFill="1" applyBorder="1" applyAlignment="1"/>
    <xf numFmtId="10" fontId="44" fillId="0" borderId="37" xfId="127" applyNumberFormat="1" applyFont="1" applyFill="1" applyBorder="1" applyAlignment="1"/>
    <xf numFmtId="10" fontId="44" fillId="0" borderId="41" xfId="127" applyNumberFormat="1" applyFont="1" applyFill="1" applyBorder="1" applyAlignment="1"/>
    <xf numFmtId="9" fontId="44" fillId="0" borderId="31" xfId="127" applyFont="1" applyFill="1" applyBorder="1" applyAlignment="1"/>
    <xf numFmtId="9" fontId="44" fillId="0" borderId="33" xfId="127" applyFont="1" applyFill="1" applyBorder="1" applyAlignment="1"/>
    <xf numFmtId="9" fontId="44" fillId="0" borderId="29" xfId="127" applyFont="1" applyFill="1" applyBorder="1" applyAlignment="1"/>
    <xf numFmtId="179" fontId="44" fillId="0" borderId="31" xfId="248" applyFont="1" applyFill="1" applyBorder="1"/>
    <xf numFmtId="179" fontId="44" fillId="0" borderId="33" xfId="248" applyFont="1" applyFill="1" applyBorder="1"/>
    <xf numFmtId="179" fontId="44" fillId="0" borderId="29" xfId="248" applyFont="1" applyFill="1" applyBorder="1"/>
    <xf numFmtId="227" fontId="44" fillId="0" borderId="28" xfId="119" applyFont="1" applyFill="1" applyBorder="1"/>
    <xf numFmtId="227" fontId="44" fillId="0" borderId="31" xfId="119" applyFont="1" applyFill="1" applyBorder="1"/>
    <xf numFmtId="227" fontId="44" fillId="0" borderId="33" xfId="119" applyFont="1" applyFill="1" applyBorder="1"/>
    <xf numFmtId="227" fontId="44" fillId="0" borderId="29" xfId="119" applyFont="1" applyFill="1" applyBorder="1"/>
    <xf numFmtId="10" fontId="44" fillId="0" borderId="9" xfId="127" applyNumberFormat="1" applyFont="1" applyFill="1" applyBorder="1" applyAlignment="1"/>
    <xf numFmtId="9" fontId="44" fillId="0" borderId="9" xfId="127" applyFont="1" applyFill="1" applyBorder="1" applyAlignment="1"/>
    <xf numFmtId="227" fontId="44" fillId="0" borderId="9" xfId="119" applyFont="1" applyFill="1" applyBorder="1"/>
    <xf numFmtId="41" fontId="9" fillId="0" borderId="204" xfId="70" applyNumberFormat="1" applyFont="1" applyFill="1" applyBorder="1" applyProtection="1"/>
    <xf numFmtId="179" fontId="151" fillId="0" borderId="0" xfId="248" applyFont="1" applyProtection="1"/>
    <xf numFmtId="1" fontId="151" fillId="0" borderId="20" xfId="119" applyNumberFormat="1" applyFont="1" applyBorder="1" applyProtection="1"/>
    <xf numFmtId="183" fontId="151" fillId="0" borderId="20" xfId="58" applyNumberFormat="1" applyFont="1" applyFill="1" applyBorder="1" applyAlignment="1" applyProtection="1"/>
    <xf numFmtId="181" fontId="151" fillId="0" borderId="20" xfId="127" applyNumberFormat="1" applyFont="1" applyFill="1" applyBorder="1" applyAlignment="1" applyProtection="1">
      <alignment horizontal="center"/>
    </xf>
    <xf numFmtId="183" fontId="151" fillId="0" borderId="20" xfId="58" applyNumberFormat="1" applyFont="1" applyFill="1" applyBorder="1" applyAlignment="1" applyProtection="1">
      <alignment horizontal="center" vertical="center"/>
    </xf>
    <xf numFmtId="183" fontId="151" fillId="0" borderId="204" xfId="58" applyNumberFormat="1" applyFont="1" applyFill="1" applyBorder="1" applyAlignment="1" applyProtection="1">
      <alignment horizontal="center"/>
    </xf>
    <xf numFmtId="41" fontId="151" fillId="0" borderId="204" xfId="70" applyNumberFormat="1" applyFont="1" applyFill="1" applyBorder="1" applyProtection="1"/>
    <xf numFmtId="41" fontId="151" fillId="0" borderId="37" xfId="70" applyNumberFormat="1" applyFont="1" applyFill="1" applyBorder="1" applyProtection="1"/>
    <xf numFmtId="41" fontId="151" fillId="0" borderId="20" xfId="248" applyNumberFormat="1" applyFont="1" applyFill="1" applyBorder="1" applyProtection="1"/>
    <xf numFmtId="41" fontId="151" fillId="0" borderId="20" xfId="70" applyNumberFormat="1" applyFont="1" applyFill="1" applyBorder="1" applyProtection="1"/>
    <xf numFmtId="181" fontId="151" fillId="0" borderId="20" xfId="70" applyNumberFormat="1" applyFont="1" applyFill="1" applyBorder="1" applyAlignment="1" applyProtection="1">
      <alignment horizontal="center"/>
    </xf>
    <xf numFmtId="41" fontId="151" fillId="0" borderId="6" xfId="70" applyNumberFormat="1" applyFont="1" applyFill="1" applyBorder="1" applyProtection="1"/>
    <xf numFmtId="41" fontId="9" fillId="0" borderId="0" xfId="70" applyNumberFormat="1" applyFont="1" applyFill="1" applyBorder="1" applyProtection="1"/>
    <xf numFmtId="181" fontId="23" fillId="0" borderId="0" xfId="127" applyNumberFormat="1" applyFont="1" applyAlignment="1" applyProtection="1"/>
    <xf numFmtId="1" fontId="9" fillId="0" borderId="20" xfId="119" applyNumberFormat="1" applyFont="1" applyBorder="1" applyProtection="1"/>
    <xf numFmtId="227" fontId="9" fillId="0" borderId="20" xfId="119" applyFont="1" applyFill="1" applyBorder="1" applyProtection="1"/>
    <xf numFmtId="183" fontId="9" fillId="0" borderId="20" xfId="58" applyNumberFormat="1" applyFont="1" applyFill="1" applyBorder="1" applyAlignment="1" applyProtection="1"/>
    <xf numFmtId="10" fontId="9" fillId="0" borderId="20" xfId="127" applyNumberFormat="1" applyFont="1" applyFill="1" applyBorder="1" applyAlignment="1" applyProtection="1">
      <alignment horizontal="center"/>
    </xf>
    <xf numFmtId="183" fontId="9" fillId="0" borderId="20" xfId="58" applyNumberFormat="1" applyFont="1" applyFill="1" applyBorder="1" applyAlignment="1" applyProtection="1">
      <alignment horizontal="center"/>
    </xf>
    <xf numFmtId="183" fontId="9" fillId="0" borderId="204" xfId="58" applyNumberFormat="1" applyFont="1" applyFill="1" applyBorder="1" applyAlignment="1" applyProtection="1">
      <alignment horizontal="center"/>
    </xf>
    <xf numFmtId="181" fontId="9" fillId="0" borderId="20" xfId="127" applyNumberFormat="1" applyFont="1" applyFill="1" applyBorder="1" applyAlignment="1" applyProtection="1">
      <alignment horizontal="center"/>
    </xf>
    <xf numFmtId="41" fontId="9" fillId="0" borderId="43" xfId="248" applyNumberFormat="1" applyFont="1" applyFill="1" applyBorder="1" applyProtection="1"/>
    <xf numFmtId="10" fontId="9" fillId="0" borderId="43" xfId="127" applyNumberFormat="1" applyFont="1" applyFill="1" applyBorder="1" applyAlignment="1" applyProtection="1">
      <alignment horizontal="center"/>
    </xf>
    <xf numFmtId="179" fontId="9" fillId="0" borderId="0" xfId="248" applyFont="1" applyBorder="1" applyProtection="1"/>
    <xf numFmtId="181" fontId="9" fillId="0" borderId="20" xfId="70" applyNumberFormat="1" applyFont="1" applyFill="1" applyBorder="1" applyAlignment="1" applyProtection="1">
      <alignment horizontal="center"/>
    </xf>
    <xf numFmtId="41" fontId="9" fillId="0" borderId="6" xfId="70" applyNumberFormat="1" applyFont="1" applyFill="1" applyBorder="1" applyProtection="1"/>
    <xf numFmtId="41" fontId="9" fillId="0" borderId="33" xfId="70" applyNumberFormat="1" applyFont="1" applyFill="1" applyBorder="1" applyProtection="1"/>
    <xf numFmtId="181" fontId="9" fillId="0" borderId="0" xfId="127" applyNumberFormat="1" applyFont="1" applyAlignment="1" applyProtection="1"/>
    <xf numFmtId="183" fontId="23" fillId="0" borderId="192" xfId="58" applyNumberFormat="1" applyFont="1" applyFill="1" applyBorder="1" applyAlignment="1" applyProtection="1">
      <alignment horizontal="center"/>
    </xf>
    <xf numFmtId="41" fontId="23" fillId="0" borderId="192" xfId="70" applyNumberFormat="1" applyFont="1" applyFill="1" applyBorder="1" applyAlignment="1" applyProtection="1">
      <alignment vertical="center"/>
    </xf>
    <xf numFmtId="9" fontId="23" fillId="0" borderId="51" xfId="127" applyFont="1" applyFill="1" applyBorder="1" applyAlignment="1" applyProtection="1">
      <alignment horizontal="center"/>
    </xf>
    <xf numFmtId="181" fontId="23" fillId="0" borderId="51" xfId="70" applyNumberFormat="1" applyFont="1" applyFill="1" applyBorder="1" applyAlignment="1" applyProtection="1">
      <alignment horizontal="center" vertical="center"/>
    </xf>
    <xf numFmtId="41" fontId="23" fillId="0" borderId="192" xfId="70" applyNumberFormat="1" applyFont="1" applyFill="1" applyBorder="1" applyAlignment="1" applyProtection="1">
      <alignment horizontal="right" vertical="center"/>
    </xf>
    <xf numFmtId="179" fontId="23" fillId="0" borderId="179" xfId="248" applyFont="1" applyBorder="1" applyAlignment="1" applyProtection="1">
      <alignment vertical="center"/>
    </xf>
    <xf numFmtId="179" fontId="23" fillId="0" borderId="42" xfId="248" applyFont="1" applyBorder="1" applyProtection="1"/>
    <xf numFmtId="1" fontId="23" fillId="0" borderId="129" xfId="119" applyNumberFormat="1" applyFont="1" applyBorder="1" applyProtection="1"/>
    <xf numFmtId="227" fontId="23" fillId="0" borderId="129" xfId="119" applyFont="1" applyBorder="1" applyProtection="1"/>
    <xf numFmtId="183" fontId="23" fillId="0" borderId="129" xfId="58" applyNumberFormat="1" applyFont="1" applyBorder="1" applyAlignment="1" applyProtection="1"/>
    <xf numFmtId="10" fontId="23" fillId="27" borderId="129" xfId="127" applyNumberFormat="1" applyFont="1" applyFill="1" applyBorder="1" applyAlignment="1" applyProtection="1">
      <alignment horizontal="center"/>
    </xf>
    <xf numFmtId="183" fontId="23" fillId="0" borderId="129" xfId="58" applyNumberFormat="1" applyFont="1" applyFill="1" applyBorder="1" applyAlignment="1" applyProtection="1">
      <alignment horizontal="center"/>
    </xf>
    <xf numFmtId="183" fontId="23" fillId="0" borderId="46" xfId="58" applyNumberFormat="1" applyFont="1" applyFill="1" applyBorder="1" applyAlignment="1" applyProtection="1">
      <alignment horizontal="center"/>
    </xf>
    <xf numFmtId="41" fontId="23" fillId="0" borderId="46" xfId="70" applyNumberFormat="1" applyFont="1" applyFill="1" applyBorder="1" applyProtection="1"/>
    <xf numFmtId="41" fontId="23" fillId="0" borderId="48" xfId="70" applyNumberFormat="1" applyFont="1" applyFill="1" applyBorder="1" applyProtection="1"/>
    <xf numFmtId="181" fontId="23" fillId="0" borderId="44" xfId="127" applyNumberFormat="1" applyFont="1" applyFill="1" applyBorder="1" applyAlignment="1" applyProtection="1">
      <alignment horizontal="center"/>
    </xf>
    <xf numFmtId="41" fontId="23" fillId="0" borderId="44" xfId="70" applyNumberFormat="1" applyFont="1" applyFill="1" applyBorder="1" applyAlignment="1" applyProtection="1">
      <alignment vertical="center"/>
    </xf>
    <xf numFmtId="10" fontId="23" fillId="27" borderId="44" xfId="127" applyNumberFormat="1" applyFont="1" applyFill="1" applyBorder="1" applyAlignment="1" applyProtection="1">
      <alignment horizontal="center"/>
    </xf>
    <xf numFmtId="179" fontId="23" fillId="0" borderId="130" xfId="248" applyFont="1" applyBorder="1" applyProtection="1"/>
    <xf numFmtId="181" fontId="23" fillId="27" borderId="44" xfId="70" applyNumberFormat="1" applyFont="1" applyFill="1" applyBorder="1" applyAlignment="1" applyProtection="1">
      <alignment horizontal="center"/>
    </xf>
    <xf numFmtId="41" fontId="23" fillId="0" borderId="129" xfId="70" applyNumberFormat="1" applyFont="1" applyFill="1" applyBorder="1" applyProtection="1"/>
    <xf numFmtId="227" fontId="23" fillId="0" borderId="62" xfId="119" applyFont="1" applyFill="1" applyBorder="1" applyAlignment="1">
      <alignment horizontal="center" vertical="center"/>
    </xf>
    <xf numFmtId="227" fontId="23" fillId="0" borderId="137" xfId="119" applyFont="1" applyFill="1" applyBorder="1" applyAlignment="1">
      <alignment horizontal="center" vertical="center"/>
    </xf>
    <xf numFmtId="40" fontId="23" fillId="0" borderId="178" xfId="119" applyNumberFormat="1" applyFont="1" applyFill="1" applyBorder="1" applyAlignment="1">
      <alignment horizontal="center" vertical="center"/>
    </xf>
    <xf numFmtId="184" fontId="23" fillId="0" borderId="179" xfId="116" applyNumberFormat="1" applyFont="1" applyBorder="1" applyAlignment="1">
      <alignment horizontal="center" vertical="center" wrapText="1"/>
    </xf>
    <xf numFmtId="38" fontId="20" fillId="0" borderId="178" xfId="119" applyNumberFormat="1" applyFont="1" applyFill="1" applyBorder="1" applyAlignment="1">
      <alignment horizontal="center" vertical="center"/>
    </xf>
    <xf numFmtId="40" fontId="20" fillId="0" borderId="178" xfId="119" applyNumberFormat="1" applyFont="1" applyFill="1" applyBorder="1" applyAlignment="1">
      <alignment horizontal="center" vertical="center"/>
    </xf>
    <xf numFmtId="40" fontId="20" fillId="0" borderId="137" xfId="119" applyNumberFormat="1" applyFont="1" applyFill="1" applyBorder="1" applyAlignment="1">
      <alignment horizontal="center" vertical="center"/>
    </xf>
    <xf numFmtId="40" fontId="20" fillId="0" borderId="136" xfId="119" applyNumberFormat="1" applyFont="1" applyFill="1" applyBorder="1" applyAlignment="1">
      <alignment horizontal="center" vertical="center"/>
    </xf>
    <xf numFmtId="40" fontId="50" fillId="0" borderId="178" xfId="119" applyNumberFormat="1" applyFont="1" applyFill="1" applyBorder="1" applyAlignment="1">
      <alignment horizontal="center" vertical="center"/>
    </xf>
    <xf numFmtId="40" fontId="60" fillId="0" borderId="178" xfId="119" applyNumberFormat="1" applyFont="1" applyFill="1" applyBorder="1" applyAlignment="1">
      <alignment horizontal="center" vertical="center"/>
    </xf>
    <xf numFmtId="40" fontId="20" fillId="0" borderId="206" xfId="119" applyNumberFormat="1" applyFont="1" applyFill="1" applyBorder="1" applyAlignment="1">
      <alignment horizontal="center" vertical="center"/>
    </xf>
    <xf numFmtId="227" fontId="23" fillId="0" borderId="211" xfId="0" applyFont="1" applyFill="1" applyBorder="1" applyAlignment="1">
      <alignment horizontal="center" vertical="center"/>
    </xf>
    <xf numFmtId="227" fontId="20" fillId="0" borderId="178" xfId="0" applyFont="1" applyFill="1" applyBorder="1" applyAlignment="1">
      <alignment horizontal="center" vertical="center"/>
    </xf>
    <xf numFmtId="3" fontId="20" fillId="0" borderId="178" xfId="0" applyNumberFormat="1" applyFont="1" applyFill="1" applyBorder="1" applyAlignment="1" applyProtection="1">
      <alignment horizontal="center" vertical="center"/>
      <protection locked="0"/>
    </xf>
    <xf numFmtId="227" fontId="54" fillId="0" borderId="178" xfId="0" applyFont="1" applyFill="1" applyBorder="1" applyAlignment="1">
      <alignment horizontal="center" vertical="center"/>
    </xf>
    <xf numFmtId="227" fontId="60" fillId="0" borderId="178" xfId="0" applyFont="1" applyFill="1" applyBorder="1" applyAlignment="1">
      <alignment vertical="center"/>
    </xf>
    <xf numFmtId="40" fontId="20" fillId="0" borderId="212" xfId="119" applyNumberFormat="1" applyFont="1" applyFill="1" applyBorder="1" applyAlignment="1">
      <alignment horizontal="center" vertical="center"/>
    </xf>
    <xf numFmtId="40" fontId="20" fillId="0" borderId="62" xfId="119" applyNumberFormat="1" applyFont="1" applyFill="1" applyBorder="1" applyAlignment="1">
      <alignment horizontal="center" vertical="center"/>
    </xf>
    <xf numFmtId="227" fontId="20" fillId="0" borderId="178" xfId="0" applyFont="1" applyFill="1" applyBorder="1" applyAlignment="1">
      <alignment vertical="center"/>
    </xf>
    <xf numFmtId="10" fontId="20" fillId="0" borderId="47" xfId="0" applyNumberFormat="1" applyFont="1" applyFill="1" applyBorder="1" applyAlignment="1">
      <alignment vertical="center"/>
    </xf>
    <xf numFmtId="184" fontId="23" fillId="0" borderId="192" xfId="245" applyNumberFormat="1" applyFont="1" applyBorder="1" applyAlignment="1">
      <alignment horizontal="center" vertical="center" wrapText="1"/>
    </xf>
    <xf numFmtId="184" fontId="0" fillId="0" borderId="192" xfId="116" applyNumberFormat="1" applyFont="1" applyBorder="1" applyAlignment="1">
      <alignment vertical="center" wrapText="1"/>
    </xf>
    <xf numFmtId="184" fontId="20" fillId="0" borderId="192" xfId="116" applyNumberFormat="1" applyFont="1" applyFill="1" applyBorder="1" applyAlignment="1">
      <alignment vertical="center" wrapText="1"/>
    </xf>
    <xf numFmtId="184" fontId="0" fillId="0" borderId="192" xfId="116" applyNumberFormat="1" applyFont="1" applyFill="1" applyBorder="1" applyAlignment="1">
      <alignment vertical="center" wrapText="1"/>
    </xf>
    <xf numFmtId="227" fontId="23" fillId="0" borderId="192" xfId="119" applyFont="1" applyFill="1" applyBorder="1"/>
    <xf numFmtId="227" fontId="23" fillId="0" borderId="178" xfId="119" applyFont="1" applyFill="1" applyBorder="1" applyAlignment="1">
      <alignment horizontal="center" vertical="center" wrapText="1"/>
    </xf>
    <xf numFmtId="227" fontId="23" fillId="0" borderId="11" xfId="119" applyFont="1" applyFill="1" applyBorder="1" applyAlignment="1">
      <alignment horizontal="center" vertical="center" wrapText="1"/>
    </xf>
    <xf numFmtId="227" fontId="0" fillId="0" borderId="169" xfId="0" applyFont="1" applyFill="1" applyBorder="1" applyAlignment="1">
      <alignment vertical="center" wrapText="1"/>
    </xf>
    <xf numFmtId="184" fontId="23" fillId="0" borderId="176" xfId="116" applyNumberFormat="1" applyFont="1" applyBorder="1" applyAlignment="1">
      <alignment horizontal="left" vertical="center"/>
    </xf>
    <xf numFmtId="184" fontId="23" fillId="0" borderId="162" xfId="116" applyNumberFormat="1" applyFont="1" applyBorder="1" applyAlignment="1">
      <alignment vertical="center" wrapText="1"/>
    </xf>
    <xf numFmtId="40" fontId="20" fillId="0" borderId="162" xfId="119" applyNumberFormat="1" applyFont="1" applyFill="1" applyBorder="1" applyAlignment="1">
      <alignment horizontal="center" vertical="center"/>
    </xf>
    <xf numFmtId="40" fontId="20" fillId="0" borderId="210" xfId="119" applyNumberFormat="1" applyFont="1" applyFill="1" applyBorder="1" applyAlignment="1">
      <alignment horizontal="center" vertical="center"/>
    </xf>
    <xf numFmtId="40" fontId="20" fillId="0" borderId="126" xfId="119" applyNumberFormat="1" applyFont="1" applyFill="1" applyBorder="1" applyAlignment="1">
      <alignment horizontal="center" vertical="center"/>
    </xf>
    <xf numFmtId="40" fontId="20" fillId="0" borderId="211" xfId="119" applyNumberFormat="1" applyFont="1" applyFill="1" applyBorder="1" applyAlignment="1">
      <alignment horizontal="center" vertical="center"/>
    </xf>
    <xf numFmtId="38" fontId="23" fillId="0" borderId="192" xfId="70" applyNumberFormat="1" applyFont="1" applyFill="1" applyBorder="1" applyAlignment="1">
      <alignment horizontal="center" vertical="center"/>
    </xf>
    <xf numFmtId="184" fontId="23" fillId="0" borderId="184" xfId="245" applyNumberFormat="1" applyFont="1" applyBorder="1" applyAlignment="1">
      <alignment horizontal="left" vertical="center"/>
    </xf>
    <xf numFmtId="40" fontId="20" fillId="0" borderId="192" xfId="119" applyNumberFormat="1" applyFont="1" applyFill="1" applyBorder="1" applyAlignment="1">
      <alignment horizontal="center" vertical="center"/>
    </xf>
    <xf numFmtId="184" fontId="13" fillId="0" borderId="176" xfId="116" applyNumberFormat="1" applyFont="1" applyFill="1" applyBorder="1" applyAlignment="1">
      <alignment horizontal="left" vertical="center"/>
    </xf>
    <xf numFmtId="184" fontId="23" fillId="0" borderId="213" xfId="116" applyNumberFormat="1" applyFont="1" applyFill="1" applyBorder="1" applyAlignment="1">
      <alignment horizontal="left" vertical="center"/>
    </xf>
    <xf numFmtId="184" fontId="23" fillId="0" borderId="177" xfId="116" applyNumberFormat="1" applyFont="1" applyFill="1" applyBorder="1" applyAlignment="1">
      <alignment vertical="center" wrapText="1"/>
    </xf>
    <xf numFmtId="38" fontId="23" fillId="0" borderId="162" xfId="0" applyNumberFormat="1" applyFont="1" applyFill="1" applyBorder="1" applyAlignment="1">
      <alignment horizontal="center" vertical="center"/>
    </xf>
    <xf numFmtId="184" fontId="23" fillId="0" borderId="126" xfId="116" applyNumberFormat="1" applyFont="1" applyFill="1" applyBorder="1" applyAlignment="1">
      <alignment vertical="center" wrapText="1"/>
    </xf>
    <xf numFmtId="184" fontId="20" fillId="0" borderId="180" xfId="116" applyNumberFormat="1" applyFont="1" applyFill="1" applyBorder="1" applyAlignment="1">
      <alignment vertical="center" wrapText="1"/>
    </xf>
    <xf numFmtId="38" fontId="20" fillId="0" borderId="192" xfId="119" applyNumberFormat="1" applyFont="1" applyFill="1" applyBorder="1" applyAlignment="1">
      <alignment horizontal="center" vertical="center"/>
    </xf>
    <xf numFmtId="227" fontId="20" fillId="0" borderId="169" xfId="0" applyFont="1" applyFill="1" applyBorder="1" applyAlignment="1">
      <alignment vertical="center" wrapText="1"/>
    </xf>
    <xf numFmtId="9" fontId="20" fillId="0" borderId="169" xfId="0" applyNumberFormat="1" applyFont="1" applyFill="1" applyBorder="1" applyAlignment="1">
      <alignment vertical="center" wrapText="1"/>
    </xf>
    <xf numFmtId="38" fontId="23" fillId="0" borderId="162" xfId="70" applyNumberFormat="1" applyFont="1" applyFill="1" applyBorder="1" applyAlignment="1">
      <alignment horizontal="center" vertical="center"/>
    </xf>
    <xf numFmtId="40" fontId="20" fillId="0" borderId="177" xfId="119" applyNumberFormat="1" applyFont="1" applyFill="1" applyBorder="1" applyAlignment="1">
      <alignment horizontal="center" vertical="center"/>
    </xf>
    <xf numFmtId="40" fontId="20" fillId="0" borderId="159" xfId="119" applyNumberFormat="1" applyFont="1" applyFill="1" applyBorder="1" applyAlignment="1">
      <alignment horizontal="center" vertical="center"/>
    </xf>
    <xf numFmtId="184" fontId="55" fillId="0" borderId="123" xfId="116" applyNumberFormat="1" applyFont="1" applyFill="1" applyBorder="1" applyAlignment="1">
      <alignment vertical="center" wrapText="1"/>
    </xf>
    <xf numFmtId="38" fontId="55" fillId="0" borderId="126" xfId="119" applyNumberFormat="1" applyFont="1" applyFill="1" applyBorder="1" applyAlignment="1">
      <alignment horizontal="center" vertical="center"/>
    </xf>
    <xf numFmtId="40" fontId="50" fillId="0" borderId="126" xfId="119" applyNumberFormat="1" applyFont="1" applyFill="1" applyBorder="1" applyAlignment="1">
      <alignment horizontal="center" vertical="center"/>
    </xf>
    <xf numFmtId="227" fontId="50" fillId="0" borderId="144" xfId="0" applyFont="1" applyFill="1" applyBorder="1" applyAlignment="1">
      <alignment vertical="center" wrapText="1"/>
    </xf>
    <xf numFmtId="184" fontId="50" fillId="0" borderId="176" xfId="116" applyNumberFormat="1" applyFont="1" applyFill="1" applyBorder="1" applyAlignment="1">
      <alignment horizontal="center" vertical="center"/>
    </xf>
    <xf numFmtId="38" fontId="55" fillId="0" borderId="162" xfId="119" applyNumberFormat="1" applyFont="1" applyFill="1" applyBorder="1" applyAlignment="1">
      <alignment horizontal="center" vertical="center"/>
    </xf>
    <xf numFmtId="40" fontId="50" fillId="0" borderId="162" xfId="119" applyNumberFormat="1" applyFont="1" applyFill="1" applyBorder="1" applyAlignment="1">
      <alignment horizontal="center" vertical="center"/>
    </xf>
    <xf numFmtId="40" fontId="50" fillId="0" borderId="214" xfId="119" applyNumberFormat="1" applyFont="1" applyFill="1" applyBorder="1" applyAlignment="1">
      <alignment horizontal="center" vertical="center"/>
    </xf>
    <xf numFmtId="184" fontId="23" fillId="0" borderId="165" xfId="116" applyNumberFormat="1" applyFont="1" applyFill="1" applyBorder="1" applyAlignment="1">
      <alignment vertical="center" wrapText="1"/>
    </xf>
    <xf numFmtId="38" fontId="23" fillId="0" borderId="162" xfId="119" applyNumberFormat="1" applyFont="1" applyFill="1" applyBorder="1" applyAlignment="1">
      <alignment horizontal="center" vertical="center"/>
    </xf>
    <xf numFmtId="40" fontId="20" fillId="0" borderId="214" xfId="119" applyNumberFormat="1" applyFont="1" applyFill="1" applyBorder="1" applyAlignment="1">
      <alignment horizontal="center" vertical="center"/>
    </xf>
    <xf numFmtId="38" fontId="23" fillId="0" borderId="169" xfId="70" applyNumberFormat="1" applyFont="1" applyFill="1" applyBorder="1" applyAlignment="1">
      <alignment horizontal="center" vertical="center"/>
    </xf>
    <xf numFmtId="38" fontId="0" fillId="0" borderId="192" xfId="119" applyNumberFormat="1" applyFont="1" applyFill="1" applyBorder="1" applyAlignment="1">
      <alignment horizontal="center" vertical="center"/>
    </xf>
    <xf numFmtId="38" fontId="23" fillId="0" borderId="204" xfId="119" applyNumberFormat="1" applyFont="1" applyFill="1" applyBorder="1" applyAlignment="1">
      <alignment horizontal="center" vertical="center"/>
    </xf>
    <xf numFmtId="38" fontId="23" fillId="0" borderId="126" xfId="119" applyNumberFormat="1" applyFont="1" applyFill="1" applyBorder="1" applyAlignment="1">
      <alignment horizontal="center" vertical="center"/>
    </xf>
    <xf numFmtId="184" fontId="23" fillId="0" borderId="180" xfId="116" applyNumberFormat="1" applyFont="1" applyFill="1" applyBorder="1" applyAlignment="1">
      <alignment vertical="center" wrapText="1"/>
    </xf>
    <xf numFmtId="38" fontId="23" fillId="0" borderId="192" xfId="119" applyNumberFormat="1" applyFont="1" applyFill="1" applyBorder="1" applyAlignment="1">
      <alignment horizontal="center" vertical="center"/>
    </xf>
    <xf numFmtId="184" fontId="20" fillId="0" borderId="50" xfId="116" applyNumberFormat="1" applyFont="1" applyFill="1" applyBorder="1" applyAlignment="1">
      <alignment vertical="center" wrapText="1"/>
    </xf>
    <xf numFmtId="14" fontId="0" fillId="0" borderId="0" xfId="0" applyNumberFormat="1" applyFont="1" applyFill="1" applyBorder="1" applyAlignment="1" applyProtection="1">
      <alignment horizontal="center" vertical="center"/>
      <protection locked="0"/>
    </xf>
    <xf numFmtId="9" fontId="0" fillId="0" borderId="0" xfId="0" applyNumberFormat="1" applyFont="1" applyBorder="1">
      <alignment vertical="center"/>
    </xf>
    <xf numFmtId="184" fontId="85" fillId="0" borderId="55" xfId="116" applyNumberFormat="1" applyFont="1" applyFill="1" applyBorder="1" applyAlignment="1">
      <alignment horizontal="left" vertical="center"/>
    </xf>
    <xf numFmtId="227" fontId="23" fillId="0" borderId="50" xfId="0" applyFont="1" applyFill="1" applyBorder="1" applyAlignment="1">
      <alignment wrapText="1"/>
    </xf>
    <xf numFmtId="227" fontId="23" fillId="0" borderId="0" xfId="0" applyFont="1" applyFill="1" applyBorder="1">
      <alignment vertical="center"/>
    </xf>
    <xf numFmtId="227" fontId="23" fillId="0" borderId="0" xfId="0" applyFont="1" applyBorder="1" applyAlignment="1">
      <alignment horizontal="center" vertical="center"/>
    </xf>
    <xf numFmtId="14" fontId="23" fillId="0" borderId="0" xfId="0" applyNumberFormat="1" applyFont="1" applyFill="1" applyBorder="1" applyAlignment="1" applyProtection="1">
      <alignment horizontal="center" vertical="center"/>
      <protection locked="0"/>
    </xf>
    <xf numFmtId="14" fontId="23" fillId="0" borderId="0" xfId="0" applyNumberFormat="1" applyFont="1" applyBorder="1">
      <alignment vertical="center"/>
    </xf>
    <xf numFmtId="183" fontId="23" fillId="0" borderId="0" xfId="58" applyNumberFormat="1" applyFont="1" applyBorder="1">
      <alignment vertical="center"/>
    </xf>
    <xf numFmtId="227" fontId="23" fillId="0" borderId="0" xfId="0" applyFont="1" applyBorder="1">
      <alignment vertical="center"/>
    </xf>
    <xf numFmtId="3" fontId="23" fillId="0" borderId="0" xfId="0" applyNumberFormat="1" applyFont="1" applyBorder="1">
      <alignment vertical="center"/>
    </xf>
    <xf numFmtId="9" fontId="23" fillId="0" borderId="0" xfId="0" applyNumberFormat="1" applyFont="1" applyBorder="1">
      <alignment vertical="center"/>
    </xf>
    <xf numFmtId="9" fontId="23" fillId="0" borderId="0" xfId="58" applyNumberFormat="1" applyFont="1" applyBorder="1">
      <alignment vertical="center"/>
    </xf>
    <xf numFmtId="9" fontId="23" fillId="0" borderId="0" xfId="0" applyNumberFormat="1" applyFont="1" applyFill="1" applyBorder="1">
      <alignment vertical="center"/>
    </xf>
    <xf numFmtId="3" fontId="23" fillId="0" borderId="0" xfId="0" applyNumberFormat="1" applyFont="1" applyFill="1" applyBorder="1">
      <alignment vertical="center"/>
    </xf>
    <xf numFmtId="184" fontId="23" fillId="0" borderId="73" xfId="116" applyNumberFormat="1" applyFont="1" applyBorder="1" applyAlignment="1">
      <alignment vertical="center" wrapText="1"/>
    </xf>
    <xf numFmtId="38" fontId="23" fillId="0" borderId="136" xfId="70" applyNumberFormat="1" applyFont="1" applyFill="1" applyBorder="1" applyAlignment="1">
      <alignment horizontal="center" vertical="center"/>
    </xf>
    <xf numFmtId="38" fontId="23" fillId="0" borderId="214" xfId="70" applyNumberFormat="1" applyFont="1" applyFill="1" applyBorder="1" applyAlignment="1">
      <alignment horizontal="center" vertical="center"/>
    </xf>
    <xf numFmtId="184" fontId="149" fillId="0" borderId="123" xfId="116" applyNumberFormat="1" applyFont="1" applyFill="1" applyBorder="1" applyAlignment="1">
      <alignment vertical="center" wrapText="1"/>
    </xf>
    <xf numFmtId="38" fontId="23" fillId="0" borderId="211" xfId="70" applyNumberFormat="1" applyFont="1" applyFill="1" applyBorder="1" applyAlignment="1">
      <alignment horizontal="center" vertical="center"/>
    </xf>
    <xf numFmtId="227" fontId="23" fillId="0" borderId="0" xfId="0" applyFont="1" applyFill="1" applyBorder="1" applyAlignment="1">
      <alignment horizontal="center" vertical="center"/>
    </xf>
    <xf numFmtId="14" fontId="23" fillId="0" borderId="0" xfId="0" applyNumberFormat="1" applyFont="1" applyFill="1" applyBorder="1">
      <alignment vertical="center"/>
    </xf>
    <xf numFmtId="183" fontId="23" fillId="0" borderId="0" xfId="58" applyNumberFormat="1" applyFont="1" applyFill="1" applyBorder="1">
      <alignment vertical="center"/>
    </xf>
    <xf numFmtId="38" fontId="0" fillId="0" borderId="178" xfId="119" applyNumberFormat="1" applyFont="1" applyFill="1" applyBorder="1" applyAlignment="1">
      <alignment horizontal="center" vertical="center"/>
    </xf>
    <xf numFmtId="9" fontId="23" fillId="0" borderId="0" xfId="127" applyNumberFormat="1" applyFont="1" applyBorder="1">
      <alignment vertical="center"/>
    </xf>
    <xf numFmtId="184" fontId="23" fillId="0" borderId="176" xfId="116" applyNumberFormat="1" applyFont="1" applyFill="1" applyBorder="1" applyAlignment="1">
      <alignment horizontal="center" vertical="center"/>
    </xf>
    <xf numFmtId="38" fontId="23" fillId="0" borderId="214" xfId="119" applyNumberFormat="1" applyFont="1" applyFill="1" applyBorder="1" applyAlignment="1">
      <alignment horizontal="center" vertical="center"/>
    </xf>
    <xf numFmtId="40" fontId="23" fillId="0" borderId="162" xfId="119" applyNumberFormat="1" applyFont="1" applyFill="1" applyBorder="1" applyAlignment="1">
      <alignment horizontal="center" vertical="center"/>
    </xf>
    <xf numFmtId="227" fontId="23" fillId="0" borderId="169" xfId="0" applyFont="1" applyFill="1" applyBorder="1" applyAlignment="1">
      <alignment vertical="center" wrapText="1"/>
    </xf>
    <xf numFmtId="49" fontId="13" fillId="0" borderId="176" xfId="116" applyNumberFormat="1" applyFont="1" applyFill="1" applyBorder="1" applyAlignment="1">
      <alignment horizontal="left" vertical="center"/>
    </xf>
    <xf numFmtId="40" fontId="20" fillId="0" borderId="204" xfId="119" applyNumberFormat="1" applyFont="1" applyFill="1" applyBorder="1" applyAlignment="1">
      <alignment horizontal="center" vertical="center"/>
    </xf>
    <xf numFmtId="227" fontId="20" fillId="0" borderId="43" xfId="0" applyFont="1" applyFill="1" applyBorder="1" applyAlignment="1">
      <alignment vertical="center" wrapText="1"/>
    </xf>
    <xf numFmtId="227" fontId="20" fillId="0" borderId="216" xfId="0" applyFont="1" applyFill="1" applyBorder="1" applyAlignment="1">
      <alignment vertical="center" wrapText="1"/>
    </xf>
    <xf numFmtId="227" fontId="20" fillId="0" borderId="65" xfId="0" applyFont="1" applyFill="1" applyBorder="1" applyAlignment="1">
      <alignment vertical="center" wrapText="1"/>
    </xf>
    <xf numFmtId="184" fontId="23" fillId="0" borderId="122" xfId="116" applyNumberFormat="1" applyFont="1" applyFill="1" applyBorder="1" applyAlignment="1">
      <alignment vertical="center"/>
    </xf>
    <xf numFmtId="184" fontId="23" fillId="0" borderId="123" xfId="116" applyNumberFormat="1" applyFont="1" applyFill="1" applyBorder="1" applyAlignment="1">
      <alignment vertical="center"/>
    </xf>
    <xf numFmtId="184" fontId="23" fillId="0" borderId="63" xfId="116" applyNumberFormat="1" applyFont="1" applyBorder="1" applyAlignment="1">
      <alignment horizontal="left" vertical="center"/>
    </xf>
    <xf numFmtId="184" fontId="23" fillId="0" borderId="217" xfId="245" applyNumberFormat="1" applyFont="1" applyBorder="1" applyAlignment="1">
      <alignment horizontal="left" vertical="center"/>
    </xf>
    <xf numFmtId="38" fontId="23" fillId="0" borderId="206" xfId="70" applyNumberFormat="1" applyFont="1" applyFill="1" applyBorder="1" applyAlignment="1">
      <alignment horizontal="center" vertical="center"/>
    </xf>
    <xf numFmtId="184" fontId="23" fillId="0" borderId="53" xfId="116" applyNumberFormat="1" applyFont="1" applyFill="1" applyBorder="1" applyAlignment="1">
      <alignment horizontal="left" vertical="center"/>
    </xf>
    <xf numFmtId="184" fontId="23" fillId="0" borderId="67" xfId="116" applyNumberFormat="1" applyFont="1" applyFill="1" applyBorder="1" applyAlignment="1">
      <alignment vertical="center" wrapText="1"/>
    </xf>
    <xf numFmtId="38" fontId="23" fillId="0" borderId="54" xfId="119" applyNumberFormat="1" applyFont="1" applyFill="1" applyBorder="1" applyAlignment="1">
      <alignment horizontal="center" vertical="center"/>
    </xf>
    <xf numFmtId="38" fontId="23" fillId="0" borderId="178" xfId="70" applyNumberFormat="1" applyFont="1" applyFill="1" applyBorder="1" applyAlignment="1">
      <alignment horizontal="center" vertical="center"/>
    </xf>
    <xf numFmtId="38" fontId="20" fillId="0" borderId="144" xfId="70" applyNumberFormat="1" applyFont="1" applyFill="1" applyBorder="1" applyAlignment="1">
      <alignment horizontal="center" vertical="center"/>
    </xf>
    <xf numFmtId="38" fontId="20" fillId="0" borderId="65" xfId="70" applyNumberFormat="1" applyFont="1" applyFill="1" applyBorder="1" applyAlignment="1">
      <alignment horizontal="center" vertical="center"/>
    </xf>
    <xf numFmtId="38" fontId="20" fillId="0" borderId="43" xfId="70" applyNumberFormat="1" applyFont="1" applyFill="1" applyBorder="1" applyAlignment="1">
      <alignment horizontal="center" vertical="center"/>
    </xf>
    <xf numFmtId="38" fontId="20" fillId="0" borderId="57" xfId="70" applyNumberFormat="1" applyFont="1" applyFill="1" applyBorder="1" applyAlignment="1">
      <alignment horizontal="center" vertical="center"/>
    </xf>
    <xf numFmtId="184" fontId="23" fillId="0" borderId="73" xfId="245" applyNumberFormat="1" applyFont="1" applyBorder="1" applyAlignment="1">
      <alignment horizontal="center" vertical="center" wrapText="1"/>
    </xf>
    <xf numFmtId="38" fontId="0" fillId="0" borderId="50" xfId="70" applyNumberFormat="1" applyFont="1" applyFill="1" applyBorder="1" applyAlignment="1">
      <alignment horizontal="center" vertical="center"/>
    </xf>
    <xf numFmtId="184" fontId="149" fillId="0" borderId="64" xfId="116" applyNumberFormat="1" applyFont="1" applyFill="1" applyBorder="1" applyAlignment="1">
      <alignment vertical="center" wrapText="1"/>
    </xf>
    <xf numFmtId="3" fontId="20" fillId="0" borderId="192" xfId="0" applyNumberFormat="1" applyFont="1" applyFill="1" applyBorder="1" applyAlignment="1">
      <alignment horizontal="center" vertical="center"/>
    </xf>
    <xf numFmtId="227" fontId="20" fillId="0" borderId="192" xfId="119" applyFont="1" applyFill="1" applyBorder="1" applyAlignment="1">
      <alignment vertical="center"/>
    </xf>
    <xf numFmtId="38" fontId="23" fillId="0" borderId="126" xfId="0" applyNumberFormat="1" applyFont="1" applyFill="1" applyBorder="1" applyAlignment="1">
      <alignment horizontal="center" vertical="center" wrapText="1"/>
    </xf>
    <xf numFmtId="40" fontId="23" fillId="0" borderId="126" xfId="119" applyNumberFormat="1" applyFont="1" applyFill="1" applyBorder="1" applyAlignment="1">
      <alignment horizontal="center" vertical="center"/>
    </xf>
    <xf numFmtId="40" fontId="23" fillId="0" borderId="211" xfId="119" applyNumberFormat="1" applyFont="1" applyFill="1" applyBorder="1" applyAlignment="1">
      <alignment horizontal="center" vertical="center"/>
    </xf>
    <xf numFmtId="227" fontId="136" fillId="0" borderId="50" xfId="0" applyFont="1" applyFill="1" applyBorder="1">
      <alignment vertical="center"/>
    </xf>
    <xf numFmtId="9" fontId="0" fillId="0" borderId="169" xfId="0" applyNumberFormat="1" applyFont="1" applyFill="1" applyBorder="1" applyAlignment="1">
      <alignment vertical="center" wrapText="1"/>
    </xf>
    <xf numFmtId="227" fontId="20" fillId="0" borderId="162" xfId="0" applyFont="1" applyFill="1" applyBorder="1" applyAlignment="1">
      <alignment horizontal="center" vertical="center"/>
    </xf>
    <xf numFmtId="227" fontId="20" fillId="0" borderId="214" xfId="0" applyFont="1" applyFill="1" applyBorder="1" applyAlignment="1">
      <alignment horizontal="center" vertical="center"/>
    </xf>
    <xf numFmtId="227" fontId="20" fillId="0" borderId="169" xfId="0" applyFont="1" applyFill="1" applyBorder="1">
      <alignment vertical="center"/>
    </xf>
    <xf numFmtId="227" fontId="0" fillId="0" borderId="192" xfId="119" applyFont="1" applyFill="1" applyBorder="1"/>
    <xf numFmtId="227" fontId="20" fillId="0" borderId="192" xfId="0" applyFont="1" applyFill="1" applyBorder="1" applyAlignment="1">
      <alignment horizontal="center" vertical="center"/>
    </xf>
    <xf numFmtId="227" fontId="23" fillId="0" borderId="54" xfId="119" applyFont="1" applyFill="1" applyBorder="1"/>
    <xf numFmtId="227" fontId="20" fillId="0" borderId="54" xfId="0" applyFont="1" applyFill="1" applyBorder="1" applyAlignment="1">
      <alignment horizontal="center" vertical="center"/>
    </xf>
    <xf numFmtId="227" fontId="20" fillId="0" borderId="136" xfId="0" applyFont="1" applyFill="1" applyBorder="1" applyAlignment="1">
      <alignment horizontal="center" vertical="center"/>
    </xf>
    <xf numFmtId="227" fontId="20" fillId="0" borderId="57" xfId="0" applyFont="1" applyFill="1" applyBorder="1">
      <alignment vertical="center"/>
    </xf>
    <xf numFmtId="9" fontId="23" fillId="0" borderId="178" xfId="127" applyFont="1" applyFill="1" applyBorder="1" applyAlignment="1">
      <alignment horizontal="center" vertical="center"/>
    </xf>
    <xf numFmtId="184" fontId="23" fillId="0" borderId="178" xfId="116" applyNumberFormat="1" applyFont="1" applyFill="1" applyBorder="1" applyAlignment="1">
      <alignment horizontal="center" vertical="center" wrapText="1"/>
    </xf>
    <xf numFmtId="38" fontId="20" fillId="0" borderId="178" xfId="70" applyNumberFormat="1" applyFont="1" applyFill="1" applyBorder="1" applyAlignment="1">
      <alignment horizontal="center" vertical="center"/>
    </xf>
    <xf numFmtId="38" fontId="55" fillId="0" borderId="215" xfId="70" applyNumberFormat="1" applyFont="1" applyFill="1" applyBorder="1" applyAlignment="1">
      <alignment horizontal="center" vertical="center"/>
    </xf>
    <xf numFmtId="184" fontId="20" fillId="0" borderId="178" xfId="116" applyNumberFormat="1" applyFont="1" applyFill="1" applyBorder="1" applyAlignment="1">
      <alignment vertical="center" wrapText="1"/>
    </xf>
    <xf numFmtId="38" fontId="141" fillId="0" borderId="178" xfId="70" applyNumberFormat="1" applyFont="1" applyFill="1" applyBorder="1" applyAlignment="1">
      <alignment horizontal="center" vertical="center"/>
    </xf>
    <xf numFmtId="38" fontId="61" fillId="0" borderId="178" xfId="70" applyNumberFormat="1" applyFont="1" applyFill="1" applyBorder="1" applyAlignment="1">
      <alignment horizontal="center" vertical="center"/>
    </xf>
    <xf numFmtId="9" fontId="23" fillId="0" borderId="50" xfId="127" applyFont="1" applyFill="1" applyBorder="1" applyAlignment="1">
      <alignment horizontal="center" vertical="center"/>
    </xf>
    <xf numFmtId="38" fontId="59" fillId="0" borderId="50" xfId="70" applyNumberFormat="1" applyFont="1" applyFill="1" applyBorder="1" applyAlignment="1">
      <alignment horizontal="center" vertical="center"/>
    </xf>
    <xf numFmtId="38" fontId="58" fillId="0" borderId="50" xfId="70" applyNumberFormat="1" applyFont="1" applyFill="1" applyBorder="1" applyAlignment="1">
      <alignment horizontal="center" vertical="center"/>
    </xf>
    <xf numFmtId="38" fontId="55" fillId="0" borderId="144" xfId="70" applyNumberFormat="1" applyFont="1" applyFill="1" applyBorder="1" applyAlignment="1">
      <alignment horizontal="center" vertical="center"/>
    </xf>
    <xf numFmtId="38" fontId="23" fillId="0" borderId="144" xfId="70" applyNumberFormat="1" applyFont="1" applyFill="1" applyBorder="1" applyAlignment="1">
      <alignment horizontal="center" vertical="center"/>
    </xf>
    <xf numFmtId="38" fontId="23" fillId="0" borderId="57" xfId="70" applyNumberFormat="1" applyFont="1" applyFill="1" applyBorder="1" applyAlignment="1">
      <alignment horizontal="center" vertical="center"/>
    </xf>
    <xf numFmtId="38" fontId="23" fillId="0" borderId="169" xfId="119" applyNumberFormat="1" applyFont="1" applyFill="1" applyBorder="1" applyAlignment="1">
      <alignment horizontal="center" vertical="center"/>
    </xf>
    <xf numFmtId="38" fontId="60" fillId="0" borderId="144" xfId="70" applyNumberFormat="1" applyFont="1" applyFill="1" applyBorder="1" applyAlignment="1">
      <alignment horizontal="center" vertical="center"/>
    </xf>
    <xf numFmtId="38" fontId="60" fillId="0" borderId="65" xfId="70" applyNumberFormat="1" applyFont="1" applyFill="1" applyBorder="1" applyAlignment="1">
      <alignment horizontal="center" vertical="center"/>
    </xf>
    <xf numFmtId="38" fontId="60" fillId="0" borderId="43" xfId="70" applyNumberFormat="1" applyFont="1" applyFill="1" applyBorder="1" applyAlignment="1">
      <alignment horizontal="center" vertical="center"/>
    </xf>
    <xf numFmtId="38" fontId="60" fillId="0" borderId="57" xfId="70" applyNumberFormat="1" applyFont="1" applyFill="1" applyBorder="1" applyAlignment="1">
      <alignment horizontal="center" vertical="center"/>
    </xf>
    <xf numFmtId="227" fontId="58" fillId="0" borderId="169" xfId="0" applyFont="1" applyFill="1" applyBorder="1" applyAlignment="1">
      <alignment vertical="center" wrapText="1"/>
    </xf>
    <xf numFmtId="227" fontId="54" fillId="0" borderId="169" xfId="0" applyFont="1" applyFill="1" applyBorder="1" applyAlignment="1">
      <alignment vertical="center" wrapText="1"/>
    </xf>
    <xf numFmtId="227" fontId="133" fillId="0" borderId="169" xfId="0" applyFont="1" applyFill="1" applyBorder="1" applyAlignment="1">
      <alignment vertical="center" wrapText="1"/>
    </xf>
    <xf numFmtId="227" fontId="0" fillId="0" borderId="192" xfId="119" applyFont="1" applyFill="1" applyBorder="1" applyAlignment="1">
      <alignment vertical="center"/>
    </xf>
    <xf numFmtId="227" fontId="0" fillId="0" borderId="169" xfId="0" applyFont="1" applyFill="1" applyBorder="1">
      <alignment vertical="center"/>
    </xf>
    <xf numFmtId="38" fontId="0" fillId="0" borderId="54" xfId="0" applyNumberFormat="1" applyFont="1" applyFill="1" applyBorder="1" applyAlignment="1">
      <alignment horizontal="center" vertical="center"/>
    </xf>
    <xf numFmtId="227" fontId="0" fillId="0" borderId="199" xfId="0" applyFont="1" applyFill="1" applyBorder="1">
      <alignment vertical="center"/>
    </xf>
    <xf numFmtId="227" fontId="0" fillId="0" borderId="192" xfId="119" applyFont="1" applyFill="1" applyBorder="1" applyAlignment="1">
      <alignment horizontal="left"/>
    </xf>
    <xf numFmtId="227" fontId="23" fillId="0" borderId="193" xfId="119" applyFont="1" applyFill="1" applyBorder="1" applyAlignment="1">
      <alignment horizontal="left"/>
    </xf>
    <xf numFmtId="227" fontId="20" fillId="0" borderId="155" xfId="0" applyFont="1" applyFill="1" applyBorder="1" applyAlignment="1">
      <alignment horizontal="center" vertical="center"/>
    </xf>
    <xf numFmtId="38" fontId="23" fillId="0" borderId="196" xfId="70" applyNumberFormat="1" applyFont="1" applyFill="1" applyBorder="1" applyAlignment="1">
      <alignment horizontal="center" vertical="center"/>
    </xf>
    <xf numFmtId="227" fontId="0" fillId="0" borderId="65" xfId="0" applyFont="1" applyFill="1" applyBorder="1" applyAlignment="1">
      <alignment wrapText="1"/>
    </xf>
    <xf numFmtId="227" fontId="20" fillId="0" borderId="218" xfId="0" applyFont="1" applyFill="1" applyBorder="1" applyAlignment="1">
      <alignment horizontal="center" vertical="center"/>
    </xf>
    <xf numFmtId="38" fontId="23" fillId="0" borderId="218" xfId="70" applyNumberFormat="1" applyFont="1" applyFill="1" applyBorder="1" applyAlignment="1">
      <alignment horizontal="center" vertical="center"/>
    </xf>
    <xf numFmtId="227" fontId="23" fillId="0" borderId="199" xfId="0" applyFont="1" applyFill="1" applyBorder="1">
      <alignment vertical="center"/>
    </xf>
    <xf numFmtId="9" fontId="23" fillId="0" borderId="0" xfId="58" applyNumberFormat="1" applyFont="1" applyFill="1" applyBorder="1">
      <alignment vertical="center"/>
    </xf>
    <xf numFmtId="40" fontId="20" fillId="0" borderId="219" xfId="119" applyNumberFormat="1" applyFont="1" applyFill="1" applyBorder="1" applyAlignment="1">
      <alignment horizontal="center" vertical="center"/>
    </xf>
    <xf numFmtId="40" fontId="20" fillId="0" borderId="220" xfId="119" applyNumberFormat="1" applyFont="1" applyFill="1" applyBorder="1" applyAlignment="1">
      <alignment horizontal="center" vertical="center"/>
    </xf>
    <xf numFmtId="38" fontId="23" fillId="0" borderId="220" xfId="70" applyNumberFormat="1" applyFont="1" applyFill="1" applyBorder="1" applyAlignment="1">
      <alignment horizontal="center" vertical="center"/>
    </xf>
    <xf numFmtId="38" fontId="23" fillId="0" borderId="221" xfId="70" applyNumberFormat="1" applyFont="1" applyFill="1" applyBorder="1" applyAlignment="1">
      <alignment horizontal="center" vertical="center"/>
    </xf>
    <xf numFmtId="227" fontId="20" fillId="0" borderId="218" xfId="119" applyFont="1" applyFill="1" applyBorder="1" applyAlignment="1">
      <alignment vertical="center"/>
    </xf>
    <xf numFmtId="227" fontId="20" fillId="0" borderId="199" xfId="119" applyFont="1" applyFill="1" applyBorder="1" applyAlignment="1">
      <alignment vertical="center"/>
    </xf>
    <xf numFmtId="227" fontId="23" fillId="0" borderId="11" xfId="119" applyFont="1" applyFill="1" applyBorder="1" applyAlignment="1"/>
    <xf numFmtId="3" fontId="77" fillId="0" borderId="11" xfId="0" applyNumberFormat="1" applyFont="1" applyFill="1" applyBorder="1" applyAlignment="1" applyProtection="1">
      <alignment horizontal="center" vertical="center"/>
      <protection locked="0"/>
    </xf>
    <xf numFmtId="3" fontId="77" fillId="0" borderId="178" xfId="0" applyNumberFormat="1" applyFont="1" applyFill="1" applyBorder="1" applyAlignment="1" applyProtection="1">
      <alignment horizontal="center" vertical="center"/>
      <protection locked="0"/>
    </xf>
    <xf numFmtId="227" fontId="23" fillId="0" borderId="50" xfId="0" applyFont="1" applyFill="1" applyBorder="1">
      <alignment vertical="center"/>
    </xf>
    <xf numFmtId="227" fontId="23" fillId="0" borderId="192" xfId="119" applyFont="1" applyFill="1" applyBorder="1" applyAlignment="1"/>
    <xf numFmtId="3" fontId="77" fillId="0" borderId="192" xfId="0" applyNumberFormat="1" applyFont="1" applyFill="1" applyBorder="1" applyAlignment="1" applyProtection="1">
      <alignment horizontal="center" vertical="center"/>
      <protection locked="0"/>
    </xf>
    <xf numFmtId="3" fontId="77" fillId="0" borderId="218" xfId="0" applyNumberFormat="1" applyFont="1" applyFill="1" applyBorder="1" applyAlignment="1" applyProtection="1">
      <alignment horizontal="center" vertical="center"/>
      <protection locked="0"/>
    </xf>
    <xf numFmtId="227" fontId="23" fillId="0" borderId="219" xfId="119" applyFont="1" applyFill="1" applyBorder="1" applyAlignment="1">
      <alignment horizontal="left"/>
    </xf>
    <xf numFmtId="227" fontId="20" fillId="0" borderId="219" xfId="0" applyFont="1" applyFill="1" applyBorder="1" applyAlignment="1">
      <alignment horizontal="center" vertical="center"/>
    </xf>
    <xf numFmtId="227" fontId="20" fillId="0" borderId="220" xfId="0" applyFont="1" applyFill="1" applyBorder="1" applyAlignment="1">
      <alignment horizontal="center" vertical="center"/>
    </xf>
    <xf numFmtId="184" fontId="61" fillId="0" borderId="223" xfId="116" applyNumberFormat="1" applyFont="1" applyFill="1" applyBorder="1" applyAlignment="1">
      <alignment horizontal="left" vertical="center"/>
    </xf>
    <xf numFmtId="184" fontId="61" fillId="0" borderId="187" xfId="116" applyNumberFormat="1" applyFont="1" applyFill="1" applyBorder="1" applyAlignment="1">
      <alignment vertical="center" wrapText="1"/>
    </xf>
    <xf numFmtId="38" fontId="59" fillId="0" borderId="187" xfId="0" applyNumberFormat="1" applyFont="1" applyFill="1" applyBorder="1" applyAlignment="1">
      <alignment horizontal="center" vertical="center"/>
    </xf>
    <xf numFmtId="227" fontId="60" fillId="0" borderId="187" xfId="0" applyFont="1" applyFill="1" applyBorder="1" applyAlignment="1">
      <alignment horizontal="center" vertical="center"/>
    </xf>
    <xf numFmtId="227" fontId="60" fillId="0" borderId="224" xfId="0" applyFont="1" applyFill="1" applyBorder="1" applyAlignment="1">
      <alignment horizontal="center" vertical="center"/>
    </xf>
    <xf numFmtId="38" fontId="59" fillId="0" borderId="224" xfId="70" applyNumberFormat="1" applyFont="1" applyFill="1" applyBorder="1" applyAlignment="1">
      <alignment horizontal="center" vertical="center"/>
    </xf>
    <xf numFmtId="227" fontId="59" fillId="0" borderId="51" xfId="119" applyFont="1" applyFill="1" applyBorder="1" applyAlignment="1">
      <alignment horizontal="right"/>
    </xf>
    <xf numFmtId="184" fontId="61" fillId="0" borderId="126" xfId="116" applyNumberFormat="1" applyFont="1" applyFill="1" applyBorder="1" applyAlignment="1">
      <alignment vertical="center" wrapText="1"/>
    </xf>
    <xf numFmtId="227" fontId="59" fillId="0" borderId="192" xfId="119" applyFont="1" applyFill="1" applyBorder="1"/>
    <xf numFmtId="227" fontId="61" fillId="0" borderId="192" xfId="119" applyFont="1" applyFill="1" applyBorder="1"/>
    <xf numFmtId="227" fontId="60" fillId="0" borderId="192" xfId="0" applyFont="1" applyFill="1" applyBorder="1" applyAlignment="1">
      <alignment vertical="center"/>
    </xf>
    <xf numFmtId="227" fontId="60" fillId="0" borderId="218" xfId="0" applyFont="1" applyFill="1" applyBorder="1" applyAlignment="1">
      <alignment vertical="center"/>
    </xf>
    <xf numFmtId="227" fontId="59" fillId="0" borderId="126" xfId="0" applyFont="1" applyFill="1" applyBorder="1" applyAlignment="1">
      <alignment horizontal="center" vertical="center"/>
    </xf>
    <xf numFmtId="227" fontId="60" fillId="0" borderId="126" xfId="0" applyFont="1" applyFill="1" applyBorder="1" applyAlignment="1">
      <alignment vertical="center"/>
    </xf>
    <xf numFmtId="227" fontId="60" fillId="0" borderId="211" xfId="0" applyFont="1" applyFill="1" applyBorder="1" applyAlignment="1">
      <alignment vertical="center"/>
    </xf>
    <xf numFmtId="38" fontId="59" fillId="0" borderId="211" xfId="70" applyNumberFormat="1" applyFont="1" applyFill="1" applyBorder="1" applyAlignment="1">
      <alignment horizontal="center" vertical="center"/>
    </xf>
    <xf numFmtId="227" fontId="20" fillId="0" borderId="73" xfId="0" applyFont="1" applyFill="1" applyBorder="1" applyAlignment="1">
      <alignment horizontal="center" vertical="center"/>
    </xf>
    <xf numFmtId="227" fontId="20" fillId="0" borderId="137" xfId="0" applyFont="1" applyFill="1" applyBorder="1" applyAlignment="1">
      <alignment horizontal="center" vertical="center"/>
    </xf>
    <xf numFmtId="38" fontId="0" fillId="0" borderId="73" xfId="0" applyNumberFormat="1" applyFont="1" applyFill="1" applyBorder="1" applyAlignment="1">
      <alignment horizontal="center" vertical="center"/>
    </xf>
    <xf numFmtId="3" fontId="117" fillId="39" borderId="0" xfId="0" applyNumberFormat="1" applyFont="1" applyFill="1" applyBorder="1" applyAlignment="1">
      <alignment horizontal="right" vertical="center"/>
    </xf>
    <xf numFmtId="227" fontId="0" fillId="0" borderId="0" xfId="0" applyAlignment="1">
      <alignment vertical="center"/>
    </xf>
    <xf numFmtId="2" fontId="0" fillId="0" borderId="0" xfId="0" applyNumberFormat="1">
      <alignment vertical="center"/>
    </xf>
    <xf numFmtId="38" fontId="0" fillId="0" borderId="225" xfId="70" applyNumberFormat="1" applyFont="1" applyFill="1" applyBorder="1" applyAlignment="1">
      <alignment horizontal="center" vertical="center"/>
    </xf>
    <xf numFmtId="38" fontId="0" fillId="0" borderId="218" xfId="70" applyNumberFormat="1" applyFont="1" applyFill="1" applyBorder="1" applyAlignment="1">
      <alignment horizontal="center" vertical="center"/>
    </xf>
    <xf numFmtId="198" fontId="20" fillId="0" borderId="0" xfId="1129" applyNumberFormat="1" applyFont="1" applyFill="1" applyBorder="1" applyAlignment="1">
      <alignment horizontal="center" vertical="center"/>
    </xf>
    <xf numFmtId="183" fontId="20" fillId="0" borderId="0" xfId="475" applyNumberFormat="1" applyFont="1" applyFill="1" applyBorder="1">
      <alignment vertical="center"/>
    </xf>
    <xf numFmtId="3" fontId="20" fillId="0" borderId="0" xfId="683" applyNumberFormat="1" applyFont="1" applyFill="1" applyBorder="1" applyAlignment="1">
      <alignment horizontal="center" vertical="center"/>
    </xf>
    <xf numFmtId="9" fontId="20" fillId="0" borderId="0" xfId="475" applyNumberFormat="1" applyFont="1" applyFill="1" applyBorder="1">
      <alignment vertical="center"/>
    </xf>
    <xf numFmtId="183" fontId="0" fillId="0" borderId="0" xfId="475" applyNumberFormat="1" applyFont="1" applyFill="1" applyBorder="1">
      <alignment vertical="center"/>
    </xf>
    <xf numFmtId="40" fontId="20" fillId="0" borderId="218" xfId="119" applyNumberFormat="1" applyFont="1" applyFill="1" applyBorder="1" applyAlignment="1">
      <alignment horizontal="center" vertical="center"/>
    </xf>
    <xf numFmtId="38" fontId="20" fillId="0" borderId="225" xfId="70" applyNumberFormat="1" applyFont="1" applyFill="1" applyBorder="1" applyAlignment="1">
      <alignment horizontal="center" vertical="center"/>
    </xf>
    <xf numFmtId="38" fontId="20" fillId="0" borderId="218" xfId="70" applyNumberFormat="1" applyFont="1" applyFill="1" applyBorder="1" applyAlignment="1">
      <alignment horizontal="center" vertical="center"/>
    </xf>
    <xf numFmtId="184" fontId="13" fillId="0" borderId="222" xfId="116" applyNumberFormat="1" applyFont="1" applyFill="1" applyBorder="1" applyAlignment="1">
      <alignment horizontal="left" vertical="center"/>
    </xf>
    <xf numFmtId="38" fontId="20" fillId="0" borderId="220" xfId="70" applyNumberFormat="1" applyFont="1" applyFill="1" applyBorder="1" applyAlignment="1">
      <alignment horizontal="center" vertical="center"/>
    </xf>
    <xf numFmtId="38" fontId="20" fillId="0" borderId="221" xfId="70" applyNumberFormat="1" applyFont="1" applyFill="1" applyBorder="1" applyAlignment="1">
      <alignment horizontal="center" vertical="center"/>
    </xf>
    <xf numFmtId="38" fontId="20" fillId="0" borderId="220" xfId="119" applyNumberFormat="1" applyFont="1" applyFill="1" applyBorder="1" applyAlignment="1">
      <alignment horizontal="center" vertical="center"/>
    </xf>
    <xf numFmtId="227" fontId="20" fillId="0" borderId="221" xfId="0" applyFont="1" applyFill="1" applyBorder="1" applyAlignment="1">
      <alignment vertical="center" wrapText="1"/>
    </xf>
    <xf numFmtId="184" fontId="0" fillId="0" borderId="178" xfId="116" applyNumberFormat="1" applyFont="1" applyBorder="1" applyAlignment="1">
      <alignment horizontal="center" vertical="center" wrapText="1"/>
    </xf>
    <xf numFmtId="184" fontId="23" fillId="0" borderId="192" xfId="116" applyNumberFormat="1" applyFont="1" applyBorder="1" applyAlignment="1">
      <alignment horizontal="center" vertical="center" wrapText="1"/>
    </xf>
    <xf numFmtId="184" fontId="23" fillId="0" borderId="162" xfId="116" applyNumberFormat="1" applyFont="1" applyBorder="1" applyAlignment="1">
      <alignment horizontal="center" vertical="center" wrapText="1"/>
    </xf>
    <xf numFmtId="184" fontId="0" fillId="0" borderId="162" xfId="116" applyNumberFormat="1" applyFont="1" applyBorder="1" applyAlignment="1">
      <alignment horizontal="center" vertical="center" wrapText="1"/>
    </xf>
    <xf numFmtId="184" fontId="23" fillId="0" borderId="73" xfId="116" applyNumberFormat="1" applyFont="1" applyBorder="1" applyAlignment="1">
      <alignment horizontal="center" vertical="center" wrapText="1"/>
    </xf>
    <xf numFmtId="184" fontId="23" fillId="0" borderId="126" xfId="116" applyNumberFormat="1" applyFont="1" applyFill="1" applyBorder="1" applyAlignment="1">
      <alignment horizontal="center" vertical="center"/>
    </xf>
    <xf numFmtId="184" fontId="0" fillId="0" borderId="192" xfId="116" applyNumberFormat="1" applyFont="1" applyBorder="1" applyAlignment="1">
      <alignment horizontal="center" vertical="center" wrapText="1"/>
    </xf>
    <xf numFmtId="184" fontId="20" fillId="0" borderId="192" xfId="116" applyNumberFormat="1" applyFont="1" applyFill="1" applyBorder="1" applyAlignment="1">
      <alignment horizontal="center" vertical="center" wrapText="1"/>
    </xf>
    <xf numFmtId="184" fontId="20" fillId="0" borderId="192" xfId="116" applyNumberFormat="1" applyFont="1" applyBorder="1" applyAlignment="1">
      <alignment horizontal="center" vertical="center" wrapText="1"/>
    </xf>
    <xf numFmtId="184" fontId="0" fillId="0" borderId="192" xfId="116" applyNumberFormat="1" applyFont="1" applyFill="1" applyBorder="1" applyAlignment="1">
      <alignment horizontal="center" vertical="center" wrapText="1"/>
    </xf>
    <xf numFmtId="184" fontId="23" fillId="0" borderId="126" xfId="116" applyNumberFormat="1" applyFont="1" applyFill="1" applyBorder="1" applyAlignment="1">
      <alignment horizontal="center" vertical="center" wrapText="1"/>
    </xf>
    <xf numFmtId="184" fontId="55" fillId="0" borderId="126" xfId="116" applyNumberFormat="1" applyFont="1" applyFill="1" applyBorder="1" applyAlignment="1">
      <alignment horizontal="center" vertical="center" wrapText="1"/>
    </xf>
    <xf numFmtId="227" fontId="23" fillId="0" borderId="0" xfId="119" applyFont="1" applyBorder="1" applyAlignment="1">
      <alignment horizontal="center" vertical="center"/>
    </xf>
    <xf numFmtId="227" fontId="50" fillId="0" borderId="0" xfId="0" applyFont="1" applyBorder="1" applyAlignment="1">
      <alignment horizontal="center"/>
    </xf>
    <xf numFmtId="184" fontId="0" fillId="0" borderId="211" xfId="116" applyNumberFormat="1" applyFont="1" applyBorder="1" applyAlignment="1">
      <alignment horizontal="center" vertical="center" wrapText="1"/>
    </xf>
    <xf numFmtId="184" fontId="20" fillId="0" borderId="178" xfId="116" applyNumberFormat="1" applyFont="1" applyBorder="1" applyAlignment="1">
      <alignment horizontal="center" vertical="center" wrapText="1"/>
    </xf>
    <xf numFmtId="184" fontId="0" fillId="0" borderId="137" xfId="116" applyNumberFormat="1" applyFont="1" applyBorder="1" applyAlignment="1">
      <alignment horizontal="center" vertical="center" wrapText="1"/>
    </xf>
    <xf numFmtId="227" fontId="20" fillId="0" borderId="11" xfId="119" applyFont="1" applyFill="1" applyBorder="1" applyAlignment="1">
      <alignment horizontal="center"/>
    </xf>
    <xf numFmtId="227" fontId="23" fillId="0" borderId="192" xfId="119" applyFont="1" applyFill="1" applyBorder="1" applyAlignment="1">
      <alignment horizontal="center"/>
    </xf>
    <xf numFmtId="227" fontId="23" fillId="0" borderId="54" xfId="119" applyFont="1" applyFill="1" applyBorder="1" applyAlignment="1">
      <alignment horizontal="center"/>
    </xf>
    <xf numFmtId="227" fontId="23" fillId="0" borderId="155" xfId="119" applyFont="1" applyFill="1" applyBorder="1" applyAlignment="1">
      <alignment horizontal="center"/>
    </xf>
    <xf numFmtId="184" fontId="23" fillId="0" borderId="192" xfId="116" applyNumberFormat="1" applyFont="1" applyFill="1" applyBorder="1" applyAlignment="1">
      <alignment horizontal="center" vertical="center" wrapText="1"/>
    </xf>
    <xf numFmtId="227" fontId="20" fillId="0" borderId="192" xfId="119" applyFont="1" applyFill="1" applyBorder="1" applyAlignment="1">
      <alignment horizontal="center" vertical="center"/>
    </xf>
    <xf numFmtId="184" fontId="61" fillId="0" borderId="187" xfId="116" applyNumberFormat="1" applyFont="1" applyFill="1" applyBorder="1" applyAlignment="1">
      <alignment horizontal="center" vertical="center" wrapText="1"/>
    </xf>
    <xf numFmtId="184" fontId="61" fillId="0" borderId="126" xfId="116" applyNumberFormat="1" applyFont="1" applyFill="1" applyBorder="1" applyAlignment="1">
      <alignment horizontal="center" vertical="center" wrapText="1"/>
    </xf>
    <xf numFmtId="184" fontId="23" fillId="0" borderId="61" xfId="116" applyNumberFormat="1" applyFont="1" applyFill="1" applyBorder="1" applyAlignment="1">
      <alignment horizontal="center" vertical="center" wrapText="1"/>
    </xf>
    <xf numFmtId="198" fontId="20" fillId="0" borderId="0" xfId="1129" applyNumberFormat="1" applyFont="1" applyBorder="1" applyAlignment="1">
      <alignment horizontal="center" vertical="center"/>
    </xf>
    <xf numFmtId="183" fontId="20" fillId="0" borderId="0" xfId="475" applyNumberFormat="1" applyFont="1" applyBorder="1">
      <alignment vertical="center"/>
    </xf>
    <xf numFmtId="3" fontId="20" fillId="0" borderId="0" xfId="1129" applyNumberFormat="1" applyFont="1" applyBorder="1" applyAlignment="1">
      <alignment horizontal="center" vertical="center"/>
    </xf>
    <xf numFmtId="9" fontId="133" fillId="0" borderId="0" xfId="1129" applyNumberFormat="1" applyFont="1" applyBorder="1">
      <alignment vertical="center"/>
    </xf>
    <xf numFmtId="9" fontId="20" fillId="0" borderId="0" xfId="475" applyNumberFormat="1" applyFont="1" applyBorder="1">
      <alignment vertical="center"/>
    </xf>
    <xf numFmtId="184" fontId="13" fillId="0" borderId="227" xfId="116" applyNumberFormat="1" applyFont="1" applyFill="1" applyBorder="1" applyAlignment="1">
      <alignment horizontal="left" vertical="center"/>
    </xf>
    <xf numFmtId="184" fontId="20" fillId="0" borderId="202" xfId="116" applyNumberFormat="1" applyFont="1" applyFill="1" applyBorder="1" applyAlignment="1">
      <alignment vertical="center" wrapText="1"/>
    </xf>
    <xf numFmtId="38" fontId="20" fillId="0" borderId="200" xfId="119" applyNumberFormat="1" applyFont="1" applyFill="1" applyBorder="1" applyAlignment="1">
      <alignment horizontal="center" vertical="center"/>
    </xf>
    <xf numFmtId="38" fontId="20" fillId="0" borderId="199" xfId="70" applyNumberFormat="1" applyFont="1" applyFill="1" applyBorder="1" applyAlignment="1">
      <alignment horizontal="center" vertical="center"/>
    </xf>
    <xf numFmtId="40" fontId="20" fillId="0" borderId="200" xfId="119" applyNumberFormat="1" applyFont="1" applyFill="1" applyBorder="1" applyAlignment="1">
      <alignment horizontal="center" vertical="center"/>
    </xf>
    <xf numFmtId="184" fontId="0" fillId="0" borderId="200" xfId="116" applyNumberFormat="1" applyFont="1" applyFill="1" applyBorder="1" applyAlignment="1">
      <alignment vertical="center" wrapText="1"/>
    </xf>
    <xf numFmtId="184" fontId="0" fillId="0" borderId="200" xfId="116" applyNumberFormat="1" applyFont="1" applyFill="1" applyBorder="1" applyAlignment="1">
      <alignment horizontal="center" vertical="center" wrapText="1"/>
    </xf>
    <xf numFmtId="38" fontId="0" fillId="0" borderId="200" xfId="119" applyNumberFormat="1" applyFont="1" applyFill="1" applyBorder="1" applyAlignment="1">
      <alignment horizontal="center" vertical="center"/>
    </xf>
    <xf numFmtId="40" fontId="0" fillId="0" borderId="200" xfId="119" applyNumberFormat="1" applyFont="1" applyFill="1" applyBorder="1" applyAlignment="1">
      <alignment horizontal="center" vertical="center"/>
    </xf>
    <xf numFmtId="40" fontId="0" fillId="0" borderId="218" xfId="119" applyNumberFormat="1" applyFont="1" applyFill="1" applyBorder="1" applyAlignment="1">
      <alignment horizontal="center" vertical="center"/>
    </xf>
    <xf numFmtId="38" fontId="0" fillId="0" borderId="199" xfId="70" applyNumberFormat="1" applyFont="1" applyFill="1" applyBorder="1" applyAlignment="1">
      <alignment horizontal="center" vertical="center"/>
    </xf>
    <xf numFmtId="9" fontId="0" fillId="0" borderId="221" xfId="0" applyNumberFormat="1" applyFont="1" applyFill="1" applyBorder="1" applyAlignment="1">
      <alignment vertical="center" wrapText="1"/>
    </xf>
    <xf numFmtId="3" fontId="0" fillId="0" borderId="0" xfId="282" applyNumberFormat="1" applyFont="1" applyFill="1" applyBorder="1">
      <alignment vertical="center"/>
    </xf>
    <xf numFmtId="9" fontId="0" fillId="0" borderId="0" xfId="127" applyNumberFormat="1" applyFont="1" applyFill="1" applyBorder="1">
      <alignment vertical="center"/>
    </xf>
    <xf numFmtId="40" fontId="0" fillId="0" borderId="192" xfId="119" applyNumberFormat="1" applyFont="1" applyFill="1" applyBorder="1" applyAlignment="1">
      <alignment horizontal="center" vertical="center"/>
    </xf>
    <xf numFmtId="40" fontId="0" fillId="0" borderId="178" xfId="119" applyNumberFormat="1" applyFont="1" applyFill="1" applyBorder="1" applyAlignment="1">
      <alignment horizontal="center" vertical="center"/>
    </xf>
    <xf numFmtId="38" fontId="0" fillId="0" borderId="178" xfId="70" applyNumberFormat="1" applyFont="1" applyFill="1" applyBorder="1" applyAlignment="1">
      <alignment horizontal="center" vertical="center"/>
    </xf>
    <xf numFmtId="227" fontId="0" fillId="36" borderId="132" xfId="0" applyFont="1" applyFill="1" applyBorder="1" applyAlignment="1">
      <alignment horizontal="center" vertical="center" wrapText="1"/>
    </xf>
    <xf numFmtId="10" fontId="74" fillId="0" borderId="0" xfId="0" applyNumberFormat="1" applyFont="1" applyFill="1" applyBorder="1" applyAlignment="1">
      <alignment vertical="center"/>
    </xf>
    <xf numFmtId="9" fontId="0" fillId="0" borderId="0" xfId="475" applyNumberFormat="1" applyFont="1" applyFill="1" applyBorder="1">
      <alignment vertical="center"/>
    </xf>
    <xf numFmtId="9" fontId="0" fillId="0" borderId="0" xfId="58" applyNumberFormat="1" applyFont="1" applyBorder="1">
      <alignment vertical="center"/>
    </xf>
    <xf numFmtId="198" fontId="0" fillId="0" borderId="0" xfId="127" applyNumberFormat="1" applyFont="1" applyBorder="1" applyAlignment="1">
      <alignment horizontal="center" vertical="center"/>
    </xf>
    <xf numFmtId="3" fontId="0" fillId="0" borderId="0" xfId="127" applyNumberFormat="1" applyFont="1" applyBorder="1" applyAlignment="1">
      <alignment horizontal="center" vertical="center"/>
    </xf>
    <xf numFmtId="9" fontId="0" fillId="0" borderId="0" xfId="127" applyNumberFormat="1" applyFont="1" applyBorder="1">
      <alignment vertical="center"/>
    </xf>
    <xf numFmtId="9" fontId="59" fillId="0" borderId="0" xfId="0" applyNumberFormat="1" applyFont="1" applyFill="1" applyBorder="1">
      <alignment vertical="center"/>
    </xf>
    <xf numFmtId="3" fontId="59" fillId="0" borderId="0" xfId="0" applyNumberFormat="1" applyFont="1" applyFill="1" applyBorder="1">
      <alignment vertical="center"/>
    </xf>
    <xf numFmtId="3" fontId="0" fillId="0" borderId="0" xfId="0" applyNumberFormat="1" applyFont="1" applyBorder="1" applyAlignment="1">
      <alignment horizontal="center" vertical="center"/>
    </xf>
    <xf numFmtId="184" fontId="20" fillId="0" borderId="200" xfId="116" applyNumberFormat="1" applyFont="1" applyBorder="1" applyAlignment="1">
      <alignment horizontal="center" vertical="center" wrapText="1"/>
    </xf>
    <xf numFmtId="227" fontId="0" fillId="0" borderId="50" xfId="0" applyFont="1" applyFill="1" applyBorder="1" applyAlignment="1">
      <alignment wrapText="1"/>
    </xf>
    <xf numFmtId="3" fontId="0" fillId="0" borderId="0" xfId="683" applyNumberFormat="1" applyFont="1" applyFill="1" applyBorder="1" applyAlignment="1">
      <alignment horizontal="center" vertical="center"/>
    </xf>
    <xf numFmtId="38" fontId="0" fillId="0" borderId="195" xfId="119" applyNumberFormat="1" applyFont="1" applyFill="1" applyBorder="1" applyAlignment="1">
      <alignment horizontal="center" vertical="center"/>
    </xf>
    <xf numFmtId="198" fontId="0" fillId="0" borderId="0" xfId="1129" applyNumberFormat="1" applyFont="1" applyFill="1" applyBorder="1" applyAlignment="1">
      <alignment horizontal="center" vertical="center"/>
    </xf>
    <xf numFmtId="40" fontId="0" fillId="0" borderId="11" xfId="119" applyNumberFormat="1" applyFont="1" applyFill="1" applyBorder="1" applyAlignment="1">
      <alignment horizontal="center" vertical="center"/>
    </xf>
    <xf numFmtId="198" fontId="0" fillId="0" borderId="0" xfId="1129" applyNumberFormat="1" applyFont="1" applyBorder="1" applyAlignment="1">
      <alignment horizontal="center" vertical="center"/>
    </xf>
    <xf numFmtId="183" fontId="0" fillId="0" borderId="0" xfId="475" applyNumberFormat="1" applyFont="1" applyBorder="1">
      <alignment vertical="center"/>
    </xf>
    <xf numFmtId="3" fontId="0" fillId="0" borderId="0" xfId="1129" applyNumberFormat="1" applyFont="1" applyBorder="1" applyAlignment="1">
      <alignment horizontal="center" vertical="center"/>
    </xf>
    <xf numFmtId="9" fontId="0" fillId="0" borderId="0" xfId="1129" applyNumberFormat="1" applyFont="1" applyBorder="1">
      <alignment vertical="center"/>
    </xf>
    <xf numFmtId="40" fontId="0" fillId="0" borderId="195" xfId="119" applyNumberFormat="1" applyFont="1" applyFill="1" applyBorder="1" applyAlignment="1">
      <alignment horizontal="center" vertical="center"/>
    </xf>
    <xf numFmtId="9" fontId="0" fillId="0" borderId="0" xfId="1129" applyNumberFormat="1" applyFont="1" applyFill="1" applyBorder="1">
      <alignment vertical="center"/>
    </xf>
    <xf numFmtId="3" fontId="0" fillId="0" borderId="0" xfId="683" applyNumberFormat="1" applyFont="1" applyBorder="1" applyAlignment="1">
      <alignment horizontal="center" vertical="center"/>
    </xf>
    <xf numFmtId="227" fontId="0" fillId="0" borderId="11" xfId="116" applyFont="1" applyFill="1" applyBorder="1" applyAlignment="1">
      <alignment vertical="center" wrapText="1"/>
    </xf>
    <xf numFmtId="184" fontId="20" fillId="0" borderId="220" xfId="116" applyNumberFormat="1" applyFont="1" applyBorder="1" applyAlignment="1">
      <alignment horizontal="center" vertical="center" wrapText="1"/>
    </xf>
    <xf numFmtId="184" fontId="0" fillId="0" borderId="165" xfId="116" applyNumberFormat="1" applyFont="1" applyFill="1" applyBorder="1" applyAlignment="1">
      <alignment vertical="center" wrapText="1"/>
    </xf>
    <xf numFmtId="184" fontId="0" fillId="0" borderId="214" xfId="116" applyNumberFormat="1" applyFont="1" applyBorder="1" applyAlignment="1">
      <alignment horizontal="center" vertical="center" wrapText="1"/>
    </xf>
    <xf numFmtId="38" fontId="0" fillId="0" borderId="214" xfId="119" applyNumberFormat="1" applyFont="1" applyFill="1" applyBorder="1" applyAlignment="1">
      <alignment horizontal="center" vertical="center"/>
    </xf>
    <xf numFmtId="40" fontId="0" fillId="0" borderId="162" xfId="119" applyNumberFormat="1" applyFont="1" applyFill="1" applyBorder="1" applyAlignment="1">
      <alignment horizontal="center" vertical="center"/>
    </xf>
    <xf numFmtId="227" fontId="20" fillId="0" borderId="0" xfId="0" applyFont="1" applyBorder="1" applyAlignment="1">
      <alignment horizontal="left" vertical="center"/>
    </xf>
    <xf numFmtId="3" fontId="150" fillId="0" borderId="0" xfId="127" applyNumberFormat="1" applyFont="1" applyFill="1" applyBorder="1" applyAlignment="1">
      <alignment horizontal="center" vertical="center"/>
    </xf>
    <xf numFmtId="3" fontId="150" fillId="0" borderId="0" xfId="127" applyNumberFormat="1" applyFont="1" applyFill="1" applyBorder="1">
      <alignment vertical="center"/>
    </xf>
    <xf numFmtId="3" fontId="150" fillId="0" borderId="0" xfId="0" applyNumberFormat="1" applyFont="1" applyFill="1" applyBorder="1" applyAlignment="1">
      <alignment horizontal="center" vertical="center"/>
    </xf>
    <xf numFmtId="3" fontId="195" fillId="0" borderId="0" xfId="0" applyNumberFormat="1" applyFont="1" applyFill="1" applyBorder="1">
      <alignment vertical="center"/>
    </xf>
    <xf numFmtId="3" fontId="151" fillId="0" borderId="0" xfId="0" applyNumberFormat="1" applyFont="1" applyFill="1" applyBorder="1">
      <alignment vertical="center"/>
    </xf>
    <xf numFmtId="38" fontId="0" fillId="0" borderId="200" xfId="70" applyNumberFormat="1" applyFont="1" applyFill="1" applyBorder="1" applyAlignment="1">
      <alignment horizontal="center" vertical="center"/>
    </xf>
    <xf numFmtId="3" fontId="0" fillId="0" borderId="0" xfId="132" applyNumberFormat="1" applyFont="1" applyBorder="1" applyAlignment="1">
      <alignment horizontal="center" vertical="center"/>
    </xf>
    <xf numFmtId="3" fontId="0" fillId="0" borderId="0" xfId="127" applyNumberFormat="1" applyFont="1" applyFill="1" applyBorder="1" applyAlignment="1">
      <alignment horizontal="center" vertical="center"/>
    </xf>
    <xf numFmtId="38" fontId="59" fillId="0" borderId="0" xfId="0" applyNumberFormat="1" applyFont="1" applyFill="1" applyBorder="1">
      <alignment vertical="center"/>
    </xf>
    <xf numFmtId="9" fontId="0" fillId="0" borderId="0" xfId="475" applyNumberFormat="1" applyFont="1" applyBorder="1">
      <alignment vertical="center"/>
    </xf>
    <xf numFmtId="3" fontId="0" fillId="0" borderId="0" xfId="1129" applyNumberFormat="1" applyFont="1" applyFill="1" applyBorder="1" applyAlignment="1">
      <alignment horizontal="center" vertical="center"/>
    </xf>
    <xf numFmtId="227" fontId="0" fillId="0" borderId="54" xfId="119" applyFont="1" applyFill="1" applyBorder="1" applyAlignment="1">
      <alignment horizontal="center"/>
    </xf>
    <xf numFmtId="227" fontId="0" fillId="0" borderId="0" xfId="0" applyFont="1" applyBorder="1" applyAlignment="1">
      <alignment horizontal="left" vertical="center"/>
    </xf>
    <xf numFmtId="227" fontId="0" fillId="0" borderId="221" xfId="0" applyFont="1" applyFill="1" applyBorder="1" applyAlignment="1">
      <alignment wrapText="1"/>
    </xf>
    <xf numFmtId="183" fontId="0" fillId="0" borderId="0" xfId="282" applyNumberFormat="1" applyFont="1" applyBorder="1">
      <alignment vertical="center"/>
    </xf>
    <xf numFmtId="3" fontId="0" fillId="0" borderId="0" xfId="127" applyNumberFormat="1" applyFont="1" applyFill="1" applyBorder="1">
      <alignment vertical="center"/>
    </xf>
    <xf numFmtId="40" fontId="50" fillId="0" borderId="54" xfId="119" applyNumberFormat="1" applyFont="1" applyFill="1" applyBorder="1" applyAlignment="1">
      <alignment horizontal="center" vertical="center"/>
    </xf>
    <xf numFmtId="184" fontId="50" fillId="0" borderId="67" xfId="116" applyNumberFormat="1" applyFont="1" applyFill="1" applyBorder="1" applyAlignment="1">
      <alignment vertical="center" wrapText="1"/>
    </xf>
    <xf numFmtId="184" fontId="50" fillId="0" borderId="54" xfId="116" applyNumberFormat="1" applyFont="1" applyFill="1" applyBorder="1" applyAlignment="1">
      <alignment horizontal="center" vertical="center" wrapText="1"/>
    </xf>
    <xf numFmtId="38" fontId="50" fillId="0" borderId="54" xfId="119" applyNumberFormat="1" applyFont="1" applyFill="1" applyBorder="1" applyAlignment="1">
      <alignment horizontal="center" vertical="center"/>
    </xf>
    <xf numFmtId="227" fontId="0" fillId="0" borderId="43" xfId="0" applyFont="1" applyFill="1" applyBorder="1">
      <alignment vertical="center"/>
    </xf>
    <xf numFmtId="40" fontId="50" fillId="0" borderId="136" xfId="119" applyNumberFormat="1" applyFont="1" applyFill="1" applyBorder="1" applyAlignment="1">
      <alignment horizontal="center" vertical="center"/>
    </xf>
    <xf numFmtId="184" fontId="141" fillId="0" borderId="180" xfId="116" applyNumberFormat="1" applyFont="1" applyFill="1" applyBorder="1" applyAlignment="1">
      <alignment vertical="center" wrapText="1"/>
    </xf>
    <xf numFmtId="227" fontId="0" fillId="0" borderId="57" xfId="0" applyFont="1" applyFill="1" applyBorder="1">
      <alignment vertical="center"/>
    </xf>
    <xf numFmtId="227" fontId="0" fillId="33" borderId="0" xfId="0" applyFont="1" applyFill="1" applyBorder="1">
      <alignment vertical="center"/>
    </xf>
    <xf numFmtId="227" fontId="0" fillId="33" borderId="0" xfId="0" applyFont="1" applyFill="1" applyBorder="1" applyAlignment="1">
      <alignment horizontal="center" vertical="center"/>
    </xf>
    <xf numFmtId="9" fontId="0" fillId="33" borderId="0" xfId="0" applyNumberFormat="1" applyFont="1" applyFill="1" applyBorder="1" applyAlignment="1" applyProtection="1">
      <alignment horizontal="center" vertical="center"/>
      <protection locked="0"/>
    </xf>
    <xf numFmtId="38" fontId="23" fillId="0" borderId="69" xfId="70" applyNumberFormat="1" applyFont="1" applyFill="1" applyBorder="1" applyAlignment="1">
      <alignment horizontal="center" vertical="center"/>
    </xf>
    <xf numFmtId="38" fontId="59" fillId="0" borderId="199" xfId="70" applyNumberFormat="1" applyFont="1" applyFill="1" applyBorder="1" applyAlignment="1">
      <alignment horizontal="center" vertical="center"/>
    </xf>
    <xf numFmtId="227" fontId="0" fillId="0" borderId="199" xfId="0" applyFont="1" applyFill="1" applyBorder="1" applyAlignment="1">
      <alignment vertical="center" wrapText="1"/>
    </xf>
    <xf numFmtId="38" fontId="20" fillId="0" borderId="50" xfId="70" applyNumberFormat="1" applyFont="1" applyFill="1" applyBorder="1" applyAlignment="1">
      <alignment horizontal="left" vertical="center" wrapText="1"/>
    </xf>
    <xf numFmtId="3" fontId="0" fillId="0" borderId="192" xfId="0" applyNumberFormat="1" applyFont="1" applyFill="1" applyBorder="1" applyAlignment="1">
      <alignment horizontal="center" vertical="center"/>
    </xf>
    <xf numFmtId="227" fontId="77" fillId="0" borderId="169" xfId="0" applyFont="1" applyFill="1" applyBorder="1">
      <alignment vertical="center"/>
    </xf>
    <xf numFmtId="38" fontId="0" fillId="0" borderId="162" xfId="0" applyNumberFormat="1" applyFont="1" applyFill="1" applyBorder="1" applyAlignment="1">
      <alignment horizontal="center" vertical="center"/>
    </xf>
    <xf numFmtId="227" fontId="59" fillId="0" borderId="222" xfId="119" applyFont="1" applyFill="1" applyBorder="1" applyAlignment="1">
      <alignment horizontal="right"/>
    </xf>
    <xf numFmtId="3" fontId="0" fillId="0" borderId="0" xfId="58" applyNumberFormat="1" applyFont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58" applyNumberFormat="1" applyFont="1" applyFill="1" applyAlignment="1">
      <alignment vertical="center"/>
    </xf>
    <xf numFmtId="3" fontId="0" fillId="0" borderId="0" xfId="58" applyNumberFormat="1" applyFont="1" applyFill="1">
      <alignment vertical="center"/>
    </xf>
    <xf numFmtId="184" fontId="85" fillId="0" borderId="53" xfId="116" applyNumberFormat="1" applyFont="1" applyFill="1" applyBorder="1" applyAlignment="1">
      <alignment horizontal="left" vertical="center"/>
    </xf>
    <xf numFmtId="184" fontId="23" fillId="0" borderId="204" xfId="116" applyNumberFormat="1" applyFont="1" applyFill="1" applyBorder="1" applyAlignment="1">
      <alignment vertical="center" wrapText="1"/>
    </xf>
    <xf numFmtId="184" fontId="23" fillId="0" borderId="204" xfId="116" applyNumberFormat="1" applyFont="1" applyFill="1" applyBorder="1" applyAlignment="1">
      <alignment horizontal="center" vertical="center" wrapText="1"/>
    </xf>
    <xf numFmtId="40" fontId="23" fillId="0" borderId="204" xfId="119" applyNumberFormat="1" applyFont="1" applyFill="1" applyBorder="1" applyAlignment="1">
      <alignment horizontal="center" vertical="center"/>
    </xf>
    <xf numFmtId="227" fontId="23" fillId="0" borderId="43" xfId="0" applyFont="1" applyFill="1" applyBorder="1" applyAlignment="1">
      <alignment wrapText="1"/>
    </xf>
    <xf numFmtId="198" fontId="23" fillId="0" borderId="0" xfId="127" applyNumberFormat="1" applyFont="1" applyFill="1" applyBorder="1" applyAlignment="1">
      <alignment horizontal="center" vertical="center"/>
    </xf>
    <xf numFmtId="14" fontId="23" fillId="0" borderId="0" xfId="0" applyNumberFormat="1" applyFont="1" applyFill="1" applyBorder="1" applyAlignment="1">
      <alignment horizontal="center" vertical="center"/>
    </xf>
    <xf numFmtId="3" fontId="23" fillId="0" borderId="0" xfId="127" applyNumberFormat="1" applyFont="1" applyFill="1" applyBorder="1" applyAlignment="1">
      <alignment horizontal="center" vertical="center"/>
    </xf>
    <xf numFmtId="9" fontId="23" fillId="0" borderId="0" xfId="127" applyNumberFormat="1" applyFont="1" applyFill="1" applyBorder="1">
      <alignment vertical="center"/>
    </xf>
    <xf numFmtId="9" fontId="0" fillId="0" borderId="199" xfId="0" applyNumberFormat="1" applyFont="1" applyFill="1" applyBorder="1" applyAlignment="1">
      <alignment vertical="center" wrapText="1"/>
    </xf>
    <xf numFmtId="38" fontId="23" fillId="0" borderId="69" xfId="0" applyNumberFormat="1" applyFont="1" applyFill="1" applyBorder="1" applyAlignment="1">
      <alignment horizontal="center" vertical="center"/>
    </xf>
    <xf numFmtId="38" fontId="23" fillId="0" borderId="65" xfId="0" applyNumberFormat="1" applyFont="1" applyFill="1" applyBorder="1" applyAlignment="1">
      <alignment horizontal="center" vertical="center"/>
    </xf>
    <xf numFmtId="227" fontId="20" fillId="0" borderId="229" xfId="0" applyFont="1" applyFill="1" applyBorder="1" applyAlignment="1">
      <alignment vertical="center"/>
    </xf>
    <xf numFmtId="227" fontId="58" fillId="0" borderId="192" xfId="119" applyFont="1" applyFill="1" applyBorder="1" applyAlignment="1">
      <alignment vertical="center"/>
    </xf>
    <xf numFmtId="183" fontId="58" fillId="0" borderId="218" xfId="58" applyNumberFormat="1" applyFont="1" applyFill="1" applyBorder="1" applyAlignment="1">
      <alignment vertical="center"/>
    </xf>
    <xf numFmtId="183" fontId="58" fillId="0" borderId="199" xfId="58" applyNumberFormat="1" applyFont="1" applyFill="1" applyBorder="1" applyAlignment="1">
      <alignment vertical="center"/>
    </xf>
    <xf numFmtId="227" fontId="20" fillId="0" borderId="229" xfId="0" applyFont="1" applyFill="1" applyBorder="1" applyAlignment="1">
      <alignment horizontal="center" vertical="center"/>
    </xf>
    <xf numFmtId="227" fontId="0" fillId="0" borderId="192" xfId="119" applyFont="1" applyFill="1" applyBorder="1" applyAlignment="1">
      <alignment horizontal="center"/>
    </xf>
    <xf numFmtId="227" fontId="0" fillId="0" borderId="0" xfId="0" applyFont="1" applyFill="1" applyBorder="1" applyAlignment="1">
      <alignment horizontal="center" vertical="center" wrapText="1"/>
    </xf>
    <xf numFmtId="9" fontId="0" fillId="0" borderId="0" xfId="70" applyNumberFormat="1" applyFont="1" applyFill="1" applyBorder="1" applyAlignment="1">
      <alignment horizontal="center" vertical="center" wrapText="1"/>
    </xf>
    <xf numFmtId="9" fontId="13" fillId="0" borderId="0" xfId="0" applyNumberFormat="1" applyFont="1" applyFill="1" applyBorder="1" applyAlignment="1">
      <alignment horizontal="center" vertical="center" wrapText="1"/>
    </xf>
    <xf numFmtId="3" fontId="13" fillId="0" borderId="0" xfId="0" applyNumberFormat="1" applyFont="1" applyFill="1" applyBorder="1" applyAlignment="1">
      <alignment horizontal="center" vertical="center" wrapText="1"/>
    </xf>
    <xf numFmtId="227" fontId="13" fillId="0" borderId="0" xfId="0" applyFont="1" applyFill="1" applyBorder="1" applyAlignment="1">
      <alignment horizontal="center" vertical="center" wrapText="1"/>
    </xf>
    <xf numFmtId="10" fontId="13" fillId="27" borderId="0" xfId="282" applyNumberFormat="1" applyFont="1" applyFill="1" applyBorder="1" applyAlignment="1">
      <alignment horizontal="center" vertical="center"/>
    </xf>
    <xf numFmtId="43" fontId="13" fillId="27" borderId="0" xfId="282" applyFont="1" applyFill="1" applyBorder="1">
      <alignment vertical="center"/>
    </xf>
    <xf numFmtId="179" fontId="9" fillId="0" borderId="43" xfId="248" applyFont="1" applyBorder="1" applyProtection="1"/>
    <xf numFmtId="179" fontId="23" fillId="0" borderId="43" xfId="248" applyFont="1" applyBorder="1" applyProtection="1"/>
    <xf numFmtId="179" fontId="23" fillId="0" borderId="58" xfId="248" applyFont="1" applyBorder="1" applyProtection="1"/>
    <xf numFmtId="41" fontId="23" fillId="0" borderId="230" xfId="70" applyNumberFormat="1" applyFont="1" applyFill="1" applyBorder="1" applyProtection="1"/>
    <xf numFmtId="41" fontId="23" fillId="0" borderId="200" xfId="70" applyNumberFormat="1" applyFont="1" applyFill="1" applyBorder="1" applyProtection="1"/>
    <xf numFmtId="41" fontId="23" fillId="0" borderId="231" xfId="70" applyNumberFormat="1" applyFont="1" applyFill="1" applyBorder="1" applyProtection="1"/>
    <xf numFmtId="41" fontId="23" fillId="0" borderId="225" xfId="70" applyNumberFormat="1" applyFont="1" applyFill="1" applyBorder="1" applyProtection="1"/>
    <xf numFmtId="41" fontId="23" fillId="0" borderId="199" xfId="248" applyNumberFormat="1" applyFont="1" applyFill="1" applyBorder="1" applyProtection="1"/>
    <xf numFmtId="1" fontId="23" fillId="0" borderId="66" xfId="119" applyNumberFormat="1" applyFont="1" applyBorder="1" applyProtection="1"/>
    <xf numFmtId="227" fontId="23" fillId="0" borderId="66" xfId="119" applyFont="1" applyFill="1" applyBorder="1" applyProtection="1"/>
    <xf numFmtId="183" fontId="23" fillId="0" borderId="66" xfId="58" applyNumberFormat="1" applyFont="1" applyFill="1" applyBorder="1" applyAlignment="1" applyProtection="1"/>
    <xf numFmtId="10" fontId="23" fillId="0" borderId="66" xfId="127" applyNumberFormat="1" applyFont="1" applyFill="1" applyBorder="1" applyAlignment="1" applyProtection="1">
      <alignment horizontal="center"/>
    </xf>
    <xf numFmtId="183" fontId="23" fillId="0" borderId="66" xfId="58" applyNumberFormat="1" applyFont="1" applyFill="1" applyBorder="1" applyAlignment="1" applyProtection="1">
      <alignment horizontal="center"/>
    </xf>
    <xf numFmtId="183" fontId="23" fillId="0" borderId="54" xfId="58" applyNumberFormat="1" applyFont="1" applyFill="1" applyBorder="1" applyAlignment="1" applyProtection="1">
      <alignment horizontal="center"/>
    </xf>
    <xf numFmtId="41" fontId="23" fillId="0" borderId="54" xfId="70" applyNumberFormat="1" applyFont="1" applyFill="1" applyBorder="1" applyProtection="1"/>
    <xf numFmtId="41" fontId="23" fillId="0" borderId="15" xfId="70" applyNumberFormat="1" applyFont="1" applyFill="1" applyBorder="1" applyProtection="1"/>
    <xf numFmtId="181" fontId="23" fillId="0" borderId="66" xfId="127" applyNumberFormat="1" applyFont="1" applyFill="1" applyBorder="1" applyAlignment="1" applyProtection="1">
      <alignment horizontal="center"/>
    </xf>
    <xf numFmtId="41" fontId="23" fillId="0" borderId="57" xfId="248" applyNumberFormat="1" applyFont="1" applyFill="1" applyBorder="1" applyProtection="1"/>
    <xf numFmtId="10" fontId="23" fillId="0" borderId="57" xfId="127" applyNumberFormat="1" applyFont="1" applyFill="1" applyBorder="1" applyAlignment="1" applyProtection="1">
      <alignment horizontal="center"/>
    </xf>
    <xf numFmtId="41" fontId="23" fillId="0" borderId="66" xfId="70" applyNumberFormat="1" applyFont="1" applyFill="1" applyBorder="1" applyProtection="1"/>
    <xf numFmtId="179" fontId="23" fillId="0" borderId="157" xfId="248" applyFont="1" applyBorder="1" applyProtection="1"/>
    <xf numFmtId="181" fontId="23" fillId="0" borderId="66" xfId="70" applyNumberFormat="1" applyFont="1" applyFill="1" applyBorder="1" applyAlignment="1" applyProtection="1">
      <alignment horizontal="center"/>
    </xf>
    <xf numFmtId="41" fontId="23" fillId="0" borderId="53" xfId="70" applyNumberFormat="1" applyFont="1" applyFill="1" applyBorder="1" applyProtection="1"/>
    <xf numFmtId="227" fontId="23" fillId="0" borderId="129" xfId="119" applyFont="1" applyFill="1" applyBorder="1" applyProtection="1"/>
    <xf numFmtId="41" fontId="23" fillId="0" borderId="44" xfId="248" applyNumberFormat="1" applyFont="1" applyFill="1" applyBorder="1" applyProtection="1"/>
    <xf numFmtId="10" fontId="23" fillId="0" borderId="44" xfId="127" applyNumberFormat="1" applyFont="1" applyFill="1" applyBorder="1" applyAlignment="1" applyProtection="1">
      <alignment horizontal="center"/>
    </xf>
    <xf numFmtId="41" fontId="23" fillId="0" borderId="232" xfId="70" applyNumberFormat="1" applyFont="1" applyFill="1" applyBorder="1" applyProtection="1"/>
    <xf numFmtId="179" fontId="23" fillId="0" borderId="232" xfId="248" applyFont="1" applyBorder="1" applyProtection="1"/>
    <xf numFmtId="49" fontId="152" fillId="0" borderId="200" xfId="0" applyNumberFormat="1" applyFont="1" applyFill="1" applyBorder="1" applyAlignment="1">
      <alignment vertical="center" wrapText="1"/>
    </xf>
    <xf numFmtId="227" fontId="152" fillId="0" borderId="200" xfId="1800" applyFont="1" applyBorder="1" applyAlignment="1">
      <alignment vertical="center" wrapText="1"/>
    </xf>
    <xf numFmtId="227" fontId="83" fillId="0" borderId="0" xfId="240" applyFont="1" applyBorder="1" applyAlignment="1">
      <alignment horizontal="center"/>
    </xf>
    <xf numFmtId="41" fontId="151" fillId="0" borderId="0" xfId="70" applyNumberFormat="1" applyFont="1" applyFill="1" applyBorder="1" applyProtection="1"/>
    <xf numFmtId="10" fontId="23" fillId="0" borderId="199" xfId="127" applyNumberFormat="1" applyFont="1" applyFill="1" applyBorder="1" applyAlignment="1" applyProtection="1">
      <alignment horizontal="center"/>
    </xf>
    <xf numFmtId="227" fontId="0" fillId="36" borderId="30" xfId="0" applyFont="1" applyFill="1" applyBorder="1" applyAlignment="1">
      <alignment horizontal="center" vertical="center" wrapText="1"/>
    </xf>
    <xf numFmtId="3" fontId="13" fillId="48" borderId="30" xfId="0" applyNumberFormat="1" applyFont="1" applyFill="1" applyBorder="1" applyAlignment="1">
      <alignment horizontal="center" vertical="center" wrapText="1"/>
    </xf>
    <xf numFmtId="38" fontId="23" fillId="0" borderId="178" xfId="119" applyNumberFormat="1" applyFont="1" applyFill="1" applyBorder="1" applyAlignment="1">
      <alignment horizontal="center" vertical="center"/>
    </xf>
    <xf numFmtId="184" fontId="13" fillId="0" borderId="200" xfId="1574" applyNumberFormat="1" applyFont="1" applyFill="1" applyBorder="1" applyAlignment="1">
      <alignment vertical="center" wrapText="1"/>
    </xf>
    <xf numFmtId="227" fontId="13" fillId="36" borderId="29" xfId="117" applyFont="1" applyFill="1" applyBorder="1" applyAlignment="1" applyProtection="1">
      <alignment horizontal="center" vertical="center" wrapText="1"/>
      <protection locked="0"/>
    </xf>
    <xf numFmtId="227" fontId="13" fillId="36" borderId="30" xfId="117" applyFont="1" applyFill="1" applyBorder="1" applyAlignment="1" applyProtection="1">
      <alignment horizontal="center" vertical="center" wrapText="1"/>
    </xf>
    <xf numFmtId="38" fontId="13" fillId="36" borderId="132" xfId="70" applyNumberFormat="1" applyFont="1" applyFill="1" applyBorder="1" applyAlignment="1">
      <alignment horizontal="center" vertical="center" wrapText="1"/>
    </xf>
    <xf numFmtId="227" fontId="13" fillId="36" borderId="132" xfId="0" applyFont="1" applyFill="1" applyBorder="1" applyAlignment="1">
      <alignment horizontal="center" vertical="center" wrapText="1"/>
    </xf>
    <xf numFmtId="3" fontId="13" fillId="36" borderId="132" xfId="70" applyNumberFormat="1" applyFont="1" applyFill="1" applyBorder="1" applyAlignment="1">
      <alignment horizontal="center" vertical="center" wrapText="1"/>
    </xf>
    <xf numFmtId="9" fontId="13" fillId="36" borderId="132" xfId="70" applyNumberFormat="1" applyFont="1" applyFill="1" applyBorder="1" applyAlignment="1">
      <alignment horizontal="center" vertical="center" wrapText="1"/>
    </xf>
    <xf numFmtId="183" fontId="58" fillId="0" borderId="0" xfId="58" applyNumberFormat="1" applyFont="1" applyFill="1" applyBorder="1">
      <alignment vertical="center"/>
    </xf>
    <xf numFmtId="213" fontId="0" fillId="0" borderId="0" xfId="58" applyNumberFormat="1" applyFont="1" applyBorder="1">
      <alignment vertical="center"/>
    </xf>
    <xf numFmtId="14" fontId="20" fillId="56" borderId="0" xfId="0" applyNumberFormat="1" applyFont="1" applyFill="1" applyBorder="1" applyAlignment="1" applyProtection="1">
      <alignment horizontal="center" vertical="center"/>
      <protection locked="0"/>
    </xf>
    <xf numFmtId="14" fontId="20" fillId="56" borderId="0" xfId="0" applyNumberFormat="1" applyFont="1" applyFill="1" applyBorder="1" applyAlignment="1">
      <alignment horizontal="center" vertical="center"/>
    </xf>
    <xf numFmtId="227" fontId="152" fillId="0" borderId="200" xfId="0" applyFont="1" applyFill="1" applyBorder="1" applyAlignment="1">
      <alignment vertical="center" wrapText="1"/>
    </xf>
    <xf numFmtId="227" fontId="152" fillId="0" borderId="200" xfId="1800" applyFont="1" applyBorder="1" applyAlignment="1">
      <alignment horizontal="center" vertical="center" wrapText="1"/>
    </xf>
    <xf numFmtId="213" fontId="152" fillId="0" borderId="200" xfId="58" applyNumberFormat="1" applyFont="1" applyFill="1" applyBorder="1" applyAlignment="1">
      <alignment vertical="center"/>
    </xf>
    <xf numFmtId="213" fontId="152" fillId="0" borderId="192" xfId="58" applyNumberFormat="1" applyFont="1" applyFill="1" applyBorder="1" applyAlignment="1">
      <alignment vertical="center"/>
    </xf>
    <xf numFmtId="38" fontId="20" fillId="42" borderId="225" xfId="70" applyNumberFormat="1" applyFont="1" applyFill="1" applyBorder="1" applyAlignment="1">
      <alignment horizontal="center" vertical="center"/>
    </xf>
    <xf numFmtId="38" fontId="20" fillId="42" borderId="178" xfId="70" applyNumberFormat="1" applyFont="1" applyFill="1" applyBorder="1" applyAlignment="1">
      <alignment horizontal="center" vertical="center"/>
    </xf>
    <xf numFmtId="38" fontId="23" fillId="0" borderId="133" xfId="70" applyNumberFormat="1" applyFont="1" applyFill="1" applyBorder="1" applyAlignment="1">
      <alignment horizontal="center" vertical="center"/>
    </xf>
    <xf numFmtId="213" fontId="152" fillId="42" borderId="200" xfId="58" applyNumberFormat="1" applyFont="1" applyFill="1" applyBorder="1" applyAlignment="1">
      <alignment vertical="center"/>
    </xf>
    <xf numFmtId="227" fontId="152" fillId="42" borderId="200" xfId="1800" applyFont="1" applyFill="1" applyBorder="1" applyAlignment="1">
      <alignment vertical="center" wrapText="1"/>
    </xf>
    <xf numFmtId="49" fontId="152" fillId="42" borderId="200" xfId="1800" applyNumberFormat="1" applyFont="1" applyFill="1" applyBorder="1" applyAlignment="1">
      <alignment vertical="center" wrapText="1"/>
    </xf>
    <xf numFmtId="227" fontId="152" fillId="42" borderId="200" xfId="0" applyFont="1" applyFill="1" applyBorder="1" applyAlignment="1">
      <alignment vertical="center" wrapText="1"/>
    </xf>
    <xf numFmtId="222" fontId="152" fillId="42" borderId="200" xfId="1800" applyNumberFormat="1" applyFont="1" applyFill="1" applyBorder="1" applyAlignment="1">
      <alignment horizontal="left" vertical="center" wrapText="1"/>
    </xf>
    <xf numFmtId="227" fontId="152" fillId="42" borderId="200" xfId="1800" applyFont="1" applyFill="1" applyBorder="1" applyAlignment="1">
      <alignment horizontal="center" vertical="center" wrapText="1"/>
    </xf>
    <xf numFmtId="49" fontId="152" fillId="42" borderId="0" xfId="1800" applyNumberFormat="1" applyFont="1" applyFill="1" applyBorder="1" applyAlignment="1">
      <alignment vertical="center" wrapText="1"/>
    </xf>
    <xf numFmtId="227" fontId="141" fillId="42" borderId="0" xfId="1800" applyFont="1" applyFill="1" applyAlignment="1"/>
    <xf numFmtId="183" fontId="141" fillId="42" borderId="0" xfId="58" applyNumberFormat="1" applyFont="1" applyFill="1" applyAlignment="1"/>
    <xf numFmtId="213" fontId="192" fillId="59" borderId="0" xfId="58" applyNumberFormat="1" applyFont="1" applyFill="1" applyAlignment="1">
      <alignment horizontal="left" vertical="center"/>
    </xf>
    <xf numFmtId="213" fontId="168" fillId="46" borderId="0" xfId="58" applyNumberFormat="1" applyFont="1" applyFill="1" applyAlignment="1"/>
    <xf numFmtId="213" fontId="168" fillId="0" borderId="0" xfId="58" applyNumberFormat="1" applyFont="1" applyAlignment="1"/>
    <xf numFmtId="213" fontId="193" fillId="60" borderId="193" xfId="58" applyNumberFormat="1" applyFont="1" applyFill="1" applyBorder="1" applyAlignment="1">
      <alignment horizontal="center" vertical="center" wrapText="1"/>
    </xf>
    <xf numFmtId="213" fontId="141" fillId="0" borderId="0" xfId="58" applyNumberFormat="1" applyFont="1">
      <alignment vertical="center"/>
    </xf>
    <xf numFmtId="38" fontId="0" fillId="0" borderId="226" xfId="70" applyNumberFormat="1" applyFont="1" applyFill="1" applyBorder="1" applyAlignment="1">
      <alignment horizontal="center" vertical="center"/>
    </xf>
    <xf numFmtId="38" fontId="0" fillId="42" borderId="178" xfId="70" applyNumberFormat="1" applyFont="1" applyFill="1" applyBorder="1" applyAlignment="1">
      <alignment horizontal="center" vertical="center"/>
    </xf>
    <xf numFmtId="38" fontId="0" fillId="42" borderId="218" xfId="70" applyNumberFormat="1" applyFont="1" applyFill="1" applyBorder="1" applyAlignment="1">
      <alignment horizontal="center" vertical="center"/>
    </xf>
    <xf numFmtId="1" fontId="44" fillId="0" borderId="0" xfId="119" applyNumberFormat="1" applyFont="1" applyFill="1" applyBorder="1" applyProtection="1">
      <protection locked="0"/>
    </xf>
    <xf numFmtId="183" fontId="23" fillId="0" borderId="233" xfId="58" applyNumberFormat="1" applyFont="1" applyFill="1" applyBorder="1" applyAlignment="1" applyProtection="1">
      <alignment horizontal="center"/>
    </xf>
    <xf numFmtId="183" fontId="23" fillId="0" borderId="219" xfId="58" applyNumberFormat="1" applyFont="1" applyFill="1" applyBorder="1" applyAlignment="1" applyProtection="1">
      <alignment horizontal="center"/>
    </xf>
    <xf numFmtId="41" fontId="23" fillId="0" borderId="219" xfId="70" applyNumberFormat="1" applyFont="1" applyFill="1" applyBorder="1" applyProtection="1"/>
    <xf numFmtId="41" fontId="23" fillId="0" borderId="194" xfId="70" applyNumberFormat="1" applyFont="1" applyFill="1" applyBorder="1" applyProtection="1"/>
    <xf numFmtId="41" fontId="23" fillId="0" borderId="227" xfId="70" applyNumberFormat="1" applyFont="1" applyFill="1" applyBorder="1" applyAlignment="1" applyProtection="1">
      <alignment horizontal="right" vertical="center"/>
    </xf>
    <xf numFmtId="41" fontId="23" fillId="0" borderId="202" xfId="70" applyNumberFormat="1" applyFont="1" applyFill="1" applyBorder="1" applyAlignment="1" applyProtection="1">
      <alignment vertical="center"/>
    </xf>
    <xf numFmtId="41" fontId="23" fillId="0" borderId="234" xfId="70" applyNumberFormat="1" applyFont="1" applyFill="1" applyBorder="1" applyProtection="1"/>
    <xf numFmtId="183" fontId="23" fillId="0" borderId="225" xfId="58" applyNumberFormat="1" applyFont="1" applyFill="1" applyBorder="1" applyAlignment="1" applyProtection="1">
      <alignment horizontal="center"/>
    </xf>
    <xf numFmtId="41" fontId="23" fillId="0" borderId="225" xfId="70" applyNumberFormat="1" applyFont="1" applyFill="1" applyBorder="1" applyAlignment="1" applyProtection="1">
      <alignment horizontal="right" vertical="center"/>
    </xf>
    <xf numFmtId="183" fontId="23" fillId="0" borderId="48" xfId="58" applyNumberFormat="1" applyFont="1" applyFill="1" applyBorder="1" applyAlignment="1" applyProtection="1">
      <alignment horizontal="center"/>
    </xf>
    <xf numFmtId="41" fontId="23" fillId="0" borderId="67" xfId="70" applyNumberFormat="1" applyFont="1" applyFill="1" applyBorder="1" applyProtection="1"/>
    <xf numFmtId="183" fontId="23" fillId="0" borderId="145" xfId="58" applyNumberFormat="1" applyFont="1" applyFill="1" applyBorder="1" applyAlignment="1" applyProtection="1">
      <alignment horizontal="center"/>
    </xf>
    <xf numFmtId="223" fontId="152" fillId="0" borderId="200" xfId="1800" applyNumberFormat="1" applyFont="1" applyFill="1" applyBorder="1" applyAlignment="1">
      <alignment vertical="center"/>
    </xf>
    <xf numFmtId="223" fontId="152" fillId="42" borderId="200" xfId="1800" applyNumberFormat="1" applyFont="1" applyFill="1" applyBorder="1" applyAlignment="1">
      <alignment vertical="center"/>
    </xf>
    <xf numFmtId="227" fontId="44" fillId="0" borderId="26" xfId="119" applyFont="1" applyFill="1" applyBorder="1" applyAlignment="1">
      <alignment horizontal="right"/>
    </xf>
    <xf numFmtId="227" fontId="44" fillId="0" borderId="26" xfId="119" applyFont="1" applyFill="1" applyBorder="1" applyAlignment="1">
      <alignment horizontal="left"/>
    </xf>
    <xf numFmtId="10" fontId="44" fillId="0" borderId="26" xfId="127" applyNumberFormat="1" applyFont="1" applyFill="1" applyBorder="1" applyAlignment="1">
      <alignment horizontal="left"/>
    </xf>
    <xf numFmtId="49" fontId="44" fillId="0" borderId="26" xfId="127" applyNumberFormat="1" applyFont="1" applyFill="1" applyBorder="1" applyAlignment="1">
      <alignment horizontal="left"/>
    </xf>
    <xf numFmtId="9" fontId="44" fillId="0" borderId="26" xfId="127" applyFont="1" applyFill="1" applyBorder="1" applyAlignment="1">
      <alignment horizontal="left"/>
    </xf>
    <xf numFmtId="1" fontId="44" fillId="0" borderId="26" xfId="119" applyNumberFormat="1" applyFont="1" applyFill="1" applyBorder="1" applyAlignment="1">
      <alignment horizontal="left"/>
    </xf>
    <xf numFmtId="9" fontId="13" fillId="30" borderId="219" xfId="58" applyNumberFormat="1" applyFont="1" applyFill="1" applyBorder="1" applyAlignment="1" applyProtection="1">
      <alignment horizontal="center" vertical="center" wrapText="1"/>
      <protection locked="0"/>
    </xf>
    <xf numFmtId="184" fontId="20" fillId="0" borderId="237" xfId="116" applyNumberFormat="1" applyFont="1" applyFill="1" applyBorder="1" applyAlignment="1">
      <alignment vertical="center" wrapText="1"/>
    </xf>
    <xf numFmtId="38" fontId="20" fillId="0" borderId="237" xfId="119" applyNumberFormat="1" applyFont="1" applyFill="1" applyBorder="1" applyAlignment="1">
      <alignment horizontal="center" vertical="center"/>
    </xf>
    <xf numFmtId="40" fontId="20" fillId="0" borderId="237" xfId="119" applyNumberFormat="1" applyFont="1" applyFill="1" applyBorder="1" applyAlignment="1">
      <alignment horizontal="center" vertical="center"/>
    </xf>
    <xf numFmtId="38" fontId="20" fillId="0" borderId="229" xfId="119" applyNumberFormat="1" applyFont="1" applyFill="1" applyBorder="1" applyAlignment="1">
      <alignment horizontal="center" vertical="center"/>
    </xf>
    <xf numFmtId="38" fontId="20" fillId="42" borderId="229" xfId="70" applyNumberFormat="1" applyFont="1" applyFill="1" applyBorder="1" applyAlignment="1">
      <alignment horizontal="center" vertical="center"/>
    </xf>
    <xf numFmtId="9" fontId="20" fillId="0" borderId="221" xfId="0" applyNumberFormat="1" applyFont="1" applyFill="1" applyBorder="1" applyAlignment="1">
      <alignment vertical="center" wrapText="1"/>
    </xf>
    <xf numFmtId="184" fontId="20" fillId="0" borderId="237" xfId="116" applyNumberFormat="1" applyFont="1" applyFill="1" applyBorder="1" applyAlignment="1">
      <alignment horizontal="center" vertical="center" wrapText="1"/>
    </xf>
    <xf numFmtId="38" fontId="13" fillId="0" borderId="237" xfId="0" applyNumberFormat="1" applyFont="1" applyBorder="1" applyAlignment="1">
      <alignment horizontal="right" vertical="center"/>
    </xf>
    <xf numFmtId="227" fontId="13" fillId="0" borderId="237" xfId="0" applyFont="1" applyBorder="1" applyAlignment="1">
      <alignment horizontal="left" vertical="center"/>
    </xf>
    <xf numFmtId="213" fontId="13" fillId="27" borderId="237" xfId="58" applyNumberFormat="1" applyFont="1" applyFill="1" applyBorder="1">
      <alignment vertical="center"/>
    </xf>
    <xf numFmtId="227" fontId="13" fillId="0" borderId="237" xfId="0" applyFont="1" applyBorder="1" applyAlignment="1">
      <alignment horizontal="center" vertical="center"/>
    </xf>
    <xf numFmtId="227" fontId="13" fillId="0" borderId="237" xfId="0" applyFont="1" applyBorder="1" applyAlignment="1">
      <alignment horizontal="center" vertical="center"/>
    </xf>
    <xf numFmtId="227" fontId="13" fillId="0" borderId="237" xfId="0" applyNumberFormat="1" applyFont="1" applyBorder="1" applyAlignment="1">
      <alignment horizontal="left" vertical="center"/>
    </xf>
    <xf numFmtId="227" fontId="13" fillId="0" borderId="237" xfId="0" applyFont="1" applyBorder="1">
      <alignment vertical="center"/>
    </xf>
    <xf numFmtId="227" fontId="13" fillId="0" borderId="237" xfId="0" applyFont="1" applyFill="1" applyBorder="1">
      <alignment vertical="center"/>
    </xf>
    <xf numFmtId="177" fontId="13" fillId="0" borderId="11" xfId="282" applyNumberFormat="1" applyFont="1" applyFill="1" applyBorder="1" applyAlignment="1">
      <alignment horizontal="center" vertical="center"/>
    </xf>
    <xf numFmtId="227" fontId="13" fillId="0" borderId="0" xfId="0" applyFont="1" applyBorder="1" applyAlignment="1">
      <alignment horizontal="center" vertical="center"/>
    </xf>
    <xf numFmtId="227" fontId="13" fillId="0" borderId="229" xfId="0" applyFont="1" applyBorder="1" applyAlignment="1">
      <alignment horizontal="center" vertical="center"/>
    </xf>
    <xf numFmtId="227" fontId="13" fillId="0" borderId="231" xfId="0" applyFont="1" applyBorder="1" applyAlignment="1">
      <alignment horizontal="center" vertical="center"/>
    </xf>
    <xf numFmtId="227" fontId="13" fillId="0" borderId="202" xfId="0" applyFont="1" applyBorder="1" applyAlignment="1">
      <alignment horizontal="center" vertical="center"/>
    </xf>
    <xf numFmtId="227" fontId="13" fillId="0" borderId="0" xfId="0" applyNumberFormat="1" applyFont="1" applyBorder="1" applyAlignment="1">
      <alignment horizontal="left" vertical="center"/>
    </xf>
    <xf numFmtId="227" fontId="13" fillId="0" borderId="42" xfId="0" applyFont="1" applyBorder="1">
      <alignment vertical="center"/>
    </xf>
    <xf numFmtId="227" fontId="13" fillId="0" borderId="206" xfId="0" applyFont="1" applyBorder="1" applyAlignment="1">
      <alignment vertical="center"/>
    </xf>
    <xf numFmtId="227" fontId="13" fillId="0" borderId="206" xfId="0" applyFont="1" applyBorder="1">
      <alignment vertical="center"/>
    </xf>
    <xf numFmtId="227" fontId="13" fillId="0" borderId="11" xfId="0" applyFont="1" applyFill="1" applyBorder="1" applyAlignment="1">
      <alignment vertical="center" shrinkToFit="1"/>
    </xf>
    <xf numFmtId="184" fontId="17" fillId="0" borderId="67" xfId="116" quotePrefix="1" applyNumberFormat="1" applyFont="1" applyFill="1" applyBorder="1" applyAlignment="1">
      <alignment vertical="center" wrapText="1"/>
    </xf>
    <xf numFmtId="184" fontId="13" fillId="0" borderId="67" xfId="116" applyNumberFormat="1" applyFont="1" applyFill="1" applyBorder="1" applyAlignment="1">
      <alignment vertical="center" wrapText="1"/>
    </xf>
    <xf numFmtId="227" fontId="13" fillId="61" borderId="237" xfId="0" applyFont="1" applyFill="1" applyBorder="1">
      <alignment vertical="center"/>
    </xf>
    <xf numFmtId="227" fontId="13" fillId="61" borderId="0" xfId="0" applyFont="1" applyFill="1">
      <alignment vertical="center"/>
    </xf>
    <xf numFmtId="227" fontId="13" fillId="61" borderId="0" xfId="0" applyFont="1" applyFill="1" applyBorder="1" applyAlignment="1">
      <alignment horizontal="center" vertical="center"/>
    </xf>
    <xf numFmtId="227" fontId="0" fillId="0" borderId="0" xfId="0" applyNumberFormat="1">
      <alignment vertical="center"/>
    </xf>
    <xf numFmtId="179" fontId="56" fillId="0" borderId="11" xfId="0" applyNumberFormat="1" applyFont="1" applyFill="1" applyBorder="1" applyAlignment="1">
      <alignment horizontal="left" vertical="center"/>
    </xf>
    <xf numFmtId="181" fontId="0" fillId="0" borderId="0" xfId="0" applyNumberFormat="1">
      <alignment vertical="center"/>
    </xf>
    <xf numFmtId="181" fontId="0" fillId="0" borderId="0" xfId="127" applyNumberFormat="1" applyFont="1">
      <alignment vertical="center"/>
    </xf>
    <xf numFmtId="227" fontId="152" fillId="0" borderId="237" xfId="1800" applyFont="1" applyBorder="1" applyAlignment="1">
      <alignment vertical="center" wrapText="1"/>
    </xf>
    <xf numFmtId="227" fontId="152" fillId="0" borderId="237" xfId="1800" applyFont="1" applyBorder="1" applyAlignment="1">
      <alignment horizontal="center" vertical="center" wrapText="1"/>
    </xf>
    <xf numFmtId="227" fontId="20" fillId="0" borderId="11" xfId="119" applyFont="1" applyFill="1" applyBorder="1" applyAlignment="1">
      <alignment horizontal="left" indent="1"/>
    </xf>
    <xf numFmtId="184" fontId="20" fillId="0" borderId="11" xfId="116" applyNumberFormat="1" applyFont="1" applyFill="1" applyBorder="1" applyAlignment="1">
      <alignment horizontal="left" vertical="center" wrapText="1" indent="1"/>
    </xf>
    <xf numFmtId="227" fontId="20" fillId="0" borderId="11" xfId="119" applyFont="1" applyFill="1" applyBorder="1" applyAlignment="1">
      <alignment horizontal="left" vertical="center" indent="1"/>
    </xf>
    <xf numFmtId="227" fontId="20" fillId="0" borderId="11" xfId="116" applyFont="1" applyFill="1" applyBorder="1" applyAlignment="1">
      <alignment horizontal="left" vertical="center" wrapText="1" indent="1"/>
    </xf>
    <xf numFmtId="227" fontId="20" fillId="0" borderId="11" xfId="119" quotePrefix="1" applyFont="1" applyFill="1" applyBorder="1" applyAlignment="1">
      <alignment horizontal="left" vertical="center" indent="1"/>
    </xf>
    <xf numFmtId="178" fontId="20" fillId="0" borderId="11" xfId="119" applyNumberFormat="1" applyFont="1" applyFill="1" applyBorder="1" applyAlignment="1">
      <alignment horizontal="left" indent="1"/>
    </xf>
    <xf numFmtId="227" fontId="20" fillId="0" borderId="192" xfId="119" quotePrefix="1" applyFont="1" applyFill="1" applyBorder="1" applyAlignment="1">
      <alignment horizontal="left" vertical="center" wrapText="1" indent="1"/>
    </xf>
    <xf numFmtId="227" fontId="20" fillId="0" borderId="192" xfId="119" applyFont="1" applyFill="1" applyBorder="1" applyAlignment="1">
      <alignment horizontal="left" vertical="center" indent="1"/>
    </xf>
    <xf numFmtId="227" fontId="151" fillId="0" borderId="20" xfId="119" applyFont="1" applyFill="1" applyBorder="1" applyAlignment="1" applyProtection="1">
      <alignment horizontal="left" indent="1"/>
    </xf>
    <xf numFmtId="179" fontId="151" fillId="0" borderId="20" xfId="248" applyFont="1" applyBorder="1" applyProtection="1"/>
    <xf numFmtId="179" fontId="9" fillId="0" borderId="20" xfId="248" applyFont="1" applyBorder="1" applyProtection="1"/>
    <xf numFmtId="179" fontId="23" fillId="0" borderId="20" xfId="248" applyFont="1" applyBorder="1" applyProtection="1"/>
    <xf numFmtId="1" fontId="9" fillId="0" borderId="0" xfId="248" applyNumberFormat="1" applyFont="1" applyProtection="1"/>
    <xf numFmtId="227" fontId="55" fillId="0" borderId="0" xfId="119" applyFont="1" applyAlignment="1" applyProtection="1">
      <alignment horizontal="left" vertical="center"/>
    </xf>
    <xf numFmtId="9" fontId="55" fillId="0" borderId="0" xfId="127" applyFont="1" applyAlignment="1" applyProtection="1">
      <alignment horizontal="left" vertical="center"/>
    </xf>
    <xf numFmtId="179" fontId="55" fillId="0" borderId="0" xfId="247" applyFont="1" applyFill="1" applyBorder="1" applyAlignment="1" applyProtection="1">
      <alignment horizontal="right" vertical="center"/>
    </xf>
    <xf numFmtId="1" fontId="55" fillId="0" borderId="0" xfId="119" applyNumberFormat="1" applyFont="1" applyFill="1" applyAlignment="1">
      <alignment horizontal="left" vertical="center"/>
    </xf>
    <xf numFmtId="227" fontId="23" fillId="0" borderId="0" xfId="119" applyFont="1" applyAlignment="1" applyProtection="1">
      <alignment horizontal="left" vertical="center"/>
    </xf>
    <xf numFmtId="9" fontId="23" fillId="0" borderId="0" xfId="127" applyFont="1" applyAlignment="1" applyProtection="1">
      <alignment horizontal="left" vertical="center"/>
    </xf>
    <xf numFmtId="179" fontId="51" fillId="0" borderId="0" xfId="247" applyFont="1" applyFill="1" applyBorder="1" applyAlignment="1" applyProtection="1">
      <alignment horizontal="right" vertical="center"/>
    </xf>
    <xf numFmtId="179" fontId="9" fillId="0" borderId="26" xfId="248" applyFont="1" applyBorder="1" applyProtection="1"/>
    <xf numFmtId="179" fontId="9" fillId="0" borderId="27" xfId="248" applyFont="1" applyBorder="1" applyProtection="1"/>
    <xf numFmtId="179" fontId="9" fillId="0" borderId="25" xfId="248" applyFont="1" applyBorder="1" applyProtection="1"/>
    <xf numFmtId="1" fontId="9" fillId="0" borderId="20" xfId="248" applyNumberFormat="1" applyFont="1" applyBorder="1" applyProtection="1"/>
    <xf numFmtId="179" fontId="9" fillId="0" borderId="20" xfId="248" applyFont="1" applyBorder="1" applyAlignment="1" applyProtection="1">
      <alignment horizontal="right"/>
    </xf>
    <xf numFmtId="15" fontId="9" fillId="27" borderId="0" xfId="248" applyNumberFormat="1" applyFont="1" applyFill="1" applyBorder="1" applyAlignment="1" applyProtection="1">
      <alignment horizontal="left"/>
    </xf>
    <xf numFmtId="179" fontId="9" fillId="0" borderId="0" xfId="248" applyFont="1" applyBorder="1" applyAlignment="1" applyProtection="1">
      <alignment horizontal="right"/>
    </xf>
    <xf numFmtId="9" fontId="9" fillId="0" borderId="0" xfId="127" applyFont="1" applyFill="1" applyBorder="1" applyAlignment="1" applyProtection="1">
      <alignment horizontal="right"/>
    </xf>
    <xf numFmtId="9" fontId="9" fillId="27" borderId="0" xfId="127" applyFont="1" applyFill="1" applyBorder="1" applyAlignment="1" applyProtection="1">
      <alignment horizontal="right"/>
    </xf>
    <xf numFmtId="179" fontId="9" fillId="0" borderId="0" xfId="248" applyFont="1" applyFill="1" applyBorder="1" applyAlignment="1" applyProtection="1">
      <alignment horizontal="right"/>
    </xf>
    <xf numFmtId="9" fontId="9" fillId="27" borderId="0" xfId="127" applyFont="1" applyFill="1" applyBorder="1" applyAlignment="1" applyProtection="1">
      <alignment horizontal="left"/>
    </xf>
    <xf numFmtId="179" fontId="9" fillId="0" borderId="0" xfId="248" applyFont="1" applyFill="1" applyBorder="1" applyAlignment="1" applyProtection="1">
      <alignment horizontal="left"/>
    </xf>
    <xf numFmtId="179" fontId="9" fillId="27" borderId="0" xfId="248" applyFont="1" applyFill="1" applyBorder="1" applyAlignment="1" applyProtection="1">
      <alignment horizontal="left"/>
    </xf>
    <xf numFmtId="179" fontId="9" fillId="27" borderId="0" xfId="248" applyFont="1" applyFill="1" applyBorder="1" applyProtection="1"/>
    <xf numFmtId="179" fontId="9" fillId="0" borderId="21" xfId="248" applyFont="1" applyBorder="1" applyProtection="1"/>
    <xf numFmtId="15" fontId="9" fillId="0" borderId="0" xfId="248" applyNumberFormat="1" applyFont="1" applyFill="1" applyBorder="1" applyAlignment="1" applyProtection="1">
      <alignment horizontal="left"/>
    </xf>
    <xf numFmtId="1" fontId="9" fillId="0" borderId="0" xfId="248" quotePrefix="1" applyNumberFormat="1" applyFont="1" applyFill="1" applyBorder="1" applyAlignment="1" applyProtection="1">
      <alignment horizontal="left"/>
    </xf>
    <xf numFmtId="49" fontId="9" fillId="27" borderId="0" xfId="248" applyNumberFormat="1" applyFont="1" applyFill="1" applyBorder="1" applyAlignment="1" applyProtection="1">
      <alignment horizontal="left"/>
    </xf>
    <xf numFmtId="179" fontId="9" fillId="0" borderId="0" xfId="248" applyFont="1" applyFill="1" applyBorder="1" applyProtection="1"/>
    <xf numFmtId="182" fontId="9" fillId="27" borderId="0" xfId="248" applyNumberFormat="1" applyFont="1" applyFill="1" applyBorder="1" applyAlignment="1" applyProtection="1">
      <alignment horizontal="left"/>
    </xf>
    <xf numFmtId="9" fontId="9" fillId="0" borderId="0" xfId="127" applyFont="1" applyBorder="1" applyAlignment="1" applyProtection="1"/>
    <xf numFmtId="10" fontId="9" fillId="0" borderId="0" xfId="248" applyNumberFormat="1" applyFont="1" applyFill="1" applyBorder="1" applyAlignment="1" applyProtection="1">
      <alignment horizontal="left"/>
    </xf>
    <xf numFmtId="1" fontId="50" fillId="0" borderId="0" xfId="0" applyNumberFormat="1" applyFont="1" applyFill="1" applyBorder="1" applyAlignment="1">
      <alignment horizontal="left"/>
    </xf>
    <xf numFmtId="9" fontId="9" fillId="0" borderId="0" xfId="127" applyFont="1" applyFill="1" applyBorder="1" applyAlignment="1" applyProtection="1"/>
    <xf numFmtId="179" fontId="9" fillId="0" borderId="22" xfId="248" applyFont="1" applyBorder="1" applyAlignment="1" applyProtection="1">
      <alignment horizontal="right"/>
    </xf>
    <xf numFmtId="179" fontId="9" fillId="27" borderId="23" xfId="248" applyFont="1" applyFill="1" applyBorder="1" applyAlignment="1" applyProtection="1">
      <alignment horizontal="left"/>
    </xf>
    <xf numFmtId="179" fontId="9" fillId="0" borderId="23" xfId="248" applyFont="1" applyBorder="1" applyAlignment="1" applyProtection="1">
      <alignment horizontal="right"/>
    </xf>
    <xf numFmtId="9" fontId="9" fillId="0" borderId="23" xfId="127" applyFont="1" applyFill="1" applyBorder="1" applyAlignment="1" applyProtection="1"/>
    <xf numFmtId="179" fontId="9" fillId="0" borderId="23" xfId="248" applyFont="1" applyFill="1" applyBorder="1" applyProtection="1"/>
    <xf numFmtId="179" fontId="9" fillId="0" borderId="23" xfId="248" applyFont="1" applyBorder="1" applyProtection="1"/>
    <xf numFmtId="9" fontId="9" fillId="0" borderId="23" xfId="127" applyFont="1" applyBorder="1" applyAlignment="1" applyProtection="1"/>
    <xf numFmtId="213" fontId="9" fillId="0" borderId="23" xfId="58" applyNumberFormat="1" applyFont="1" applyBorder="1" applyAlignment="1" applyProtection="1"/>
    <xf numFmtId="9" fontId="9" fillId="0" borderId="24" xfId="127" applyFont="1" applyBorder="1" applyAlignment="1" applyProtection="1"/>
    <xf numFmtId="179" fontId="9" fillId="0" borderId="24" xfId="248" applyFont="1" applyBorder="1" applyProtection="1"/>
    <xf numFmtId="179" fontId="9" fillId="0" borderId="22" xfId="248" applyFont="1" applyBorder="1" applyProtection="1"/>
    <xf numFmtId="179" fontId="9" fillId="0" borderId="43" xfId="248" applyFont="1" applyBorder="1" applyAlignment="1" applyProtection="1">
      <alignment vertical="center"/>
    </xf>
    <xf numFmtId="179" fontId="9" fillId="0" borderId="21" xfId="248" applyFont="1" applyBorder="1" applyAlignment="1" applyProtection="1">
      <alignment vertical="center"/>
    </xf>
    <xf numFmtId="1" fontId="9" fillId="0" borderId="25" xfId="119" applyNumberFormat="1" applyFont="1" applyBorder="1" applyAlignment="1" applyProtection="1">
      <alignment vertical="center"/>
    </xf>
    <xf numFmtId="9" fontId="9" fillId="0" borderId="124" xfId="127" applyFont="1" applyFill="1" applyBorder="1" applyAlignment="1" applyProtection="1">
      <alignment horizontal="center" vertical="center" wrapText="1"/>
    </xf>
    <xf numFmtId="179" fontId="9" fillId="0" borderId="128" xfId="248" applyFont="1" applyFill="1" applyBorder="1" applyAlignment="1" applyProtection="1">
      <alignment horizontal="center" vertical="center"/>
    </xf>
    <xf numFmtId="179" fontId="9" fillId="0" borderId="61" xfId="248" applyFont="1" applyFill="1" applyBorder="1" applyAlignment="1" applyProtection="1">
      <alignment horizontal="center" vertical="center"/>
    </xf>
    <xf numFmtId="179" fontId="9" fillId="0" borderId="54" xfId="248" applyFont="1" applyFill="1" applyBorder="1" applyAlignment="1" applyProtection="1">
      <alignment horizontal="center" vertical="center"/>
    </xf>
    <xf numFmtId="179" fontId="9" fillId="0" borderId="136" xfId="248" applyFont="1" applyFill="1" applyBorder="1" applyAlignment="1" applyProtection="1">
      <alignment horizontal="center" vertical="center"/>
    </xf>
    <xf numFmtId="179" fontId="9" fillId="0" borderId="15" xfId="248" applyFont="1" applyBorder="1" applyAlignment="1" applyProtection="1">
      <alignment horizontal="center" vertical="center"/>
    </xf>
    <xf numFmtId="9" fontId="9" fillId="0" borderId="20" xfId="127" applyFont="1" applyFill="1" applyBorder="1" applyAlignment="1" applyProtection="1">
      <alignment horizontal="center" vertical="center" wrapText="1"/>
    </xf>
    <xf numFmtId="179" fontId="9" fillId="0" borderId="53" xfId="248" applyFont="1" applyFill="1" applyBorder="1" applyAlignment="1" applyProtection="1">
      <alignment horizontal="center" vertical="center"/>
    </xf>
    <xf numFmtId="179" fontId="9" fillId="0" borderId="0" xfId="248" applyFont="1" applyAlignment="1" applyProtection="1">
      <alignment vertical="center"/>
    </xf>
    <xf numFmtId="9" fontId="9" fillId="0" borderId="66" xfId="127" applyFont="1" applyFill="1" applyBorder="1" applyAlignment="1" applyProtection="1">
      <alignment horizontal="center" vertical="center" wrapText="1"/>
    </xf>
    <xf numFmtId="179" fontId="9" fillId="0" borderId="145" xfId="248" applyFont="1" applyFill="1" applyBorder="1" applyAlignment="1" applyProtection="1">
      <alignment horizontal="center" vertical="center"/>
    </xf>
    <xf numFmtId="179" fontId="9" fillId="0" borderId="148" xfId="248" applyFont="1" applyFill="1" applyBorder="1" applyAlignment="1" applyProtection="1">
      <alignment horizontal="center" vertical="center"/>
    </xf>
    <xf numFmtId="179" fontId="9" fillId="0" borderId="62" xfId="248" applyFont="1" applyFill="1" applyBorder="1" applyAlignment="1" applyProtection="1">
      <alignment horizontal="center" vertical="center"/>
    </xf>
    <xf numFmtId="179" fontId="9" fillId="0" borderId="145" xfId="248" applyFont="1" applyBorder="1" applyAlignment="1" applyProtection="1">
      <alignment horizontal="center" vertical="center"/>
    </xf>
    <xf numFmtId="227" fontId="9" fillId="0" borderId="66" xfId="119" applyFont="1" applyFill="1" applyBorder="1" applyAlignment="1" applyProtection="1">
      <alignment horizontal="center" vertical="center" wrapText="1"/>
    </xf>
    <xf numFmtId="179" fontId="9" fillId="0" borderId="66" xfId="248" applyFont="1" applyFill="1" applyBorder="1" applyAlignment="1" applyProtection="1">
      <alignment horizontal="center" vertical="center"/>
    </xf>
    <xf numFmtId="179" fontId="9" fillId="0" borderId="146" xfId="248" applyFont="1" applyFill="1" applyBorder="1" applyAlignment="1" applyProtection="1">
      <alignment horizontal="center" vertical="center"/>
    </xf>
    <xf numFmtId="179" fontId="9" fillId="0" borderId="20" xfId="248" applyFont="1" applyBorder="1" applyAlignment="1" applyProtection="1">
      <alignment vertical="center"/>
    </xf>
    <xf numFmtId="1" fontId="9" fillId="0" borderId="22" xfId="119" applyNumberFormat="1" applyFont="1" applyBorder="1" applyAlignment="1" applyProtection="1">
      <alignment vertical="center"/>
    </xf>
    <xf numFmtId="227" fontId="9" fillId="0" borderId="58" xfId="119" applyFont="1" applyBorder="1" applyAlignment="1" applyProtection="1">
      <alignment vertical="center"/>
    </xf>
    <xf numFmtId="38" fontId="9" fillId="0" borderId="44" xfId="70" applyNumberFormat="1" applyFont="1" applyFill="1" applyBorder="1" applyAlignment="1" applyProtection="1">
      <alignment horizontal="center" vertical="center"/>
    </xf>
    <xf numFmtId="9" fontId="9" fillId="0" borderId="58" xfId="127" applyFont="1" applyBorder="1" applyAlignment="1" applyProtection="1">
      <alignment vertical="center"/>
    </xf>
    <xf numFmtId="38" fontId="9" fillId="0" borderId="129" xfId="70" applyNumberFormat="1" applyFont="1" applyFill="1" applyBorder="1" applyAlignment="1" applyProtection="1">
      <alignment horizontal="center" vertical="center"/>
    </xf>
    <xf numFmtId="38" fontId="9" fillId="0" borderId="46" xfId="70" applyNumberFormat="1" applyFont="1" applyFill="1" applyBorder="1" applyAlignment="1" applyProtection="1">
      <alignment horizontal="center" vertical="center"/>
    </xf>
    <xf numFmtId="38" fontId="9" fillId="0" borderId="47" xfId="70" applyNumberFormat="1" applyFont="1" applyFill="1" applyBorder="1" applyAlignment="1" applyProtection="1">
      <alignment horizontal="center" vertical="center"/>
    </xf>
    <xf numFmtId="38" fontId="9" fillId="0" borderId="48" xfId="70" applyNumberFormat="1" applyFont="1" applyFill="1" applyBorder="1" applyAlignment="1" applyProtection="1">
      <alignment horizontal="center" vertical="center"/>
    </xf>
    <xf numFmtId="9" fontId="9" fillId="0" borderId="44" xfId="127" applyFont="1" applyFill="1" applyBorder="1" applyAlignment="1" applyProtection="1">
      <alignment horizontal="center" vertical="center"/>
    </xf>
    <xf numFmtId="38" fontId="9" fillId="0" borderId="45" xfId="70" applyNumberFormat="1" applyFont="1" applyFill="1" applyBorder="1" applyAlignment="1" applyProtection="1">
      <alignment horizontal="center" vertical="center"/>
    </xf>
    <xf numFmtId="38" fontId="9" fillId="0" borderId="232" xfId="70" applyNumberFormat="1" applyFont="1" applyFill="1" applyBorder="1" applyAlignment="1" applyProtection="1">
      <alignment horizontal="center" vertical="center"/>
    </xf>
    <xf numFmtId="38" fontId="9" fillId="0" borderId="147" xfId="70" applyNumberFormat="1" applyFont="1" applyFill="1" applyBorder="1" applyAlignment="1" applyProtection="1">
      <alignment horizontal="center" vertical="center"/>
    </xf>
    <xf numFmtId="183" fontId="9" fillId="0" borderId="1" xfId="58" applyNumberFormat="1" applyFont="1" applyFill="1" applyBorder="1" applyAlignment="1" applyProtection="1">
      <alignment horizontal="center"/>
    </xf>
    <xf numFmtId="41" fontId="9" fillId="0" borderId="49" xfId="70" applyNumberFormat="1" applyFont="1" applyFill="1" applyBorder="1" applyProtection="1"/>
    <xf numFmtId="41" fontId="9" fillId="0" borderId="36" xfId="70" applyNumberFormat="1" applyFont="1" applyFill="1" applyBorder="1" applyProtection="1"/>
    <xf numFmtId="41" fontId="9" fillId="0" borderId="20" xfId="248" applyNumberFormat="1" applyFont="1" applyFill="1" applyBorder="1" applyProtection="1"/>
    <xf numFmtId="41" fontId="9" fillId="0" borderId="25" xfId="70" applyNumberFormat="1" applyFont="1" applyFill="1" applyBorder="1" applyProtection="1"/>
    <xf numFmtId="41" fontId="9" fillId="0" borderId="26" xfId="70" applyNumberFormat="1" applyFont="1" applyFill="1" applyBorder="1" applyProtection="1"/>
    <xf numFmtId="41" fontId="9" fillId="0" borderId="32" xfId="70" applyNumberFormat="1" applyFont="1" applyFill="1" applyBorder="1" applyProtection="1"/>
    <xf numFmtId="41" fontId="9" fillId="0" borderId="1" xfId="70" applyNumberFormat="1" applyFont="1" applyFill="1" applyBorder="1" applyProtection="1"/>
    <xf numFmtId="183" fontId="9" fillId="0" borderId="20" xfId="58" applyNumberFormat="1" applyFont="1" applyFill="1" applyBorder="1" applyAlignment="1" applyProtection="1">
      <alignment horizontal="center" vertical="center"/>
    </xf>
    <xf numFmtId="9" fontId="9" fillId="0" borderId="20" xfId="127" applyNumberFormat="1" applyFont="1" applyFill="1" applyBorder="1" applyAlignment="1" applyProtection="1">
      <alignment horizontal="center"/>
    </xf>
    <xf numFmtId="181" fontId="9" fillId="0" borderId="43" xfId="70" applyNumberFormat="1" applyFont="1" applyFill="1" applyBorder="1" applyAlignment="1" applyProtection="1">
      <alignment horizontal="center"/>
    </xf>
    <xf numFmtId="41" fontId="9" fillId="0" borderId="199" xfId="248" applyNumberFormat="1" applyFont="1" applyFill="1" applyBorder="1" applyProtection="1"/>
    <xf numFmtId="41" fontId="9" fillId="0" borderId="219" xfId="70" applyNumberFormat="1" applyFont="1" applyFill="1" applyBorder="1" applyProtection="1"/>
    <xf numFmtId="41" fontId="9" fillId="0" borderId="194" xfId="70" applyNumberFormat="1" applyFont="1" applyFill="1" applyBorder="1" applyProtection="1"/>
    <xf numFmtId="179" fontId="9" fillId="0" borderId="43" xfId="248" applyFont="1" applyFill="1" applyBorder="1" applyAlignment="1" applyProtection="1">
      <alignment wrapText="1"/>
    </xf>
    <xf numFmtId="183" fontId="9" fillId="0" borderId="43" xfId="58" applyNumberFormat="1" applyFont="1" applyFill="1" applyBorder="1" applyAlignment="1" applyProtection="1">
      <alignment wrapText="1"/>
    </xf>
    <xf numFmtId="183" fontId="9" fillId="0" borderId="43" xfId="58" applyNumberFormat="1" applyFont="1" applyFill="1" applyBorder="1" applyAlignment="1" applyProtection="1"/>
    <xf numFmtId="181" fontId="9" fillId="0" borderId="43" xfId="127" applyNumberFormat="1" applyFont="1" applyFill="1" applyBorder="1" applyAlignment="1" applyProtection="1">
      <alignment horizontal="center"/>
    </xf>
    <xf numFmtId="3" fontId="9" fillId="0" borderId="33" xfId="70" applyNumberFormat="1" applyFont="1" applyFill="1" applyBorder="1" applyProtection="1"/>
    <xf numFmtId="181" fontId="9" fillId="27" borderId="43" xfId="127" applyNumberFormat="1" applyFont="1" applyFill="1" applyBorder="1" applyAlignment="1" applyProtection="1">
      <alignment horizontal="center"/>
    </xf>
    <xf numFmtId="184" fontId="9" fillId="0" borderId="33" xfId="70" applyNumberFormat="1" applyFont="1" applyFill="1" applyBorder="1" applyProtection="1"/>
    <xf numFmtId="184" fontId="9" fillId="0" borderId="20" xfId="70" applyNumberFormat="1" applyFont="1" applyFill="1" applyBorder="1" applyProtection="1"/>
    <xf numFmtId="179" fontId="9" fillId="0" borderId="179" xfId="248" applyFont="1" applyBorder="1" applyProtection="1"/>
    <xf numFmtId="181" fontId="9" fillId="0" borderId="51" xfId="70" applyNumberFormat="1" applyFont="1" applyFill="1" applyBorder="1" applyAlignment="1" applyProtection="1">
      <alignment horizontal="center"/>
    </xf>
    <xf numFmtId="227" fontId="9" fillId="0" borderId="20" xfId="119" applyFont="1" applyBorder="1" applyProtection="1"/>
    <xf numFmtId="183" fontId="9" fillId="0" borderId="20" xfId="58" applyNumberFormat="1" applyFont="1" applyBorder="1" applyAlignment="1" applyProtection="1"/>
    <xf numFmtId="41" fontId="9" fillId="0" borderId="43" xfId="70" applyNumberFormat="1" applyFont="1" applyFill="1" applyBorder="1" applyAlignment="1" applyProtection="1">
      <alignment vertical="center"/>
    </xf>
    <xf numFmtId="9" fontId="9" fillId="0" borderId="43" xfId="127" applyFont="1" applyFill="1" applyBorder="1" applyAlignment="1" applyProtection="1">
      <alignment horizontal="center"/>
    </xf>
    <xf numFmtId="41" fontId="9" fillId="0" borderId="235" xfId="70" applyNumberFormat="1" applyFont="1" applyFill="1" applyBorder="1" applyProtection="1"/>
    <xf numFmtId="9" fontId="9" fillId="0" borderId="20" xfId="127" applyFont="1" applyBorder="1" applyAlignment="1" applyProtection="1">
      <alignment horizontal="center"/>
    </xf>
    <xf numFmtId="40" fontId="9" fillId="0" borderId="235" xfId="70" applyFont="1" applyFill="1" applyBorder="1" applyProtection="1"/>
    <xf numFmtId="183" fontId="9" fillId="0" borderId="235" xfId="58" applyNumberFormat="1" applyFont="1" applyFill="1" applyBorder="1" applyAlignment="1" applyProtection="1"/>
    <xf numFmtId="183" fontId="9" fillId="0" borderId="0" xfId="58" applyNumberFormat="1" applyFont="1" applyFill="1" applyBorder="1" applyAlignment="1" applyProtection="1"/>
    <xf numFmtId="183" fontId="9" fillId="0" borderId="155" xfId="58" applyNumberFormat="1" applyFont="1" applyFill="1" applyBorder="1" applyAlignment="1" applyProtection="1"/>
    <xf numFmtId="183" fontId="9" fillId="0" borderId="33" xfId="70" applyNumberFormat="1" applyFont="1" applyFill="1" applyBorder="1" applyProtection="1"/>
    <xf numFmtId="183" fontId="9" fillId="0" borderId="45" xfId="58" applyNumberFormat="1" applyFont="1" applyFill="1" applyBorder="1" applyAlignment="1" applyProtection="1">
      <alignment horizontal="center"/>
    </xf>
    <xf numFmtId="41" fontId="9" fillId="0" borderId="45" xfId="70" applyNumberFormat="1" applyFont="1" applyFill="1" applyBorder="1" applyProtection="1"/>
    <xf numFmtId="181" fontId="9" fillId="0" borderId="0" xfId="248" applyNumberFormat="1" applyFont="1" applyAlignment="1" applyProtection="1">
      <alignment horizontal="right"/>
    </xf>
    <xf numFmtId="38" fontId="9" fillId="0" borderId="0" xfId="248" applyNumberFormat="1" applyFont="1" applyProtection="1"/>
    <xf numFmtId="181" fontId="9" fillId="0" borderId="0" xfId="248" applyNumberFormat="1" applyFont="1" applyProtection="1"/>
    <xf numFmtId="183" fontId="9" fillId="0" borderId="0" xfId="58" applyNumberFormat="1" applyFont="1" applyAlignment="1" applyProtection="1"/>
    <xf numFmtId="179" fontId="9" fillId="0" borderId="0" xfId="248" applyFont="1" applyAlignment="1" applyProtection="1">
      <alignment horizontal="right"/>
    </xf>
    <xf numFmtId="43" fontId="9" fillId="0" borderId="0" xfId="58" applyFont="1" applyFill="1" applyAlignment="1" applyProtection="1"/>
    <xf numFmtId="210" fontId="9" fillId="0" borderId="0" xfId="127" applyNumberFormat="1" applyFont="1" applyAlignment="1" applyProtection="1"/>
    <xf numFmtId="43" fontId="9" fillId="0" borderId="0" xfId="58" applyFont="1" applyAlignment="1" applyProtection="1"/>
    <xf numFmtId="227" fontId="201" fillId="0" borderId="0" xfId="0" applyFont="1" applyAlignment="1">
      <alignment horizontal="center"/>
    </xf>
    <xf numFmtId="9" fontId="136" fillId="0" borderId="0" xfId="127" applyFont="1" applyAlignment="1"/>
    <xf numFmtId="227" fontId="136" fillId="0" borderId="0" xfId="0" applyFont="1" applyAlignment="1">
      <alignment horizontal="right"/>
    </xf>
    <xf numFmtId="9" fontId="136" fillId="0" borderId="0" xfId="127" applyFont="1">
      <alignment vertical="center"/>
    </xf>
    <xf numFmtId="227" fontId="202" fillId="0" borderId="0" xfId="119" applyFont="1" applyAlignment="1">
      <alignment horizontal="right"/>
    </xf>
    <xf numFmtId="9" fontId="202" fillId="0" borderId="0" xfId="127" applyFont="1" applyAlignment="1">
      <alignment horizontal="center"/>
    </xf>
    <xf numFmtId="2" fontId="0" fillId="0" borderId="0" xfId="70" applyNumberFormat="1" applyFont="1" applyFill="1" applyBorder="1" applyAlignment="1">
      <alignment horizontal="center" vertical="center"/>
    </xf>
    <xf numFmtId="227" fontId="55" fillId="0" borderId="0" xfId="119" applyFont="1" applyAlignment="1">
      <alignment horizontal="left" vertical="center"/>
    </xf>
    <xf numFmtId="227" fontId="0" fillId="0" borderId="0" xfId="0" applyFont="1" applyBorder="1" applyAlignment="1">
      <alignment horizontal="right" vertical="center"/>
    </xf>
    <xf numFmtId="15" fontId="0" fillId="27" borderId="0" xfId="0" applyNumberFormat="1" applyFont="1" applyFill="1" applyBorder="1">
      <alignment vertical="center"/>
    </xf>
    <xf numFmtId="227" fontId="52" fillId="0" borderId="0" xfId="118" applyFont="1" applyBorder="1"/>
    <xf numFmtId="227" fontId="0" fillId="0" borderId="25" xfId="0" applyFont="1" applyBorder="1" applyAlignment="1">
      <alignment horizontal="right"/>
    </xf>
    <xf numFmtId="227" fontId="0" fillId="0" borderId="26" xfId="0" applyFont="1" applyBorder="1" applyAlignment="1">
      <alignment horizontal="center"/>
    </xf>
    <xf numFmtId="15" fontId="0" fillId="0" borderId="0" xfId="0" applyNumberFormat="1" applyFont="1" applyFill="1" applyBorder="1">
      <alignment vertical="center"/>
    </xf>
    <xf numFmtId="227" fontId="0" fillId="0" borderId="20" xfId="0" applyFont="1" applyBorder="1" applyAlignment="1">
      <alignment horizontal="right"/>
    </xf>
    <xf numFmtId="227" fontId="0" fillId="0" borderId="0" xfId="0" applyFont="1" applyBorder="1" applyAlignment="1">
      <alignment horizontal="center"/>
    </xf>
    <xf numFmtId="227" fontId="0" fillId="0" borderId="22" xfId="0" applyFont="1" applyBorder="1" applyAlignment="1">
      <alignment horizontal="right"/>
    </xf>
    <xf numFmtId="227" fontId="0" fillId="0" borderId="23" xfId="0" applyFont="1" applyBorder="1" applyAlignment="1">
      <alignment horizontal="center"/>
    </xf>
    <xf numFmtId="227" fontId="0" fillId="0" borderId="0" xfId="0" applyFont="1" applyBorder="1" applyAlignment="1">
      <alignment horizontal="right"/>
    </xf>
    <xf numFmtId="227" fontId="0" fillId="0" borderId="60" xfId="119" applyFont="1" applyBorder="1"/>
    <xf numFmtId="227" fontId="0" fillId="0" borderId="61" xfId="119" applyFont="1" applyBorder="1" applyAlignment="1">
      <alignment horizontal="center" vertical="top"/>
    </xf>
    <xf numFmtId="227" fontId="0" fillId="0" borderId="0" xfId="117" applyFont="1" applyFill="1" applyBorder="1" applyAlignment="1" applyProtection="1">
      <alignment horizontal="center" vertical="center" wrapText="1"/>
      <protection locked="0"/>
    </xf>
    <xf numFmtId="227" fontId="0" fillId="0" borderId="0" xfId="117" applyFont="1" applyFill="1" applyBorder="1" applyAlignment="1" applyProtection="1">
      <alignment horizontal="center" vertical="center" wrapText="1"/>
    </xf>
    <xf numFmtId="38" fontId="0" fillId="0" borderId="0" xfId="70" applyNumberFormat="1" applyFont="1" applyFill="1" applyBorder="1" applyAlignment="1">
      <alignment horizontal="center" vertical="center" wrapText="1"/>
    </xf>
    <xf numFmtId="3" fontId="0" fillId="0" borderId="0" xfId="70" applyNumberFormat="1" applyFont="1" applyFill="1" applyBorder="1" applyAlignment="1">
      <alignment horizontal="center" vertical="center" wrapText="1"/>
    </xf>
    <xf numFmtId="38" fontId="0" fillId="0" borderId="121" xfId="70" applyNumberFormat="1" applyFont="1" applyFill="1" applyBorder="1" applyAlignment="1">
      <alignment horizontal="center" vertical="center"/>
    </xf>
    <xf numFmtId="38" fontId="0" fillId="0" borderId="144" xfId="70" applyNumberFormat="1" applyFont="1" applyFill="1" applyBorder="1" applyAlignment="1">
      <alignment horizontal="center" vertical="center"/>
    </xf>
    <xf numFmtId="10" fontId="0" fillId="0" borderId="0" xfId="0" applyNumberFormat="1" applyFont="1" applyFill="1" applyBorder="1">
      <alignment vertical="center"/>
    </xf>
    <xf numFmtId="14" fontId="0" fillId="0" borderId="0" xfId="0" applyNumberFormat="1" applyFont="1" applyBorder="1">
      <alignment vertical="center"/>
    </xf>
    <xf numFmtId="181" fontId="0" fillId="0" borderId="0" xfId="127" applyNumberFormat="1" applyFont="1" applyFill="1" applyBorder="1" applyAlignment="1">
      <alignment horizontal="center" vertical="center"/>
    </xf>
    <xf numFmtId="184" fontId="0" fillId="0" borderId="55" xfId="116" applyNumberFormat="1" applyFont="1" applyBorder="1" applyAlignment="1">
      <alignment horizontal="center" vertical="center"/>
    </xf>
    <xf numFmtId="197" fontId="0" fillId="0" borderId="50" xfId="0" applyNumberFormat="1" applyFont="1" applyFill="1" applyBorder="1" applyAlignment="1">
      <alignment horizontal="center"/>
    </xf>
    <xf numFmtId="9" fontId="0" fillId="0" borderId="0" xfId="0" applyNumberFormat="1" applyFont="1" applyFill="1" applyBorder="1" applyAlignment="1">
      <alignment horizontal="center" vertical="center"/>
    </xf>
    <xf numFmtId="227" fontId="0" fillId="0" borderId="57" xfId="0" applyFont="1" applyFill="1" applyBorder="1" applyAlignment="1">
      <alignment wrapText="1"/>
    </xf>
    <xf numFmtId="9" fontId="0" fillId="33" borderId="0" xfId="0" applyNumberFormat="1" applyFont="1" applyFill="1" applyBorder="1" applyAlignment="1">
      <alignment horizontal="center" vertical="center"/>
    </xf>
    <xf numFmtId="38" fontId="0" fillId="0" borderId="57" xfId="0" applyNumberFormat="1" applyFont="1" applyFill="1" applyBorder="1">
      <alignment vertical="center"/>
    </xf>
    <xf numFmtId="184" fontId="0" fillId="0" borderId="0" xfId="0" applyNumberFormat="1" applyFont="1" applyBorder="1">
      <alignment vertical="center"/>
    </xf>
    <xf numFmtId="14" fontId="0" fillId="0" borderId="0" xfId="58" applyNumberFormat="1" applyFont="1" applyBorder="1" applyAlignment="1">
      <alignment horizontal="center" vertical="center"/>
    </xf>
    <xf numFmtId="184" fontId="0" fillId="0" borderId="55" xfId="116" applyNumberFormat="1" applyFont="1" applyFill="1" applyBorder="1" applyAlignment="1">
      <alignment horizontal="center" vertical="center"/>
    </xf>
    <xf numFmtId="184" fontId="0" fillId="0" borderId="178" xfId="116" applyNumberFormat="1" applyFont="1" applyFill="1" applyBorder="1" applyAlignment="1">
      <alignment horizontal="center" vertical="center" wrapText="1"/>
    </xf>
    <xf numFmtId="184" fontId="0" fillId="0" borderId="162" xfId="116" applyNumberFormat="1" applyFont="1" applyBorder="1" applyAlignment="1">
      <alignment vertical="center" wrapText="1"/>
    </xf>
    <xf numFmtId="38" fontId="0" fillId="0" borderId="214" xfId="70" applyNumberFormat="1" applyFont="1" applyFill="1" applyBorder="1" applyAlignment="1">
      <alignment horizontal="center" vertical="center"/>
    </xf>
    <xf numFmtId="184" fontId="0" fillId="0" borderId="73" xfId="116" applyNumberFormat="1" applyFont="1" applyBorder="1" applyAlignment="1">
      <alignment horizontal="center" vertical="center" wrapText="1"/>
    </xf>
    <xf numFmtId="227" fontId="0" fillId="0" borderId="65" xfId="0" applyFont="1" applyFill="1" applyBorder="1">
      <alignment vertical="center"/>
    </xf>
    <xf numFmtId="38" fontId="0" fillId="0" borderId="126" xfId="119" applyNumberFormat="1" applyFont="1" applyFill="1" applyBorder="1" applyAlignment="1">
      <alignment horizontal="center" vertical="center"/>
    </xf>
    <xf numFmtId="38" fontId="0" fillId="0" borderId="211" xfId="70" applyNumberFormat="1" applyFont="1" applyFill="1" applyBorder="1" applyAlignment="1">
      <alignment horizontal="center" vertical="center"/>
    </xf>
    <xf numFmtId="227" fontId="0" fillId="0" borderId="144" xfId="0" applyFont="1" applyFill="1" applyBorder="1">
      <alignment vertical="center"/>
    </xf>
    <xf numFmtId="227" fontId="0" fillId="36" borderId="29" xfId="117" applyFont="1" applyFill="1" applyBorder="1" applyAlignment="1" applyProtection="1">
      <alignment horizontal="center" vertical="center" wrapText="1"/>
      <protection locked="0"/>
    </xf>
    <xf numFmtId="227" fontId="0" fillId="36" borderId="30" xfId="117" applyFont="1" applyFill="1" applyBorder="1" applyAlignment="1" applyProtection="1">
      <alignment horizontal="center" vertical="center" wrapText="1"/>
    </xf>
    <xf numFmtId="38" fontId="0" fillId="36" borderId="132" xfId="70" applyNumberFormat="1" applyFont="1" applyFill="1" applyBorder="1" applyAlignment="1">
      <alignment horizontal="center" vertical="center" wrapText="1"/>
    </xf>
    <xf numFmtId="3" fontId="0" fillId="36" borderId="132" xfId="70" applyNumberFormat="1" applyFont="1" applyFill="1" applyBorder="1" applyAlignment="1">
      <alignment horizontal="center" vertical="center" wrapText="1"/>
    </xf>
    <xf numFmtId="38" fontId="0" fillId="0" borderId="50" xfId="119" applyNumberFormat="1" applyFont="1" applyFill="1" applyBorder="1" applyAlignment="1">
      <alignment horizontal="center" vertical="center"/>
    </xf>
    <xf numFmtId="181" fontId="0" fillId="33" borderId="0" xfId="127" applyNumberFormat="1" applyFont="1" applyFill="1" applyBorder="1" applyAlignment="1">
      <alignment horizontal="center" vertical="center"/>
    </xf>
    <xf numFmtId="227" fontId="0" fillId="33" borderId="0" xfId="0" applyFont="1" applyFill="1" applyBorder="1" applyAlignment="1" applyProtection="1">
      <alignment horizontal="center" vertical="center"/>
      <protection locked="0"/>
    </xf>
    <xf numFmtId="183" fontId="0" fillId="33" borderId="0" xfId="58" applyNumberFormat="1" applyFont="1" applyFill="1" applyBorder="1">
      <alignment vertical="center"/>
    </xf>
    <xf numFmtId="3" fontId="0" fillId="33" borderId="0" xfId="58" applyNumberFormat="1" applyFont="1" applyFill="1" applyBorder="1">
      <alignment vertical="center"/>
    </xf>
    <xf numFmtId="184" fontId="0" fillId="0" borderId="176" xfId="116" applyNumberFormat="1" applyFont="1" applyFill="1" applyBorder="1" applyAlignment="1">
      <alignment horizontal="center" vertical="center"/>
    </xf>
    <xf numFmtId="40" fontId="0" fillId="0" borderId="214" xfId="119" applyNumberFormat="1" applyFont="1" applyFill="1" applyBorder="1" applyAlignment="1">
      <alignment horizontal="center" vertical="center"/>
    </xf>
    <xf numFmtId="38" fontId="0" fillId="0" borderId="0" xfId="0" applyNumberFormat="1" applyFont="1" applyFill="1" applyBorder="1">
      <alignment vertical="center"/>
    </xf>
    <xf numFmtId="40" fontId="0" fillId="0" borderId="126" xfId="119" applyNumberFormat="1" applyFont="1" applyFill="1" applyBorder="1" applyAlignment="1">
      <alignment horizontal="center" vertical="center"/>
    </xf>
    <xf numFmtId="40" fontId="0" fillId="0" borderId="211" xfId="119" applyNumberFormat="1" applyFont="1" applyFill="1" applyBorder="1" applyAlignment="1">
      <alignment horizontal="center" vertical="center"/>
    </xf>
    <xf numFmtId="184" fontId="0" fillId="0" borderId="162" xfId="116" applyNumberFormat="1" applyFont="1" applyFill="1" applyBorder="1" applyAlignment="1">
      <alignment horizontal="center" vertical="center" wrapText="1"/>
    </xf>
    <xf numFmtId="40" fontId="0" fillId="0" borderId="56" xfId="119" applyNumberFormat="1" applyFont="1" applyFill="1" applyBorder="1" applyAlignment="1">
      <alignment horizontal="center" vertical="center"/>
    </xf>
    <xf numFmtId="40" fontId="0" fillId="0" borderId="210" xfId="119" applyNumberFormat="1" applyFont="1" applyFill="1" applyBorder="1" applyAlignment="1">
      <alignment horizontal="center" vertical="center"/>
    </xf>
    <xf numFmtId="38" fontId="0" fillId="0" borderId="0" xfId="0" applyNumberFormat="1" applyFont="1" applyFill="1" applyBorder="1" applyAlignment="1">
      <alignment horizontal="center" vertical="center"/>
    </xf>
    <xf numFmtId="40" fontId="0" fillId="0" borderId="159" xfId="119" applyNumberFormat="1" applyFont="1" applyFill="1" applyBorder="1" applyAlignment="1">
      <alignment horizontal="center" vertical="center"/>
    </xf>
    <xf numFmtId="184" fontId="0" fillId="0" borderId="53" xfId="116" applyNumberFormat="1" applyFont="1" applyFill="1" applyBorder="1" applyAlignment="1">
      <alignment horizontal="left" vertical="center"/>
    </xf>
    <xf numFmtId="38" fontId="0" fillId="0" borderId="169" xfId="70" applyNumberFormat="1" applyFont="1" applyFill="1" applyBorder="1" applyAlignment="1">
      <alignment horizontal="center" vertical="center"/>
    </xf>
    <xf numFmtId="184" fontId="0" fillId="0" borderId="33" xfId="116" applyNumberFormat="1" applyFont="1" applyFill="1" applyBorder="1" applyAlignment="1">
      <alignment horizontal="left" vertical="center"/>
    </xf>
    <xf numFmtId="38" fontId="0" fillId="0" borderId="179" xfId="70" applyNumberFormat="1" applyFont="1" applyFill="1" applyBorder="1" applyAlignment="1">
      <alignment horizontal="center" vertical="center"/>
    </xf>
    <xf numFmtId="184" fontId="0" fillId="0" borderId="136" xfId="116" applyNumberFormat="1" applyFont="1" applyBorder="1" applyAlignment="1">
      <alignment horizontal="center" vertical="center" wrapText="1"/>
    </xf>
    <xf numFmtId="38" fontId="0" fillId="0" borderId="136" xfId="70" applyNumberFormat="1" applyFont="1" applyFill="1" applyBorder="1" applyAlignment="1">
      <alignment horizontal="center" vertical="center"/>
    </xf>
    <xf numFmtId="40" fontId="0" fillId="0" borderId="54" xfId="119" applyNumberFormat="1" applyFont="1" applyFill="1" applyBorder="1" applyAlignment="1">
      <alignment horizontal="center" vertical="center"/>
    </xf>
    <xf numFmtId="40" fontId="0" fillId="0" borderId="136" xfId="119" applyNumberFormat="1" applyFont="1" applyFill="1" applyBorder="1" applyAlignment="1">
      <alignment horizontal="center" vertical="center"/>
    </xf>
    <xf numFmtId="38" fontId="0" fillId="0" borderId="57" xfId="70" applyNumberFormat="1" applyFont="1" applyFill="1" applyBorder="1" applyAlignment="1">
      <alignment horizontal="center" vertical="center"/>
    </xf>
    <xf numFmtId="184" fontId="0" fillId="0" borderId="54" xfId="116" applyNumberFormat="1" applyFont="1" applyFill="1" applyBorder="1" applyAlignment="1">
      <alignment vertical="center" wrapText="1"/>
    </xf>
    <xf numFmtId="184" fontId="0" fillId="0" borderId="54" xfId="116" applyNumberFormat="1" applyFont="1" applyFill="1" applyBorder="1" applyAlignment="1">
      <alignment horizontal="center" vertical="center" wrapText="1"/>
    </xf>
    <xf numFmtId="38" fontId="0" fillId="0" borderId="54" xfId="119" applyNumberFormat="1" applyFont="1" applyFill="1" applyBorder="1" applyAlignment="1">
      <alignment horizontal="center" vertical="center"/>
    </xf>
    <xf numFmtId="184" fontId="0" fillId="0" borderId="126" xfId="116" applyNumberFormat="1" applyFont="1" applyBorder="1" applyAlignment="1">
      <alignment horizontal="center" vertical="center" wrapText="1"/>
    </xf>
    <xf numFmtId="184" fontId="0" fillId="0" borderId="71" xfId="116" applyNumberFormat="1" applyFont="1" applyFill="1" applyBorder="1" applyAlignment="1">
      <alignment horizontal="center" vertical="center"/>
    </xf>
    <xf numFmtId="184" fontId="0" fillId="0" borderId="204" xfId="116" applyNumberFormat="1" applyFont="1" applyBorder="1" applyAlignment="1">
      <alignment horizontal="center" vertical="center" wrapText="1"/>
    </xf>
    <xf numFmtId="184" fontId="0" fillId="0" borderId="227" xfId="245" applyNumberFormat="1" applyFont="1" applyBorder="1" applyAlignment="1">
      <alignment horizontal="left" vertical="center"/>
    </xf>
    <xf numFmtId="184" fontId="0" fillId="0" borderId="202" xfId="116" applyNumberFormat="1" applyFont="1" applyFill="1" applyBorder="1" applyAlignment="1">
      <alignment vertical="center" wrapText="1"/>
    </xf>
    <xf numFmtId="184" fontId="0" fillId="0" borderId="200" xfId="116" applyNumberFormat="1" applyFont="1" applyBorder="1" applyAlignment="1">
      <alignment horizontal="center" vertical="center" wrapText="1"/>
    </xf>
    <xf numFmtId="184" fontId="0" fillId="0" borderId="54" xfId="116" applyNumberFormat="1" applyFont="1" applyBorder="1" applyAlignment="1">
      <alignment horizontal="center" vertical="center" wrapText="1"/>
    </xf>
    <xf numFmtId="184" fontId="0" fillId="0" borderId="180" xfId="116" applyNumberFormat="1" applyFont="1" applyFill="1" applyBorder="1" applyAlignment="1">
      <alignment vertical="center" wrapText="1"/>
    </xf>
    <xf numFmtId="227" fontId="0" fillId="0" borderId="199" xfId="0" applyFont="1" applyFill="1" applyBorder="1" applyAlignment="1">
      <alignment wrapText="1"/>
    </xf>
    <xf numFmtId="40" fontId="0" fillId="0" borderId="73" xfId="119" applyNumberFormat="1" applyFont="1" applyFill="1" applyBorder="1" applyAlignment="1">
      <alignment horizontal="center" vertical="center"/>
    </xf>
    <xf numFmtId="40" fontId="0" fillId="0" borderId="137" xfId="119" applyNumberFormat="1" applyFont="1" applyFill="1" applyBorder="1" applyAlignment="1">
      <alignment horizontal="center" vertical="center"/>
    </xf>
    <xf numFmtId="227" fontId="0" fillId="0" borderId="55" xfId="119" applyFont="1" applyFill="1" applyBorder="1" applyAlignment="1">
      <alignment horizontal="right"/>
    </xf>
    <xf numFmtId="183" fontId="0" fillId="0" borderId="0" xfId="0" applyNumberFormat="1" applyFont="1" applyFill="1" applyBorder="1" applyAlignment="1">
      <alignment horizontal="center" vertical="center"/>
    </xf>
    <xf numFmtId="14" fontId="0" fillId="56" borderId="0" xfId="0" applyNumberFormat="1" applyFont="1" applyFill="1" applyBorder="1">
      <alignment vertical="center"/>
    </xf>
    <xf numFmtId="227" fontId="0" fillId="0" borderId="176" xfId="119" applyFont="1" applyFill="1" applyBorder="1" applyAlignment="1">
      <alignment horizontal="right"/>
    </xf>
    <xf numFmtId="227" fontId="0" fillId="0" borderId="162" xfId="119" applyFont="1" applyFill="1" applyBorder="1"/>
    <xf numFmtId="227" fontId="0" fillId="0" borderId="162" xfId="119" applyFont="1" applyFill="1" applyBorder="1" applyAlignment="1">
      <alignment horizontal="center"/>
    </xf>
    <xf numFmtId="38" fontId="0" fillId="0" borderId="192" xfId="0" applyNumberFormat="1" applyFont="1" applyFill="1" applyBorder="1" applyAlignment="1">
      <alignment horizontal="center" vertical="center"/>
    </xf>
    <xf numFmtId="227" fontId="0" fillId="0" borderId="53" xfId="119" applyFont="1" applyFill="1" applyBorder="1" applyAlignment="1">
      <alignment horizontal="right"/>
    </xf>
    <xf numFmtId="227" fontId="0" fillId="0" borderId="192" xfId="119" applyFont="1" applyFill="1" applyBorder="1" applyAlignment="1">
      <alignment horizontal="center" wrapText="1"/>
    </xf>
    <xf numFmtId="38" fontId="0" fillId="0" borderId="11" xfId="0" applyNumberFormat="1" applyFont="1" applyFill="1" applyBorder="1" applyAlignment="1">
      <alignment horizontal="center" vertical="center"/>
    </xf>
    <xf numFmtId="227" fontId="0" fillId="0" borderId="197" xfId="119" applyFont="1" applyFill="1" applyBorder="1" applyAlignment="1">
      <alignment horizontal="right"/>
    </xf>
    <xf numFmtId="38" fontId="0" fillId="0" borderId="155" xfId="0" applyNumberFormat="1" applyFont="1" applyFill="1" applyBorder="1" applyAlignment="1">
      <alignment horizontal="center" vertical="center"/>
    </xf>
    <xf numFmtId="227" fontId="0" fillId="0" borderId="196" xfId="0" applyFont="1" applyFill="1" applyBorder="1">
      <alignment vertical="center"/>
    </xf>
    <xf numFmtId="10" fontId="0" fillId="0" borderId="0" xfId="0" applyNumberFormat="1" applyFont="1" applyFill="1" applyBorder="1" applyAlignment="1" applyProtection="1">
      <alignment horizontal="center" vertical="center"/>
      <protection locked="0"/>
    </xf>
    <xf numFmtId="208" fontId="0" fillId="0" borderId="0" xfId="58" applyNumberFormat="1" applyFont="1" applyBorder="1">
      <alignment vertical="center"/>
    </xf>
    <xf numFmtId="184" fontId="0" fillId="0" borderId="219" xfId="116" applyNumberFormat="1" applyFont="1" applyFill="1" applyBorder="1" applyAlignment="1">
      <alignment vertical="center" wrapText="1"/>
    </xf>
    <xf numFmtId="184" fontId="0" fillId="0" borderId="155" xfId="116" applyNumberFormat="1" applyFont="1" applyFill="1" applyBorder="1" applyAlignment="1">
      <alignment horizontal="center" vertical="center" wrapText="1"/>
    </xf>
    <xf numFmtId="38" fontId="0" fillId="0" borderId="219" xfId="119" applyNumberFormat="1" applyFont="1" applyFill="1" applyBorder="1" applyAlignment="1">
      <alignment horizontal="center" vertical="center"/>
    </xf>
    <xf numFmtId="227" fontId="0" fillId="0" borderId="222" xfId="119" applyFont="1" applyFill="1" applyBorder="1" applyAlignment="1">
      <alignment horizontal="right"/>
    </xf>
    <xf numFmtId="184" fontId="0" fillId="0" borderId="219" xfId="116" applyNumberFormat="1" applyFont="1" applyBorder="1" applyAlignment="1">
      <alignment horizontal="center" vertical="center" wrapText="1"/>
    </xf>
    <xf numFmtId="38" fontId="0" fillId="0" borderId="219" xfId="0" applyNumberFormat="1" applyFont="1" applyFill="1" applyBorder="1" applyAlignment="1">
      <alignment horizontal="center" vertical="center"/>
    </xf>
    <xf numFmtId="227" fontId="0" fillId="0" borderId="73" xfId="119" applyFont="1" applyFill="1" applyBorder="1" applyAlignment="1">
      <alignment horizontal="left"/>
    </xf>
    <xf numFmtId="38" fontId="0" fillId="0" borderId="137" xfId="70" applyNumberFormat="1" applyFont="1" applyFill="1" applyBorder="1" applyAlignment="1">
      <alignment horizontal="center" vertical="center"/>
    </xf>
    <xf numFmtId="38" fontId="0" fillId="0" borderId="65" xfId="70" applyNumberFormat="1" applyFont="1" applyFill="1" applyBorder="1" applyAlignment="1">
      <alignment horizontal="center" vertical="center"/>
    </xf>
    <xf numFmtId="38" fontId="0" fillId="0" borderId="216" xfId="70" applyNumberFormat="1" applyFont="1" applyFill="1" applyBorder="1" applyAlignment="1">
      <alignment horizontal="center" vertical="center"/>
    </xf>
    <xf numFmtId="227" fontId="0" fillId="0" borderId="216" xfId="0" applyFont="1" applyFill="1" applyBorder="1">
      <alignment vertical="center"/>
    </xf>
    <xf numFmtId="184" fontId="0" fillId="0" borderId="228" xfId="116" applyNumberFormat="1" applyFont="1" applyFill="1" applyBorder="1" applyAlignment="1">
      <alignment horizontal="center" vertical="center"/>
    </xf>
    <xf numFmtId="184" fontId="0" fillId="0" borderId="59" xfId="116" applyNumberFormat="1" applyFont="1" applyFill="1" applyBorder="1" applyAlignment="1">
      <alignment horizontal="center" vertical="center" wrapText="1"/>
    </xf>
    <xf numFmtId="38" fontId="0" fillId="0" borderId="59" xfId="0" applyNumberFormat="1" applyFont="1" applyFill="1" applyBorder="1" applyAlignment="1">
      <alignment horizontal="center" vertical="center"/>
    </xf>
    <xf numFmtId="38" fontId="0" fillId="0" borderId="212" xfId="70" applyNumberFormat="1" applyFont="1" applyFill="1" applyBorder="1" applyAlignment="1">
      <alignment horizontal="center" vertical="center"/>
    </xf>
    <xf numFmtId="38" fontId="0" fillId="0" borderId="58" xfId="70" applyNumberFormat="1" applyFont="1" applyFill="1" applyBorder="1" applyAlignment="1">
      <alignment horizontal="center" vertical="center"/>
    </xf>
    <xf numFmtId="227" fontId="0" fillId="0" borderId="74" xfId="0" applyFont="1" applyFill="1" applyBorder="1">
      <alignment vertical="center"/>
    </xf>
    <xf numFmtId="184" fontId="0" fillId="0" borderId="0" xfId="116" applyNumberFormat="1" applyFont="1" applyFill="1" applyBorder="1" applyAlignment="1">
      <alignment horizontal="center" vertical="center"/>
    </xf>
    <xf numFmtId="184" fontId="0" fillId="0" borderId="26" xfId="116" applyNumberFormat="1" applyFont="1" applyFill="1" applyBorder="1" applyAlignment="1">
      <alignment horizontal="center" vertical="center" wrapText="1"/>
    </xf>
    <xf numFmtId="38" fontId="0" fillId="0" borderId="26" xfId="0" applyNumberFormat="1" applyFont="1" applyFill="1" applyBorder="1" applyAlignment="1">
      <alignment horizontal="center" vertical="center"/>
    </xf>
    <xf numFmtId="38" fontId="0" fillId="0" borderId="26" xfId="70" applyNumberFormat="1" applyFont="1" applyFill="1" applyBorder="1" applyAlignment="1">
      <alignment horizontal="center" vertical="center"/>
    </xf>
    <xf numFmtId="227" fontId="0" fillId="0" borderId="26" xfId="0" applyFont="1" applyFill="1" applyBorder="1">
      <alignment vertical="center"/>
    </xf>
    <xf numFmtId="38" fontId="0" fillId="0" borderId="61" xfId="0" applyNumberFormat="1" applyFont="1" applyFill="1" applyBorder="1" applyAlignment="1">
      <alignment horizontal="center" vertical="center"/>
    </xf>
    <xf numFmtId="38" fontId="0" fillId="0" borderId="62" xfId="70" applyNumberFormat="1" applyFont="1" applyFill="1" applyBorder="1" applyAlignment="1">
      <alignment horizontal="center" vertical="center"/>
    </xf>
    <xf numFmtId="38" fontId="0" fillId="0" borderId="124" xfId="70" applyNumberFormat="1" applyFont="1" applyFill="1" applyBorder="1" applyAlignment="1">
      <alignment horizontal="center" vertical="center"/>
    </xf>
    <xf numFmtId="227" fontId="0" fillId="0" borderId="124" xfId="0" applyFont="1" applyFill="1" applyBorder="1">
      <alignment vertical="center"/>
    </xf>
    <xf numFmtId="3" fontId="0" fillId="0" borderId="55" xfId="119" applyNumberFormat="1" applyFont="1" applyFill="1" applyBorder="1" applyAlignment="1"/>
    <xf numFmtId="38" fontId="0" fillId="0" borderId="200" xfId="0" applyNumberFormat="1" applyFont="1" applyFill="1" applyBorder="1" applyAlignment="1">
      <alignment horizontal="center" vertical="center"/>
    </xf>
    <xf numFmtId="38" fontId="0" fillId="0" borderId="201" xfId="70" applyNumberFormat="1" applyFont="1" applyFill="1" applyBorder="1" applyAlignment="1">
      <alignment horizontal="center" vertical="center"/>
    </xf>
    <xf numFmtId="3" fontId="0" fillId="0" borderId="55" xfId="119" applyNumberFormat="1" applyFont="1" applyFill="1" applyBorder="1" applyAlignment="1">
      <alignment horizontal="right"/>
    </xf>
    <xf numFmtId="184" fontId="0" fillId="0" borderId="192" xfId="116" applyNumberFormat="1" applyFont="1" applyFill="1" applyBorder="1" applyAlignment="1">
      <alignment horizontal="center" vertical="center"/>
    </xf>
    <xf numFmtId="3" fontId="0" fillId="0" borderId="227" xfId="119" applyNumberFormat="1" applyFont="1" applyFill="1" applyBorder="1" applyAlignment="1">
      <alignment horizontal="right"/>
    </xf>
    <xf numFmtId="183" fontId="0" fillId="0" borderId="199" xfId="58" applyNumberFormat="1" applyFont="1" applyFill="1" applyBorder="1" applyAlignment="1">
      <alignment vertical="center"/>
    </xf>
    <xf numFmtId="3" fontId="0" fillId="0" borderId="200" xfId="0" applyNumberFormat="1" applyFont="1" applyFill="1" applyBorder="1" applyAlignment="1">
      <alignment horizontal="center" vertical="center"/>
    </xf>
    <xf numFmtId="211" fontId="0" fillId="0" borderId="55" xfId="119" applyNumberFormat="1" applyFont="1" applyFill="1" applyBorder="1" applyAlignment="1">
      <alignment horizontal="right"/>
    </xf>
    <xf numFmtId="227" fontId="0" fillId="0" borderId="200" xfId="119" applyFont="1" applyFill="1" applyBorder="1" applyAlignment="1">
      <alignment horizontal="center"/>
    </xf>
    <xf numFmtId="38" fontId="0" fillId="0" borderId="229" xfId="70" applyNumberFormat="1" applyFont="1" applyFill="1" applyBorder="1" applyAlignment="1">
      <alignment horizontal="center" vertical="center"/>
    </xf>
    <xf numFmtId="38" fontId="0" fillId="0" borderId="230" xfId="70" applyNumberFormat="1" applyFont="1" applyFill="1" applyBorder="1" applyAlignment="1">
      <alignment horizontal="center" vertical="center"/>
    </xf>
    <xf numFmtId="38" fontId="0" fillId="0" borderId="50" xfId="0" applyNumberFormat="1" applyFont="1" applyFill="1" applyBorder="1">
      <alignment vertical="center"/>
    </xf>
    <xf numFmtId="211" fontId="0" fillId="0" borderId="227" xfId="119" applyNumberFormat="1" applyFont="1" applyFill="1" applyBorder="1" applyAlignment="1">
      <alignment horizontal="right"/>
    </xf>
    <xf numFmtId="227" fontId="0" fillId="0" borderId="200" xfId="0" applyFont="1" applyFill="1" applyBorder="1" applyAlignment="1">
      <alignment horizontal="center" vertical="center"/>
    </xf>
    <xf numFmtId="3" fontId="0" fillId="0" borderId="55" xfId="119" applyNumberFormat="1" applyFont="1" applyBorder="1" applyProtection="1"/>
    <xf numFmtId="179" fontId="0" fillId="0" borderId="192" xfId="248" applyFont="1" applyFill="1" applyBorder="1" applyAlignment="1" applyProtection="1">
      <alignment horizontal="center" wrapText="1"/>
    </xf>
    <xf numFmtId="3" fontId="0" fillId="0" borderId="45" xfId="119" applyNumberFormat="1" applyFont="1" applyBorder="1" applyAlignment="1">
      <alignment horizontal="right"/>
    </xf>
    <xf numFmtId="227" fontId="0" fillId="0" borderId="46" xfId="119" applyFont="1" applyFill="1" applyBorder="1" applyAlignment="1">
      <alignment horizontal="center"/>
    </xf>
    <xf numFmtId="38" fontId="0" fillId="0" borderId="46" xfId="70" applyNumberFormat="1" applyFont="1" applyFill="1" applyBorder="1" applyAlignment="1">
      <alignment horizontal="center" vertical="center"/>
    </xf>
    <xf numFmtId="38" fontId="0" fillId="0" borderId="47" xfId="70" applyNumberFormat="1" applyFont="1" applyFill="1" applyBorder="1" applyAlignment="1">
      <alignment horizontal="center" vertical="center"/>
    </xf>
    <xf numFmtId="38" fontId="0" fillId="0" borderId="44" xfId="70" applyNumberFormat="1" applyFont="1" applyFill="1" applyBorder="1" applyAlignment="1">
      <alignment horizontal="center" vertical="center"/>
    </xf>
    <xf numFmtId="227" fontId="0" fillId="0" borderId="44" xfId="0" applyFont="1" applyFill="1" applyBorder="1">
      <alignment vertical="center"/>
    </xf>
    <xf numFmtId="227" fontId="0" fillId="0" borderId="0" xfId="119" applyFont="1" applyBorder="1" applyAlignment="1">
      <alignment horizontal="right"/>
    </xf>
    <xf numFmtId="227" fontId="0" fillId="0" borderId="0" xfId="119" applyFont="1" applyBorder="1" applyAlignment="1">
      <alignment horizontal="center"/>
    </xf>
    <xf numFmtId="38" fontId="0" fillId="0" borderId="0" xfId="70" applyNumberFormat="1" applyFont="1" applyFill="1" applyBorder="1" applyAlignment="1">
      <alignment horizontal="center" vertical="center"/>
    </xf>
    <xf numFmtId="227" fontId="0" fillId="0" borderId="0" xfId="0" applyFont="1" applyFill="1" applyBorder="1" applyAlignment="1">
      <alignment vertical="center"/>
    </xf>
    <xf numFmtId="41" fontId="0" fillId="0" borderId="0" xfId="0" applyNumberFormat="1" applyFont="1" applyFill="1" applyBorder="1" applyAlignment="1">
      <alignment vertical="center"/>
    </xf>
    <xf numFmtId="227" fontId="56" fillId="0" borderId="0" xfId="0" applyFont="1">
      <alignment vertical="center"/>
    </xf>
    <xf numFmtId="3" fontId="132" fillId="42" borderId="0" xfId="1129" applyNumberFormat="1" applyFont="1" applyFill="1" applyBorder="1" applyAlignment="1">
      <alignment horizontal="center" vertical="center"/>
    </xf>
    <xf numFmtId="3" fontId="132" fillId="42" borderId="0" xfId="127" applyNumberFormat="1" applyFont="1" applyFill="1" applyBorder="1" applyAlignment="1">
      <alignment horizontal="center" vertical="center"/>
    </xf>
    <xf numFmtId="49" fontId="152" fillId="0" borderId="237" xfId="1800" applyNumberFormat="1" applyFont="1" applyBorder="1" applyAlignment="1">
      <alignment vertical="center" wrapText="1"/>
    </xf>
    <xf numFmtId="49" fontId="152" fillId="0" borderId="237" xfId="1800" applyNumberFormat="1" applyFont="1" applyBorder="1" applyAlignment="1">
      <alignment horizontal="center" vertical="center" wrapText="1"/>
    </xf>
    <xf numFmtId="10" fontId="0" fillId="0" borderId="0" xfId="127" applyNumberFormat="1" applyFont="1" applyAlignment="1"/>
    <xf numFmtId="184" fontId="0" fillId="0" borderId="11" xfId="116" applyNumberFormat="1" applyFont="1" applyFill="1" applyBorder="1" applyAlignment="1">
      <alignment horizontal="center" vertical="center" wrapText="1"/>
    </xf>
    <xf numFmtId="184" fontId="0" fillId="0" borderId="73" xfId="116" applyNumberFormat="1" applyFont="1" applyFill="1" applyBorder="1" applyAlignment="1">
      <alignment horizontal="center" vertical="center" wrapText="1"/>
    </xf>
    <xf numFmtId="43" fontId="56" fillId="47" borderId="237" xfId="1966" applyFont="1" applyFill="1" applyBorder="1" applyAlignment="1">
      <alignment horizontal="center" vertical="center"/>
    </xf>
    <xf numFmtId="227" fontId="56" fillId="47" borderId="237" xfId="1967" applyFont="1" applyFill="1" applyBorder="1" applyAlignment="1">
      <alignment horizontal="center" vertical="center"/>
    </xf>
    <xf numFmtId="14" fontId="56" fillId="47" borderId="237" xfId="1967" applyNumberFormat="1" applyFont="1" applyFill="1" applyBorder="1" applyAlignment="1">
      <alignment horizontal="center" vertical="center"/>
    </xf>
    <xf numFmtId="227" fontId="56" fillId="47" borderId="237" xfId="1966" applyNumberFormat="1" applyFont="1" applyFill="1" applyBorder="1" applyAlignment="1">
      <alignment horizontal="center" vertical="center"/>
    </xf>
    <xf numFmtId="43" fontId="203" fillId="47" borderId="237" xfId="1966" applyFont="1" applyFill="1" applyBorder="1" applyAlignment="1">
      <alignment horizontal="center" vertical="center"/>
    </xf>
    <xf numFmtId="227" fontId="203" fillId="47" borderId="237" xfId="1966" applyNumberFormat="1" applyFont="1" applyFill="1" applyBorder="1" applyAlignment="1">
      <alignment horizontal="center" vertical="center"/>
    </xf>
    <xf numFmtId="227" fontId="203" fillId="47" borderId="237" xfId="1967" applyFont="1" applyFill="1" applyBorder="1" applyAlignment="1">
      <alignment horizontal="center" vertical="center"/>
    </xf>
    <xf numFmtId="227" fontId="56" fillId="42" borderId="237" xfId="1967" applyFont="1" applyFill="1" applyBorder="1" applyAlignment="1">
      <alignment horizontal="center" vertical="center"/>
    </xf>
    <xf numFmtId="9" fontId="56" fillId="47" borderId="237" xfId="1558" applyFont="1" applyFill="1" applyBorder="1" applyAlignment="1">
      <alignment horizontal="center" vertical="center"/>
    </xf>
    <xf numFmtId="227" fontId="13" fillId="49" borderId="237" xfId="0" applyFont="1" applyFill="1" applyBorder="1">
      <alignment vertical="center"/>
    </xf>
    <xf numFmtId="227" fontId="13" fillId="49" borderId="237" xfId="0" applyFont="1" applyFill="1" applyBorder="1" applyAlignment="1">
      <alignment horizontal="left" vertical="center"/>
    </xf>
    <xf numFmtId="227" fontId="13" fillId="0" borderId="11" xfId="58" applyNumberFormat="1" applyFont="1" applyFill="1" applyBorder="1" applyAlignment="1">
      <alignment horizontal="center" vertical="center"/>
    </xf>
    <xf numFmtId="227" fontId="0" fillId="0" borderId="237" xfId="0" applyFont="1" applyFill="1" applyBorder="1" applyAlignment="1">
      <alignment horizontal="center" vertical="center"/>
    </xf>
    <xf numFmtId="209" fontId="0" fillId="0" borderId="237" xfId="0" applyNumberFormat="1" applyFont="1" applyFill="1" applyBorder="1" applyAlignment="1">
      <alignment horizontal="center" vertical="center"/>
    </xf>
    <xf numFmtId="43" fontId="56" fillId="47" borderId="0" xfId="1966" applyFont="1" applyFill="1" applyBorder="1" applyAlignment="1">
      <alignment horizontal="center" vertical="center"/>
    </xf>
    <xf numFmtId="43" fontId="204" fillId="47" borderId="237" xfId="1966" applyFont="1" applyFill="1" applyBorder="1" applyAlignment="1">
      <alignment horizontal="center" vertical="center"/>
    </xf>
    <xf numFmtId="43" fontId="0" fillId="45" borderId="237" xfId="486" applyNumberFormat="1" applyFont="1" applyFill="1" applyBorder="1">
      <alignment vertical="center"/>
    </xf>
    <xf numFmtId="43" fontId="0" fillId="0" borderId="237" xfId="486" applyNumberFormat="1" applyFont="1" applyFill="1" applyBorder="1">
      <alignment vertical="center"/>
    </xf>
    <xf numFmtId="3" fontId="0" fillId="48" borderId="237" xfId="0" applyNumberFormat="1" applyFont="1" applyFill="1" applyBorder="1" applyAlignment="1">
      <alignment horizontal="center" vertical="center" wrapText="1"/>
    </xf>
    <xf numFmtId="3" fontId="23" fillId="0" borderId="237" xfId="58" applyNumberFormat="1" applyFont="1" applyBorder="1" applyAlignment="1">
      <alignment vertical="center"/>
    </xf>
    <xf numFmtId="43" fontId="23" fillId="0" borderId="237" xfId="486" applyNumberFormat="1" applyFont="1" applyFill="1" applyBorder="1">
      <alignment vertical="center"/>
    </xf>
    <xf numFmtId="183" fontId="0" fillId="0" borderId="237" xfId="486" applyNumberFormat="1" applyFont="1" applyFill="1" applyBorder="1">
      <alignment vertical="center"/>
    </xf>
    <xf numFmtId="227" fontId="183" fillId="0" borderId="237" xfId="1576" applyFont="1" applyBorder="1" applyAlignment="1">
      <alignment vertical="center"/>
    </xf>
    <xf numFmtId="227" fontId="178" fillId="0" borderId="237" xfId="1576" applyFont="1" applyBorder="1" applyAlignment="1">
      <alignment vertical="center"/>
    </xf>
    <xf numFmtId="227" fontId="55" fillId="0" borderId="200" xfId="1576" applyFont="1" applyBorder="1" applyAlignment="1">
      <alignment vertical="center"/>
    </xf>
    <xf numFmtId="227" fontId="55" fillId="0" borderId="237" xfId="1576" applyFont="1" applyBorder="1" applyAlignment="1">
      <alignment vertical="center"/>
    </xf>
    <xf numFmtId="3" fontId="55" fillId="0" borderId="200" xfId="1576" applyNumberFormat="1" applyFont="1" applyFill="1" applyBorder="1" applyAlignment="1">
      <alignment vertical="center"/>
    </xf>
    <xf numFmtId="227" fontId="23" fillId="0" borderId="237" xfId="1576" applyFont="1" applyBorder="1" applyAlignment="1">
      <alignment vertical="center"/>
    </xf>
    <xf numFmtId="227" fontId="50" fillId="0" borderId="200" xfId="1576" applyFont="1" applyBorder="1" applyAlignment="1">
      <alignment vertical="center"/>
    </xf>
    <xf numFmtId="227" fontId="50" fillId="0" borderId="237" xfId="1576" applyFont="1" applyBorder="1" applyAlignment="1">
      <alignment vertical="center"/>
    </xf>
    <xf numFmtId="3" fontId="50" fillId="0" borderId="200" xfId="1576" applyNumberFormat="1" applyFont="1" applyFill="1" applyBorder="1" applyAlignment="1">
      <alignment vertical="center"/>
    </xf>
    <xf numFmtId="9" fontId="50" fillId="0" borderId="200" xfId="1577" applyFont="1" applyBorder="1" applyAlignment="1">
      <alignment horizontal="center" vertical="center"/>
    </xf>
    <xf numFmtId="227" fontId="9" fillId="0" borderId="237" xfId="1576" applyFont="1" applyBorder="1" applyAlignment="1">
      <alignment vertical="center"/>
    </xf>
    <xf numFmtId="227" fontId="180" fillId="0" borderId="0" xfId="1576" applyFont="1"/>
    <xf numFmtId="3" fontId="55" fillId="0" borderId="200" xfId="1576" applyNumberFormat="1" applyFont="1" applyBorder="1" applyAlignment="1">
      <alignment vertical="center"/>
    </xf>
    <xf numFmtId="224" fontId="205" fillId="45" borderId="0" xfId="1968" applyNumberFormat="1" applyFont="1" applyFill="1" applyBorder="1" applyAlignment="1">
      <alignment horizontal="left"/>
    </xf>
    <xf numFmtId="9" fontId="206" fillId="45" borderId="0" xfId="1969" applyFont="1" applyFill="1" applyBorder="1" applyAlignment="1">
      <alignment horizontal="left" wrapText="1"/>
    </xf>
    <xf numFmtId="3" fontId="207" fillId="45" borderId="0" xfId="1968" applyNumberFormat="1" applyFont="1" applyFill="1" applyBorder="1" applyAlignment="1">
      <alignment horizontal="centerContinuous" wrapText="1"/>
    </xf>
    <xf numFmtId="3" fontId="208" fillId="45" borderId="0" xfId="1968" applyNumberFormat="1" applyFont="1" applyFill="1" applyBorder="1" applyAlignment="1">
      <alignment horizontal="centerContinuous" wrapText="1"/>
    </xf>
    <xf numFmtId="227" fontId="3" fillId="0" borderId="0" xfId="1968"/>
    <xf numFmtId="3" fontId="209" fillId="62" borderId="219" xfId="1968" applyNumberFormat="1" applyFont="1" applyFill="1" applyBorder="1" applyAlignment="1"/>
    <xf numFmtId="3" fontId="209" fillId="62" borderId="219" xfId="1968" applyNumberFormat="1" applyFont="1" applyFill="1" applyBorder="1" applyAlignment="1">
      <alignment horizontal="center"/>
    </xf>
    <xf numFmtId="9" fontId="210" fillId="62" borderId="219" xfId="1969" applyFont="1" applyFill="1" applyBorder="1" applyAlignment="1">
      <alignment horizontal="center"/>
    </xf>
    <xf numFmtId="3" fontId="209" fillId="62" borderId="236" xfId="1968" applyNumberFormat="1" applyFont="1" applyFill="1" applyBorder="1" applyAlignment="1">
      <alignment vertical="center"/>
    </xf>
    <xf numFmtId="3" fontId="211" fillId="62" borderId="206" xfId="1968" applyNumberFormat="1" applyFont="1" applyFill="1" applyBorder="1" applyAlignment="1">
      <alignment horizontal="center"/>
    </xf>
    <xf numFmtId="9" fontId="210" fillId="62" borderId="236" xfId="1969" applyFont="1" applyFill="1" applyBorder="1" applyAlignment="1">
      <alignment horizontal="center"/>
    </xf>
    <xf numFmtId="3" fontId="211" fillId="62" borderId="236" xfId="1968" applyNumberFormat="1" applyFont="1" applyFill="1" applyBorder="1" applyAlignment="1">
      <alignment horizontal="center" wrapText="1"/>
    </xf>
    <xf numFmtId="3" fontId="209" fillId="62" borderId="138" xfId="1968" applyNumberFormat="1" applyFont="1" applyFill="1" applyBorder="1" applyAlignment="1"/>
    <xf numFmtId="3" fontId="205" fillId="62" borderId="138" xfId="1968" applyNumberFormat="1" applyFont="1" applyFill="1" applyBorder="1" applyAlignment="1">
      <alignment horizontal="center"/>
    </xf>
    <xf numFmtId="9" fontId="210" fillId="62" borderId="138" xfId="1969" applyFont="1" applyFill="1" applyBorder="1" applyAlignment="1">
      <alignment horizontal="center"/>
    </xf>
    <xf numFmtId="3" fontId="211" fillId="45" borderId="237" xfId="1968" applyNumberFormat="1" applyFont="1" applyFill="1" applyBorder="1" applyAlignment="1"/>
    <xf numFmtId="3" fontId="211" fillId="0" borderId="237" xfId="1968" applyNumberFormat="1" applyFont="1" applyFill="1" applyBorder="1" applyAlignment="1"/>
    <xf numFmtId="181" fontId="213" fillId="45" borderId="237" xfId="1969" applyNumberFormat="1" applyFont="1" applyFill="1" applyBorder="1" applyAlignment="1">
      <alignment horizontal="center"/>
    </xf>
    <xf numFmtId="225" fontId="0" fillId="0" borderId="0" xfId="1970" applyNumberFormat="1" applyFont="1"/>
    <xf numFmtId="3" fontId="209" fillId="45" borderId="0" xfId="1968" applyNumberFormat="1" applyFont="1" applyFill="1" applyBorder="1" applyAlignment="1"/>
    <xf numFmtId="181" fontId="210" fillId="45" borderId="0" xfId="1969" applyNumberFormat="1" applyFont="1" applyFill="1" applyBorder="1" applyAlignment="1">
      <alignment horizontal="center"/>
    </xf>
    <xf numFmtId="3" fontId="209" fillId="45" borderId="237" xfId="1968" applyNumberFormat="1" applyFont="1" applyFill="1" applyBorder="1" applyAlignment="1"/>
    <xf numFmtId="181" fontId="210" fillId="45" borderId="237" xfId="1969" applyNumberFormat="1" applyFont="1" applyFill="1" applyBorder="1" applyAlignment="1">
      <alignment horizontal="center"/>
    </xf>
    <xf numFmtId="3" fontId="211" fillId="45" borderId="125" xfId="1968" applyNumberFormat="1" applyFont="1" applyFill="1" applyBorder="1" applyAlignment="1"/>
    <xf numFmtId="3" fontId="211" fillId="45" borderId="125" xfId="1968" applyNumberFormat="1" applyFont="1" applyFill="1" applyBorder="1" applyAlignment="1">
      <alignment horizontal="right"/>
    </xf>
    <xf numFmtId="9" fontId="214" fillId="45" borderId="125" xfId="1971" applyFont="1" applyFill="1" applyBorder="1" applyAlignment="1">
      <alignment horizontal="center"/>
    </xf>
    <xf numFmtId="181" fontId="213" fillId="45" borderId="138" xfId="1969" applyNumberFormat="1" applyFont="1" applyFill="1" applyBorder="1" applyAlignment="1">
      <alignment horizontal="center"/>
    </xf>
    <xf numFmtId="3" fontId="211" fillId="45" borderId="230" xfId="1968" applyNumberFormat="1" applyFont="1" applyFill="1" applyBorder="1" applyAlignment="1"/>
    <xf numFmtId="9" fontId="207" fillId="45" borderId="125" xfId="1971" applyFont="1" applyFill="1" applyBorder="1" applyAlignment="1">
      <alignment horizontal="center"/>
    </xf>
    <xf numFmtId="3" fontId="211" fillId="45" borderId="73" xfId="1968" applyNumberFormat="1" applyFont="1" applyFill="1" applyBorder="1" applyAlignment="1"/>
    <xf numFmtId="181" fontId="213" fillId="45" borderId="73" xfId="1969" applyNumberFormat="1" applyFont="1" applyFill="1" applyBorder="1" applyAlignment="1">
      <alignment horizontal="center"/>
    </xf>
    <xf numFmtId="181" fontId="210" fillId="45" borderId="125" xfId="1969" applyNumberFormat="1" applyFont="1" applyFill="1" applyBorder="1" applyAlignment="1">
      <alignment horizontal="center"/>
    </xf>
    <xf numFmtId="3" fontId="211" fillId="45" borderId="0" xfId="1968" applyNumberFormat="1" applyFont="1" applyFill="1" applyBorder="1" applyAlignment="1"/>
    <xf numFmtId="3" fontId="209" fillId="45" borderId="211" xfId="1968" applyNumberFormat="1" applyFont="1" applyFill="1" applyBorder="1" applyAlignment="1"/>
    <xf numFmtId="3" fontId="211" fillId="45" borderId="126" xfId="1968" applyNumberFormat="1" applyFont="1" applyFill="1" applyBorder="1" applyAlignment="1"/>
    <xf numFmtId="181" fontId="210" fillId="45" borderId="126" xfId="1969" applyNumberFormat="1" applyFont="1" applyFill="1" applyBorder="1" applyAlignment="1">
      <alignment horizontal="center"/>
    </xf>
    <xf numFmtId="3" fontId="209" fillId="45" borderId="229" xfId="1968" applyNumberFormat="1" applyFont="1" applyFill="1" applyBorder="1" applyAlignment="1"/>
    <xf numFmtId="3" fontId="211" fillId="45" borderId="138" xfId="1968" applyNumberFormat="1" applyFont="1" applyFill="1" applyBorder="1" applyAlignment="1"/>
    <xf numFmtId="181" fontId="209" fillId="42" borderId="237" xfId="1944" applyNumberFormat="1" applyFont="1" applyFill="1" applyBorder="1" applyAlignment="1"/>
    <xf numFmtId="227" fontId="13" fillId="0" borderId="11" xfId="116" applyNumberFormat="1" applyFont="1" applyFill="1" applyBorder="1" applyAlignment="1">
      <alignment horizontal="center" vertical="center" wrapText="1"/>
    </xf>
    <xf numFmtId="179" fontId="0" fillId="27" borderId="0" xfId="248" applyFont="1" applyFill="1" applyBorder="1" applyAlignment="1" applyProtection="1">
      <alignment horizontal="left"/>
    </xf>
    <xf numFmtId="227" fontId="23" fillId="0" borderId="227" xfId="119" applyFont="1" applyFill="1" applyBorder="1" applyAlignment="1">
      <alignment horizontal="right"/>
    </xf>
    <xf numFmtId="227" fontId="23" fillId="0" borderId="237" xfId="119" applyFont="1" applyFill="1" applyBorder="1"/>
    <xf numFmtId="227" fontId="23" fillId="0" borderId="237" xfId="119" applyFont="1" applyFill="1" applyBorder="1" applyAlignment="1">
      <alignment horizontal="center"/>
    </xf>
    <xf numFmtId="38" fontId="23" fillId="0" borderId="237" xfId="0" applyNumberFormat="1" applyFont="1" applyFill="1" applyBorder="1" applyAlignment="1">
      <alignment horizontal="center" vertical="center"/>
    </xf>
    <xf numFmtId="227" fontId="77" fillId="0" borderId="237" xfId="0" applyFont="1" applyFill="1" applyBorder="1" applyAlignment="1">
      <alignment horizontal="center" vertical="center"/>
    </xf>
    <xf numFmtId="3" fontId="0" fillId="0" borderId="178" xfId="0" applyNumberFormat="1" applyFont="1" applyFill="1" applyBorder="1" applyAlignment="1" applyProtection="1">
      <alignment horizontal="center" vertical="center"/>
      <protection locked="0"/>
    </xf>
    <xf numFmtId="10" fontId="210" fillId="45" borderId="237" xfId="1969" applyNumberFormat="1" applyFont="1" applyFill="1" applyBorder="1" applyAlignment="1">
      <alignment horizontal="center"/>
    </xf>
    <xf numFmtId="10" fontId="0" fillId="0" borderId="0" xfId="0" applyNumberFormat="1">
      <alignment vertical="center"/>
    </xf>
    <xf numFmtId="43" fontId="0" fillId="0" borderId="0" xfId="0" applyNumberFormat="1">
      <alignment vertical="center"/>
    </xf>
    <xf numFmtId="9" fontId="0" fillId="0" borderId="0" xfId="127" applyFont="1">
      <alignment vertical="center"/>
    </xf>
    <xf numFmtId="181" fontId="213" fillId="45" borderId="126" xfId="1969" applyNumberFormat="1" applyFont="1" applyFill="1" applyBorder="1" applyAlignment="1">
      <alignment horizontal="center"/>
    </xf>
    <xf numFmtId="181" fontId="209" fillId="0" borderId="0" xfId="1944" applyNumberFormat="1" applyFont="1" applyFill="1" applyBorder="1" applyAlignment="1"/>
    <xf numFmtId="3" fontId="211" fillId="45" borderId="238" xfId="1968" applyNumberFormat="1" applyFont="1" applyFill="1" applyBorder="1" applyAlignment="1"/>
    <xf numFmtId="181" fontId="213" fillId="45" borderId="238" xfId="1969" applyNumberFormat="1" applyFont="1" applyFill="1" applyBorder="1" applyAlignment="1">
      <alignment horizontal="center"/>
    </xf>
    <xf numFmtId="3" fontId="211" fillId="45" borderId="239" xfId="1968" applyNumberFormat="1" applyFont="1" applyFill="1" applyBorder="1" applyAlignment="1"/>
    <xf numFmtId="3" fontId="211" fillId="45" borderId="185" xfId="1968" applyNumberFormat="1" applyFont="1" applyFill="1" applyBorder="1" applyAlignment="1">
      <alignment horizontal="left"/>
    </xf>
    <xf numFmtId="3" fontId="209" fillId="63" borderId="219" xfId="1968" applyNumberFormat="1" applyFont="1" applyFill="1" applyBorder="1" applyAlignment="1">
      <alignment horizontal="center"/>
    </xf>
    <xf numFmtId="3" fontId="211" fillId="63" borderId="206" xfId="1968" applyNumberFormat="1" applyFont="1" applyFill="1" applyBorder="1" applyAlignment="1">
      <alignment horizontal="center"/>
    </xf>
    <xf numFmtId="3" fontId="205" fillId="63" borderId="138" xfId="1968" applyNumberFormat="1" applyFont="1" applyFill="1" applyBorder="1" applyAlignment="1">
      <alignment horizontal="center"/>
    </xf>
    <xf numFmtId="3" fontId="209" fillId="62" borderId="165" xfId="1968" applyNumberFormat="1" applyFont="1" applyFill="1" applyBorder="1" applyAlignment="1">
      <alignment horizontal="center"/>
    </xf>
    <xf numFmtId="3" fontId="211" fillId="62" borderId="0" xfId="1968" applyNumberFormat="1" applyFont="1" applyFill="1" applyBorder="1" applyAlignment="1">
      <alignment horizontal="center" wrapText="1"/>
    </xf>
    <xf numFmtId="3" fontId="205" fillId="62" borderId="240" xfId="1968" applyNumberFormat="1" applyFont="1" applyFill="1" applyBorder="1" applyAlignment="1">
      <alignment horizontal="center"/>
    </xf>
    <xf numFmtId="3" fontId="211" fillId="45" borderId="202" xfId="1968" applyNumberFormat="1" applyFont="1" applyFill="1" applyBorder="1" applyAlignment="1"/>
    <xf numFmtId="3" fontId="211" fillId="45" borderId="123" xfId="1968" applyNumberFormat="1" applyFont="1" applyFill="1" applyBorder="1" applyAlignment="1"/>
    <xf numFmtId="3" fontId="211" fillId="45" borderId="241" xfId="1968" applyNumberFormat="1" applyFont="1" applyFill="1" applyBorder="1" applyAlignment="1"/>
    <xf numFmtId="3" fontId="211" fillId="45" borderId="64" xfId="1968" applyNumberFormat="1" applyFont="1" applyFill="1" applyBorder="1" applyAlignment="1"/>
    <xf numFmtId="3" fontId="211" fillId="45" borderId="240" xfId="1968" applyNumberFormat="1" applyFont="1" applyFill="1" applyBorder="1" applyAlignment="1"/>
    <xf numFmtId="181" fontId="210" fillId="45" borderId="6" xfId="1969" applyNumberFormat="1" applyFont="1" applyFill="1" applyBorder="1" applyAlignment="1">
      <alignment horizontal="center"/>
    </xf>
    <xf numFmtId="9" fontId="214" fillId="45" borderId="240" xfId="1971" applyFont="1" applyFill="1" applyBorder="1" applyAlignment="1">
      <alignment horizontal="center"/>
    </xf>
    <xf numFmtId="9" fontId="207" fillId="45" borderId="240" xfId="1971" applyFont="1" applyFill="1" applyBorder="1" applyAlignment="1">
      <alignment horizontal="center"/>
    </xf>
    <xf numFmtId="181" fontId="210" fillId="45" borderId="240" xfId="1969" applyNumberFormat="1" applyFont="1" applyFill="1" applyBorder="1" applyAlignment="1">
      <alignment horizontal="center"/>
    </xf>
    <xf numFmtId="227" fontId="13" fillId="0" borderId="0" xfId="0" applyNumberFormat="1" applyFont="1" applyFill="1" applyBorder="1" applyAlignment="1">
      <alignment horizontal="left" vertical="center"/>
    </xf>
    <xf numFmtId="227" fontId="13" fillId="0" borderId="0" xfId="0" applyFont="1" applyFill="1" applyBorder="1" applyAlignment="1">
      <alignment horizontal="left" vertical="center"/>
    </xf>
    <xf numFmtId="184" fontId="0" fillId="0" borderId="237" xfId="116" applyNumberFormat="1" applyFont="1" applyBorder="1" applyAlignment="1">
      <alignment vertical="center" wrapText="1"/>
    </xf>
    <xf numFmtId="40" fontId="0" fillId="0" borderId="237" xfId="119" applyNumberFormat="1" applyFont="1" applyFill="1" applyBorder="1" applyAlignment="1">
      <alignment horizontal="center" vertical="center"/>
    </xf>
    <xf numFmtId="227" fontId="0" fillId="0" borderId="43" xfId="0" applyFont="1" applyFill="1" applyBorder="1" applyAlignment="1">
      <alignment vertical="center" wrapText="1"/>
    </xf>
    <xf numFmtId="179" fontId="0" fillId="0" borderId="237" xfId="242" applyFont="1" applyFill="1" applyBorder="1" applyAlignment="1">
      <alignment vertical="center" wrapText="1"/>
    </xf>
    <xf numFmtId="3" fontId="18" fillId="0" borderId="237" xfId="121" applyNumberFormat="1" applyFont="1" applyFill="1" applyBorder="1" applyAlignment="1">
      <alignment horizontal="center" vertical="center" shrinkToFit="1"/>
    </xf>
    <xf numFmtId="226" fontId="215" fillId="0" borderId="237" xfId="240" applyNumberFormat="1" applyFont="1" applyFill="1" applyBorder="1" applyAlignment="1">
      <alignment horizontal="center" vertical="center"/>
    </xf>
    <xf numFmtId="227" fontId="0" fillId="0" borderId="0" xfId="0" applyNumberFormat="1" applyAlignment="1">
      <alignment horizontal="left" vertical="center"/>
    </xf>
    <xf numFmtId="227" fontId="119" fillId="25" borderId="140" xfId="0" applyNumberFormat="1" applyFont="1" applyFill="1" applyBorder="1" applyAlignment="1">
      <alignment horizontal="left" vertical="center"/>
    </xf>
    <xf numFmtId="49" fontId="18" fillId="0" borderId="237" xfId="121" applyNumberFormat="1" applyFont="1" applyFill="1" applyBorder="1" applyAlignment="1">
      <alignment horizontal="center" vertical="center" shrinkToFit="1"/>
    </xf>
    <xf numFmtId="9" fontId="2" fillId="0" borderId="0" xfId="1129" applyFont="1" applyAlignment="1"/>
    <xf numFmtId="43" fontId="2" fillId="0" borderId="0" xfId="475" applyFont="1" applyAlignment="1"/>
    <xf numFmtId="227" fontId="2" fillId="0" borderId="0" xfId="1972"/>
    <xf numFmtId="227" fontId="2" fillId="0" borderId="0" xfId="1972" applyFont="1"/>
    <xf numFmtId="43" fontId="3" fillId="0" borderId="0" xfId="58" applyNumberFormat="1" applyFont="1" applyAlignment="1"/>
    <xf numFmtId="43" fontId="2" fillId="0" borderId="0" xfId="58" applyNumberFormat="1" applyFont="1" applyAlignment="1"/>
    <xf numFmtId="43" fontId="18" fillId="0" borderId="237" xfId="121" applyNumberFormat="1" applyFont="1" applyFill="1" applyBorder="1" applyAlignment="1">
      <alignment horizontal="left" vertical="center" shrinkToFit="1"/>
    </xf>
    <xf numFmtId="227" fontId="117" fillId="39" borderId="242" xfId="0" applyFont="1" applyFill="1" applyBorder="1" applyAlignment="1">
      <alignment horizontal="left" vertical="center"/>
    </xf>
    <xf numFmtId="227" fontId="118" fillId="0" borderId="242" xfId="0" applyNumberFormat="1" applyFont="1" applyBorder="1" applyAlignment="1">
      <alignment horizontal="left" vertical="center"/>
    </xf>
    <xf numFmtId="38" fontId="20" fillId="43" borderId="178" xfId="70" applyNumberFormat="1" applyFont="1" applyFill="1" applyBorder="1" applyAlignment="1">
      <alignment horizontal="center" vertical="center"/>
    </xf>
    <xf numFmtId="49" fontId="205" fillId="0" borderId="237" xfId="121" applyNumberFormat="1" applyFont="1" applyBorder="1" applyAlignment="1">
      <alignment horizontal="center" vertical="center"/>
    </xf>
    <xf numFmtId="177" fontId="13" fillId="0" borderId="219" xfId="282" applyNumberFormat="1" applyFont="1" applyFill="1" applyBorder="1" applyAlignment="1">
      <alignment vertical="center"/>
    </xf>
    <xf numFmtId="177" fontId="13" fillId="0" borderId="236" xfId="282" applyNumberFormat="1" applyFont="1" applyFill="1" applyBorder="1" applyAlignment="1">
      <alignment vertical="center"/>
    </xf>
    <xf numFmtId="177" fontId="13" fillId="0" borderId="54" xfId="282" applyNumberFormat="1" applyFont="1" applyFill="1" applyBorder="1" applyAlignment="1">
      <alignment vertical="center"/>
    </xf>
    <xf numFmtId="228" fontId="0" fillId="0" borderId="0" xfId="1970" applyNumberFormat="1" applyFont="1"/>
    <xf numFmtId="183" fontId="13" fillId="0" borderId="237" xfId="475" applyNumberFormat="1" applyFont="1" applyFill="1" applyBorder="1" applyAlignment="1">
      <alignment horizontal="center" vertical="center"/>
    </xf>
    <xf numFmtId="43" fontId="0" fillId="0" borderId="0" xfId="475" applyFont="1" applyAlignment="1"/>
    <xf numFmtId="227" fontId="13" fillId="0" borderId="11" xfId="58" applyNumberFormat="1" applyFont="1" applyFill="1" applyBorder="1" applyAlignment="1">
      <alignment horizontal="center" vertical="center"/>
    </xf>
    <xf numFmtId="227" fontId="9" fillId="0" borderId="158" xfId="127" applyNumberFormat="1" applyFont="1" applyFill="1" applyBorder="1" applyAlignment="1">
      <alignment horizontal="center" vertical="center"/>
    </xf>
    <xf numFmtId="38" fontId="9" fillId="0" borderId="11" xfId="119" applyNumberFormat="1" applyFont="1" applyFill="1" applyBorder="1" applyAlignment="1">
      <alignment horizontal="center" vertical="center"/>
    </xf>
    <xf numFmtId="38" fontId="9" fillId="0" borderId="192" xfId="119" applyNumberFormat="1" applyFont="1" applyFill="1" applyBorder="1" applyAlignment="1">
      <alignment horizontal="center" vertical="center"/>
    </xf>
    <xf numFmtId="38" fontId="9" fillId="0" borderId="121" xfId="70" applyNumberFormat="1" applyFont="1" applyFill="1" applyBorder="1" applyAlignment="1">
      <alignment horizontal="center" vertical="center"/>
    </xf>
    <xf numFmtId="211" fontId="0" fillId="0" borderId="0" xfId="0" applyNumberFormat="1">
      <alignment vertical="center"/>
    </xf>
    <xf numFmtId="211" fontId="0" fillId="0" borderId="0" xfId="58" applyNumberFormat="1" applyFont="1">
      <alignment vertical="center"/>
    </xf>
    <xf numFmtId="211" fontId="0" fillId="0" borderId="0" xfId="0" applyNumberFormat="1" applyFill="1">
      <alignment vertical="center"/>
    </xf>
    <xf numFmtId="0" fontId="0" fillId="0" borderId="178" xfId="119" applyNumberFormat="1" applyFont="1" applyFill="1" applyBorder="1" applyAlignment="1">
      <alignment horizontal="center" vertical="center"/>
    </xf>
    <xf numFmtId="0" fontId="17" fillId="0" borderId="0" xfId="58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left" vertical="center"/>
    </xf>
    <xf numFmtId="0" fontId="17" fillId="0" borderId="0" xfId="58" applyNumberFormat="1" applyFont="1" applyFill="1" applyAlignment="1">
      <alignment horizontal="center" vertical="center"/>
    </xf>
    <xf numFmtId="0" fontId="13" fillId="0" borderId="0" xfId="58" applyNumberFormat="1" applyFont="1">
      <alignment vertical="center"/>
    </xf>
    <xf numFmtId="0" fontId="13" fillId="0" borderId="0" xfId="127" applyNumberFormat="1" applyFont="1" applyAlignment="1">
      <alignment horizontal="center" vertical="center"/>
    </xf>
    <xf numFmtId="0" fontId="13" fillId="0" borderId="0" xfId="0" applyNumberFormat="1" applyFont="1" applyBorder="1" applyAlignment="1">
      <alignment horizontal="center" vertical="center"/>
    </xf>
    <xf numFmtId="0" fontId="13" fillId="0" borderId="0" xfId="58" applyNumberFormat="1" applyFont="1" applyAlignment="1">
      <alignment horizontal="center" vertical="center"/>
    </xf>
    <xf numFmtId="0" fontId="13" fillId="27" borderId="56" xfId="0" applyNumberFormat="1" applyFont="1" applyFill="1" applyBorder="1">
      <alignment vertical="center"/>
    </xf>
    <xf numFmtId="0" fontId="13" fillId="30" borderId="56" xfId="239" applyNumberFormat="1" applyFont="1" applyFill="1" applyBorder="1" applyAlignment="1" applyProtection="1">
      <alignment horizontal="center" vertical="center" wrapText="1"/>
      <protection locked="0"/>
    </xf>
    <xf numFmtId="0" fontId="13" fillId="27" borderId="0" xfId="0" applyNumberFormat="1" applyFont="1" applyFill="1" applyBorder="1">
      <alignment vertical="center"/>
    </xf>
    <xf numFmtId="0" fontId="17" fillId="0" borderId="0" xfId="58" applyNumberFormat="1" applyFont="1" applyFill="1" applyBorder="1" applyAlignment="1">
      <alignment horizontal="center" vertical="center"/>
    </xf>
    <xf numFmtId="0" fontId="17" fillId="0" borderId="0" xfId="127" applyNumberFormat="1" applyFont="1" applyFill="1" applyBorder="1" applyAlignment="1">
      <alignment horizontal="center" vertical="center"/>
    </xf>
    <xf numFmtId="0" fontId="17" fillId="0" borderId="1" xfId="0" applyNumberFormat="1" applyFont="1" applyFill="1" applyBorder="1">
      <alignment vertical="center"/>
    </xf>
    <xf numFmtId="0" fontId="13" fillId="0" borderId="237" xfId="486" applyNumberFormat="1" applyFont="1" applyFill="1" applyBorder="1" applyAlignment="1">
      <alignment vertical="center"/>
    </xf>
    <xf numFmtId="0" fontId="13" fillId="0" borderId="0" xfId="486" applyNumberFormat="1" applyFont="1" applyFill="1" applyBorder="1" applyAlignment="1">
      <alignment vertical="center"/>
    </xf>
    <xf numFmtId="0" fontId="17" fillId="0" borderId="0" xfId="0" applyNumberFormat="1" applyFont="1" applyFill="1" applyBorder="1">
      <alignment vertical="center"/>
    </xf>
    <xf numFmtId="0" fontId="17" fillId="0" borderId="1" xfId="0" applyNumberFormat="1" applyFont="1" applyBorder="1">
      <alignment vertical="center"/>
    </xf>
    <xf numFmtId="0" fontId="17" fillId="0" borderId="0" xfId="0" applyNumberFormat="1" applyFont="1" applyBorder="1">
      <alignment vertical="center"/>
    </xf>
    <xf numFmtId="0" fontId="17" fillId="0" borderId="236" xfId="0" applyNumberFormat="1" applyFont="1" applyBorder="1">
      <alignment vertical="center"/>
    </xf>
    <xf numFmtId="0" fontId="13" fillId="0" borderId="0" xfId="0" applyNumberFormat="1" applyFont="1" applyBorder="1" applyAlignment="1">
      <alignment vertical="center"/>
    </xf>
    <xf numFmtId="0" fontId="17" fillId="42" borderId="236" xfId="0" applyNumberFormat="1" applyFont="1" applyFill="1" applyBorder="1">
      <alignment vertical="center"/>
    </xf>
    <xf numFmtId="0" fontId="17" fillId="42" borderId="0" xfId="0" applyNumberFormat="1" applyFont="1" applyFill="1" applyBorder="1">
      <alignment vertical="center"/>
    </xf>
    <xf numFmtId="0" fontId="18" fillId="0" borderId="0" xfId="58" applyNumberFormat="1" applyFont="1" applyFill="1" applyBorder="1" applyAlignment="1">
      <alignment horizontal="right" vertical="center" shrinkToFit="1"/>
    </xf>
    <xf numFmtId="0" fontId="17" fillId="42" borderId="1" xfId="0" applyNumberFormat="1" applyFont="1" applyFill="1" applyBorder="1">
      <alignment vertical="center"/>
    </xf>
    <xf numFmtId="0" fontId="17" fillId="0" borderId="0" xfId="58" applyNumberFormat="1" applyFont="1" applyBorder="1" applyAlignment="1">
      <alignment horizontal="center" vertical="center"/>
    </xf>
    <xf numFmtId="0" fontId="13" fillId="0" borderId="0" xfId="0" applyNumberFormat="1" applyFont="1" applyBorder="1" applyAlignment="1">
      <alignment horizontal="left" vertical="center"/>
    </xf>
    <xf numFmtId="0" fontId="13" fillId="0" borderId="0" xfId="58" applyNumberFormat="1" applyFont="1" applyBorder="1">
      <alignment vertical="center"/>
    </xf>
    <xf numFmtId="0" fontId="17" fillId="0" borderId="0" xfId="127" applyNumberFormat="1" applyFont="1" applyFill="1" applyAlignment="1">
      <alignment horizontal="center" vertical="center"/>
    </xf>
    <xf numFmtId="0" fontId="17" fillId="42" borderId="155" xfId="0" applyNumberFormat="1" applyFont="1" applyFill="1" applyBorder="1">
      <alignment vertical="center"/>
    </xf>
    <xf numFmtId="0" fontId="13" fillId="27" borderId="42" xfId="127" applyNumberFormat="1" applyFont="1" applyFill="1" applyBorder="1" applyAlignment="1" applyProtection="1">
      <alignment horizontal="center" vertical="center"/>
      <protection locked="0"/>
    </xf>
    <xf numFmtId="0" fontId="13" fillId="27" borderId="0" xfId="127" applyNumberFormat="1" applyFont="1" applyFill="1" applyBorder="1" applyAlignment="1" applyProtection="1">
      <alignment horizontal="center" vertical="center"/>
      <protection locked="0"/>
    </xf>
    <xf numFmtId="0" fontId="17" fillId="0" borderId="155" xfId="0" applyNumberFormat="1" applyFont="1" applyBorder="1">
      <alignment vertical="center"/>
    </xf>
    <xf numFmtId="0" fontId="13" fillId="0" borderId="0" xfId="58" applyNumberFormat="1" applyFont="1" applyFill="1" applyBorder="1" applyAlignment="1" applyProtection="1">
      <alignment horizontal="center" vertical="center"/>
      <protection locked="0"/>
    </xf>
    <xf numFmtId="0" fontId="13" fillId="0" borderId="0" xfId="239" applyNumberFormat="1" applyFont="1" applyFill="1" applyBorder="1" applyAlignment="1" applyProtection="1">
      <alignment horizontal="center" vertical="center"/>
      <protection locked="0"/>
    </xf>
    <xf numFmtId="0" fontId="13" fillId="0" borderId="0" xfId="58" applyNumberFormat="1" applyFont="1" applyFill="1" applyBorder="1" applyAlignment="1" applyProtection="1">
      <alignment horizontal="left" vertical="center"/>
      <protection locked="0"/>
    </xf>
    <xf numFmtId="0" fontId="13" fillId="0" borderId="0" xfId="0" applyNumberFormat="1" applyFont="1" applyFill="1" applyBorder="1">
      <alignment vertical="center"/>
    </xf>
    <xf numFmtId="0" fontId="17" fillId="0" borderId="155" xfId="0" applyNumberFormat="1" applyFont="1" applyFill="1" applyBorder="1">
      <alignment vertical="center"/>
    </xf>
    <xf numFmtId="0" fontId="13" fillId="30" borderId="56" xfId="58" applyNumberFormat="1" applyFont="1" applyFill="1" applyBorder="1" applyAlignment="1" applyProtection="1">
      <alignment horizontal="center" vertical="center" wrapText="1"/>
      <protection locked="0"/>
    </xf>
    <xf numFmtId="0" fontId="216" fillId="30" borderId="56" xfId="58" applyNumberFormat="1" applyFont="1" applyFill="1" applyBorder="1" applyAlignment="1" applyProtection="1">
      <alignment horizontal="center" vertical="center" wrapText="1"/>
      <protection locked="0"/>
    </xf>
    <xf numFmtId="0" fontId="13" fillId="30" borderId="219" xfId="58" applyNumberFormat="1" applyFont="1" applyFill="1" applyBorder="1" applyAlignment="1" applyProtection="1">
      <alignment horizontal="center" vertical="center" wrapText="1"/>
      <protection locked="0"/>
    </xf>
    <xf numFmtId="0" fontId="13" fillId="30" borderId="56" xfId="127" applyNumberFormat="1" applyFont="1" applyFill="1" applyBorder="1" applyAlignment="1" applyProtection="1">
      <alignment horizontal="center" vertical="center" wrapText="1"/>
      <protection locked="0"/>
    </xf>
    <xf numFmtId="0" fontId="13" fillId="36" borderId="165" xfId="58" applyNumberFormat="1" applyFont="1" applyFill="1" applyBorder="1" applyAlignment="1" applyProtection="1">
      <alignment horizontal="center" vertical="center" wrapText="1"/>
      <protection locked="0"/>
    </xf>
    <xf numFmtId="0" fontId="13" fillId="36" borderId="56" xfId="58" applyNumberFormat="1" applyFont="1" applyFill="1" applyBorder="1" applyAlignment="1" applyProtection="1">
      <alignment horizontal="center" vertical="center" wrapText="1"/>
      <protection locked="0"/>
    </xf>
    <xf numFmtId="0" fontId="13" fillId="36" borderId="56" xfId="127" applyNumberFormat="1" applyFont="1" applyFill="1" applyBorder="1" applyAlignment="1" applyProtection="1">
      <alignment horizontal="center" vertical="center" wrapText="1"/>
      <protection locked="0"/>
    </xf>
    <xf numFmtId="0" fontId="13" fillId="43" borderId="56" xfId="127" applyNumberFormat="1" applyFont="1" applyFill="1" applyBorder="1" applyAlignment="1" applyProtection="1">
      <alignment horizontal="center" vertical="center" wrapText="1"/>
      <protection locked="0"/>
    </xf>
    <xf numFmtId="0" fontId="13" fillId="43" borderId="219" xfId="127" applyNumberFormat="1" applyFont="1" applyFill="1" applyBorder="1" applyAlignment="1" applyProtection="1">
      <alignment horizontal="center" vertical="center" wrapText="1"/>
      <protection locked="0"/>
    </xf>
    <xf numFmtId="0" fontId="13" fillId="43" borderId="219" xfId="239" applyNumberFormat="1" applyFont="1" applyFill="1" applyBorder="1" applyAlignment="1" applyProtection="1">
      <alignment horizontal="center" vertical="center" wrapText="1"/>
      <protection locked="0"/>
    </xf>
    <xf numFmtId="0" fontId="13" fillId="0" borderId="237" xfId="0" applyNumberFormat="1" applyFont="1" applyFill="1" applyBorder="1" applyAlignment="1">
      <alignment horizontal="center" vertical="center"/>
    </xf>
    <xf numFmtId="0" fontId="13" fillId="0" borderId="237" xfId="0" applyNumberFormat="1" applyFont="1" applyFill="1" applyBorder="1" applyAlignment="1"/>
    <xf numFmtId="0" fontId="18" fillId="0" borderId="237" xfId="475" applyNumberFormat="1" applyFont="1" applyFill="1" applyBorder="1" applyAlignment="1">
      <alignment horizontal="center" vertical="center" shrinkToFit="1"/>
    </xf>
    <xf numFmtId="0" fontId="18" fillId="0" borderId="237" xfId="475" applyNumberFormat="1" applyFont="1" applyFill="1" applyBorder="1" applyAlignment="1">
      <alignment horizontal="right" vertical="center" shrinkToFit="1"/>
    </xf>
    <xf numFmtId="0" fontId="18" fillId="0" borderId="200" xfId="58" applyNumberFormat="1" applyFont="1" applyFill="1" applyBorder="1" applyAlignment="1">
      <alignment horizontal="center" vertical="center" shrinkToFit="1"/>
    </xf>
    <xf numFmtId="0" fontId="13" fillId="0" borderId="11" xfId="127" applyNumberFormat="1" applyFont="1" applyFill="1" applyBorder="1">
      <alignment vertical="center"/>
    </xf>
    <xf numFmtId="0" fontId="18" fillId="0" borderId="178" xfId="121" applyNumberFormat="1" applyFont="1" applyFill="1" applyBorder="1" applyAlignment="1">
      <alignment vertical="center"/>
    </xf>
    <xf numFmtId="0" fontId="13" fillId="0" borderId="163" xfId="58" applyNumberFormat="1" applyFont="1" applyFill="1" applyBorder="1" applyAlignment="1">
      <alignment vertical="center"/>
    </xf>
    <xf numFmtId="0" fontId="13" fillId="0" borderId="11" xfId="58" applyNumberFormat="1" applyFont="1" applyFill="1" applyBorder="1" applyAlignment="1">
      <alignment vertical="center"/>
    </xf>
    <xf numFmtId="0" fontId="13" fillId="0" borderId="237" xfId="58" applyNumberFormat="1" applyFont="1" applyFill="1" applyBorder="1" applyAlignment="1">
      <alignment vertical="center"/>
    </xf>
    <xf numFmtId="0" fontId="13" fillId="0" borderId="11" xfId="58" applyNumberFormat="1" applyFont="1" applyFill="1" applyBorder="1" applyAlignment="1">
      <alignment horizontal="right" vertical="center"/>
    </xf>
    <xf numFmtId="0" fontId="13" fillId="0" borderId="11" xfId="68" applyNumberFormat="1" applyFont="1" applyFill="1" applyBorder="1" applyAlignment="1">
      <alignment vertical="center"/>
    </xf>
    <xf numFmtId="0" fontId="13" fillId="0" borderId="200" xfId="68" applyNumberFormat="1" applyFont="1" applyFill="1" applyBorder="1" applyAlignment="1">
      <alignment vertical="center"/>
    </xf>
    <xf numFmtId="0" fontId="13" fillId="0" borderId="237" xfId="68" applyNumberFormat="1" applyFont="1" applyFill="1" applyBorder="1" applyAlignment="1">
      <alignment vertical="center"/>
    </xf>
    <xf numFmtId="0" fontId="18" fillId="0" borderId="237" xfId="121" applyNumberFormat="1" applyFont="1" applyFill="1" applyBorder="1" applyAlignment="1">
      <alignment horizontal="center" vertical="center" shrinkToFit="1"/>
    </xf>
    <xf numFmtId="0" fontId="18" fillId="0" borderId="181" xfId="58" applyNumberFormat="1" applyFont="1" applyFill="1" applyBorder="1" applyAlignment="1">
      <alignment vertical="center"/>
    </xf>
    <xf numFmtId="0" fontId="18" fillId="0" borderId="11" xfId="121" applyNumberFormat="1" applyFont="1" applyFill="1" applyBorder="1" applyAlignment="1">
      <alignment horizontal="center" vertical="center" shrinkToFit="1"/>
    </xf>
    <xf numFmtId="0" fontId="18" fillId="0" borderId="11" xfId="58" applyNumberFormat="1" applyFont="1" applyFill="1" applyBorder="1" applyAlignment="1">
      <alignment horizontal="right" vertical="center" shrinkToFit="1"/>
    </xf>
    <xf numFmtId="0" fontId="18" fillId="0" borderId="237" xfId="58" applyNumberFormat="1" applyFont="1" applyFill="1" applyBorder="1" applyAlignment="1">
      <alignment horizontal="right" vertical="center" shrinkToFit="1"/>
    </xf>
    <xf numFmtId="0" fontId="18" fillId="0" borderId="11" xfId="58" applyNumberFormat="1" applyFont="1" applyFill="1" applyBorder="1" applyAlignment="1">
      <alignment horizontal="center" vertical="center" shrinkToFit="1"/>
    </xf>
    <xf numFmtId="0" fontId="13" fillId="0" borderId="161" xfId="0" applyNumberFormat="1" applyFont="1" applyBorder="1" applyAlignment="1">
      <alignment vertical="center"/>
    </xf>
    <xf numFmtId="0" fontId="13" fillId="0" borderId="0" xfId="0" applyNumberFormat="1" applyFont="1">
      <alignment vertical="center"/>
    </xf>
    <xf numFmtId="0" fontId="13" fillId="0" borderId="11" xfId="58" applyNumberFormat="1" applyFont="1" applyFill="1" applyBorder="1" applyAlignment="1">
      <alignment horizontal="center" vertical="center"/>
    </xf>
    <xf numFmtId="0" fontId="13" fillId="0" borderId="11" xfId="58" applyNumberFormat="1" applyFont="1" applyBorder="1">
      <alignment vertical="center"/>
    </xf>
    <xf numFmtId="0" fontId="13" fillId="0" borderId="0" xfId="0" applyNumberFormat="1" applyFont="1" applyBorder="1">
      <alignment vertical="center"/>
    </xf>
    <xf numFmtId="207" fontId="13" fillId="0" borderId="237" xfId="1973" applyNumberFormat="1" applyFont="1" applyBorder="1"/>
    <xf numFmtId="0" fontId="13" fillId="0" borderId="237" xfId="58" applyNumberFormat="1" applyFont="1" applyBorder="1">
      <alignment vertical="center"/>
    </xf>
    <xf numFmtId="0" fontId="218" fillId="0" borderId="0" xfId="0" applyNumberFormat="1" applyFont="1">
      <alignment vertical="center"/>
    </xf>
    <xf numFmtId="0" fontId="13" fillId="0" borderId="237" xfId="2342" applyNumberFormat="1" applyFont="1" applyBorder="1"/>
    <xf numFmtId="207" fontId="13" fillId="0" borderId="237" xfId="2210" applyNumberFormat="1" applyFont="1" applyBorder="1"/>
    <xf numFmtId="230" fontId="13" fillId="0" borderId="237" xfId="2210" applyNumberFormat="1" applyFont="1" applyBorder="1"/>
    <xf numFmtId="40" fontId="0" fillId="0" borderId="218" xfId="70" applyNumberFormat="1" applyFont="1" applyFill="1" applyBorder="1" applyAlignment="1">
      <alignment horizontal="center" vertical="center"/>
    </xf>
    <xf numFmtId="40" fontId="0" fillId="0" borderId="178" xfId="70" applyNumberFormat="1" applyFont="1" applyFill="1" applyBorder="1" applyAlignment="1">
      <alignment horizontal="center" vertical="center"/>
    </xf>
    <xf numFmtId="38" fontId="218" fillId="0" borderId="0" xfId="0" applyNumberFormat="1" applyFont="1">
      <alignment vertical="center"/>
    </xf>
    <xf numFmtId="232" fontId="0" fillId="0" borderId="218" xfId="70" applyNumberFormat="1" applyFont="1" applyFill="1" applyBorder="1" applyAlignment="1">
      <alignment horizontal="center" vertical="center"/>
    </xf>
    <xf numFmtId="232" fontId="0" fillId="0" borderId="225" xfId="70" applyNumberFormat="1" applyFont="1" applyFill="1" applyBorder="1" applyAlignment="1">
      <alignment horizontal="center" vertical="center"/>
    </xf>
    <xf numFmtId="227" fontId="9" fillId="42" borderId="237" xfId="619" applyFont="1" applyFill="1" applyBorder="1" applyAlignment="1">
      <alignment horizontal="center" vertical="center"/>
    </xf>
    <xf numFmtId="43" fontId="18" fillId="0" borderId="237" xfId="58" applyFont="1" applyFill="1" applyBorder="1" applyAlignment="1">
      <alignment horizontal="right" vertical="center" shrinkToFit="1"/>
    </xf>
    <xf numFmtId="43" fontId="13" fillId="0" borderId="163" xfId="58" applyFont="1" applyFill="1" applyBorder="1" applyAlignment="1">
      <alignment vertical="center"/>
    </xf>
    <xf numFmtId="233" fontId="0" fillId="0" borderId="218" xfId="58" applyNumberFormat="1" applyFont="1" applyFill="1" applyBorder="1" applyAlignment="1">
      <alignment horizontal="center" vertical="center"/>
    </xf>
    <xf numFmtId="233" fontId="0" fillId="0" borderId="214" xfId="58" applyNumberFormat="1" applyFont="1" applyFill="1" applyBorder="1" applyAlignment="1">
      <alignment horizontal="center" vertical="center"/>
    </xf>
    <xf numFmtId="0" fontId="13" fillId="0" borderId="237" xfId="2343" applyNumberFormat="1" applyFont="1" applyBorder="1"/>
    <xf numFmtId="38" fontId="0" fillId="0" borderId="237" xfId="119" applyNumberFormat="1" applyFont="1" applyFill="1" applyBorder="1" applyAlignment="1">
      <alignment horizontal="center" vertical="center"/>
    </xf>
    <xf numFmtId="43" fontId="209" fillId="45" borderId="237" xfId="58" applyFont="1" applyFill="1" applyBorder="1" applyAlignment="1"/>
    <xf numFmtId="229" fontId="13" fillId="0" borderId="237" xfId="2345" applyFont="1" applyFill="1" applyBorder="1"/>
    <xf numFmtId="207" fontId="13" fillId="0" borderId="237" xfId="2345" applyNumberFormat="1" applyFont="1" applyBorder="1"/>
    <xf numFmtId="183" fontId="13" fillId="0" borderId="237" xfId="2347" applyNumberFormat="1" applyFont="1" applyBorder="1" applyAlignment="1">
      <alignment horizontal="right"/>
    </xf>
    <xf numFmtId="43" fontId="13" fillId="0" borderId="163" xfId="58" applyNumberFormat="1" applyFont="1" applyFill="1" applyBorder="1" applyAlignment="1">
      <alignment vertical="center"/>
    </xf>
    <xf numFmtId="234" fontId="0" fillId="0" borderId="0" xfId="0" applyNumberFormat="1">
      <alignment vertical="center"/>
    </xf>
    <xf numFmtId="234" fontId="0" fillId="0" borderId="0" xfId="475" applyNumberFormat="1" applyFont="1">
      <alignment vertical="center"/>
    </xf>
    <xf numFmtId="183" fontId="0" fillId="0" borderId="0" xfId="475" applyNumberFormat="1" applyFont="1">
      <alignment vertical="center"/>
    </xf>
    <xf numFmtId="43" fontId="0" fillId="0" borderId="0" xfId="475" applyFont="1">
      <alignment vertical="center"/>
    </xf>
    <xf numFmtId="43" fontId="0" fillId="0" borderId="0" xfId="475" applyNumberFormat="1" applyFont="1">
      <alignment vertical="center"/>
    </xf>
    <xf numFmtId="227" fontId="23" fillId="56" borderId="237" xfId="0" applyFont="1" applyFill="1" applyBorder="1" applyAlignment="1">
      <alignment horizontal="center" vertical="center"/>
    </xf>
    <xf numFmtId="234" fontId="23" fillId="56" borderId="237" xfId="0" applyNumberFormat="1" applyFont="1" applyFill="1" applyBorder="1" applyAlignment="1">
      <alignment horizontal="center" vertical="center"/>
    </xf>
    <xf numFmtId="234" fontId="23" fillId="56" borderId="237" xfId="475" applyNumberFormat="1" applyFont="1" applyFill="1" applyBorder="1" applyAlignment="1">
      <alignment horizontal="center" vertical="center"/>
    </xf>
    <xf numFmtId="227" fontId="0" fillId="0" borderId="237" xfId="0" applyNumberFormat="1" applyBorder="1" applyAlignment="1">
      <alignment horizontal="center" vertical="center"/>
    </xf>
    <xf numFmtId="1" fontId="0" fillId="0" borderId="237" xfId="58" applyNumberFormat="1" applyFont="1" applyBorder="1" applyAlignment="1">
      <alignment horizontal="center" vertical="center"/>
    </xf>
    <xf numFmtId="0" fontId="9" fillId="0" borderId="158" xfId="127" applyNumberFormat="1" applyFont="1" applyFill="1" applyBorder="1" applyAlignment="1">
      <alignment horizontal="center" vertical="center"/>
    </xf>
    <xf numFmtId="43" fontId="0" fillId="0" borderId="250" xfId="486" applyNumberFormat="1" applyFont="1" applyFill="1" applyBorder="1">
      <alignment vertical="center"/>
    </xf>
    <xf numFmtId="181" fontId="13" fillId="0" borderId="11" xfId="127" applyNumberFormat="1" applyFont="1" applyFill="1" applyBorder="1">
      <alignment vertical="center"/>
    </xf>
    <xf numFmtId="227" fontId="45" fillId="36" borderId="39" xfId="119" applyFont="1" applyFill="1" applyBorder="1" applyAlignment="1">
      <alignment horizontal="center" vertical="center"/>
    </xf>
    <xf numFmtId="227" fontId="45" fillId="36" borderId="9" xfId="119" applyFont="1" applyFill="1" applyBorder="1" applyAlignment="1">
      <alignment horizontal="center" vertical="center"/>
    </xf>
    <xf numFmtId="227" fontId="45" fillId="36" borderId="28" xfId="119" applyFont="1" applyFill="1" applyBorder="1" applyAlignment="1">
      <alignment horizontal="center" vertical="center"/>
    </xf>
    <xf numFmtId="227" fontId="45" fillId="0" borderId="9" xfId="119" applyFont="1" applyFill="1" applyBorder="1" applyAlignment="1">
      <alignment horizontal="center" vertical="center"/>
    </xf>
    <xf numFmtId="227" fontId="45" fillId="0" borderId="28" xfId="119" applyFont="1" applyFill="1" applyBorder="1" applyAlignment="1">
      <alignment horizontal="center" vertical="center"/>
    </xf>
    <xf numFmtId="227" fontId="45" fillId="37" borderId="39" xfId="119" applyFont="1" applyFill="1" applyBorder="1" applyAlignment="1">
      <alignment horizontal="center" vertical="center"/>
    </xf>
    <xf numFmtId="227" fontId="45" fillId="37" borderId="28" xfId="119" applyFont="1" applyFill="1" applyBorder="1" applyAlignment="1">
      <alignment horizontal="center" vertical="center"/>
    </xf>
    <xf numFmtId="227" fontId="45" fillId="0" borderId="25" xfId="119" applyFont="1" applyFill="1" applyBorder="1" applyAlignment="1">
      <alignment horizontal="center" vertical="center"/>
    </xf>
    <xf numFmtId="227" fontId="45" fillId="0" borderId="27" xfId="119" applyFont="1" applyFill="1" applyBorder="1" applyAlignment="1">
      <alignment horizontal="center" vertical="center"/>
    </xf>
    <xf numFmtId="227" fontId="45" fillId="0" borderId="39" xfId="119" applyFont="1" applyFill="1" applyBorder="1" applyAlignment="1">
      <alignment horizontal="center" vertical="center"/>
    </xf>
    <xf numFmtId="227" fontId="140" fillId="0" borderId="25" xfId="119" applyFont="1" applyFill="1" applyBorder="1" applyAlignment="1">
      <alignment horizontal="center" vertical="center"/>
    </xf>
    <xf numFmtId="227" fontId="140" fillId="0" borderId="27" xfId="119" applyFont="1" applyFill="1" applyBorder="1" applyAlignment="1">
      <alignment horizontal="center" vertical="center"/>
    </xf>
    <xf numFmtId="227" fontId="140" fillId="0" borderId="22" xfId="119" applyFont="1" applyFill="1" applyBorder="1" applyAlignment="1">
      <alignment horizontal="center" vertical="center"/>
    </xf>
    <xf numFmtId="227" fontId="140" fillId="0" borderId="24" xfId="119" applyFont="1" applyFill="1" applyBorder="1" applyAlignment="1">
      <alignment horizontal="center" vertical="center"/>
    </xf>
    <xf numFmtId="179" fontId="140" fillId="0" borderId="25" xfId="248" applyFont="1" applyFill="1" applyBorder="1" applyAlignment="1">
      <alignment horizontal="center" vertical="center"/>
    </xf>
    <xf numFmtId="179" fontId="140" fillId="0" borderId="26" xfId="248" applyFont="1" applyFill="1" applyBorder="1" applyAlignment="1">
      <alignment horizontal="center" vertical="center"/>
    </xf>
    <xf numFmtId="179" fontId="140" fillId="0" borderId="27" xfId="248" applyFont="1" applyFill="1" applyBorder="1" applyAlignment="1">
      <alignment horizontal="center" vertical="center"/>
    </xf>
    <xf numFmtId="179" fontId="140" fillId="0" borderId="22" xfId="248" applyFont="1" applyFill="1" applyBorder="1" applyAlignment="1">
      <alignment horizontal="center" vertical="center"/>
    </xf>
    <xf numFmtId="179" fontId="140" fillId="0" borderId="23" xfId="248" applyFont="1" applyFill="1" applyBorder="1" applyAlignment="1">
      <alignment horizontal="center" vertical="center"/>
    </xf>
    <xf numFmtId="179" fontId="140" fillId="0" borderId="24" xfId="248" applyFont="1" applyFill="1" applyBorder="1" applyAlignment="1">
      <alignment horizontal="center" vertical="center"/>
    </xf>
    <xf numFmtId="198" fontId="55" fillId="0" borderId="25" xfId="127" applyNumberFormat="1" applyFont="1" applyBorder="1" applyAlignment="1" applyProtection="1">
      <alignment horizontal="center" vertical="center"/>
    </xf>
    <xf numFmtId="198" fontId="55" fillId="0" borderId="26" xfId="127" applyNumberFormat="1" applyFont="1" applyBorder="1" applyAlignment="1" applyProtection="1">
      <alignment horizontal="center" vertical="center"/>
    </xf>
    <xf numFmtId="198" fontId="55" fillId="0" borderId="27" xfId="127" applyNumberFormat="1" applyFont="1" applyBorder="1" applyAlignment="1" applyProtection="1">
      <alignment horizontal="center" vertical="center"/>
    </xf>
    <xf numFmtId="198" fontId="55" fillId="0" borderId="22" xfId="127" applyNumberFormat="1" applyFont="1" applyBorder="1" applyAlignment="1" applyProtection="1">
      <alignment horizontal="center" vertical="center"/>
    </xf>
    <xf numFmtId="198" fontId="55" fillId="0" borderId="23" xfId="127" applyNumberFormat="1" applyFont="1" applyBorder="1" applyAlignment="1" applyProtection="1">
      <alignment horizontal="center" vertical="center"/>
    </xf>
    <xf numFmtId="198" fontId="55" fillId="0" borderId="24" xfId="127" applyNumberFormat="1" applyFont="1" applyBorder="1" applyAlignment="1" applyProtection="1">
      <alignment horizontal="center" vertical="center"/>
    </xf>
    <xf numFmtId="179" fontId="23" fillId="36" borderId="25" xfId="248" applyFont="1" applyFill="1" applyBorder="1" applyAlignment="1" applyProtection="1">
      <alignment horizontal="center" vertical="center"/>
    </xf>
    <xf numFmtId="179" fontId="23" fillId="36" borderId="26" xfId="248" applyFont="1" applyFill="1" applyBorder="1" applyAlignment="1" applyProtection="1">
      <alignment horizontal="center" vertical="center"/>
    </xf>
    <xf numFmtId="179" fontId="23" fillId="36" borderId="27" xfId="248" applyFont="1" applyFill="1" applyBorder="1" applyAlignment="1" applyProtection="1">
      <alignment horizontal="center" vertical="center"/>
    </xf>
    <xf numFmtId="179" fontId="23" fillId="36" borderId="22" xfId="248" applyFont="1" applyFill="1" applyBorder="1" applyAlignment="1" applyProtection="1">
      <alignment horizontal="center" vertical="center"/>
    </xf>
    <xf numFmtId="179" fontId="23" fillId="36" borderId="23" xfId="248" applyFont="1" applyFill="1" applyBorder="1" applyAlignment="1" applyProtection="1">
      <alignment horizontal="center" vertical="center"/>
    </xf>
    <xf numFmtId="179" fontId="23" fillId="36" borderId="24" xfId="248" applyFont="1" applyFill="1" applyBorder="1" applyAlignment="1" applyProtection="1">
      <alignment horizontal="center" vertical="center"/>
    </xf>
    <xf numFmtId="198" fontId="55" fillId="42" borderId="25" xfId="127" applyNumberFormat="1" applyFont="1" applyFill="1" applyBorder="1" applyAlignment="1" applyProtection="1">
      <alignment horizontal="center" vertical="center"/>
    </xf>
    <xf numFmtId="198" fontId="55" fillId="42" borderId="26" xfId="127" applyNumberFormat="1" applyFont="1" applyFill="1" applyBorder="1" applyAlignment="1" applyProtection="1">
      <alignment horizontal="center" vertical="center"/>
    </xf>
    <xf numFmtId="198" fontId="55" fillId="42" borderId="27" xfId="127" applyNumberFormat="1" applyFont="1" applyFill="1" applyBorder="1" applyAlignment="1" applyProtection="1">
      <alignment horizontal="center" vertical="center"/>
    </xf>
    <xf numFmtId="198" fontId="55" fillId="42" borderId="22" xfId="127" applyNumberFormat="1" applyFont="1" applyFill="1" applyBorder="1" applyAlignment="1" applyProtection="1">
      <alignment horizontal="center" vertical="center"/>
    </xf>
    <xf numFmtId="198" fontId="55" fillId="42" borderId="23" xfId="127" applyNumberFormat="1" applyFont="1" applyFill="1" applyBorder="1" applyAlignment="1" applyProtection="1">
      <alignment horizontal="center" vertical="center"/>
    </xf>
    <xf numFmtId="198" fontId="55" fillId="42" borderId="24" xfId="127" applyNumberFormat="1" applyFont="1" applyFill="1" applyBorder="1" applyAlignment="1" applyProtection="1">
      <alignment horizontal="center" vertical="center"/>
    </xf>
    <xf numFmtId="198" fontId="55" fillId="43" borderId="25" xfId="127" applyNumberFormat="1" applyFont="1" applyFill="1" applyBorder="1" applyAlignment="1" applyProtection="1">
      <alignment horizontal="center" vertical="center"/>
    </xf>
    <xf numFmtId="198" fontId="55" fillId="43" borderId="26" xfId="127" applyNumberFormat="1" applyFont="1" applyFill="1" applyBorder="1" applyAlignment="1" applyProtection="1">
      <alignment horizontal="center" vertical="center"/>
    </xf>
    <xf numFmtId="198" fontId="55" fillId="43" borderId="27" xfId="127" applyNumberFormat="1" applyFont="1" applyFill="1" applyBorder="1" applyAlignment="1" applyProtection="1">
      <alignment horizontal="center" vertical="center"/>
    </xf>
    <xf numFmtId="198" fontId="55" fillId="43" borderId="22" xfId="127" applyNumberFormat="1" applyFont="1" applyFill="1" applyBorder="1" applyAlignment="1" applyProtection="1">
      <alignment horizontal="center" vertical="center"/>
    </xf>
    <xf numFmtId="198" fontId="55" fillId="43" borderId="23" xfId="127" applyNumberFormat="1" applyFont="1" applyFill="1" applyBorder="1" applyAlignment="1" applyProtection="1">
      <alignment horizontal="center" vertical="center"/>
    </xf>
    <xf numFmtId="198" fontId="55" fillId="43" borderId="24" xfId="127" applyNumberFormat="1" applyFont="1" applyFill="1" applyBorder="1" applyAlignment="1" applyProtection="1">
      <alignment horizontal="center" vertical="center"/>
    </xf>
    <xf numFmtId="227" fontId="23" fillId="0" borderId="131" xfId="0" applyFont="1" applyFill="1" applyBorder="1" applyAlignment="1">
      <alignment horizontal="center" vertical="center"/>
    </xf>
    <xf numFmtId="227" fontId="23" fillId="0" borderId="57" xfId="0" applyFont="1" applyFill="1" applyBorder="1" applyAlignment="1">
      <alignment horizontal="center" vertical="center"/>
    </xf>
    <xf numFmtId="227" fontId="0" fillId="42" borderId="175" xfId="0" applyFont="1" applyFill="1" applyBorder="1" applyAlignment="1">
      <alignment horizontal="left" vertical="center" wrapText="1"/>
    </xf>
    <xf numFmtId="227" fontId="0" fillId="42" borderId="173" xfId="0" applyFont="1" applyFill="1" applyBorder="1" applyAlignment="1">
      <alignment horizontal="left" vertical="center" wrapText="1"/>
    </xf>
    <xf numFmtId="227" fontId="0" fillId="42" borderId="231" xfId="0" applyFont="1" applyFill="1" applyBorder="1" applyAlignment="1">
      <alignment horizontal="left" vertical="center" wrapText="1"/>
    </xf>
    <xf numFmtId="227" fontId="0" fillId="42" borderId="163" xfId="0" applyFont="1" applyFill="1" applyBorder="1" applyAlignment="1">
      <alignment horizontal="left" vertical="center" wrapText="1"/>
    </xf>
    <xf numFmtId="227" fontId="0" fillId="0" borderId="175" xfId="0" applyFont="1" applyBorder="1" applyAlignment="1">
      <alignment horizontal="center" vertical="center" wrapText="1"/>
    </xf>
    <xf numFmtId="227" fontId="0" fillId="0" borderId="173" xfId="0" applyFont="1" applyBorder="1" applyAlignment="1">
      <alignment horizontal="center" vertical="center" wrapText="1"/>
    </xf>
    <xf numFmtId="227" fontId="0" fillId="0" borderId="173" xfId="0" applyFont="1" applyBorder="1" applyAlignment="1">
      <alignment horizontal="center" vertical="center"/>
    </xf>
    <xf numFmtId="227" fontId="0" fillId="0" borderId="231" xfId="0" applyFont="1" applyBorder="1" applyAlignment="1">
      <alignment horizontal="center" vertical="center"/>
    </xf>
    <xf numFmtId="227" fontId="0" fillId="0" borderId="163" xfId="0" applyFont="1" applyBorder="1" applyAlignment="1">
      <alignment horizontal="center" vertical="center"/>
    </xf>
    <xf numFmtId="227" fontId="178" fillId="52" borderId="201" xfId="1570" applyFont="1" applyFill="1" applyBorder="1" applyAlignment="1">
      <alignment horizontal="center" vertical="center"/>
    </xf>
    <xf numFmtId="227" fontId="178" fillId="52" borderId="202" xfId="1570" applyFont="1" applyFill="1" applyBorder="1" applyAlignment="1">
      <alignment horizontal="center" vertical="center"/>
    </xf>
    <xf numFmtId="227" fontId="178" fillId="57" borderId="201" xfId="1570" applyFont="1" applyFill="1" applyBorder="1" applyAlignment="1">
      <alignment horizontal="center" vertical="center"/>
    </xf>
    <xf numFmtId="227" fontId="178" fillId="57" borderId="202" xfId="1570" applyFont="1" applyFill="1" applyBorder="1" applyAlignment="1">
      <alignment horizontal="center" vertical="center"/>
    </xf>
    <xf numFmtId="227" fontId="178" fillId="57" borderId="193" xfId="1570" applyFont="1" applyFill="1" applyBorder="1" applyAlignment="1">
      <alignment horizontal="center" vertical="center"/>
    </xf>
    <xf numFmtId="227" fontId="178" fillId="57" borderId="54" xfId="1570" applyFont="1" applyFill="1" applyBorder="1" applyAlignment="1">
      <alignment horizontal="center" vertical="center"/>
    </xf>
    <xf numFmtId="227" fontId="178" fillId="57" borderId="200" xfId="1570" applyFont="1" applyFill="1" applyBorder="1" applyAlignment="1">
      <alignment horizontal="center" vertical="center"/>
    </xf>
    <xf numFmtId="227" fontId="178" fillId="57" borderId="200" xfId="1570" applyFont="1" applyFill="1" applyBorder="1" applyAlignment="1">
      <alignment horizontal="center" vertical="center" wrapText="1"/>
    </xf>
    <xf numFmtId="227" fontId="182" fillId="0" borderId="201" xfId="1576" applyFont="1" applyFill="1" applyBorder="1" applyAlignment="1">
      <alignment horizontal="center" vertical="center"/>
    </xf>
    <xf numFmtId="227" fontId="182" fillId="0" borderId="203" xfId="1576" applyFont="1" applyFill="1" applyBorder="1" applyAlignment="1">
      <alignment horizontal="center" vertical="center"/>
    </xf>
    <xf numFmtId="227" fontId="182" fillId="0" borderId="202" xfId="1576" applyFont="1" applyFill="1" applyBorder="1" applyAlignment="1">
      <alignment horizontal="center" vertical="center"/>
    </xf>
    <xf numFmtId="179" fontId="10" fillId="0" borderId="0" xfId="241" applyAlignment="1">
      <alignment horizontal="center"/>
    </xf>
    <xf numFmtId="17" fontId="45" fillId="0" borderId="0" xfId="119" applyNumberFormat="1" applyFont="1" applyFill="1" applyAlignment="1">
      <alignment horizontal="right"/>
    </xf>
    <xf numFmtId="17" fontId="45" fillId="0" borderId="111" xfId="119" applyNumberFormat="1" applyFont="1" applyFill="1" applyBorder="1" applyAlignment="1">
      <alignment horizontal="right"/>
    </xf>
    <xf numFmtId="15" fontId="45" fillId="41" borderId="77" xfId="119" applyNumberFormat="1" applyFont="1" applyFill="1" applyBorder="1" applyAlignment="1">
      <alignment horizontal="center"/>
    </xf>
    <xf numFmtId="15" fontId="45" fillId="41" borderId="115" xfId="119" applyNumberFormat="1" applyFont="1" applyFill="1" applyBorder="1" applyAlignment="1">
      <alignment horizontal="center"/>
    </xf>
    <xf numFmtId="15" fontId="45" fillId="41" borderId="99" xfId="119" applyNumberFormat="1" applyFont="1" applyFill="1" applyBorder="1" applyAlignment="1">
      <alignment horizontal="center"/>
    </xf>
    <xf numFmtId="15" fontId="45" fillId="34" borderId="77" xfId="119" applyNumberFormat="1" applyFont="1" applyFill="1" applyBorder="1" applyAlignment="1">
      <alignment horizontal="center"/>
    </xf>
    <xf numFmtId="15" fontId="45" fillId="34" borderId="115" xfId="119" applyNumberFormat="1" applyFont="1" applyFill="1" applyBorder="1" applyAlignment="1">
      <alignment horizontal="center"/>
    </xf>
    <xf numFmtId="179" fontId="9" fillId="0" borderId="0" xfId="281" applyAlignment="1">
      <alignment horizontal="center"/>
    </xf>
    <xf numFmtId="227" fontId="23" fillId="34" borderId="93" xfId="0" applyFont="1" applyFill="1" applyBorder="1" applyAlignment="1">
      <alignment horizontal="center"/>
    </xf>
    <xf numFmtId="227" fontId="65" fillId="0" borderId="0" xfId="119" applyFont="1" applyAlignment="1">
      <alignment horizontal="center"/>
    </xf>
    <xf numFmtId="227" fontId="63" fillId="0" borderId="0" xfId="119" applyFont="1" applyAlignment="1">
      <alignment horizontal="right"/>
    </xf>
    <xf numFmtId="227" fontId="65" fillId="0" borderId="149" xfId="119" applyFont="1" applyBorder="1" applyAlignment="1">
      <alignment horizontal="center" vertical="center"/>
    </xf>
    <xf numFmtId="227" fontId="65" fillId="0" borderId="150" xfId="119" applyFont="1" applyBorder="1" applyAlignment="1">
      <alignment horizontal="center" vertical="center"/>
    </xf>
    <xf numFmtId="227" fontId="65" fillId="0" borderId="151" xfId="119" applyFont="1" applyBorder="1" applyAlignment="1">
      <alignment horizontal="center" vertical="center"/>
    </xf>
    <xf numFmtId="207" fontId="154" fillId="55" borderId="128" xfId="1127" applyNumberFormat="1" applyFont="1" applyFill="1" applyBorder="1" applyAlignment="1">
      <alignment horizontal="center" vertical="center" wrapText="1"/>
    </xf>
    <xf numFmtId="207" fontId="154" fillId="55" borderId="127" xfId="1127" applyNumberFormat="1" applyFont="1" applyFill="1" applyBorder="1" applyAlignment="1">
      <alignment horizontal="center" vertical="center" wrapText="1"/>
    </xf>
    <xf numFmtId="227" fontId="0" fillId="0" borderId="11" xfId="0" applyFont="1" applyFill="1" applyBorder="1" applyAlignment="1">
      <alignment horizontal="center" vertical="center" wrapText="1"/>
    </xf>
    <xf numFmtId="227" fontId="13" fillId="40" borderId="11" xfId="0" applyFont="1" applyFill="1" applyBorder="1" applyAlignment="1">
      <alignment horizontal="center" vertical="center" wrapText="1"/>
    </xf>
    <xf numFmtId="227" fontId="13" fillId="40" borderId="181" xfId="0" applyFont="1" applyFill="1" applyBorder="1" applyAlignment="1">
      <alignment horizontal="center" vertical="center" wrapText="1"/>
    </xf>
    <xf numFmtId="227" fontId="0" fillId="0" borderId="11" xfId="0" applyFont="1" applyFill="1" applyBorder="1" applyAlignment="1" applyProtection="1">
      <alignment horizontal="center" vertical="center" wrapText="1"/>
    </xf>
    <xf numFmtId="227" fontId="70" fillId="0" borderId="121" xfId="0" applyFont="1" applyFill="1" applyBorder="1" applyAlignment="1">
      <alignment horizontal="center" vertical="center" wrapText="1"/>
    </xf>
    <xf numFmtId="227" fontId="70" fillId="0" borderId="10" xfId="0" applyFont="1" applyFill="1" applyBorder="1" applyAlignment="1">
      <alignment horizontal="center" vertical="center" wrapText="1"/>
    </xf>
    <xf numFmtId="227" fontId="70" fillId="0" borderId="68" xfId="0" applyFont="1" applyFill="1" applyBorder="1" applyAlignment="1">
      <alignment horizontal="center" vertical="center" wrapText="1"/>
    </xf>
    <xf numFmtId="227" fontId="13" fillId="40" borderId="11" xfId="112" applyFont="1" applyFill="1" applyBorder="1" applyAlignment="1">
      <alignment horizontal="center" vertical="center" wrapText="1"/>
    </xf>
    <xf numFmtId="227" fontId="13" fillId="40" borderId="181" xfId="112" applyFont="1" applyFill="1" applyBorder="1" applyAlignment="1">
      <alignment horizontal="center" vertical="center" wrapText="1"/>
    </xf>
    <xf numFmtId="227" fontId="23" fillId="0" borderId="0" xfId="112" applyFont="1" applyAlignment="1">
      <alignment horizontal="center" vertical="center"/>
    </xf>
    <xf numFmtId="209" fontId="23" fillId="0" borderId="0" xfId="112" applyNumberFormat="1" applyFont="1" applyAlignment="1">
      <alignment horizontal="center" vertical="center"/>
    </xf>
    <xf numFmtId="227" fontId="23" fillId="0" borderId="70" xfId="112" applyFont="1" applyBorder="1" applyAlignment="1">
      <alignment horizontal="center" wrapText="1"/>
    </xf>
    <xf numFmtId="227" fontId="23" fillId="0" borderId="67" xfId="112" applyFont="1" applyBorder="1" applyAlignment="1">
      <alignment horizontal="center" wrapText="1"/>
    </xf>
    <xf numFmtId="227" fontId="23" fillId="0" borderId="56" xfId="112" applyFont="1" applyBorder="1" applyAlignment="1">
      <alignment horizontal="center" wrapText="1"/>
    </xf>
    <xf numFmtId="227" fontId="23" fillId="0" borderId="54" xfId="112" applyFont="1" applyBorder="1" applyAlignment="1">
      <alignment horizontal="center" wrapText="1"/>
    </xf>
    <xf numFmtId="227" fontId="23" fillId="0" borderId="121" xfId="112" applyFont="1" applyBorder="1" applyAlignment="1">
      <alignment horizontal="center" wrapText="1"/>
    </xf>
    <xf numFmtId="227" fontId="23" fillId="0" borderId="68" xfId="112" applyFont="1" applyBorder="1" applyAlignment="1">
      <alignment horizontal="center" wrapText="1"/>
    </xf>
    <xf numFmtId="214" fontId="23" fillId="0" borderId="135" xfId="112" applyNumberFormat="1" applyFont="1" applyBorder="1" applyAlignment="1">
      <alignment horizontal="center" wrapText="1"/>
    </xf>
    <xf numFmtId="214" fontId="23" fillId="0" borderId="136" xfId="112" applyNumberFormat="1" applyFont="1" applyBorder="1" applyAlignment="1">
      <alignment horizontal="center" wrapText="1"/>
    </xf>
    <xf numFmtId="227" fontId="23" fillId="0" borderId="11" xfId="0" applyFont="1" applyBorder="1" applyAlignment="1">
      <alignment horizontal="center" vertical="center" wrapText="1"/>
    </xf>
    <xf numFmtId="227" fontId="23" fillId="0" borderId="11" xfId="0" applyFont="1" applyBorder="1" applyAlignment="1">
      <alignment horizontal="center" wrapText="1"/>
    </xf>
  </cellXfs>
  <cellStyles count="2349">
    <cellStyle name="_x000d__x000a_JournalTemplate=C:\COMFO\CTALK\JOURSTD.TPL_x000d__x000a_LbStateAddress=3 3 0 251 1 89 2 311_x000d__x000a_LbStateJou" xfId="1" xr:uid="{00000000-0005-0000-0000-000000000000}"/>
    <cellStyle name="_x000d__x000a_JournalTemplate=C:\COMFO\CTALK\JOURSTD.TPL_x000d__x000a_LbStateAddress=3 3 0 251 1 89 2 311_x000d__x000a_LbStateJou 2" xfId="289" xr:uid="{00000000-0005-0000-0000-000001000000}"/>
    <cellStyle name="_x000d__x000a_JournalTemplate=C:\COMFO\CTALK\JOURSTD.TPL_x000d__x000a_LbStateAddress=3 3 0 251 1 89 2 311_x000d__x000a_LbStateJou 2 2" xfId="290" xr:uid="{00000000-0005-0000-0000-000002000000}"/>
    <cellStyle name="_x000d__x000a_JournalTemplate=C:\COMFO\CTALK\JOURSTD.TPL_x000d__x000a_LbStateAddress=3 3 0 251 1 89 2 311_x000d__x000a_LbStateJou 2 3" xfId="1132" xr:uid="{00000000-0005-0000-0000-000003000000}"/>
    <cellStyle name="_x000d__x000a_JournalTemplate=C:\COMFO\CTALK\JOURSTD.TPL_x000d__x000a_LbStateAddress=3 3 0 251 1 89 2 311_x000d__x000a_LbStateJou 3" xfId="1578" xr:uid="{00000000-0005-0000-0000-000004000000}"/>
    <cellStyle name="%" xfId="2" xr:uid="{00000000-0005-0000-0000-000005000000}"/>
    <cellStyle name="% 2" xfId="292" xr:uid="{00000000-0005-0000-0000-000006000000}"/>
    <cellStyle name="% 2 2" xfId="293" xr:uid="{00000000-0005-0000-0000-000007000000}"/>
    <cellStyle name="% 2 2 2" xfId="1579" xr:uid="{00000000-0005-0000-0000-000008000000}"/>
    <cellStyle name="% 2 3" xfId="1580" xr:uid="{00000000-0005-0000-0000-000009000000}"/>
    <cellStyle name="% 3" xfId="294" xr:uid="{00000000-0005-0000-0000-00000A000000}"/>
    <cellStyle name="% 3 2" xfId="295" xr:uid="{00000000-0005-0000-0000-00000B000000}"/>
    <cellStyle name="% 3 3" xfId="1133" xr:uid="{00000000-0005-0000-0000-00000C000000}"/>
    <cellStyle name="% 4" xfId="291" xr:uid="{00000000-0005-0000-0000-00000D000000}"/>
    <cellStyle name="%_Thanglong 2X300MW CFB_CCS_Rev07_20120522(import)" xfId="1114" xr:uid="{00000000-0005-0000-0000-00000E000000}"/>
    <cellStyle name="_~1048888" xfId="3" xr:uid="{00000000-0005-0000-0000-00000F000000}"/>
    <cellStyle name="_~1048888 2" xfId="296" xr:uid="{00000000-0005-0000-0000-000010000000}"/>
    <cellStyle name="_~1048888 2 2" xfId="297" xr:uid="{00000000-0005-0000-0000-000011000000}"/>
    <cellStyle name="_~1048888 2 3" xfId="1134" xr:uid="{00000000-0005-0000-0000-000012000000}"/>
    <cellStyle name="_~1048888 3" xfId="1581" xr:uid="{00000000-0005-0000-0000-000013000000}"/>
    <cellStyle name="_cover letter 20110309" xfId="4" xr:uid="{00000000-0005-0000-0000-000014000000}"/>
    <cellStyle name="_cover letter 20110309 2" xfId="299" xr:uid="{00000000-0005-0000-0000-000015000000}"/>
    <cellStyle name="_cover letter 20110309 2 2" xfId="1135" xr:uid="{00000000-0005-0000-0000-000016000000}"/>
    <cellStyle name="_cover letter 20110309 2 2 2" xfId="1582" xr:uid="{00000000-0005-0000-0000-000017000000}"/>
    <cellStyle name="_cover letter 20110309 2 3" xfId="1583" xr:uid="{00000000-0005-0000-0000-000018000000}"/>
    <cellStyle name="_cover letter 20110309 3" xfId="300" xr:uid="{00000000-0005-0000-0000-000019000000}"/>
    <cellStyle name="_cover letter 20110309 3 2" xfId="1136" xr:uid="{00000000-0005-0000-0000-00001A000000}"/>
    <cellStyle name="_cover letter 20110309 4" xfId="298" xr:uid="{00000000-0005-0000-0000-00001B000000}"/>
    <cellStyle name="_cover letter 20110309_Thanglong 2X300MW CFB_CCS_Rev03-20110613" xfId="1115" xr:uid="{00000000-0005-0000-0000-00001C000000}"/>
    <cellStyle name="_cover letter 20110309_Thanglong 2X300MW CFB_CCS_Rev03-20110613_Thanglong 2X300MW CFB_CCS_Rev07_20120522(import)" xfId="1116" xr:uid="{00000000-0005-0000-0000-00001D000000}"/>
    <cellStyle name="_Cover letter Shoaiba IV 20110302" xfId="5" xr:uid="{00000000-0005-0000-0000-00001E000000}"/>
    <cellStyle name="_Cover letter Shoaiba IV 20110302 2" xfId="301" xr:uid="{00000000-0005-0000-0000-00001F000000}"/>
    <cellStyle name="_Cover letter Shoaiba IV 20110302 2 2" xfId="1137" xr:uid="{00000000-0005-0000-0000-000020000000}"/>
    <cellStyle name="_Cover letter Shoaiba IV 20110302 3" xfId="1584" xr:uid="{00000000-0005-0000-0000-000021000000}"/>
    <cellStyle name="_RFQ(Drum Internal)-North Battleford" xfId="6" xr:uid="{00000000-0005-0000-0000-000022000000}"/>
    <cellStyle name="_RFQ(Drum Internal)-North Battleford 2" xfId="302" xr:uid="{00000000-0005-0000-0000-000023000000}"/>
    <cellStyle name="_RFQ(Drum Internal)-North Battleford 2 2" xfId="303" xr:uid="{00000000-0005-0000-0000-000024000000}"/>
    <cellStyle name="_RFQ(Drum Internal)-North Battleford 2 3" xfId="1138" xr:uid="{00000000-0005-0000-0000-000025000000}"/>
    <cellStyle name="_RFQ(Drum Internal)-North Battleford 3" xfId="1585" xr:uid="{00000000-0005-0000-0000-000026000000}"/>
    <cellStyle name="_RFQ(Drum Internal)-NorthBattleford" xfId="7" xr:uid="{00000000-0005-0000-0000-000027000000}"/>
    <cellStyle name="_RFQ(Drum Internal)-NorthBattleford 2" xfId="304" xr:uid="{00000000-0005-0000-0000-000028000000}"/>
    <cellStyle name="_RFQ(Drum Internal)-NorthBattleford 2 2" xfId="305" xr:uid="{00000000-0005-0000-0000-000029000000}"/>
    <cellStyle name="_RFQ(Drum Internal)-NorthBattleford 2 3" xfId="1139" xr:uid="{00000000-0005-0000-0000-00002A000000}"/>
    <cellStyle name="_RFQ(Drum Internal)-NorthBattleford 3" xfId="1586" xr:uid="{00000000-0005-0000-0000-00002B000000}"/>
    <cellStyle name="20% - Accent1 2" xfId="306" xr:uid="{00000000-0005-0000-0000-00002C000000}"/>
    <cellStyle name="20% - Accent2 2" xfId="307" xr:uid="{00000000-0005-0000-0000-00002D000000}"/>
    <cellStyle name="20% - Accent3 2" xfId="308" xr:uid="{00000000-0005-0000-0000-00002E000000}"/>
    <cellStyle name="20% - Accent4 2" xfId="309" xr:uid="{00000000-0005-0000-0000-00002F000000}"/>
    <cellStyle name="20% - Accent5 2" xfId="310" xr:uid="{00000000-0005-0000-0000-000030000000}"/>
    <cellStyle name="20% - Accent6 2" xfId="311" xr:uid="{00000000-0005-0000-0000-000031000000}"/>
    <cellStyle name="20% - Akzent1" xfId="8" xr:uid="{00000000-0005-0000-0000-000032000000}"/>
    <cellStyle name="20% - Akzent1 2" xfId="312" xr:uid="{00000000-0005-0000-0000-000033000000}"/>
    <cellStyle name="20% - Akzent1 2 2" xfId="313" xr:uid="{00000000-0005-0000-0000-000034000000}"/>
    <cellStyle name="20% - Akzent1 2 3" xfId="1140" xr:uid="{00000000-0005-0000-0000-000035000000}"/>
    <cellStyle name="20% - Akzent1 3" xfId="1587" xr:uid="{00000000-0005-0000-0000-000036000000}"/>
    <cellStyle name="20% - Akzent2" xfId="9" xr:uid="{00000000-0005-0000-0000-000037000000}"/>
    <cellStyle name="20% - Akzent2 2" xfId="314" xr:uid="{00000000-0005-0000-0000-000038000000}"/>
    <cellStyle name="20% - Akzent2 2 2" xfId="315" xr:uid="{00000000-0005-0000-0000-000039000000}"/>
    <cellStyle name="20% - Akzent2 2 3" xfId="1141" xr:uid="{00000000-0005-0000-0000-00003A000000}"/>
    <cellStyle name="20% - Akzent2 3" xfId="1588" xr:uid="{00000000-0005-0000-0000-00003B000000}"/>
    <cellStyle name="20% - Akzent3" xfId="10" xr:uid="{00000000-0005-0000-0000-00003C000000}"/>
    <cellStyle name="20% - Akzent3 2" xfId="316" xr:uid="{00000000-0005-0000-0000-00003D000000}"/>
    <cellStyle name="20% - Akzent3 2 2" xfId="317" xr:uid="{00000000-0005-0000-0000-00003E000000}"/>
    <cellStyle name="20% - Akzent3 2 3" xfId="1142" xr:uid="{00000000-0005-0000-0000-00003F000000}"/>
    <cellStyle name="20% - Akzent3 3" xfId="1589" xr:uid="{00000000-0005-0000-0000-000040000000}"/>
    <cellStyle name="20% - Akzent4" xfId="11" xr:uid="{00000000-0005-0000-0000-000041000000}"/>
    <cellStyle name="20% - Akzent4 2" xfId="318" xr:uid="{00000000-0005-0000-0000-000042000000}"/>
    <cellStyle name="20% - Akzent4 2 2" xfId="319" xr:uid="{00000000-0005-0000-0000-000043000000}"/>
    <cellStyle name="20% - Akzent4 2 3" xfId="1143" xr:uid="{00000000-0005-0000-0000-000044000000}"/>
    <cellStyle name="20% - Akzent4 3" xfId="1590" xr:uid="{00000000-0005-0000-0000-000045000000}"/>
    <cellStyle name="20% - Akzent5" xfId="12" xr:uid="{00000000-0005-0000-0000-000046000000}"/>
    <cellStyle name="20% - Akzent5 2" xfId="320" xr:uid="{00000000-0005-0000-0000-000047000000}"/>
    <cellStyle name="20% - Akzent5 2 2" xfId="321" xr:uid="{00000000-0005-0000-0000-000048000000}"/>
    <cellStyle name="20% - Akzent5 2 3" xfId="1144" xr:uid="{00000000-0005-0000-0000-000049000000}"/>
    <cellStyle name="20% - Akzent5 3" xfId="1591" xr:uid="{00000000-0005-0000-0000-00004A000000}"/>
    <cellStyle name="20% - Akzent6" xfId="13" xr:uid="{00000000-0005-0000-0000-00004B000000}"/>
    <cellStyle name="20% - Akzent6 2" xfId="322" xr:uid="{00000000-0005-0000-0000-00004C000000}"/>
    <cellStyle name="20% - Akzent6 2 2" xfId="323" xr:uid="{00000000-0005-0000-0000-00004D000000}"/>
    <cellStyle name="20% - Akzent6 2 3" xfId="1145" xr:uid="{00000000-0005-0000-0000-00004E000000}"/>
    <cellStyle name="20% - Akzent6 3" xfId="1592" xr:uid="{00000000-0005-0000-0000-00004F000000}"/>
    <cellStyle name="20% - 强调文字颜色 1" xfId="14" xr:uid="{00000000-0005-0000-0000-000050000000}"/>
    <cellStyle name="20% - 强调文字颜色 1 2" xfId="324" xr:uid="{00000000-0005-0000-0000-000051000000}"/>
    <cellStyle name="20% - 强调文字颜色 1 2 2" xfId="1593" xr:uid="{00000000-0005-0000-0000-000052000000}"/>
    <cellStyle name="20% - 强调文字颜色 1 3" xfId="325" xr:uid="{00000000-0005-0000-0000-000053000000}"/>
    <cellStyle name="20% - 强调文字颜色 1 4" xfId="1146" xr:uid="{00000000-0005-0000-0000-000054000000}"/>
    <cellStyle name="20% - 强调文字颜色 2" xfId="15" xr:uid="{00000000-0005-0000-0000-000055000000}"/>
    <cellStyle name="20% - 强调文字颜色 2 2" xfId="326" xr:uid="{00000000-0005-0000-0000-000056000000}"/>
    <cellStyle name="20% - 强调文字颜色 2 2 2" xfId="1594" xr:uid="{00000000-0005-0000-0000-000057000000}"/>
    <cellStyle name="20% - 强调文字颜色 2 3" xfId="327" xr:uid="{00000000-0005-0000-0000-000058000000}"/>
    <cellStyle name="20% - 强调文字颜色 2 4" xfId="1147" xr:uid="{00000000-0005-0000-0000-000059000000}"/>
    <cellStyle name="20% - 强调文字颜色 3" xfId="16" xr:uid="{00000000-0005-0000-0000-00005A000000}"/>
    <cellStyle name="20% - 强调文字颜色 3 2" xfId="328" xr:uid="{00000000-0005-0000-0000-00005B000000}"/>
    <cellStyle name="20% - 强调文字颜色 3 2 2" xfId="1595" xr:uid="{00000000-0005-0000-0000-00005C000000}"/>
    <cellStyle name="20% - 强调文字颜色 3 3" xfId="329" xr:uid="{00000000-0005-0000-0000-00005D000000}"/>
    <cellStyle name="20% - 强调文字颜色 3 4" xfId="1148" xr:uid="{00000000-0005-0000-0000-00005E000000}"/>
    <cellStyle name="20% - 强调文字颜色 4" xfId="17" xr:uid="{00000000-0005-0000-0000-00005F000000}"/>
    <cellStyle name="20% - 强调文字颜色 4 2" xfId="330" xr:uid="{00000000-0005-0000-0000-000060000000}"/>
    <cellStyle name="20% - 强调文字颜色 4 2 2" xfId="1596" xr:uid="{00000000-0005-0000-0000-000061000000}"/>
    <cellStyle name="20% - 强调文字颜色 4 3" xfId="331" xr:uid="{00000000-0005-0000-0000-000062000000}"/>
    <cellStyle name="20% - 强调文字颜色 4 4" xfId="1149" xr:uid="{00000000-0005-0000-0000-000063000000}"/>
    <cellStyle name="20% - 强调文字颜色 5" xfId="18" xr:uid="{00000000-0005-0000-0000-000064000000}"/>
    <cellStyle name="20% - 强调文字颜色 5 2" xfId="332" xr:uid="{00000000-0005-0000-0000-000065000000}"/>
    <cellStyle name="20% - 强调文字颜色 5 2 2" xfId="1597" xr:uid="{00000000-0005-0000-0000-000066000000}"/>
    <cellStyle name="20% - 强调文字颜色 5 3" xfId="333" xr:uid="{00000000-0005-0000-0000-000067000000}"/>
    <cellStyle name="20% - 强调文字颜色 5 4" xfId="1150" xr:uid="{00000000-0005-0000-0000-000068000000}"/>
    <cellStyle name="20% - 强调文字颜色 6" xfId="19" xr:uid="{00000000-0005-0000-0000-000069000000}"/>
    <cellStyle name="20% - 强调文字颜色 6 2" xfId="334" xr:uid="{00000000-0005-0000-0000-00006A000000}"/>
    <cellStyle name="20% - 强调文字颜色 6 2 2" xfId="1598" xr:uid="{00000000-0005-0000-0000-00006B000000}"/>
    <cellStyle name="20% - 强调文字颜色 6 3" xfId="335" xr:uid="{00000000-0005-0000-0000-00006C000000}"/>
    <cellStyle name="20% - 强调文字颜色 6 4" xfId="1151" xr:uid="{00000000-0005-0000-0000-00006D000000}"/>
    <cellStyle name="40% - Accent1 2" xfId="336" xr:uid="{00000000-0005-0000-0000-00006E000000}"/>
    <cellStyle name="40% - Accent2 2" xfId="337" xr:uid="{00000000-0005-0000-0000-00006F000000}"/>
    <cellStyle name="40% - Accent3 2" xfId="338" xr:uid="{00000000-0005-0000-0000-000070000000}"/>
    <cellStyle name="40% - Accent4 2" xfId="339" xr:uid="{00000000-0005-0000-0000-000071000000}"/>
    <cellStyle name="40% - Accent5 2" xfId="340" xr:uid="{00000000-0005-0000-0000-000072000000}"/>
    <cellStyle name="40% - Accent6 2" xfId="341" xr:uid="{00000000-0005-0000-0000-000073000000}"/>
    <cellStyle name="40% - Akzent1" xfId="20" xr:uid="{00000000-0005-0000-0000-000074000000}"/>
    <cellStyle name="40% - Akzent1 2" xfId="342" xr:uid="{00000000-0005-0000-0000-000075000000}"/>
    <cellStyle name="40% - Akzent1 2 2" xfId="343" xr:uid="{00000000-0005-0000-0000-000076000000}"/>
    <cellStyle name="40% - Akzent1 2 3" xfId="1152" xr:uid="{00000000-0005-0000-0000-000077000000}"/>
    <cellStyle name="40% - Akzent1 3" xfId="1599" xr:uid="{00000000-0005-0000-0000-000078000000}"/>
    <cellStyle name="40% - Akzent2" xfId="21" xr:uid="{00000000-0005-0000-0000-000079000000}"/>
    <cellStyle name="40% - Akzent2 2" xfId="344" xr:uid="{00000000-0005-0000-0000-00007A000000}"/>
    <cellStyle name="40% - Akzent2 2 2" xfId="345" xr:uid="{00000000-0005-0000-0000-00007B000000}"/>
    <cellStyle name="40% - Akzent2 2 3" xfId="1153" xr:uid="{00000000-0005-0000-0000-00007C000000}"/>
    <cellStyle name="40% - Akzent2 3" xfId="1600" xr:uid="{00000000-0005-0000-0000-00007D000000}"/>
    <cellStyle name="40% - Akzent3" xfId="22" xr:uid="{00000000-0005-0000-0000-00007E000000}"/>
    <cellStyle name="40% - Akzent3 2" xfId="346" xr:uid="{00000000-0005-0000-0000-00007F000000}"/>
    <cellStyle name="40% - Akzent3 2 2" xfId="347" xr:uid="{00000000-0005-0000-0000-000080000000}"/>
    <cellStyle name="40% - Akzent3 2 3" xfId="1154" xr:uid="{00000000-0005-0000-0000-000081000000}"/>
    <cellStyle name="40% - Akzent3 3" xfId="1601" xr:uid="{00000000-0005-0000-0000-000082000000}"/>
    <cellStyle name="40% - Akzent4" xfId="23" xr:uid="{00000000-0005-0000-0000-000083000000}"/>
    <cellStyle name="40% - Akzent4 2" xfId="348" xr:uid="{00000000-0005-0000-0000-000084000000}"/>
    <cellStyle name="40% - Akzent4 2 2" xfId="349" xr:uid="{00000000-0005-0000-0000-000085000000}"/>
    <cellStyle name="40% - Akzent4 2 3" xfId="1155" xr:uid="{00000000-0005-0000-0000-000086000000}"/>
    <cellStyle name="40% - Akzent4 3" xfId="1602" xr:uid="{00000000-0005-0000-0000-000087000000}"/>
    <cellStyle name="40% - Akzent5" xfId="24" xr:uid="{00000000-0005-0000-0000-000088000000}"/>
    <cellStyle name="40% - Akzent5 2" xfId="350" xr:uid="{00000000-0005-0000-0000-000089000000}"/>
    <cellStyle name="40% - Akzent5 2 2" xfId="351" xr:uid="{00000000-0005-0000-0000-00008A000000}"/>
    <cellStyle name="40% - Akzent5 2 3" xfId="1156" xr:uid="{00000000-0005-0000-0000-00008B000000}"/>
    <cellStyle name="40% - Akzent5 3" xfId="1603" xr:uid="{00000000-0005-0000-0000-00008C000000}"/>
    <cellStyle name="40% - Akzent6" xfId="25" xr:uid="{00000000-0005-0000-0000-00008D000000}"/>
    <cellStyle name="40% - Akzent6 2" xfId="352" xr:uid="{00000000-0005-0000-0000-00008E000000}"/>
    <cellStyle name="40% - Akzent6 2 2" xfId="353" xr:uid="{00000000-0005-0000-0000-00008F000000}"/>
    <cellStyle name="40% - Akzent6 2 3" xfId="1157" xr:uid="{00000000-0005-0000-0000-000090000000}"/>
    <cellStyle name="40% - Akzent6 3" xfId="1604" xr:uid="{00000000-0005-0000-0000-000091000000}"/>
    <cellStyle name="40% - 强调文字颜色 1" xfId="26" xr:uid="{00000000-0005-0000-0000-000092000000}"/>
    <cellStyle name="40% - 强调文字颜色 1 2" xfId="354" xr:uid="{00000000-0005-0000-0000-000093000000}"/>
    <cellStyle name="40% - 强调文字颜色 1 2 2" xfId="1605" xr:uid="{00000000-0005-0000-0000-000094000000}"/>
    <cellStyle name="40% - 强调文字颜色 1 3" xfId="355" xr:uid="{00000000-0005-0000-0000-000095000000}"/>
    <cellStyle name="40% - 强调文字颜色 1 4" xfId="1158" xr:uid="{00000000-0005-0000-0000-000096000000}"/>
    <cellStyle name="40% - 强调文字颜色 2" xfId="27" xr:uid="{00000000-0005-0000-0000-000097000000}"/>
    <cellStyle name="40% - 强调文字颜色 2 2" xfId="356" xr:uid="{00000000-0005-0000-0000-000098000000}"/>
    <cellStyle name="40% - 强调文字颜色 2 2 2" xfId="1606" xr:uid="{00000000-0005-0000-0000-000099000000}"/>
    <cellStyle name="40% - 强调文字颜色 2 3" xfId="357" xr:uid="{00000000-0005-0000-0000-00009A000000}"/>
    <cellStyle name="40% - 强调文字颜色 2 4" xfId="1159" xr:uid="{00000000-0005-0000-0000-00009B000000}"/>
    <cellStyle name="40% - 强调文字颜色 3" xfId="28" xr:uid="{00000000-0005-0000-0000-00009C000000}"/>
    <cellStyle name="40% - 强调文字颜色 3 2" xfId="358" xr:uid="{00000000-0005-0000-0000-00009D000000}"/>
    <cellStyle name="40% - 强调文字颜色 3 2 2" xfId="1607" xr:uid="{00000000-0005-0000-0000-00009E000000}"/>
    <cellStyle name="40% - 强调文字颜色 3 3" xfId="359" xr:uid="{00000000-0005-0000-0000-00009F000000}"/>
    <cellStyle name="40% - 强调文字颜色 3 4" xfId="1160" xr:uid="{00000000-0005-0000-0000-0000A0000000}"/>
    <cellStyle name="40% - 强调文字颜色 4" xfId="29" xr:uid="{00000000-0005-0000-0000-0000A1000000}"/>
    <cellStyle name="40% - 强调文字颜色 4 2" xfId="360" xr:uid="{00000000-0005-0000-0000-0000A2000000}"/>
    <cellStyle name="40% - 强调文字颜色 4 2 2" xfId="1608" xr:uid="{00000000-0005-0000-0000-0000A3000000}"/>
    <cellStyle name="40% - 强调文字颜色 4 3" xfId="361" xr:uid="{00000000-0005-0000-0000-0000A4000000}"/>
    <cellStyle name="40% - 强调文字颜色 4 4" xfId="1161" xr:uid="{00000000-0005-0000-0000-0000A5000000}"/>
    <cellStyle name="40% - 强调文字颜色 5" xfId="30" xr:uid="{00000000-0005-0000-0000-0000A6000000}"/>
    <cellStyle name="40% - 强调文字颜色 5 2" xfId="362" xr:uid="{00000000-0005-0000-0000-0000A7000000}"/>
    <cellStyle name="40% - 强调文字颜色 5 2 2" xfId="1609" xr:uid="{00000000-0005-0000-0000-0000A8000000}"/>
    <cellStyle name="40% - 强调文字颜色 5 3" xfId="363" xr:uid="{00000000-0005-0000-0000-0000A9000000}"/>
    <cellStyle name="40% - 强调文字颜色 5 4" xfId="1162" xr:uid="{00000000-0005-0000-0000-0000AA000000}"/>
    <cellStyle name="40% - 强调文字颜色 6" xfId="31" xr:uid="{00000000-0005-0000-0000-0000AB000000}"/>
    <cellStyle name="40% - 强调文字颜色 6 2" xfId="364" xr:uid="{00000000-0005-0000-0000-0000AC000000}"/>
    <cellStyle name="40% - 强调文字颜色 6 2 2" xfId="1610" xr:uid="{00000000-0005-0000-0000-0000AD000000}"/>
    <cellStyle name="40% - 强调文字颜色 6 3" xfId="365" xr:uid="{00000000-0005-0000-0000-0000AE000000}"/>
    <cellStyle name="40% - 强调文字颜色 6 4" xfId="1163" xr:uid="{00000000-0005-0000-0000-0000AF000000}"/>
    <cellStyle name="60% - Accent1 2" xfId="366" xr:uid="{00000000-0005-0000-0000-0000B0000000}"/>
    <cellStyle name="60% - Accent2 2" xfId="367" xr:uid="{00000000-0005-0000-0000-0000B1000000}"/>
    <cellStyle name="60% - Accent3 2" xfId="368" xr:uid="{00000000-0005-0000-0000-0000B2000000}"/>
    <cellStyle name="60% - Accent4 2" xfId="369" xr:uid="{00000000-0005-0000-0000-0000B3000000}"/>
    <cellStyle name="60% - Accent5 2" xfId="370" xr:uid="{00000000-0005-0000-0000-0000B4000000}"/>
    <cellStyle name="60% - Accent6 2" xfId="371" xr:uid="{00000000-0005-0000-0000-0000B5000000}"/>
    <cellStyle name="60% - Akzent1" xfId="32" xr:uid="{00000000-0005-0000-0000-0000B6000000}"/>
    <cellStyle name="60% - Akzent1 2" xfId="372" xr:uid="{00000000-0005-0000-0000-0000B7000000}"/>
    <cellStyle name="60% - Akzent1 2 2" xfId="373" xr:uid="{00000000-0005-0000-0000-0000B8000000}"/>
    <cellStyle name="60% - Akzent1 2 3" xfId="1164" xr:uid="{00000000-0005-0000-0000-0000B9000000}"/>
    <cellStyle name="60% - Akzent1 3" xfId="1611" xr:uid="{00000000-0005-0000-0000-0000BA000000}"/>
    <cellStyle name="60% - Akzent2" xfId="33" xr:uid="{00000000-0005-0000-0000-0000BB000000}"/>
    <cellStyle name="60% - Akzent2 2" xfId="374" xr:uid="{00000000-0005-0000-0000-0000BC000000}"/>
    <cellStyle name="60% - Akzent2 2 2" xfId="375" xr:uid="{00000000-0005-0000-0000-0000BD000000}"/>
    <cellStyle name="60% - Akzent2 2 3" xfId="1165" xr:uid="{00000000-0005-0000-0000-0000BE000000}"/>
    <cellStyle name="60% - Akzent2 3" xfId="1612" xr:uid="{00000000-0005-0000-0000-0000BF000000}"/>
    <cellStyle name="60% - Akzent3" xfId="34" xr:uid="{00000000-0005-0000-0000-0000C0000000}"/>
    <cellStyle name="60% - Akzent3 2" xfId="376" xr:uid="{00000000-0005-0000-0000-0000C1000000}"/>
    <cellStyle name="60% - Akzent3 2 2" xfId="377" xr:uid="{00000000-0005-0000-0000-0000C2000000}"/>
    <cellStyle name="60% - Akzent3 2 3" xfId="1166" xr:uid="{00000000-0005-0000-0000-0000C3000000}"/>
    <cellStyle name="60% - Akzent3 3" xfId="1613" xr:uid="{00000000-0005-0000-0000-0000C4000000}"/>
    <cellStyle name="60% - Akzent4" xfId="35" xr:uid="{00000000-0005-0000-0000-0000C5000000}"/>
    <cellStyle name="60% - Akzent4 2" xfId="378" xr:uid="{00000000-0005-0000-0000-0000C6000000}"/>
    <cellStyle name="60% - Akzent4 2 2" xfId="379" xr:uid="{00000000-0005-0000-0000-0000C7000000}"/>
    <cellStyle name="60% - Akzent4 2 3" xfId="1167" xr:uid="{00000000-0005-0000-0000-0000C8000000}"/>
    <cellStyle name="60% - Akzent4 3" xfId="1614" xr:uid="{00000000-0005-0000-0000-0000C9000000}"/>
    <cellStyle name="60% - Akzent5" xfId="36" xr:uid="{00000000-0005-0000-0000-0000CA000000}"/>
    <cellStyle name="60% - Akzent5 2" xfId="380" xr:uid="{00000000-0005-0000-0000-0000CB000000}"/>
    <cellStyle name="60% - Akzent5 2 2" xfId="381" xr:uid="{00000000-0005-0000-0000-0000CC000000}"/>
    <cellStyle name="60% - Akzent5 2 3" xfId="1168" xr:uid="{00000000-0005-0000-0000-0000CD000000}"/>
    <cellStyle name="60% - Akzent5 3" xfId="1615" xr:uid="{00000000-0005-0000-0000-0000CE000000}"/>
    <cellStyle name="60% - Akzent6" xfId="37" xr:uid="{00000000-0005-0000-0000-0000CF000000}"/>
    <cellStyle name="60% - Akzent6 2" xfId="382" xr:uid="{00000000-0005-0000-0000-0000D0000000}"/>
    <cellStyle name="60% - Akzent6 2 2" xfId="383" xr:uid="{00000000-0005-0000-0000-0000D1000000}"/>
    <cellStyle name="60% - Akzent6 2 3" xfId="1169" xr:uid="{00000000-0005-0000-0000-0000D2000000}"/>
    <cellStyle name="60% - Akzent6 3" xfId="1616" xr:uid="{00000000-0005-0000-0000-0000D3000000}"/>
    <cellStyle name="60% - 强调文字颜色 1" xfId="38" xr:uid="{00000000-0005-0000-0000-0000D4000000}"/>
    <cellStyle name="60% - 强调文字颜色 1 2" xfId="384" xr:uid="{00000000-0005-0000-0000-0000D5000000}"/>
    <cellStyle name="60% - 强调文字颜色 1 2 2" xfId="1617" xr:uid="{00000000-0005-0000-0000-0000D6000000}"/>
    <cellStyle name="60% - 强调文字颜色 1 3" xfId="385" xr:uid="{00000000-0005-0000-0000-0000D7000000}"/>
    <cellStyle name="60% - 强调文字颜色 1 4" xfId="1170" xr:uid="{00000000-0005-0000-0000-0000D8000000}"/>
    <cellStyle name="60% - 强调文字颜色 2" xfId="39" xr:uid="{00000000-0005-0000-0000-0000D9000000}"/>
    <cellStyle name="60% - 强调文字颜色 2 2" xfId="386" xr:uid="{00000000-0005-0000-0000-0000DA000000}"/>
    <cellStyle name="60% - 强调文字颜色 2 2 2" xfId="1618" xr:uid="{00000000-0005-0000-0000-0000DB000000}"/>
    <cellStyle name="60% - 强调文字颜色 2 3" xfId="387" xr:uid="{00000000-0005-0000-0000-0000DC000000}"/>
    <cellStyle name="60% - 强调文字颜色 2 4" xfId="1171" xr:uid="{00000000-0005-0000-0000-0000DD000000}"/>
    <cellStyle name="60% - 强调文字颜色 3" xfId="40" xr:uid="{00000000-0005-0000-0000-0000DE000000}"/>
    <cellStyle name="60% - 强调文字颜色 3 2" xfId="388" xr:uid="{00000000-0005-0000-0000-0000DF000000}"/>
    <cellStyle name="60% - 强调文字颜色 3 2 2" xfId="1619" xr:uid="{00000000-0005-0000-0000-0000E0000000}"/>
    <cellStyle name="60% - 强调文字颜色 3 3" xfId="389" xr:uid="{00000000-0005-0000-0000-0000E1000000}"/>
    <cellStyle name="60% - 强调文字颜色 3 4" xfId="1172" xr:uid="{00000000-0005-0000-0000-0000E2000000}"/>
    <cellStyle name="60% - 强调文字颜色 4" xfId="41" xr:uid="{00000000-0005-0000-0000-0000E3000000}"/>
    <cellStyle name="60% - 强调文字颜色 4 2" xfId="390" xr:uid="{00000000-0005-0000-0000-0000E4000000}"/>
    <cellStyle name="60% - 强调文字颜色 4 2 2" xfId="1620" xr:uid="{00000000-0005-0000-0000-0000E5000000}"/>
    <cellStyle name="60% - 强调文字颜色 4 3" xfId="391" xr:uid="{00000000-0005-0000-0000-0000E6000000}"/>
    <cellStyle name="60% - 强调文字颜色 4 4" xfId="1173" xr:uid="{00000000-0005-0000-0000-0000E7000000}"/>
    <cellStyle name="60% - 强调文字颜色 5" xfId="42" xr:uid="{00000000-0005-0000-0000-0000E8000000}"/>
    <cellStyle name="60% - 强调文字颜色 5 2" xfId="392" xr:uid="{00000000-0005-0000-0000-0000E9000000}"/>
    <cellStyle name="60% - 强调文字颜色 5 2 2" xfId="1621" xr:uid="{00000000-0005-0000-0000-0000EA000000}"/>
    <cellStyle name="60% - 强调文字颜色 5 3" xfId="393" xr:uid="{00000000-0005-0000-0000-0000EB000000}"/>
    <cellStyle name="60% - 强调文字颜色 5 4" xfId="1174" xr:uid="{00000000-0005-0000-0000-0000EC000000}"/>
    <cellStyle name="60% - 强调文字颜色 6" xfId="43" xr:uid="{00000000-0005-0000-0000-0000ED000000}"/>
    <cellStyle name="60% - 强调文字颜色 6 2" xfId="394" xr:uid="{00000000-0005-0000-0000-0000EE000000}"/>
    <cellStyle name="60% - 强调文字颜色 6 2 2" xfId="1622" xr:uid="{00000000-0005-0000-0000-0000EF000000}"/>
    <cellStyle name="60% - 强调文字颜色 6 3" xfId="395" xr:uid="{00000000-0005-0000-0000-0000F0000000}"/>
    <cellStyle name="60% - 强调文字颜色 6 4" xfId="1175" xr:uid="{00000000-0005-0000-0000-0000F1000000}"/>
    <cellStyle name="Accent1 2" xfId="396" xr:uid="{00000000-0005-0000-0000-0000F2000000}"/>
    <cellStyle name="Accent1 2 2" xfId="1623" xr:uid="{00000000-0005-0000-0000-0000F3000000}"/>
    <cellStyle name="Accent2 2" xfId="397" xr:uid="{00000000-0005-0000-0000-0000F4000000}"/>
    <cellStyle name="Accent2 2 2" xfId="1624" xr:uid="{00000000-0005-0000-0000-0000F5000000}"/>
    <cellStyle name="Accent3 2" xfId="398" xr:uid="{00000000-0005-0000-0000-0000F6000000}"/>
    <cellStyle name="Accent3 2 2" xfId="1625" xr:uid="{00000000-0005-0000-0000-0000F7000000}"/>
    <cellStyle name="Accent4 2" xfId="399" xr:uid="{00000000-0005-0000-0000-0000F8000000}"/>
    <cellStyle name="Accent4 2 2" xfId="1626" xr:uid="{00000000-0005-0000-0000-0000F9000000}"/>
    <cellStyle name="Accent5 2" xfId="400" xr:uid="{00000000-0005-0000-0000-0000FA000000}"/>
    <cellStyle name="Accent5 2 2" xfId="1627" xr:uid="{00000000-0005-0000-0000-0000FB000000}"/>
    <cellStyle name="Accent6 2" xfId="401" xr:uid="{00000000-0005-0000-0000-0000FC000000}"/>
    <cellStyle name="Accent6 2 2" xfId="1628" xr:uid="{00000000-0005-0000-0000-0000FD000000}"/>
    <cellStyle name="Akzent1" xfId="44" xr:uid="{00000000-0005-0000-0000-0000FE000000}"/>
    <cellStyle name="Akzent1 2" xfId="402" xr:uid="{00000000-0005-0000-0000-0000FF000000}"/>
    <cellStyle name="Akzent1 2 2" xfId="403" xr:uid="{00000000-0005-0000-0000-000000010000}"/>
    <cellStyle name="Akzent1 2 3" xfId="1176" xr:uid="{00000000-0005-0000-0000-000001010000}"/>
    <cellStyle name="Akzent1 3" xfId="1629" xr:uid="{00000000-0005-0000-0000-000002010000}"/>
    <cellStyle name="Akzent2" xfId="45" xr:uid="{00000000-0005-0000-0000-000003010000}"/>
    <cellStyle name="Akzent2 2" xfId="404" xr:uid="{00000000-0005-0000-0000-000004010000}"/>
    <cellStyle name="Akzent2 2 2" xfId="405" xr:uid="{00000000-0005-0000-0000-000005010000}"/>
    <cellStyle name="Akzent2 2 3" xfId="1177" xr:uid="{00000000-0005-0000-0000-000006010000}"/>
    <cellStyle name="Akzent2 3" xfId="1630" xr:uid="{00000000-0005-0000-0000-000007010000}"/>
    <cellStyle name="Akzent3" xfId="46" xr:uid="{00000000-0005-0000-0000-000008010000}"/>
    <cellStyle name="Akzent3 2" xfId="406" xr:uid="{00000000-0005-0000-0000-000009010000}"/>
    <cellStyle name="Akzent3 2 2" xfId="407" xr:uid="{00000000-0005-0000-0000-00000A010000}"/>
    <cellStyle name="Akzent3 2 3" xfId="1178" xr:uid="{00000000-0005-0000-0000-00000B010000}"/>
    <cellStyle name="Akzent3 3" xfId="1631" xr:uid="{00000000-0005-0000-0000-00000C010000}"/>
    <cellStyle name="Akzent4" xfId="47" xr:uid="{00000000-0005-0000-0000-00000D010000}"/>
    <cellStyle name="Akzent4 2" xfId="408" xr:uid="{00000000-0005-0000-0000-00000E010000}"/>
    <cellStyle name="Akzent4 2 2" xfId="409" xr:uid="{00000000-0005-0000-0000-00000F010000}"/>
    <cellStyle name="Akzent4 2 3" xfId="1179" xr:uid="{00000000-0005-0000-0000-000010010000}"/>
    <cellStyle name="Akzent4 3" xfId="1632" xr:uid="{00000000-0005-0000-0000-000011010000}"/>
    <cellStyle name="Akzent5" xfId="48" xr:uid="{00000000-0005-0000-0000-000012010000}"/>
    <cellStyle name="Akzent5 2" xfId="410" xr:uid="{00000000-0005-0000-0000-000013010000}"/>
    <cellStyle name="Akzent5 2 2" xfId="411" xr:uid="{00000000-0005-0000-0000-000014010000}"/>
    <cellStyle name="Akzent5 2 3" xfId="1180" xr:uid="{00000000-0005-0000-0000-000015010000}"/>
    <cellStyle name="Akzent5 3" xfId="1633" xr:uid="{00000000-0005-0000-0000-000016010000}"/>
    <cellStyle name="Akzent6" xfId="49" xr:uid="{00000000-0005-0000-0000-000017010000}"/>
    <cellStyle name="Akzent6 2" xfId="412" xr:uid="{00000000-0005-0000-0000-000018010000}"/>
    <cellStyle name="Akzent6 2 2" xfId="413" xr:uid="{00000000-0005-0000-0000-000019010000}"/>
    <cellStyle name="Akzent6 2 3" xfId="1181" xr:uid="{00000000-0005-0000-0000-00001A010000}"/>
    <cellStyle name="Akzent6 3" xfId="1634" xr:uid="{00000000-0005-0000-0000-00001B010000}"/>
    <cellStyle name="Ang.Pos" xfId="50" xr:uid="{00000000-0005-0000-0000-00001C010000}"/>
    <cellStyle name="Ang.Pos 2" xfId="415" xr:uid="{00000000-0005-0000-0000-00001D010000}"/>
    <cellStyle name="Ang.Pos 2 2" xfId="416" xr:uid="{00000000-0005-0000-0000-00001E010000}"/>
    <cellStyle name="Ang.Pos 2 2 2" xfId="2009" xr:uid="{00000000-0005-0000-0000-00001E010000}"/>
    <cellStyle name="Ang.Pos 2 3" xfId="1182" xr:uid="{00000000-0005-0000-0000-00001F010000}"/>
    <cellStyle name="Ang.Pos 2 3 2" xfId="2144" xr:uid="{00000000-0005-0000-0000-00001F010000}"/>
    <cellStyle name="Ang.Pos 2 4" xfId="2008" xr:uid="{00000000-0005-0000-0000-00001D010000}"/>
    <cellStyle name="Ang.Pos 3" xfId="414" xr:uid="{00000000-0005-0000-0000-000020010000}"/>
    <cellStyle name="Ang.Pos 3 2" xfId="1635" xr:uid="{00000000-0005-0000-0000-000021010000}"/>
    <cellStyle name="Ang.Pos 3 2 2" xfId="2233" xr:uid="{00000000-0005-0000-0000-000021010000}"/>
    <cellStyle name="Ang.Pos 3 3" xfId="2007" xr:uid="{00000000-0005-0000-0000-000020010000}"/>
    <cellStyle name="Ang.Pos 4" xfId="1636" xr:uid="{00000000-0005-0000-0000-000022010000}"/>
    <cellStyle name="Ang.Pos 4 2" xfId="2234" xr:uid="{00000000-0005-0000-0000-000022010000}"/>
    <cellStyle name="Ang.Pos 5" xfId="1978" xr:uid="{00000000-0005-0000-0000-00001C010000}"/>
    <cellStyle name="arial10" xfId="51" xr:uid="{00000000-0005-0000-0000-000023010000}"/>
    <cellStyle name="arial10 2" xfId="418" xr:uid="{00000000-0005-0000-0000-000024010000}"/>
    <cellStyle name="arial10 2 2" xfId="419" xr:uid="{00000000-0005-0000-0000-000025010000}"/>
    <cellStyle name="arial10 2 2 2" xfId="1183" xr:uid="{00000000-0005-0000-0000-000026010000}"/>
    <cellStyle name="arial10 2 2 2 2" xfId="1637" xr:uid="{00000000-0005-0000-0000-000027010000}"/>
    <cellStyle name="arial10 2 2 3" xfId="1638" xr:uid="{00000000-0005-0000-0000-000028010000}"/>
    <cellStyle name="arial10 2 3" xfId="420" xr:uid="{00000000-0005-0000-0000-000029010000}"/>
    <cellStyle name="arial10 2 3 2" xfId="1639" xr:uid="{00000000-0005-0000-0000-00002A010000}"/>
    <cellStyle name="arial10 2 4" xfId="1640" xr:uid="{00000000-0005-0000-0000-00002B010000}"/>
    <cellStyle name="arial10 3" xfId="421" xr:uid="{00000000-0005-0000-0000-00002C010000}"/>
    <cellStyle name="arial10 3 2" xfId="1184" xr:uid="{00000000-0005-0000-0000-00002D010000}"/>
    <cellStyle name="arial10 3 2 2" xfId="1641" xr:uid="{00000000-0005-0000-0000-00002E010000}"/>
    <cellStyle name="arial10 3 3" xfId="1642" xr:uid="{00000000-0005-0000-0000-00002F010000}"/>
    <cellStyle name="arial10 4" xfId="422" xr:uid="{00000000-0005-0000-0000-000030010000}"/>
    <cellStyle name="arial10 4 2" xfId="423" xr:uid="{00000000-0005-0000-0000-000031010000}"/>
    <cellStyle name="arial10 4 3" xfId="1185" xr:uid="{00000000-0005-0000-0000-000032010000}"/>
    <cellStyle name="arial10 5" xfId="417" xr:uid="{00000000-0005-0000-0000-000033010000}"/>
    <cellStyle name="Arial9" xfId="52" xr:uid="{00000000-0005-0000-0000-000034010000}"/>
    <cellStyle name="Arial9 2" xfId="424" xr:uid="{00000000-0005-0000-0000-000035010000}"/>
    <cellStyle name="Arial9 2 2" xfId="1643" xr:uid="{00000000-0005-0000-0000-000036010000}"/>
    <cellStyle name="Arial9 3" xfId="425" xr:uid="{00000000-0005-0000-0000-000037010000}"/>
    <cellStyle name="Ariel10" xfId="53" xr:uid="{00000000-0005-0000-0000-000038010000}"/>
    <cellStyle name="Ariel10 2" xfId="427" xr:uid="{00000000-0005-0000-0000-000039010000}"/>
    <cellStyle name="Ariel10 2 2" xfId="428" xr:uid="{00000000-0005-0000-0000-00003A010000}"/>
    <cellStyle name="Ariel10 2 2 2" xfId="1186" xr:uid="{00000000-0005-0000-0000-00003B010000}"/>
    <cellStyle name="Ariel10 2 2 2 2" xfId="1644" xr:uid="{00000000-0005-0000-0000-00003C010000}"/>
    <cellStyle name="Ariel10 2 2 3" xfId="1645" xr:uid="{00000000-0005-0000-0000-00003D010000}"/>
    <cellStyle name="Ariel10 2 3" xfId="1187" xr:uid="{00000000-0005-0000-0000-00003E010000}"/>
    <cellStyle name="Ariel10 2 3 2" xfId="1646" xr:uid="{00000000-0005-0000-0000-00003F010000}"/>
    <cellStyle name="Ariel10 2 4" xfId="1647" xr:uid="{00000000-0005-0000-0000-000040010000}"/>
    <cellStyle name="Ariel10 3" xfId="429" xr:uid="{00000000-0005-0000-0000-000041010000}"/>
    <cellStyle name="Ariel10 3 2" xfId="1188" xr:uid="{00000000-0005-0000-0000-000042010000}"/>
    <cellStyle name="Ariel10 3 2 2" xfId="1648" xr:uid="{00000000-0005-0000-0000-000043010000}"/>
    <cellStyle name="Ariel10 3 3" xfId="1649" xr:uid="{00000000-0005-0000-0000-000044010000}"/>
    <cellStyle name="Ariel10 4" xfId="430" xr:uid="{00000000-0005-0000-0000-000045010000}"/>
    <cellStyle name="Ariel10 4 2" xfId="431" xr:uid="{00000000-0005-0000-0000-000046010000}"/>
    <cellStyle name="Ariel10 4 3" xfId="1189" xr:uid="{00000000-0005-0000-0000-000047010000}"/>
    <cellStyle name="Ariel10 5" xfId="426" xr:uid="{00000000-0005-0000-0000-000048010000}"/>
    <cellStyle name="Ariel10 5 2" xfId="1650" xr:uid="{00000000-0005-0000-0000-000049010000}"/>
    <cellStyle name="Ariel10 6" xfId="1651" xr:uid="{00000000-0005-0000-0000-00004A010000}"/>
    <cellStyle name="Ausgabe" xfId="54" xr:uid="{00000000-0005-0000-0000-00004B010000}"/>
    <cellStyle name="Ausgabe 10" xfId="1979" xr:uid="{00000000-0005-0000-0000-00004B010000}"/>
    <cellStyle name="Ausgabe 2" xfId="433" xr:uid="{00000000-0005-0000-0000-00004C010000}"/>
    <cellStyle name="Ausgabe 2 2" xfId="434" xr:uid="{00000000-0005-0000-0000-00004D010000}"/>
    <cellStyle name="Ausgabe 2 2 2" xfId="1081" xr:uid="{00000000-0005-0000-0000-00004E010000}"/>
    <cellStyle name="Ausgabe 2 2 2 2" xfId="2110" xr:uid="{00000000-0005-0000-0000-00004E010000}"/>
    <cellStyle name="Ausgabe 2 2 3" xfId="2013" xr:uid="{00000000-0005-0000-0000-00004D010000}"/>
    <cellStyle name="Ausgabe 2 3" xfId="1080" xr:uid="{00000000-0005-0000-0000-00004F010000}"/>
    <cellStyle name="Ausgabe 2 3 2" xfId="2109" xr:uid="{00000000-0005-0000-0000-00004F010000}"/>
    <cellStyle name="Ausgabe 2 4" xfId="2012" xr:uid="{00000000-0005-0000-0000-00004C010000}"/>
    <cellStyle name="Ausgabe 3" xfId="432" xr:uid="{00000000-0005-0000-0000-000050010000}"/>
    <cellStyle name="Ausgabe 3 2" xfId="2011" xr:uid="{00000000-0005-0000-0000-000050010000}"/>
    <cellStyle name="Ausgabe 4" xfId="1652" xr:uid="{00000000-0005-0000-0000-000051010000}"/>
    <cellStyle name="Ausgabe 4 2" xfId="2235" xr:uid="{00000000-0005-0000-0000-000051010000}"/>
    <cellStyle name="Ausgabe 5" xfId="1653" xr:uid="{00000000-0005-0000-0000-000052010000}"/>
    <cellStyle name="Ausgabe 5 2" xfId="2236" xr:uid="{00000000-0005-0000-0000-000052010000}"/>
    <cellStyle name="Ausgabe 6" xfId="1654" xr:uid="{00000000-0005-0000-0000-000053010000}"/>
    <cellStyle name="Ausgabe 6 2" xfId="2237" xr:uid="{00000000-0005-0000-0000-000053010000}"/>
    <cellStyle name="Ausgabe 7" xfId="1655" xr:uid="{00000000-0005-0000-0000-000054010000}"/>
    <cellStyle name="Ausgabe 7 2" xfId="2238" xr:uid="{00000000-0005-0000-0000-000054010000}"/>
    <cellStyle name="Ausgabe 8" xfId="1656" xr:uid="{00000000-0005-0000-0000-000055010000}"/>
    <cellStyle name="Ausgabe 8 2" xfId="2239" xr:uid="{00000000-0005-0000-0000-000055010000}"/>
    <cellStyle name="Ausgabe 9" xfId="1657" xr:uid="{00000000-0005-0000-0000-000056010000}"/>
    <cellStyle name="Ausgabe 9 2" xfId="2240" xr:uid="{00000000-0005-0000-0000-000056010000}"/>
    <cellStyle name="Background" xfId="55" xr:uid="{00000000-0005-0000-0000-000057010000}"/>
    <cellStyle name="Background 2" xfId="436" xr:uid="{00000000-0005-0000-0000-000058010000}"/>
    <cellStyle name="Background 2 2" xfId="437" xr:uid="{00000000-0005-0000-0000-000059010000}"/>
    <cellStyle name="Background 2 2 2" xfId="1658" xr:uid="{00000000-0005-0000-0000-00005A010000}"/>
    <cellStyle name="Background 2 3" xfId="1659" xr:uid="{00000000-0005-0000-0000-00005B010000}"/>
    <cellStyle name="Background 3" xfId="438" xr:uid="{00000000-0005-0000-0000-00005C010000}"/>
    <cellStyle name="Background 3 2" xfId="439" xr:uid="{00000000-0005-0000-0000-00005D010000}"/>
    <cellStyle name="Background 3 3" xfId="1190" xr:uid="{00000000-0005-0000-0000-00005E010000}"/>
    <cellStyle name="Background 4" xfId="435" xr:uid="{00000000-0005-0000-0000-00005F010000}"/>
    <cellStyle name="Bad 2" xfId="440" xr:uid="{00000000-0005-0000-0000-000060010000}"/>
    <cellStyle name="Bad 2 2" xfId="1660" xr:uid="{00000000-0005-0000-0000-000061010000}"/>
    <cellStyle name="Baugruppe" xfId="56" xr:uid="{00000000-0005-0000-0000-000062010000}"/>
    <cellStyle name="Baugruppe 2" xfId="442" xr:uid="{00000000-0005-0000-0000-000063010000}"/>
    <cellStyle name="Baugruppe 2 2" xfId="443" xr:uid="{00000000-0005-0000-0000-000064010000}"/>
    <cellStyle name="Baugruppe 2 2 2" xfId="2016" xr:uid="{00000000-0005-0000-0000-000064010000}"/>
    <cellStyle name="Baugruppe 2 3" xfId="1191" xr:uid="{00000000-0005-0000-0000-000065010000}"/>
    <cellStyle name="Baugruppe 2 3 2" xfId="2145" xr:uid="{00000000-0005-0000-0000-000065010000}"/>
    <cellStyle name="Baugruppe 2 4" xfId="2015" xr:uid="{00000000-0005-0000-0000-000063010000}"/>
    <cellStyle name="Baugruppe 3" xfId="444" xr:uid="{00000000-0005-0000-0000-000066010000}"/>
    <cellStyle name="Baugruppe 3 2" xfId="1661" xr:uid="{00000000-0005-0000-0000-000067010000}"/>
    <cellStyle name="Baugruppe 3 3" xfId="2017" xr:uid="{00000000-0005-0000-0000-000066010000}"/>
    <cellStyle name="Baugruppe 4" xfId="441" xr:uid="{00000000-0005-0000-0000-000068010000}"/>
    <cellStyle name="Baugruppe 4 2" xfId="2014" xr:uid="{00000000-0005-0000-0000-000068010000}"/>
    <cellStyle name="Baugruppe 5" xfId="1980" xr:uid="{00000000-0005-0000-0000-000062010000}"/>
    <cellStyle name="Berechnung" xfId="57" xr:uid="{00000000-0005-0000-0000-000069010000}"/>
    <cellStyle name="Berechnung 10" xfId="1981" xr:uid="{00000000-0005-0000-0000-000069010000}"/>
    <cellStyle name="Berechnung 2" xfId="446" xr:uid="{00000000-0005-0000-0000-00006A010000}"/>
    <cellStyle name="Berechnung 2 2" xfId="447" xr:uid="{00000000-0005-0000-0000-00006B010000}"/>
    <cellStyle name="Berechnung 2 2 2" xfId="1083" xr:uid="{00000000-0005-0000-0000-00006C010000}"/>
    <cellStyle name="Berechnung 2 2 2 2" xfId="2112" xr:uid="{00000000-0005-0000-0000-00006C010000}"/>
    <cellStyle name="Berechnung 2 2 3" xfId="2020" xr:uid="{00000000-0005-0000-0000-00006B010000}"/>
    <cellStyle name="Berechnung 2 3" xfId="1082" xr:uid="{00000000-0005-0000-0000-00006D010000}"/>
    <cellStyle name="Berechnung 2 3 2" xfId="2111" xr:uid="{00000000-0005-0000-0000-00006D010000}"/>
    <cellStyle name="Berechnung 2 4" xfId="2019" xr:uid="{00000000-0005-0000-0000-00006A010000}"/>
    <cellStyle name="Berechnung 3" xfId="445" xr:uid="{00000000-0005-0000-0000-00006E010000}"/>
    <cellStyle name="Berechnung 3 2" xfId="2018" xr:uid="{00000000-0005-0000-0000-00006E010000}"/>
    <cellStyle name="Berechnung 4" xfId="1662" xr:uid="{00000000-0005-0000-0000-00006F010000}"/>
    <cellStyle name="Berechnung 4 2" xfId="2241" xr:uid="{00000000-0005-0000-0000-00006F010000}"/>
    <cellStyle name="Berechnung 5" xfId="1663" xr:uid="{00000000-0005-0000-0000-000070010000}"/>
    <cellStyle name="Berechnung 5 2" xfId="2242" xr:uid="{00000000-0005-0000-0000-000070010000}"/>
    <cellStyle name="Berechnung 6" xfId="1664" xr:uid="{00000000-0005-0000-0000-000071010000}"/>
    <cellStyle name="Berechnung 6 2" xfId="2243" xr:uid="{00000000-0005-0000-0000-000071010000}"/>
    <cellStyle name="Berechnung 7" xfId="1665" xr:uid="{00000000-0005-0000-0000-000072010000}"/>
    <cellStyle name="Berechnung 7 2" xfId="2244" xr:uid="{00000000-0005-0000-0000-000072010000}"/>
    <cellStyle name="Berechnung 8" xfId="1666" xr:uid="{00000000-0005-0000-0000-000073010000}"/>
    <cellStyle name="Berechnung 8 2" xfId="2245" xr:uid="{00000000-0005-0000-0000-000073010000}"/>
    <cellStyle name="Berechnung 9" xfId="1667" xr:uid="{00000000-0005-0000-0000-000074010000}"/>
    <cellStyle name="Berechnung 9 2" xfId="2246" xr:uid="{00000000-0005-0000-0000-000074010000}"/>
    <cellStyle name="Calculation 2" xfId="448" xr:uid="{00000000-0005-0000-0000-000075010000}"/>
    <cellStyle name="Calculation 2 2" xfId="1084" xr:uid="{00000000-0005-0000-0000-000076010000}"/>
    <cellStyle name="Calculation 2 2 2" xfId="2113" xr:uid="{00000000-0005-0000-0000-000076010000}"/>
    <cellStyle name="Calculation 2 3" xfId="2021" xr:uid="{00000000-0005-0000-0000-000075010000}"/>
    <cellStyle name="Check Cell 2" xfId="449" xr:uid="{00000000-0005-0000-0000-000077010000}"/>
    <cellStyle name="Check Cell 2 2" xfId="1668" xr:uid="{00000000-0005-0000-0000-000078010000}"/>
    <cellStyle name="Comma" xfId="58" builtinId="3"/>
    <cellStyle name="Comma  - Style1" xfId="59" xr:uid="{00000000-0005-0000-0000-00007A010000}"/>
    <cellStyle name="Comma  - Style1 2" xfId="451" xr:uid="{00000000-0005-0000-0000-00007B010000}"/>
    <cellStyle name="Comma  - Style1 2 2" xfId="1192" xr:uid="{00000000-0005-0000-0000-00007C010000}"/>
    <cellStyle name="Comma  - Style1 2 2 2" xfId="1669" xr:uid="{00000000-0005-0000-0000-00007D010000}"/>
    <cellStyle name="Comma  - Style1 2 3" xfId="1670" xr:uid="{00000000-0005-0000-0000-00007E010000}"/>
    <cellStyle name="Comma  - Style1 3" xfId="452" xr:uid="{00000000-0005-0000-0000-00007F010000}"/>
    <cellStyle name="Comma  - Style1 3 2" xfId="1671" xr:uid="{00000000-0005-0000-0000-000080010000}"/>
    <cellStyle name="Comma  - Style1 4" xfId="450" xr:uid="{00000000-0005-0000-0000-000081010000}"/>
    <cellStyle name="Comma  - Style2" xfId="60" xr:uid="{00000000-0005-0000-0000-000082010000}"/>
    <cellStyle name="Comma  - Style2 2" xfId="454" xr:uid="{00000000-0005-0000-0000-000083010000}"/>
    <cellStyle name="Comma  - Style2 2 2" xfId="1193" xr:uid="{00000000-0005-0000-0000-000084010000}"/>
    <cellStyle name="Comma  - Style2 2 2 2" xfId="1672" xr:uid="{00000000-0005-0000-0000-000085010000}"/>
    <cellStyle name="Comma  - Style2 2 3" xfId="1673" xr:uid="{00000000-0005-0000-0000-000086010000}"/>
    <cellStyle name="Comma  - Style2 3" xfId="455" xr:uid="{00000000-0005-0000-0000-000087010000}"/>
    <cellStyle name="Comma  - Style2 3 2" xfId="1674" xr:uid="{00000000-0005-0000-0000-000088010000}"/>
    <cellStyle name="Comma  - Style2 4" xfId="453" xr:uid="{00000000-0005-0000-0000-000089010000}"/>
    <cellStyle name="Comma  - Style3" xfId="61" xr:uid="{00000000-0005-0000-0000-00008A010000}"/>
    <cellStyle name="Comma  - Style3 2" xfId="457" xr:uid="{00000000-0005-0000-0000-00008B010000}"/>
    <cellStyle name="Comma  - Style3 2 2" xfId="1194" xr:uid="{00000000-0005-0000-0000-00008C010000}"/>
    <cellStyle name="Comma  - Style3 2 2 2" xfId="1675" xr:uid="{00000000-0005-0000-0000-00008D010000}"/>
    <cellStyle name="Comma  - Style3 2 3" xfId="1676" xr:uid="{00000000-0005-0000-0000-00008E010000}"/>
    <cellStyle name="Comma  - Style3 3" xfId="458" xr:uid="{00000000-0005-0000-0000-00008F010000}"/>
    <cellStyle name="Comma  - Style3 3 2" xfId="1677" xr:uid="{00000000-0005-0000-0000-000090010000}"/>
    <cellStyle name="Comma  - Style3 4" xfId="456" xr:uid="{00000000-0005-0000-0000-000091010000}"/>
    <cellStyle name="Comma  - Style4" xfId="62" xr:uid="{00000000-0005-0000-0000-000092010000}"/>
    <cellStyle name="Comma  - Style4 2" xfId="460" xr:uid="{00000000-0005-0000-0000-000093010000}"/>
    <cellStyle name="Comma  - Style4 2 2" xfId="1195" xr:uid="{00000000-0005-0000-0000-000094010000}"/>
    <cellStyle name="Comma  - Style4 2 2 2" xfId="1678" xr:uid="{00000000-0005-0000-0000-000095010000}"/>
    <cellStyle name="Comma  - Style4 2 3" xfId="1679" xr:uid="{00000000-0005-0000-0000-000096010000}"/>
    <cellStyle name="Comma  - Style4 3" xfId="461" xr:uid="{00000000-0005-0000-0000-000097010000}"/>
    <cellStyle name="Comma  - Style4 3 2" xfId="1680" xr:uid="{00000000-0005-0000-0000-000098010000}"/>
    <cellStyle name="Comma  - Style4 4" xfId="459" xr:uid="{00000000-0005-0000-0000-000099010000}"/>
    <cellStyle name="Comma  - Style5" xfId="63" xr:uid="{00000000-0005-0000-0000-00009A010000}"/>
    <cellStyle name="Comma  - Style5 2" xfId="463" xr:uid="{00000000-0005-0000-0000-00009B010000}"/>
    <cellStyle name="Comma  - Style5 2 2" xfId="1196" xr:uid="{00000000-0005-0000-0000-00009C010000}"/>
    <cellStyle name="Comma  - Style5 2 2 2" xfId="1681" xr:uid="{00000000-0005-0000-0000-00009D010000}"/>
    <cellStyle name="Comma  - Style5 2 3" xfId="1682" xr:uid="{00000000-0005-0000-0000-00009E010000}"/>
    <cellStyle name="Comma  - Style5 3" xfId="464" xr:uid="{00000000-0005-0000-0000-00009F010000}"/>
    <cellStyle name="Comma  - Style5 3 2" xfId="1683" xr:uid="{00000000-0005-0000-0000-0000A0010000}"/>
    <cellStyle name="Comma  - Style5 4" xfId="462" xr:uid="{00000000-0005-0000-0000-0000A1010000}"/>
    <cellStyle name="Comma  - Style6" xfId="64" xr:uid="{00000000-0005-0000-0000-0000A2010000}"/>
    <cellStyle name="Comma  - Style6 2" xfId="466" xr:uid="{00000000-0005-0000-0000-0000A3010000}"/>
    <cellStyle name="Comma  - Style6 2 2" xfId="1197" xr:uid="{00000000-0005-0000-0000-0000A4010000}"/>
    <cellStyle name="Comma  - Style6 2 2 2" xfId="1684" xr:uid="{00000000-0005-0000-0000-0000A5010000}"/>
    <cellStyle name="Comma  - Style6 2 3" xfId="1685" xr:uid="{00000000-0005-0000-0000-0000A6010000}"/>
    <cellStyle name="Comma  - Style6 3" xfId="467" xr:uid="{00000000-0005-0000-0000-0000A7010000}"/>
    <cellStyle name="Comma  - Style6 3 2" xfId="1686" xr:uid="{00000000-0005-0000-0000-0000A8010000}"/>
    <cellStyle name="Comma  - Style6 4" xfId="465" xr:uid="{00000000-0005-0000-0000-0000A9010000}"/>
    <cellStyle name="Comma  - Style7" xfId="65" xr:uid="{00000000-0005-0000-0000-0000AA010000}"/>
    <cellStyle name="Comma  - Style7 2" xfId="469" xr:uid="{00000000-0005-0000-0000-0000AB010000}"/>
    <cellStyle name="Comma  - Style7 2 2" xfId="1198" xr:uid="{00000000-0005-0000-0000-0000AC010000}"/>
    <cellStyle name="Comma  - Style7 2 2 2" xfId="1687" xr:uid="{00000000-0005-0000-0000-0000AD010000}"/>
    <cellStyle name="Comma  - Style7 2 3" xfId="1688" xr:uid="{00000000-0005-0000-0000-0000AE010000}"/>
    <cellStyle name="Comma  - Style7 3" xfId="470" xr:uid="{00000000-0005-0000-0000-0000AF010000}"/>
    <cellStyle name="Comma  - Style7 3 2" xfId="1689" xr:uid="{00000000-0005-0000-0000-0000B0010000}"/>
    <cellStyle name="Comma  - Style7 4" xfId="468" xr:uid="{00000000-0005-0000-0000-0000B1010000}"/>
    <cellStyle name="Comma  - Style8" xfId="66" xr:uid="{00000000-0005-0000-0000-0000B2010000}"/>
    <cellStyle name="Comma  - Style8 2" xfId="472" xr:uid="{00000000-0005-0000-0000-0000B3010000}"/>
    <cellStyle name="Comma  - Style8 2 2" xfId="1199" xr:uid="{00000000-0005-0000-0000-0000B4010000}"/>
    <cellStyle name="Comma  - Style8 2 2 2" xfId="1690" xr:uid="{00000000-0005-0000-0000-0000B5010000}"/>
    <cellStyle name="Comma  - Style8 2 3" xfId="1691" xr:uid="{00000000-0005-0000-0000-0000B6010000}"/>
    <cellStyle name="Comma  - Style8 3" xfId="473" xr:uid="{00000000-0005-0000-0000-0000B7010000}"/>
    <cellStyle name="Comma  - Style8 3 2" xfId="1692" xr:uid="{00000000-0005-0000-0000-0000B8010000}"/>
    <cellStyle name="Comma  - Style8 4" xfId="471" xr:uid="{00000000-0005-0000-0000-0000B9010000}"/>
    <cellStyle name="Comma [0] 2" xfId="1200" xr:uid="{00000000-0005-0000-0000-0000BA010000}"/>
    <cellStyle name="Comma [0] 2 2" xfId="2146" xr:uid="{00000000-0005-0000-0000-0000BA010000}"/>
    <cellStyle name="Comma 10" xfId="474" xr:uid="{00000000-0005-0000-0000-0000BB010000}"/>
    <cellStyle name="Comma 10 2" xfId="1201" xr:uid="{00000000-0005-0000-0000-0000BC010000}"/>
    <cellStyle name="Comma 11" xfId="475" xr:uid="{00000000-0005-0000-0000-0000BD010000}"/>
    <cellStyle name="Comma 11 2" xfId="2022" xr:uid="{00000000-0005-0000-0000-0000BD010000}"/>
    <cellStyle name="Comma 12" xfId="476" xr:uid="{00000000-0005-0000-0000-0000BE010000}"/>
    <cellStyle name="Comma 12 2" xfId="1202" xr:uid="{00000000-0005-0000-0000-0000BF010000}"/>
    <cellStyle name="Comma 12 2 2" xfId="2147" xr:uid="{00000000-0005-0000-0000-0000BF010000}"/>
    <cellStyle name="Comma 12 3" xfId="2023" xr:uid="{00000000-0005-0000-0000-0000BE010000}"/>
    <cellStyle name="Comma 13" xfId="477" xr:uid="{00000000-0005-0000-0000-0000C0010000}"/>
    <cellStyle name="Comma 13 2" xfId="1203" xr:uid="{00000000-0005-0000-0000-0000C1010000}"/>
    <cellStyle name="Comma 14" xfId="1204" xr:uid="{00000000-0005-0000-0000-0000C2010000}"/>
    <cellStyle name="Comma 14 2" xfId="2148" xr:uid="{00000000-0005-0000-0000-0000C2010000}"/>
    <cellStyle name="Comma 15" xfId="1205" xr:uid="{00000000-0005-0000-0000-0000C3010000}"/>
    <cellStyle name="Comma 15 2" xfId="1206" xr:uid="{00000000-0005-0000-0000-0000C4010000}"/>
    <cellStyle name="Comma 15 2 2" xfId="2150" xr:uid="{00000000-0005-0000-0000-0000C4010000}"/>
    <cellStyle name="Comma 15 3" xfId="2149" xr:uid="{00000000-0005-0000-0000-0000C3010000}"/>
    <cellStyle name="Comma 16" xfId="1207" xr:uid="{00000000-0005-0000-0000-0000C5010000}"/>
    <cellStyle name="Comma 16 2" xfId="2151" xr:uid="{00000000-0005-0000-0000-0000C5010000}"/>
    <cellStyle name="Comma 17" xfId="1208" xr:uid="{00000000-0005-0000-0000-0000C6010000}"/>
    <cellStyle name="Comma 17 2" xfId="2152" xr:uid="{00000000-0005-0000-0000-0000C6010000}"/>
    <cellStyle name="Comma 18" xfId="1209" xr:uid="{00000000-0005-0000-0000-0000C7010000}"/>
    <cellStyle name="Comma 18 2" xfId="2153" xr:uid="{00000000-0005-0000-0000-0000C7010000}"/>
    <cellStyle name="Comma 19" xfId="1210" xr:uid="{00000000-0005-0000-0000-0000C8010000}"/>
    <cellStyle name="Comma 19 2" xfId="2154" xr:uid="{00000000-0005-0000-0000-0000C8010000}"/>
    <cellStyle name="Comma 2" xfId="67" xr:uid="{00000000-0005-0000-0000-0000C9010000}"/>
    <cellStyle name="Comma 2 2" xfId="479" xr:uid="{00000000-0005-0000-0000-0000CA010000}"/>
    <cellStyle name="Comma 2 2 2" xfId="480" xr:uid="{00000000-0005-0000-0000-0000CB010000}"/>
    <cellStyle name="Comma 2 2 2 2" xfId="2026" xr:uid="{00000000-0005-0000-0000-0000CB010000}"/>
    <cellStyle name="Comma 2 2 3" xfId="481" xr:uid="{00000000-0005-0000-0000-0000CC010000}"/>
    <cellStyle name="Comma 2 2 3 2" xfId="2027" xr:uid="{00000000-0005-0000-0000-0000CC010000}"/>
    <cellStyle name="Comma 2 2 4" xfId="2025" xr:uid="{00000000-0005-0000-0000-0000CA010000}"/>
    <cellStyle name="Comma 2 3" xfId="482" xr:uid="{00000000-0005-0000-0000-0000CD010000}"/>
    <cellStyle name="Comma 2 3 2" xfId="1211" xr:uid="{00000000-0005-0000-0000-0000CE010000}"/>
    <cellStyle name="Comma 2 3 2 2" xfId="2155" xr:uid="{00000000-0005-0000-0000-0000CE010000}"/>
    <cellStyle name="Comma 2 3 3" xfId="2028" xr:uid="{00000000-0005-0000-0000-0000CD010000}"/>
    <cellStyle name="Comma 2 4" xfId="483" xr:uid="{00000000-0005-0000-0000-0000CF010000}"/>
    <cellStyle name="Comma 2 4 2" xfId="2029" xr:uid="{00000000-0005-0000-0000-0000CF010000}"/>
    <cellStyle name="Comma 2 5" xfId="484" xr:uid="{00000000-0005-0000-0000-0000D0010000}"/>
    <cellStyle name="Comma 2 5 2" xfId="2030" xr:uid="{00000000-0005-0000-0000-0000D0010000}"/>
    <cellStyle name="Comma 2 6" xfId="478" xr:uid="{00000000-0005-0000-0000-0000D1010000}"/>
    <cellStyle name="Comma 2 6 2" xfId="2024" xr:uid="{00000000-0005-0000-0000-0000D1010000}"/>
    <cellStyle name="Comma 2 7" xfId="1212" xr:uid="{00000000-0005-0000-0000-0000D2010000}"/>
    <cellStyle name="Comma 2 7 2" xfId="2156" xr:uid="{00000000-0005-0000-0000-0000D2010000}"/>
    <cellStyle name="Comma 2 8" xfId="1983" xr:uid="{00000000-0005-0000-0000-0000C9010000}"/>
    <cellStyle name="Comma 20" xfId="1213" xr:uid="{00000000-0005-0000-0000-0000D3010000}"/>
    <cellStyle name="Comma 20 2" xfId="2157" xr:uid="{00000000-0005-0000-0000-0000D3010000}"/>
    <cellStyle name="Comma 21" xfId="1214" xr:uid="{00000000-0005-0000-0000-0000D4010000}"/>
    <cellStyle name="Comma 21 2" xfId="2158" xr:uid="{00000000-0005-0000-0000-0000D4010000}"/>
    <cellStyle name="Comma 22" xfId="1215" xr:uid="{00000000-0005-0000-0000-0000D5010000}"/>
    <cellStyle name="Comma 22 2" xfId="2159" xr:uid="{00000000-0005-0000-0000-0000D5010000}"/>
    <cellStyle name="Comma 23" xfId="1216" xr:uid="{00000000-0005-0000-0000-0000D6010000}"/>
    <cellStyle name="Comma 23 2" xfId="2160" xr:uid="{00000000-0005-0000-0000-0000D6010000}"/>
    <cellStyle name="Comma 24" xfId="1217" xr:uid="{00000000-0005-0000-0000-0000D7010000}"/>
    <cellStyle name="Comma 24 2" xfId="2161" xr:uid="{00000000-0005-0000-0000-0000D7010000}"/>
    <cellStyle name="Comma 25" xfId="1218" xr:uid="{00000000-0005-0000-0000-0000D8010000}"/>
    <cellStyle name="Comma 25 2" xfId="2162" xr:uid="{00000000-0005-0000-0000-0000D8010000}"/>
    <cellStyle name="Comma 26" xfId="1219" xr:uid="{00000000-0005-0000-0000-0000D9010000}"/>
    <cellStyle name="Comma 26 2" xfId="2163" xr:uid="{00000000-0005-0000-0000-0000D9010000}"/>
    <cellStyle name="Comma 27" xfId="1220" xr:uid="{00000000-0005-0000-0000-0000DA010000}"/>
    <cellStyle name="Comma 27 2" xfId="2164" xr:uid="{00000000-0005-0000-0000-0000DA010000}"/>
    <cellStyle name="Comma 28" xfId="1221" xr:uid="{00000000-0005-0000-0000-0000DB010000}"/>
    <cellStyle name="Comma 28 2" xfId="2165" xr:uid="{00000000-0005-0000-0000-0000DB010000}"/>
    <cellStyle name="Comma 29" xfId="1222" xr:uid="{00000000-0005-0000-0000-0000DC010000}"/>
    <cellStyle name="Comma 3" xfId="68" xr:uid="{00000000-0005-0000-0000-0000DD010000}"/>
    <cellStyle name="Comma 3 2" xfId="486" xr:uid="{00000000-0005-0000-0000-0000DE010000}"/>
    <cellStyle name="Comma 3 2 2" xfId="487" xr:uid="{00000000-0005-0000-0000-0000DF010000}"/>
    <cellStyle name="Comma 3 2 2 2" xfId="1223" xr:uid="{00000000-0005-0000-0000-0000E0010000}"/>
    <cellStyle name="Comma 3 2 2 2 2" xfId="1693" xr:uid="{00000000-0005-0000-0000-0000E1010000}"/>
    <cellStyle name="Comma 3 2 2 2 2 2" xfId="2247" xr:uid="{00000000-0005-0000-0000-0000E1010000}"/>
    <cellStyle name="Comma 3 2 2 2 3" xfId="2166" xr:uid="{00000000-0005-0000-0000-0000E0010000}"/>
    <cellStyle name="Comma 3 2 2 3" xfId="1694" xr:uid="{00000000-0005-0000-0000-0000E2010000}"/>
    <cellStyle name="Comma 3 2 2 3 2" xfId="2248" xr:uid="{00000000-0005-0000-0000-0000E2010000}"/>
    <cellStyle name="Comma 3 2 2 4" xfId="2033" xr:uid="{00000000-0005-0000-0000-0000DF010000}"/>
    <cellStyle name="Comma 3 2 3" xfId="1224" xr:uid="{00000000-0005-0000-0000-0000E3010000}"/>
    <cellStyle name="Comma 3 2 3 2" xfId="1695" xr:uid="{00000000-0005-0000-0000-0000E4010000}"/>
    <cellStyle name="Comma 3 2 3 2 2" xfId="2249" xr:uid="{00000000-0005-0000-0000-0000E4010000}"/>
    <cellStyle name="Comma 3 2 3 3" xfId="2167" xr:uid="{00000000-0005-0000-0000-0000E3010000}"/>
    <cellStyle name="Comma 3 2 4" xfId="1225" xr:uid="{00000000-0005-0000-0000-0000E5010000}"/>
    <cellStyle name="Comma 3 2 4 2" xfId="2168" xr:uid="{00000000-0005-0000-0000-0000E5010000}"/>
    <cellStyle name="Comma 3 2 5" xfId="2032" xr:uid="{00000000-0005-0000-0000-0000DE010000}"/>
    <cellStyle name="Comma 3 3" xfId="488" xr:uid="{00000000-0005-0000-0000-0000E6010000}"/>
    <cellStyle name="Comma 3 3 2" xfId="1226" xr:uid="{00000000-0005-0000-0000-0000E7010000}"/>
    <cellStyle name="Comma 3 3 2 2" xfId="2169" xr:uid="{00000000-0005-0000-0000-0000E7010000}"/>
    <cellStyle name="Comma 3 3 3" xfId="2034" xr:uid="{00000000-0005-0000-0000-0000E6010000}"/>
    <cellStyle name="Comma 3 4" xfId="489" xr:uid="{00000000-0005-0000-0000-0000E8010000}"/>
    <cellStyle name="Comma 3 4 2" xfId="2035" xr:uid="{00000000-0005-0000-0000-0000E8010000}"/>
    <cellStyle name="Comma 3 5" xfId="485" xr:uid="{00000000-0005-0000-0000-0000E9010000}"/>
    <cellStyle name="Comma 3 5 2" xfId="2031" xr:uid="{00000000-0005-0000-0000-0000E9010000}"/>
    <cellStyle name="Comma 3 6" xfId="1984" xr:uid="{00000000-0005-0000-0000-0000DD010000}"/>
    <cellStyle name="Comma 30" xfId="1227" xr:uid="{00000000-0005-0000-0000-0000EA010000}"/>
    <cellStyle name="Comma 30 2" xfId="2170" xr:uid="{00000000-0005-0000-0000-0000EA010000}"/>
    <cellStyle name="Comma 31" xfId="1228" xr:uid="{00000000-0005-0000-0000-0000EB010000}"/>
    <cellStyle name="Comma 31 2" xfId="2171" xr:uid="{00000000-0005-0000-0000-0000EB010000}"/>
    <cellStyle name="Comma 32" xfId="1229" xr:uid="{00000000-0005-0000-0000-0000EC010000}"/>
    <cellStyle name="Comma 32 2" xfId="2172" xr:uid="{00000000-0005-0000-0000-0000EC010000}"/>
    <cellStyle name="Comma 33" xfId="1230" xr:uid="{00000000-0005-0000-0000-0000ED010000}"/>
    <cellStyle name="Comma 33 2" xfId="2173" xr:uid="{00000000-0005-0000-0000-0000ED010000}"/>
    <cellStyle name="Comma 34" xfId="1231" xr:uid="{00000000-0005-0000-0000-0000EE010000}"/>
    <cellStyle name="Comma 34 2" xfId="2174" xr:uid="{00000000-0005-0000-0000-0000EE010000}"/>
    <cellStyle name="Comma 35" xfId="1232" xr:uid="{00000000-0005-0000-0000-0000EF010000}"/>
    <cellStyle name="Comma 35 2" xfId="2175" xr:uid="{00000000-0005-0000-0000-0000EF010000}"/>
    <cellStyle name="Comma 36" xfId="1233" xr:uid="{00000000-0005-0000-0000-0000F0010000}"/>
    <cellStyle name="Comma 36 2" xfId="2176" xr:uid="{00000000-0005-0000-0000-0000F0010000}"/>
    <cellStyle name="Comma 37" xfId="1234" xr:uid="{00000000-0005-0000-0000-0000F1010000}"/>
    <cellStyle name="Comma 37 2" xfId="2177" xr:uid="{00000000-0005-0000-0000-0000F1010000}"/>
    <cellStyle name="Comma 38" xfId="1235" xr:uid="{00000000-0005-0000-0000-0000F2010000}"/>
    <cellStyle name="Comma 38 2" xfId="2178" xr:uid="{00000000-0005-0000-0000-0000F2010000}"/>
    <cellStyle name="Comma 39" xfId="1236" xr:uid="{00000000-0005-0000-0000-0000F3010000}"/>
    <cellStyle name="Comma 39 2" xfId="2179" xr:uid="{00000000-0005-0000-0000-0000F3010000}"/>
    <cellStyle name="Comma 4" xfId="69" xr:uid="{00000000-0005-0000-0000-0000F4010000}"/>
    <cellStyle name="Comma 4 2" xfId="490" xr:uid="{00000000-0005-0000-0000-0000F5010000}"/>
    <cellStyle name="Comma 4 2 2" xfId="1237" xr:uid="{00000000-0005-0000-0000-0000F6010000}"/>
    <cellStyle name="Comma 4 2 2 2" xfId="1696" xr:uid="{00000000-0005-0000-0000-0000F7010000}"/>
    <cellStyle name="Comma 4 2 2 2 2" xfId="2250" xr:uid="{00000000-0005-0000-0000-0000F7010000}"/>
    <cellStyle name="Comma 4 2 2 3" xfId="2180" xr:uid="{00000000-0005-0000-0000-0000F6010000}"/>
    <cellStyle name="Comma 4 2 3" xfId="1238" xr:uid="{00000000-0005-0000-0000-0000F8010000}"/>
    <cellStyle name="Comma 4 2 3 2" xfId="2181" xr:uid="{00000000-0005-0000-0000-0000F8010000}"/>
    <cellStyle name="Comma 4 2 4" xfId="2036" xr:uid="{00000000-0005-0000-0000-0000F5010000}"/>
    <cellStyle name="Comma 4 3" xfId="491" xr:uid="{00000000-0005-0000-0000-0000F9010000}"/>
    <cellStyle name="Comma 4 3 2" xfId="1239" xr:uid="{00000000-0005-0000-0000-0000FA010000}"/>
    <cellStyle name="Comma 4 3 2 2" xfId="2182" xr:uid="{00000000-0005-0000-0000-0000FA010000}"/>
    <cellStyle name="Comma 4 3 3" xfId="2037" xr:uid="{00000000-0005-0000-0000-0000F9010000}"/>
    <cellStyle name="Comma 4 4" xfId="492" xr:uid="{00000000-0005-0000-0000-0000FB010000}"/>
    <cellStyle name="Comma 4 4 2" xfId="1240" xr:uid="{00000000-0005-0000-0000-0000FC010000}"/>
    <cellStyle name="Comma 4 4 2 2" xfId="2183" xr:uid="{00000000-0005-0000-0000-0000FC010000}"/>
    <cellStyle name="Comma 4 4 3" xfId="2038" xr:uid="{00000000-0005-0000-0000-0000FB010000}"/>
    <cellStyle name="Comma 4 5" xfId="1241" xr:uid="{00000000-0005-0000-0000-0000FD010000}"/>
    <cellStyle name="Comma 4 5 2" xfId="2184" xr:uid="{00000000-0005-0000-0000-0000FD010000}"/>
    <cellStyle name="Comma 4 6" xfId="1242" xr:uid="{00000000-0005-0000-0000-0000FE010000}"/>
    <cellStyle name="Comma 4 6 2" xfId="2185" xr:uid="{00000000-0005-0000-0000-0000FE010000}"/>
    <cellStyle name="Comma 4 7" xfId="1985" xr:uid="{00000000-0005-0000-0000-0000F4010000}"/>
    <cellStyle name="Comma 40" xfId="1243" xr:uid="{00000000-0005-0000-0000-0000FF010000}"/>
    <cellStyle name="Comma 40 2" xfId="2186" xr:uid="{00000000-0005-0000-0000-0000FF010000}"/>
    <cellStyle name="Comma 41" xfId="1244" xr:uid="{00000000-0005-0000-0000-000000020000}"/>
    <cellStyle name="Comma 41 2" xfId="2187" xr:uid="{00000000-0005-0000-0000-000000020000}"/>
    <cellStyle name="Comma 42" xfId="1245" xr:uid="{00000000-0005-0000-0000-000001020000}"/>
    <cellStyle name="Comma 42 2" xfId="2188" xr:uid="{00000000-0005-0000-0000-000001020000}"/>
    <cellStyle name="Comma 43" xfId="1246" xr:uid="{00000000-0005-0000-0000-000002020000}"/>
    <cellStyle name="Comma 43 2" xfId="2189" xr:uid="{00000000-0005-0000-0000-000002020000}"/>
    <cellStyle name="Comma 44" xfId="1247" xr:uid="{00000000-0005-0000-0000-000003020000}"/>
    <cellStyle name="Comma 44 2" xfId="2190" xr:uid="{00000000-0005-0000-0000-000003020000}"/>
    <cellStyle name="Comma 45" xfId="1248" xr:uid="{00000000-0005-0000-0000-000004020000}"/>
    <cellStyle name="Comma 45 2" xfId="2191" xr:uid="{00000000-0005-0000-0000-000004020000}"/>
    <cellStyle name="Comma 46" xfId="1249" xr:uid="{00000000-0005-0000-0000-000005020000}"/>
    <cellStyle name="Comma 46 2" xfId="2192" xr:uid="{00000000-0005-0000-0000-000005020000}"/>
    <cellStyle name="Comma 47" xfId="1250" xr:uid="{00000000-0005-0000-0000-000006020000}"/>
    <cellStyle name="Comma 47 2" xfId="2193" xr:uid="{00000000-0005-0000-0000-000006020000}"/>
    <cellStyle name="Comma 48" xfId="1251" xr:uid="{00000000-0005-0000-0000-000007020000}"/>
    <cellStyle name="Comma 48 2" xfId="2194" xr:uid="{00000000-0005-0000-0000-000007020000}"/>
    <cellStyle name="Comma 49" xfId="1252" xr:uid="{00000000-0005-0000-0000-000008020000}"/>
    <cellStyle name="Comma 49 2" xfId="2195" xr:uid="{00000000-0005-0000-0000-000008020000}"/>
    <cellStyle name="Comma 5" xfId="282" xr:uid="{00000000-0005-0000-0000-000009020000}"/>
    <cellStyle name="Comma 5 2" xfId="493" xr:uid="{00000000-0005-0000-0000-00000A020000}"/>
    <cellStyle name="Comma 5 2 2" xfId="1253" xr:uid="{00000000-0005-0000-0000-00000B020000}"/>
    <cellStyle name="Comma 5 2 2 2" xfId="1697" xr:uid="{00000000-0005-0000-0000-00000C020000}"/>
    <cellStyle name="Comma 5 2 2 2 2" xfId="2251" xr:uid="{00000000-0005-0000-0000-00000C020000}"/>
    <cellStyle name="Comma 5 2 2 3" xfId="2196" xr:uid="{00000000-0005-0000-0000-00000B020000}"/>
    <cellStyle name="Comma 5 2 3" xfId="1254" xr:uid="{00000000-0005-0000-0000-00000D020000}"/>
    <cellStyle name="Comma 5 2 3 2" xfId="2197" xr:uid="{00000000-0005-0000-0000-00000D020000}"/>
    <cellStyle name="Comma 5 2 4" xfId="2039" xr:uid="{00000000-0005-0000-0000-00000A020000}"/>
    <cellStyle name="Comma 5 3" xfId="1255" xr:uid="{00000000-0005-0000-0000-00000E020000}"/>
    <cellStyle name="Comma 5 3 2" xfId="1698" xr:uid="{00000000-0005-0000-0000-00000F020000}"/>
    <cellStyle name="Comma 5 3 2 2" xfId="2252" xr:uid="{00000000-0005-0000-0000-00000F020000}"/>
    <cellStyle name="Comma 5 3 3" xfId="2198" xr:uid="{00000000-0005-0000-0000-00000E020000}"/>
    <cellStyle name="Comma 5 4" xfId="1256" xr:uid="{00000000-0005-0000-0000-000010020000}"/>
    <cellStyle name="Comma 5 4 2" xfId="2199" xr:uid="{00000000-0005-0000-0000-000010020000}"/>
    <cellStyle name="Comma 5 5" xfId="2005" xr:uid="{00000000-0005-0000-0000-000009020000}"/>
    <cellStyle name="Comma 50" xfId="1257" xr:uid="{00000000-0005-0000-0000-000011020000}"/>
    <cellStyle name="Comma 51" xfId="1699" xr:uid="{00000000-0005-0000-0000-000012020000}"/>
    <cellStyle name="Comma 51 2" xfId="2253" xr:uid="{00000000-0005-0000-0000-000012020000}"/>
    <cellStyle name="Comma 52" xfId="1571" xr:uid="{00000000-0005-0000-0000-000013020000}"/>
    <cellStyle name="Comma 52 2" xfId="2229" xr:uid="{00000000-0005-0000-0000-000013020000}"/>
    <cellStyle name="Comma 53" xfId="1700" xr:uid="{00000000-0005-0000-0000-000014020000}"/>
    <cellStyle name="Comma 53 2" xfId="2254" xr:uid="{00000000-0005-0000-0000-000014020000}"/>
    <cellStyle name="Comma 54" xfId="1982" xr:uid="{00000000-0005-0000-0000-0000AA010000}"/>
    <cellStyle name="Comma 55" xfId="1974" xr:uid="{00000000-0005-0000-0000-000005080000}"/>
    <cellStyle name="Comma 56" xfId="2305" xr:uid="{00000000-0005-0000-0000-000059090000}"/>
    <cellStyle name="Comma 57" xfId="2341" xr:uid="{00000000-0005-0000-0000-00005C090000}"/>
    <cellStyle name="Comma 58" xfId="2304" xr:uid="{00000000-0005-0000-0000-00005F090000}"/>
    <cellStyle name="Comma 59" xfId="2344" xr:uid="{00000000-0005-0000-0000-000050090000}"/>
    <cellStyle name="Comma 6" xfId="494" xr:uid="{00000000-0005-0000-0000-000015020000}"/>
    <cellStyle name="Comma 6 2" xfId="495" xr:uid="{00000000-0005-0000-0000-000016020000}"/>
    <cellStyle name="Comma 6 2 2" xfId="1258" xr:uid="{00000000-0005-0000-0000-000017020000}"/>
    <cellStyle name="Comma 6 2 2 2" xfId="1701" xr:uid="{00000000-0005-0000-0000-000018020000}"/>
    <cellStyle name="Comma 6 2 2 2 2" xfId="2255" xr:uid="{00000000-0005-0000-0000-000018020000}"/>
    <cellStyle name="Comma 6 2 2 3" xfId="2200" xr:uid="{00000000-0005-0000-0000-000017020000}"/>
    <cellStyle name="Comma 6 2 3" xfId="1259" xr:uid="{00000000-0005-0000-0000-000019020000}"/>
    <cellStyle name="Comma 6 2 3 2" xfId="2201" xr:uid="{00000000-0005-0000-0000-000019020000}"/>
    <cellStyle name="Comma 6 2 4" xfId="2041" xr:uid="{00000000-0005-0000-0000-000016020000}"/>
    <cellStyle name="Comma 6 3" xfId="496" xr:uid="{00000000-0005-0000-0000-00001A020000}"/>
    <cellStyle name="Comma 6 3 2" xfId="1260" xr:uid="{00000000-0005-0000-0000-00001B020000}"/>
    <cellStyle name="Comma 6 4" xfId="1261" xr:uid="{00000000-0005-0000-0000-00001C020000}"/>
    <cellStyle name="Comma 6 4 2" xfId="2202" xr:uid="{00000000-0005-0000-0000-00001C020000}"/>
    <cellStyle name="Comma 6 5" xfId="2040" xr:uid="{00000000-0005-0000-0000-000015020000}"/>
    <cellStyle name="Comma 60" xfId="2347" xr:uid="{00000000-0005-0000-0000-000054090000}"/>
    <cellStyle name="Comma 7" xfId="497" xr:uid="{00000000-0005-0000-0000-00001D020000}"/>
    <cellStyle name="Comma 7 2" xfId="498" xr:uid="{00000000-0005-0000-0000-00001E020000}"/>
    <cellStyle name="Comma 7 2 2" xfId="1262" xr:uid="{00000000-0005-0000-0000-00001F020000}"/>
    <cellStyle name="Comma 7 2 2 2" xfId="1702" xr:uid="{00000000-0005-0000-0000-000020020000}"/>
    <cellStyle name="Comma 7 2 2 2 2" xfId="2256" xr:uid="{00000000-0005-0000-0000-000020020000}"/>
    <cellStyle name="Comma 7 2 2 3" xfId="2203" xr:uid="{00000000-0005-0000-0000-00001F020000}"/>
    <cellStyle name="Comma 7 2 3" xfId="1263" xr:uid="{00000000-0005-0000-0000-000021020000}"/>
    <cellStyle name="Comma 7 2 3 2" xfId="2204" xr:uid="{00000000-0005-0000-0000-000021020000}"/>
    <cellStyle name="Comma 7 2 4" xfId="2043" xr:uid="{00000000-0005-0000-0000-00001E020000}"/>
    <cellStyle name="Comma 7 3" xfId="1264" xr:uid="{00000000-0005-0000-0000-000022020000}"/>
    <cellStyle name="Comma 7 3 2" xfId="1703" xr:uid="{00000000-0005-0000-0000-000023020000}"/>
    <cellStyle name="Comma 7 3 2 2" xfId="2257" xr:uid="{00000000-0005-0000-0000-000023020000}"/>
    <cellStyle name="Comma 7 3 3" xfId="2205" xr:uid="{00000000-0005-0000-0000-000022020000}"/>
    <cellStyle name="Comma 7 4" xfId="1265" xr:uid="{00000000-0005-0000-0000-000024020000}"/>
    <cellStyle name="Comma 7 4 2" xfId="2206" xr:uid="{00000000-0005-0000-0000-000024020000}"/>
    <cellStyle name="Comma 7 5" xfId="2042" xr:uid="{00000000-0005-0000-0000-00001D020000}"/>
    <cellStyle name="Comma 8" xfId="499" xr:uid="{00000000-0005-0000-0000-000025020000}"/>
    <cellStyle name="Comma 8 2" xfId="1266" xr:uid="{00000000-0005-0000-0000-000026020000}"/>
    <cellStyle name="Comma 8 2 2" xfId="1267" xr:uid="{00000000-0005-0000-0000-000027020000}"/>
    <cellStyle name="Comma 8 3" xfId="1704" xr:uid="{00000000-0005-0000-0000-000028020000}"/>
    <cellStyle name="Comma 9" xfId="500" xr:uid="{00000000-0005-0000-0000-000029020000}"/>
    <cellStyle name="Comma 9 2" xfId="501" xr:uid="{00000000-0005-0000-0000-00002A020000}"/>
    <cellStyle name="Comma 9 2 2" xfId="502" xr:uid="{00000000-0005-0000-0000-00002B020000}"/>
    <cellStyle name="Comma 9 2 3" xfId="1268" xr:uid="{00000000-0005-0000-0000-00002C020000}"/>
    <cellStyle name="Comma 9 2 3 2" xfId="2207" xr:uid="{00000000-0005-0000-0000-00002C020000}"/>
    <cellStyle name="Comma 9 2 4" xfId="2045" xr:uid="{00000000-0005-0000-0000-00002A020000}"/>
    <cellStyle name="Comma 9 3" xfId="503" xr:uid="{00000000-0005-0000-0000-00002D020000}"/>
    <cellStyle name="Comma 9 3 2" xfId="1269" xr:uid="{00000000-0005-0000-0000-00002E020000}"/>
    <cellStyle name="Comma 9 3 2 2" xfId="2208" xr:uid="{00000000-0005-0000-0000-00002E020000}"/>
    <cellStyle name="Comma 9 3 3" xfId="2046" xr:uid="{00000000-0005-0000-0000-00002D020000}"/>
    <cellStyle name="Comma 9 4" xfId="1270" xr:uid="{00000000-0005-0000-0000-00002F020000}"/>
    <cellStyle name="Comma 9 4 2" xfId="2209" xr:uid="{00000000-0005-0000-0000-00002F020000}"/>
    <cellStyle name="Comma 9 5" xfId="2044" xr:uid="{00000000-0005-0000-0000-000029020000}"/>
    <cellStyle name="Comma_Oscar53-E" xfId="70" xr:uid="{00000000-0005-0000-0000-000030020000}"/>
    <cellStyle name="Comma0" xfId="1117" xr:uid="{00000000-0005-0000-0000-000031020000}"/>
    <cellStyle name="Comma0 - Style3" xfId="71" xr:uid="{00000000-0005-0000-0000-000032020000}"/>
    <cellStyle name="Comma0 - Style3 2" xfId="504" xr:uid="{00000000-0005-0000-0000-000033020000}"/>
    <cellStyle name="Comma0 - Style3 2 2" xfId="505" xr:uid="{00000000-0005-0000-0000-000034020000}"/>
    <cellStyle name="Comma0 - Style3 2 3" xfId="1271" xr:uid="{00000000-0005-0000-0000-000035020000}"/>
    <cellStyle name="Comma0 - Style3 3" xfId="1705" xr:uid="{00000000-0005-0000-0000-000036020000}"/>
    <cellStyle name="Comma0_As sold PBCS" xfId="72" xr:uid="{00000000-0005-0000-0000-000037020000}"/>
    <cellStyle name="Comma1 - Style1" xfId="73" xr:uid="{00000000-0005-0000-0000-000038020000}"/>
    <cellStyle name="Comma1 - Style1 2" xfId="506" xr:uid="{00000000-0005-0000-0000-000039020000}"/>
    <cellStyle name="Comma1 - Style1 2 2" xfId="507" xr:uid="{00000000-0005-0000-0000-00003A020000}"/>
    <cellStyle name="Comma1 - Style1 2 3" xfId="1272" xr:uid="{00000000-0005-0000-0000-00003B020000}"/>
    <cellStyle name="Comma1 - Style1 3" xfId="1706" xr:uid="{00000000-0005-0000-0000-00003C020000}"/>
    <cellStyle name="country" xfId="74" xr:uid="{00000000-0005-0000-0000-00003D020000}"/>
    <cellStyle name="country 2" xfId="508" xr:uid="{00000000-0005-0000-0000-00003E020000}"/>
    <cellStyle name="country 2 2" xfId="509" xr:uid="{00000000-0005-0000-0000-00003F020000}"/>
    <cellStyle name="country 2 3" xfId="1273" xr:uid="{00000000-0005-0000-0000-000040020000}"/>
    <cellStyle name="country 3" xfId="1707" xr:uid="{00000000-0005-0000-0000-000041020000}"/>
    <cellStyle name="Currency0" xfId="1118" xr:uid="{00000000-0005-0000-0000-000042020000}"/>
    <cellStyle name="Date" xfId="1119" xr:uid="{00000000-0005-0000-0000-000043020000}"/>
    <cellStyle name="Datum" xfId="75" xr:uid="{00000000-0005-0000-0000-000044020000}"/>
    <cellStyle name="Datum 2" xfId="510" xr:uid="{00000000-0005-0000-0000-000045020000}"/>
    <cellStyle name="Datum 2 2" xfId="511" xr:uid="{00000000-0005-0000-0000-000046020000}"/>
    <cellStyle name="Datum 2 3" xfId="1274" xr:uid="{00000000-0005-0000-0000-000047020000}"/>
    <cellStyle name="Datum 3" xfId="512" xr:uid="{00000000-0005-0000-0000-000048020000}"/>
    <cellStyle name="Datum 3 2" xfId="1708" xr:uid="{00000000-0005-0000-0000-000049020000}"/>
    <cellStyle name="Datum 4" xfId="1709" xr:uid="{00000000-0005-0000-0000-00004A020000}"/>
    <cellStyle name="Default Input" xfId="76" xr:uid="{00000000-0005-0000-0000-00004B020000}"/>
    <cellStyle name="Default Input 2" xfId="513" xr:uid="{00000000-0005-0000-0000-00004C020000}"/>
    <cellStyle name="Default Input 2 2" xfId="514" xr:uid="{00000000-0005-0000-0000-00004D020000}"/>
    <cellStyle name="Default Input 2 3" xfId="1275" xr:uid="{00000000-0005-0000-0000-00004E020000}"/>
    <cellStyle name="Default Input 3" xfId="1710" xr:uid="{00000000-0005-0000-0000-00004F020000}"/>
    <cellStyle name="DefaultInput" xfId="77" xr:uid="{00000000-0005-0000-0000-000050020000}"/>
    <cellStyle name="DefaultInput 2" xfId="515" xr:uid="{00000000-0005-0000-0000-000051020000}"/>
    <cellStyle name="DefaultInput 2 2" xfId="516" xr:uid="{00000000-0005-0000-0000-000052020000}"/>
    <cellStyle name="DefaultInput 2 3" xfId="1276" xr:uid="{00000000-0005-0000-0000-000053020000}"/>
    <cellStyle name="DefaultInput 3" xfId="1711" xr:uid="{00000000-0005-0000-0000-000054020000}"/>
    <cellStyle name="Dezimal [0]_98PGES" xfId="78" xr:uid="{00000000-0005-0000-0000-000055020000}"/>
    <cellStyle name="Dezimal_98PGES" xfId="79" xr:uid="{00000000-0005-0000-0000-000056020000}"/>
    <cellStyle name="Dziesiętny [0]_Arkusz1" xfId="80" xr:uid="{00000000-0005-0000-0000-000057020000}"/>
    <cellStyle name="Dziesiętny_Arkusz1" xfId="81" xr:uid="{00000000-0005-0000-0000-000058020000}"/>
    <cellStyle name="Eingabe" xfId="82" xr:uid="{00000000-0005-0000-0000-000059020000}"/>
    <cellStyle name="Eingabe 10" xfId="1986" xr:uid="{00000000-0005-0000-0000-000059020000}"/>
    <cellStyle name="Eingabe 2" xfId="518" xr:uid="{00000000-0005-0000-0000-00005A020000}"/>
    <cellStyle name="Eingabe 2 2" xfId="519" xr:uid="{00000000-0005-0000-0000-00005B020000}"/>
    <cellStyle name="Eingabe 2 2 2" xfId="1086" xr:uid="{00000000-0005-0000-0000-00005C020000}"/>
    <cellStyle name="Eingabe 2 2 2 2" xfId="2115" xr:uid="{00000000-0005-0000-0000-00005C020000}"/>
    <cellStyle name="Eingabe 2 2 3" xfId="2049" xr:uid="{00000000-0005-0000-0000-00005B020000}"/>
    <cellStyle name="Eingabe 2 3" xfId="1085" xr:uid="{00000000-0005-0000-0000-00005D020000}"/>
    <cellStyle name="Eingabe 2 3 2" xfId="2114" xr:uid="{00000000-0005-0000-0000-00005D020000}"/>
    <cellStyle name="Eingabe 2 4" xfId="2048" xr:uid="{00000000-0005-0000-0000-00005A020000}"/>
    <cellStyle name="Eingabe 3" xfId="517" xr:uid="{00000000-0005-0000-0000-00005E020000}"/>
    <cellStyle name="Eingabe 3 2" xfId="2047" xr:uid="{00000000-0005-0000-0000-00005E020000}"/>
    <cellStyle name="Eingabe 4" xfId="1712" xr:uid="{00000000-0005-0000-0000-00005F020000}"/>
    <cellStyle name="Eingabe 4 2" xfId="2258" xr:uid="{00000000-0005-0000-0000-00005F020000}"/>
    <cellStyle name="Eingabe 5" xfId="1713" xr:uid="{00000000-0005-0000-0000-000060020000}"/>
    <cellStyle name="Eingabe 5 2" xfId="2259" xr:uid="{00000000-0005-0000-0000-000060020000}"/>
    <cellStyle name="Eingabe 6" xfId="1714" xr:uid="{00000000-0005-0000-0000-000061020000}"/>
    <cellStyle name="Eingabe 6 2" xfId="2260" xr:uid="{00000000-0005-0000-0000-000061020000}"/>
    <cellStyle name="Eingabe 7" xfId="1715" xr:uid="{00000000-0005-0000-0000-000062020000}"/>
    <cellStyle name="Eingabe 7 2" xfId="2261" xr:uid="{00000000-0005-0000-0000-000062020000}"/>
    <cellStyle name="Eingabe 8" xfId="1716" xr:uid="{00000000-0005-0000-0000-000063020000}"/>
    <cellStyle name="Eingabe 8 2" xfId="2262" xr:uid="{00000000-0005-0000-0000-000063020000}"/>
    <cellStyle name="Eingabe 9" xfId="1717" xr:uid="{00000000-0005-0000-0000-000064020000}"/>
    <cellStyle name="Eingabe 9 2" xfId="2263" xr:uid="{00000000-0005-0000-0000-000064020000}"/>
    <cellStyle name="Ergebnis" xfId="83" xr:uid="{00000000-0005-0000-0000-000065020000}"/>
    <cellStyle name="Ergebnis 10" xfId="1987" xr:uid="{00000000-0005-0000-0000-000065020000}"/>
    <cellStyle name="Ergebnis 2" xfId="521" xr:uid="{00000000-0005-0000-0000-000066020000}"/>
    <cellStyle name="Ergebnis 2 2" xfId="522" xr:uid="{00000000-0005-0000-0000-000067020000}"/>
    <cellStyle name="Ergebnis 2 2 2" xfId="1088" xr:uid="{00000000-0005-0000-0000-000068020000}"/>
    <cellStyle name="Ergebnis 2 2 2 2" xfId="2117" xr:uid="{00000000-0005-0000-0000-000068020000}"/>
    <cellStyle name="Ergebnis 2 2 3" xfId="2052" xr:uid="{00000000-0005-0000-0000-000067020000}"/>
    <cellStyle name="Ergebnis 2 3" xfId="1087" xr:uid="{00000000-0005-0000-0000-000069020000}"/>
    <cellStyle name="Ergebnis 2 3 2" xfId="2116" xr:uid="{00000000-0005-0000-0000-000069020000}"/>
    <cellStyle name="Ergebnis 2 4" xfId="2051" xr:uid="{00000000-0005-0000-0000-000066020000}"/>
    <cellStyle name="Ergebnis 3" xfId="520" xr:uid="{00000000-0005-0000-0000-00006A020000}"/>
    <cellStyle name="Ergebnis 3 2" xfId="2050" xr:uid="{00000000-0005-0000-0000-00006A020000}"/>
    <cellStyle name="Ergebnis 4" xfId="1718" xr:uid="{00000000-0005-0000-0000-00006B020000}"/>
    <cellStyle name="Ergebnis 4 2" xfId="2264" xr:uid="{00000000-0005-0000-0000-00006B020000}"/>
    <cellStyle name="Ergebnis 5" xfId="1719" xr:uid="{00000000-0005-0000-0000-00006C020000}"/>
    <cellStyle name="Ergebnis 5 2" xfId="2265" xr:uid="{00000000-0005-0000-0000-00006C020000}"/>
    <cellStyle name="Ergebnis 6" xfId="1720" xr:uid="{00000000-0005-0000-0000-00006D020000}"/>
    <cellStyle name="Ergebnis 6 2" xfId="2266" xr:uid="{00000000-0005-0000-0000-00006D020000}"/>
    <cellStyle name="Ergebnis 7" xfId="1721" xr:uid="{00000000-0005-0000-0000-00006E020000}"/>
    <cellStyle name="Ergebnis 7 2" xfId="2267" xr:uid="{00000000-0005-0000-0000-00006E020000}"/>
    <cellStyle name="Ergebnis 8" xfId="1722" xr:uid="{00000000-0005-0000-0000-00006F020000}"/>
    <cellStyle name="Ergebnis 8 2" xfId="2268" xr:uid="{00000000-0005-0000-0000-00006F020000}"/>
    <cellStyle name="Ergebnis 9" xfId="1723" xr:uid="{00000000-0005-0000-0000-000070020000}"/>
    <cellStyle name="Ergebnis 9 2" xfId="2269" xr:uid="{00000000-0005-0000-0000-000070020000}"/>
    <cellStyle name="Erklärender Text" xfId="84" xr:uid="{00000000-0005-0000-0000-000071020000}"/>
    <cellStyle name="Erklärender Text 2" xfId="523" xr:uid="{00000000-0005-0000-0000-000072020000}"/>
    <cellStyle name="Erklärender Text 2 2" xfId="524" xr:uid="{00000000-0005-0000-0000-000073020000}"/>
    <cellStyle name="Erklärender Text 2 3" xfId="1277" xr:uid="{00000000-0005-0000-0000-000074020000}"/>
    <cellStyle name="Erklärender Text 3" xfId="1724" xr:uid="{00000000-0005-0000-0000-000075020000}"/>
    <cellStyle name="Euro" xfId="85" xr:uid="{00000000-0005-0000-0000-000076020000}"/>
    <cellStyle name="Euro 2" xfId="526" xr:uid="{00000000-0005-0000-0000-000077020000}"/>
    <cellStyle name="Euro 2 2" xfId="527" xr:uid="{00000000-0005-0000-0000-000078020000}"/>
    <cellStyle name="Euro 2 2 2" xfId="1278" xr:uid="{00000000-0005-0000-0000-000079020000}"/>
    <cellStyle name="Euro 2 2 2 2" xfId="1725" xr:uid="{00000000-0005-0000-0000-00007A020000}"/>
    <cellStyle name="Euro 2 2 3" xfId="1726" xr:uid="{00000000-0005-0000-0000-00007B020000}"/>
    <cellStyle name="Euro 2 3" xfId="1279" xr:uid="{00000000-0005-0000-0000-00007C020000}"/>
    <cellStyle name="Euro 2 3 2" xfId="1727" xr:uid="{00000000-0005-0000-0000-00007D020000}"/>
    <cellStyle name="Euro 2 4" xfId="1728" xr:uid="{00000000-0005-0000-0000-00007E020000}"/>
    <cellStyle name="Euro 3" xfId="528" xr:uid="{00000000-0005-0000-0000-00007F020000}"/>
    <cellStyle name="Euro 3 2" xfId="1280" xr:uid="{00000000-0005-0000-0000-000080020000}"/>
    <cellStyle name="Euro 3 2 2" xfId="1729" xr:uid="{00000000-0005-0000-0000-000081020000}"/>
    <cellStyle name="Euro 3 3" xfId="1730" xr:uid="{00000000-0005-0000-0000-000082020000}"/>
    <cellStyle name="Euro 4" xfId="529" xr:uid="{00000000-0005-0000-0000-000083020000}"/>
    <cellStyle name="Euro 4 2" xfId="1281" xr:uid="{00000000-0005-0000-0000-000084020000}"/>
    <cellStyle name="Euro 5" xfId="530" xr:uid="{00000000-0005-0000-0000-000085020000}"/>
    <cellStyle name="Euro 6" xfId="525" xr:uid="{00000000-0005-0000-0000-000086020000}"/>
    <cellStyle name="Euro 7" xfId="1282" xr:uid="{00000000-0005-0000-0000-000087020000}"/>
    <cellStyle name="Explanatory Text 2" xfId="531" xr:uid="{00000000-0005-0000-0000-000088020000}"/>
    <cellStyle name="Explanatory Text 2 2" xfId="1731" xr:uid="{00000000-0005-0000-0000-000089020000}"/>
    <cellStyle name="Faktor" xfId="86" xr:uid="{00000000-0005-0000-0000-00008A020000}"/>
    <cellStyle name="Faktor 2" xfId="532" xr:uid="{00000000-0005-0000-0000-00008B020000}"/>
    <cellStyle name="Faktor 2 2" xfId="533" xr:uid="{00000000-0005-0000-0000-00008C020000}"/>
    <cellStyle name="Faktor 2 3" xfId="1283" xr:uid="{00000000-0005-0000-0000-00008D020000}"/>
    <cellStyle name="Faktor 3" xfId="534" xr:uid="{00000000-0005-0000-0000-00008E020000}"/>
    <cellStyle name="Faktor 3 2" xfId="1732" xr:uid="{00000000-0005-0000-0000-00008F020000}"/>
    <cellStyle name="Faktor 4" xfId="1733" xr:uid="{00000000-0005-0000-0000-000090020000}"/>
    <cellStyle name="Fixed" xfId="1120" xr:uid="{00000000-0005-0000-0000-000091020000}"/>
    <cellStyle name="Followed Hyperlink" xfId="1284" xr:uid="{00000000-0005-0000-0000-000092020000}"/>
    <cellStyle name="Followed Hyperlink 2" xfId="535" xr:uid="{00000000-0005-0000-0000-000093020000}"/>
    <cellStyle name="Formula" xfId="87" xr:uid="{00000000-0005-0000-0000-000094020000}"/>
    <cellStyle name="Good 2" xfId="536" xr:uid="{00000000-0005-0000-0000-000095020000}"/>
    <cellStyle name="Good 2 2" xfId="1734" xr:uid="{00000000-0005-0000-0000-000096020000}"/>
    <cellStyle name="Grey" xfId="88" xr:uid="{00000000-0005-0000-0000-000097020000}"/>
    <cellStyle name="Gut" xfId="89" xr:uid="{00000000-0005-0000-0000-000098020000}"/>
    <cellStyle name="Gut 2" xfId="537" xr:uid="{00000000-0005-0000-0000-000099020000}"/>
    <cellStyle name="Gut 2 2" xfId="538" xr:uid="{00000000-0005-0000-0000-00009A020000}"/>
    <cellStyle name="Gut 2 3" xfId="1285" xr:uid="{00000000-0005-0000-0000-00009B020000}"/>
    <cellStyle name="Gut 3" xfId="1735" xr:uid="{00000000-0005-0000-0000-00009C020000}"/>
    <cellStyle name="Header1" xfId="90" xr:uid="{00000000-0005-0000-0000-00009D020000}"/>
    <cellStyle name="Header1 2" xfId="539" xr:uid="{00000000-0005-0000-0000-00009E020000}"/>
    <cellStyle name="Header1 2 2" xfId="540" xr:uid="{00000000-0005-0000-0000-00009F020000}"/>
    <cellStyle name="Header1 2 3" xfId="1286" xr:uid="{00000000-0005-0000-0000-0000A0020000}"/>
    <cellStyle name="Header1 3" xfId="1736" xr:uid="{00000000-0005-0000-0000-0000A1020000}"/>
    <cellStyle name="Header2" xfId="91" xr:uid="{00000000-0005-0000-0000-0000A2020000}"/>
    <cellStyle name="Header2 2" xfId="542" xr:uid="{00000000-0005-0000-0000-0000A3020000}"/>
    <cellStyle name="Header2 2 2" xfId="543" xr:uid="{00000000-0005-0000-0000-0000A4020000}"/>
    <cellStyle name="Header2 2 2 2" xfId="1090" xr:uid="{00000000-0005-0000-0000-0000A5020000}"/>
    <cellStyle name="Header2 2 2 2 2" xfId="2119" xr:uid="{00000000-0005-0000-0000-0000A5020000}"/>
    <cellStyle name="Header2 2 2 3" xfId="2055" xr:uid="{00000000-0005-0000-0000-0000A4020000}"/>
    <cellStyle name="Header2 2 3" xfId="1089" xr:uid="{00000000-0005-0000-0000-0000A6020000}"/>
    <cellStyle name="Header2 2 3 2" xfId="2118" xr:uid="{00000000-0005-0000-0000-0000A6020000}"/>
    <cellStyle name="Header2 2 4" xfId="2054" xr:uid="{00000000-0005-0000-0000-0000A3020000}"/>
    <cellStyle name="Header2 3" xfId="541" xr:uid="{00000000-0005-0000-0000-0000A7020000}"/>
    <cellStyle name="Header2 3 2" xfId="2053" xr:uid="{00000000-0005-0000-0000-0000A7020000}"/>
    <cellStyle name="Header2 4" xfId="1737" xr:uid="{00000000-0005-0000-0000-0000A8020000}"/>
    <cellStyle name="Header2 4 2" xfId="2271" xr:uid="{00000000-0005-0000-0000-0000A8020000}"/>
    <cellStyle name="Header2 5" xfId="1738" xr:uid="{00000000-0005-0000-0000-0000A9020000}"/>
    <cellStyle name="Header2 5 2" xfId="2272" xr:uid="{00000000-0005-0000-0000-0000A9020000}"/>
    <cellStyle name="Header2 6" xfId="1739" xr:uid="{00000000-0005-0000-0000-0000AA020000}"/>
    <cellStyle name="Header2 6 2" xfId="2273" xr:uid="{00000000-0005-0000-0000-0000AA020000}"/>
    <cellStyle name="Header2 7" xfId="1988" xr:uid="{00000000-0005-0000-0000-0000A2020000}"/>
    <cellStyle name="Heading 1 2" xfId="544" xr:uid="{00000000-0005-0000-0000-0000AB020000}"/>
    <cellStyle name="Heading 1 2 2" xfId="1740" xr:uid="{00000000-0005-0000-0000-0000AC020000}"/>
    <cellStyle name="Heading 2 2" xfId="545" xr:uid="{00000000-0005-0000-0000-0000AD020000}"/>
    <cellStyle name="Heading 2 2 2" xfId="1741" xr:uid="{00000000-0005-0000-0000-0000AE020000}"/>
    <cellStyle name="Heading 3 2" xfId="546" xr:uid="{00000000-0005-0000-0000-0000AF020000}"/>
    <cellStyle name="Heading 3 2 2" xfId="1742" xr:uid="{00000000-0005-0000-0000-0000B0020000}"/>
    <cellStyle name="Heading 4 2" xfId="547" xr:uid="{00000000-0005-0000-0000-0000B1020000}"/>
    <cellStyle name="Heading 4 2 2" xfId="1743" xr:uid="{00000000-0005-0000-0000-0000B2020000}"/>
    <cellStyle name="Hide" xfId="92" xr:uid="{00000000-0005-0000-0000-0000B3020000}"/>
    <cellStyle name="Hide 2" xfId="548" xr:uid="{00000000-0005-0000-0000-0000B4020000}"/>
    <cellStyle name="Hide 2 2" xfId="549" xr:uid="{00000000-0005-0000-0000-0000B5020000}"/>
    <cellStyle name="Hide 2 3" xfId="1287" xr:uid="{00000000-0005-0000-0000-0000B6020000}"/>
    <cellStyle name="Hide 3" xfId="1744" xr:uid="{00000000-0005-0000-0000-0000B7020000}"/>
    <cellStyle name="Hyperlink" xfId="93" builtinId="8"/>
    <cellStyle name="Hyperlink 2" xfId="550" xr:uid="{00000000-0005-0000-0000-0000B9020000}"/>
    <cellStyle name="Hyperlink 2 2" xfId="1745" xr:uid="{00000000-0005-0000-0000-0000BA020000}"/>
    <cellStyle name="Hyperlink 3" xfId="1121" xr:uid="{00000000-0005-0000-0000-0000BB020000}"/>
    <cellStyle name="Hyperlink 4" xfId="1288" xr:uid="{00000000-0005-0000-0000-0000BC020000}"/>
    <cellStyle name="Hyperlink 5" xfId="2339" xr:uid="{00000000-0005-0000-0000-000062090000}"/>
    <cellStyle name="Hypertextový odkaz" xfId="94" xr:uid="{00000000-0005-0000-0000-0000BD020000}"/>
    <cellStyle name="Hypertextový odkaz 2" xfId="552" xr:uid="{00000000-0005-0000-0000-0000BE020000}"/>
    <cellStyle name="Hypertextový odkaz 2 2" xfId="553" xr:uid="{00000000-0005-0000-0000-0000BF020000}"/>
    <cellStyle name="Hypertextový odkaz 2 3" xfId="1289" xr:uid="{00000000-0005-0000-0000-0000C0020000}"/>
    <cellStyle name="Hypertextový odkaz 3" xfId="554" xr:uid="{00000000-0005-0000-0000-0000C1020000}"/>
    <cellStyle name="Hypertextový odkaz 3 2" xfId="555" xr:uid="{00000000-0005-0000-0000-0000C2020000}"/>
    <cellStyle name="Hypertextový odkaz 3 3" xfId="1290" xr:uid="{00000000-0005-0000-0000-0000C3020000}"/>
    <cellStyle name="Hypertextový odkaz 4" xfId="551" xr:uid="{00000000-0005-0000-0000-0000C4020000}"/>
    <cellStyle name="Hypertextový odkaz 4 2" xfId="1291" xr:uid="{00000000-0005-0000-0000-0000C5020000}"/>
    <cellStyle name="Hypertextový odkaz 5" xfId="1292" xr:uid="{00000000-0005-0000-0000-0000C6020000}"/>
    <cellStyle name="Input" xfId="1124" builtinId="20" customBuiltin="1"/>
    <cellStyle name="Input [yellow]" xfId="95" xr:uid="{00000000-0005-0000-0000-0000C8020000}"/>
    <cellStyle name="Input [yellow] 2" xfId="556" xr:uid="{00000000-0005-0000-0000-0000C9020000}"/>
    <cellStyle name="Input [yellow] 2 2" xfId="2056" xr:uid="{00000000-0005-0000-0000-0000C9020000}"/>
    <cellStyle name="Input [yellow] 3" xfId="1746" xr:uid="{00000000-0005-0000-0000-0000CA020000}"/>
    <cellStyle name="Input [yellow] 3 2" xfId="2274" xr:uid="{00000000-0005-0000-0000-0000CA020000}"/>
    <cellStyle name="Input [yellow] 4" xfId="1747" xr:uid="{00000000-0005-0000-0000-0000CB020000}"/>
    <cellStyle name="Input [yellow] 4 2" xfId="2275" xr:uid="{00000000-0005-0000-0000-0000CB020000}"/>
    <cellStyle name="Input [yellow] 5" xfId="1989" xr:uid="{00000000-0005-0000-0000-0000C8020000}"/>
    <cellStyle name="Input 10" xfId="1293" xr:uid="{00000000-0005-0000-0000-0000CC020000}"/>
    <cellStyle name="Input 11" xfId="1294" xr:uid="{00000000-0005-0000-0000-0000CD020000}"/>
    <cellStyle name="Input 12" xfId="1295" xr:uid="{00000000-0005-0000-0000-0000CE020000}"/>
    <cellStyle name="Input 13" xfId="1296" xr:uid="{00000000-0005-0000-0000-0000CF020000}"/>
    <cellStyle name="Input 14" xfId="1297" xr:uid="{00000000-0005-0000-0000-0000D0020000}"/>
    <cellStyle name="Input 15" xfId="1298" xr:uid="{00000000-0005-0000-0000-0000D1020000}"/>
    <cellStyle name="Input 16" xfId="1299" xr:uid="{00000000-0005-0000-0000-0000D2020000}"/>
    <cellStyle name="Input 17" xfId="1300" xr:uid="{00000000-0005-0000-0000-0000D3020000}"/>
    <cellStyle name="Input 18" xfId="1301" xr:uid="{00000000-0005-0000-0000-0000D4020000}"/>
    <cellStyle name="Input 19" xfId="1302" xr:uid="{00000000-0005-0000-0000-0000D5020000}"/>
    <cellStyle name="Input 2" xfId="557" xr:uid="{00000000-0005-0000-0000-0000D6020000}"/>
    <cellStyle name="Input 2 2" xfId="1748" xr:uid="{00000000-0005-0000-0000-0000D7020000}"/>
    <cellStyle name="Input 20" xfId="1303" xr:uid="{00000000-0005-0000-0000-0000D8020000}"/>
    <cellStyle name="Input 21" xfId="1304" xr:uid="{00000000-0005-0000-0000-0000D9020000}"/>
    <cellStyle name="Input 22" xfId="1305" xr:uid="{00000000-0005-0000-0000-0000DA020000}"/>
    <cellStyle name="Input 23" xfId="1306" xr:uid="{00000000-0005-0000-0000-0000DB020000}"/>
    <cellStyle name="Input 24" xfId="1307" xr:uid="{00000000-0005-0000-0000-0000DC020000}"/>
    <cellStyle name="Input 25" xfId="1308" xr:uid="{00000000-0005-0000-0000-0000DD020000}"/>
    <cellStyle name="Input 26" xfId="1749" xr:uid="{00000000-0005-0000-0000-0000DE020000}"/>
    <cellStyle name="Input 27" xfId="1750" xr:uid="{00000000-0005-0000-0000-0000DF020000}"/>
    <cellStyle name="Input 28" xfId="1751" xr:uid="{00000000-0005-0000-0000-0000E0020000}"/>
    <cellStyle name="Input 29" xfId="1752" xr:uid="{00000000-0005-0000-0000-0000E1020000}"/>
    <cellStyle name="Input 3" xfId="558" xr:uid="{00000000-0005-0000-0000-0000E2020000}"/>
    <cellStyle name="Input 3 2" xfId="559" xr:uid="{00000000-0005-0000-0000-0000E3020000}"/>
    <cellStyle name="Input 3 3" xfId="1091" xr:uid="{00000000-0005-0000-0000-0000E4020000}"/>
    <cellStyle name="Input 3 3 2" xfId="2120" xr:uid="{00000000-0005-0000-0000-0000E4020000}"/>
    <cellStyle name="Input 3 4" xfId="2057" xr:uid="{00000000-0005-0000-0000-0000E2020000}"/>
    <cellStyle name="Input 30" xfId="2142" xr:uid="{00000000-0005-0000-0000-0000F8020000}"/>
    <cellStyle name="Input 4" xfId="560" xr:uid="{00000000-0005-0000-0000-0000E5020000}"/>
    <cellStyle name="Input 4 2" xfId="561" xr:uid="{00000000-0005-0000-0000-0000E6020000}"/>
    <cellStyle name="Input 4 3" xfId="1092" xr:uid="{00000000-0005-0000-0000-0000E7020000}"/>
    <cellStyle name="Input 4 3 2" xfId="2121" xr:uid="{00000000-0005-0000-0000-0000E7020000}"/>
    <cellStyle name="Input 4 4" xfId="2058" xr:uid="{00000000-0005-0000-0000-0000E5020000}"/>
    <cellStyle name="Input 5" xfId="562" xr:uid="{00000000-0005-0000-0000-0000E8020000}"/>
    <cellStyle name="Input 5 2" xfId="1753" xr:uid="{00000000-0005-0000-0000-0000E9020000}"/>
    <cellStyle name="Input 6" xfId="563" xr:uid="{00000000-0005-0000-0000-0000EA020000}"/>
    <cellStyle name="Input 6 2" xfId="1754" xr:uid="{00000000-0005-0000-0000-0000EB020000}"/>
    <cellStyle name="Input 7" xfId="1309" xr:uid="{00000000-0005-0000-0000-0000EC020000}"/>
    <cellStyle name="Input 7 2" xfId="1755" xr:uid="{00000000-0005-0000-0000-0000ED020000}"/>
    <cellStyle name="Input 7 2 2" xfId="2276" xr:uid="{00000000-0005-0000-0000-0000ED020000}"/>
    <cellStyle name="Input 8" xfId="1310" xr:uid="{00000000-0005-0000-0000-0000EE020000}"/>
    <cellStyle name="Input 8 2" xfId="1756" xr:uid="{00000000-0005-0000-0000-0000EF020000}"/>
    <cellStyle name="Input 8 2 2" xfId="2277" xr:uid="{00000000-0005-0000-0000-0000EF020000}"/>
    <cellStyle name="Input 9" xfId="1311" xr:uid="{00000000-0005-0000-0000-0000F0020000}"/>
    <cellStyle name="Input 9 2" xfId="1757" xr:uid="{00000000-0005-0000-0000-0000F1020000}"/>
    <cellStyle name="Input 9 2 2" xfId="2278" xr:uid="{00000000-0005-0000-0000-0000F1020000}"/>
    <cellStyle name="Jahr" xfId="96" xr:uid="{00000000-0005-0000-0000-0000F2020000}"/>
    <cellStyle name="Jahr 2" xfId="565" xr:uid="{00000000-0005-0000-0000-0000F3020000}"/>
    <cellStyle name="Jahr 2 2" xfId="566" xr:uid="{00000000-0005-0000-0000-0000F4020000}"/>
    <cellStyle name="Jahr 2 2 2" xfId="1312" xr:uid="{00000000-0005-0000-0000-0000F5020000}"/>
    <cellStyle name="Jahr 2 2 2 2" xfId="1758" xr:uid="{00000000-0005-0000-0000-0000F6020000}"/>
    <cellStyle name="Jahr 2 2 3" xfId="1759" xr:uid="{00000000-0005-0000-0000-0000F7020000}"/>
    <cellStyle name="Jahr 2 3" xfId="1313" xr:uid="{00000000-0005-0000-0000-0000F8020000}"/>
    <cellStyle name="Jahr 2 3 2" xfId="1760" xr:uid="{00000000-0005-0000-0000-0000F9020000}"/>
    <cellStyle name="Jahr 2 4" xfId="1761" xr:uid="{00000000-0005-0000-0000-0000FA020000}"/>
    <cellStyle name="Jahr 3" xfId="567" xr:uid="{00000000-0005-0000-0000-0000FB020000}"/>
    <cellStyle name="Jahr 3 2" xfId="1314" xr:uid="{00000000-0005-0000-0000-0000FC020000}"/>
    <cellStyle name="Jahr 3 2 2" xfId="1762" xr:uid="{00000000-0005-0000-0000-0000FD020000}"/>
    <cellStyle name="Jahr 3 3" xfId="1763" xr:uid="{00000000-0005-0000-0000-0000FE020000}"/>
    <cellStyle name="Jahr 4" xfId="568" xr:uid="{00000000-0005-0000-0000-0000FF020000}"/>
    <cellStyle name="Jahr 4 2" xfId="1764" xr:uid="{00000000-0005-0000-0000-000000030000}"/>
    <cellStyle name="Jahr 5" xfId="564" xr:uid="{00000000-0005-0000-0000-000001030000}"/>
    <cellStyle name="Linked Cell 2" xfId="569" xr:uid="{00000000-0005-0000-0000-000002030000}"/>
    <cellStyle name="Linked Cell 2 2" xfId="1765" xr:uid="{00000000-0005-0000-0000-000003030000}"/>
    <cellStyle name="Listformat" xfId="97" xr:uid="{00000000-0005-0000-0000-000004030000}"/>
    <cellStyle name="Listformat 2" xfId="571" xr:uid="{00000000-0005-0000-0000-000005030000}"/>
    <cellStyle name="Listformat 2 2" xfId="572" xr:uid="{00000000-0005-0000-0000-000006030000}"/>
    <cellStyle name="Listformat 2 2 2" xfId="2061" xr:uid="{00000000-0005-0000-0000-000006030000}"/>
    <cellStyle name="Listformat 2 3" xfId="1315" xr:uid="{00000000-0005-0000-0000-000007030000}"/>
    <cellStyle name="Listformat 2 3 2" xfId="2211" xr:uid="{00000000-0005-0000-0000-000007030000}"/>
    <cellStyle name="Listformat 2 4" xfId="2060" xr:uid="{00000000-0005-0000-0000-000005030000}"/>
    <cellStyle name="Listformat 3" xfId="573" xr:uid="{00000000-0005-0000-0000-000008030000}"/>
    <cellStyle name="Listformat 3 2" xfId="2062" xr:uid="{00000000-0005-0000-0000-000008030000}"/>
    <cellStyle name="Listformat 4" xfId="570" xr:uid="{00000000-0005-0000-0000-000009030000}"/>
    <cellStyle name="Listformat 4 2" xfId="2059" xr:uid="{00000000-0005-0000-0000-000009030000}"/>
    <cellStyle name="Listformat 5" xfId="1990" xr:uid="{00000000-0005-0000-0000-000004030000}"/>
    <cellStyle name="Milliers [0]_02165" xfId="98" xr:uid="{00000000-0005-0000-0000-00000A030000}"/>
    <cellStyle name="Milliers_02165" xfId="99" xr:uid="{00000000-0005-0000-0000-00000B030000}"/>
    <cellStyle name="Moeda [0]_cashflow.xls" xfId="100" xr:uid="{00000000-0005-0000-0000-00000C030000}"/>
    <cellStyle name="Moeda_cashflow.xls" xfId="101" xr:uid="{00000000-0005-0000-0000-00000D030000}"/>
    <cellStyle name="Monétaire [0]_02165" xfId="102" xr:uid="{00000000-0005-0000-0000-00000E030000}"/>
    <cellStyle name="Monétaire_02165" xfId="103" xr:uid="{00000000-0005-0000-0000-00000F030000}"/>
    <cellStyle name="Neutral" xfId="1125" builtinId="28" customBuiltin="1"/>
    <cellStyle name="Neutral 2" xfId="574" xr:uid="{00000000-0005-0000-0000-000011030000}"/>
    <cellStyle name="Neutral 2 2" xfId="1316" xr:uid="{00000000-0005-0000-0000-000012030000}"/>
    <cellStyle name="Neutral 3" xfId="575" xr:uid="{00000000-0005-0000-0000-000013030000}"/>
    <cellStyle name="Neutral 4" xfId="2143" xr:uid="{00000000-0005-0000-0000-000041030000}"/>
    <cellStyle name="no dec" xfId="104" xr:uid="{00000000-0005-0000-0000-000014030000}"/>
    <cellStyle name="Normal" xfId="0" builtinId="0"/>
    <cellStyle name="Normal - Style1" xfId="105" xr:uid="{00000000-0005-0000-0000-000016030000}"/>
    <cellStyle name="Normal - Style1 2" xfId="1766" xr:uid="{00000000-0005-0000-0000-000017030000}"/>
    <cellStyle name="Normal - Style1 2 2" xfId="1767" xr:uid="{00000000-0005-0000-0000-000018030000}"/>
    <cellStyle name="Normal 10" xfId="106" xr:uid="{00000000-0005-0000-0000-000019030000}"/>
    <cellStyle name="Normal 10 2" xfId="577" xr:uid="{00000000-0005-0000-0000-00001A030000}"/>
    <cellStyle name="Normal 10 2 2" xfId="1317" xr:uid="{00000000-0005-0000-0000-00001B030000}"/>
    <cellStyle name="Normal 10 2 2 2" xfId="1768" xr:uid="{00000000-0005-0000-0000-00001C030000}"/>
    <cellStyle name="Normal 10 2 3" xfId="1318" xr:uid="{00000000-0005-0000-0000-00001D030000}"/>
    <cellStyle name="Normal 10 3" xfId="578" xr:uid="{00000000-0005-0000-0000-00001E030000}"/>
    <cellStyle name="Normal 10 3 2" xfId="1769" xr:uid="{00000000-0005-0000-0000-00001F030000}"/>
    <cellStyle name="Normal 10 4" xfId="579" xr:uid="{00000000-0005-0000-0000-000020030000}"/>
    <cellStyle name="Normal 10 4 2" xfId="1319" xr:uid="{00000000-0005-0000-0000-000021030000}"/>
    <cellStyle name="Normal 10 5" xfId="576" xr:uid="{00000000-0005-0000-0000-000022030000}"/>
    <cellStyle name="Normal 11" xfId="107" xr:uid="{00000000-0005-0000-0000-000023030000}"/>
    <cellStyle name="Normal 11 2" xfId="581" xr:uid="{00000000-0005-0000-0000-000024030000}"/>
    <cellStyle name="Normal 11 2 2" xfId="1320" xr:uid="{00000000-0005-0000-0000-000025030000}"/>
    <cellStyle name="Normal 11 2 2 2" xfId="1770" xr:uid="{00000000-0005-0000-0000-000026030000}"/>
    <cellStyle name="Normal 11 2 3" xfId="1321" xr:uid="{00000000-0005-0000-0000-000027030000}"/>
    <cellStyle name="Normal 11 3" xfId="582" xr:uid="{00000000-0005-0000-0000-000028030000}"/>
    <cellStyle name="Normal 11 3 2" xfId="1771" xr:uid="{00000000-0005-0000-0000-000029030000}"/>
    <cellStyle name="Normal 11 4" xfId="583" xr:uid="{00000000-0005-0000-0000-00002A030000}"/>
    <cellStyle name="Normal 11 5" xfId="580" xr:uid="{00000000-0005-0000-0000-00002B030000}"/>
    <cellStyle name="Normal 11 6" xfId="1322" xr:uid="{00000000-0005-0000-0000-00002C030000}"/>
    <cellStyle name="Normal 12" xfId="284" xr:uid="{00000000-0005-0000-0000-00002D030000}"/>
    <cellStyle name="Normal 12 2" xfId="287" xr:uid="{00000000-0005-0000-0000-00002E030000}"/>
    <cellStyle name="Normal 12 2 2" xfId="585" xr:uid="{00000000-0005-0000-0000-00002F030000}"/>
    <cellStyle name="Normal 12 2 2 2" xfId="1323" xr:uid="{00000000-0005-0000-0000-000030030000}"/>
    <cellStyle name="Normal 12 2 3" xfId="1772" xr:uid="{00000000-0005-0000-0000-000031030000}"/>
    <cellStyle name="Normal 12 2 4" xfId="1967" xr:uid="{00000000-0005-0000-0000-000032030000}"/>
    <cellStyle name="Normal 12 3" xfId="586" xr:uid="{00000000-0005-0000-0000-000033030000}"/>
    <cellStyle name="Normal 12 3 2" xfId="1324" xr:uid="{00000000-0005-0000-0000-000034030000}"/>
    <cellStyle name="Normal 12 4" xfId="587" xr:uid="{00000000-0005-0000-0000-000035030000}"/>
    <cellStyle name="Normal 12 5" xfId="588" xr:uid="{00000000-0005-0000-0000-000036030000}"/>
    <cellStyle name="Normal 12 6" xfId="584" xr:uid="{00000000-0005-0000-0000-000037030000}"/>
    <cellStyle name="Normal 13" xfId="285" xr:uid="{00000000-0005-0000-0000-000038030000}"/>
    <cellStyle name="Normal 13 2" xfId="590" xr:uid="{00000000-0005-0000-0000-000039030000}"/>
    <cellStyle name="Normal 13 2 2" xfId="1773" xr:uid="{00000000-0005-0000-0000-00003A030000}"/>
    <cellStyle name="Normal 13 2 2 2" xfId="2279" xr:uid="{00000000-0005-0000-0000-00003A030000}"/>
    <cellStyle name="Normal 13 3" xfId="589" xr:uid="{00000000-0005-0000-0000-00003B030000}"/>
    <cellStyle name="Normal 13 4" xfId="1325" xr:uid="{00000000-0005-0000-0000-00003C030000}"/>
    <cellStyle name="Normal 13 5" xfId="1326" xr:uid="{00000000-0005-0000-0000-00003D030000}"/>
    <cellStyle name="Normal 13 5 2" xfId="2212" xr:uid="{00000000-0005-0000-0000-00003D030000}"/>
    <cellStyle name="Normal 13 6" xfId="1327" xr:uid="{00000000-0005-0000-0000-00003E030000}"/>
    <cellStyle name="Normal 13 6 2" xfId="2213" xr:uid="{00000000-0005-0000-0000-00003E030000}"/>
    <cellStyle name="Normal 13 7" xfId="1328" xr:uid="{00000000-0005-0000-0000-00003F030000}"/>
    <cellStyle name="Normal 13 7 2" xfId="2214" xr:uid="{00000000-0005-0000-0000-00003F030000}"/>
    <cellStyle name="Normal 13 8" xfId="2006" xr:uid="{00000000-0005-0000-0000-000038030000}"/>
    <cellStyle name="Normal 14" xfId="591" xr:uid="{00000000-0005-0000-0000-000040030000}"/>
    <cellStyle name="Normal 14 2" xfId="1329" xr:uid="{00000000-0005-0000-0000-000041030000}"/>
    <cellStyle name="Normal 15" xfId="592" xr:uid="{00000000-0005-0000-0000-000042030000}"/>
    <cellStyle name="Normal 15 2" xfId="1774" xr:uid="{00000000-0005-0000-0000-000043030000}"/>
    <cellStyle name="Normal 16" xfId="593" xr:uid="{00000000-0005-0000-0000-000044030000}"/>
    <cellStyle name="Normal 16 2" xfId="594" xr:uid="{00000000-0005-0000-0000-000045030000}"/>
    <cellStyle name="Normal 16 3" xfId="1330" xr:uid="{00000000-0005-0000-0000-000046030000}"/>
    <cellStyle name="Normal 17" xfId="595" xr:uid="{00000000-0005-0000-0000-000047030000}"/>
    <cellStyle name="Normal 17 2" xfId="1331" xr:uid="{00000000-0005-0000-0000-000048030000}"/>
    <cellStyle name="Normal 18" xfId="596" xr:uid="{00000000-0005-0000-0000-000049030000}"/>
    <cellStyle name="Normal 18 2" xfId="1775" xr:uid="{00000000-0005-0000-0000-00004A030000}"/>
    <cellStyle name="Normal 19" xfId="597" xr:uid="{00000000-0005-0000-0000-00004B030000}"/>
    <cellStyle name="Normal 19 2" xfId="1776" xr:uid="{00000000-0005-0000-0000-00004C030000}"/>
    <cellStyle name="Normal 2" xfId="108" xr:uid="{00000000-0005-0000-0000-00004D030000}"/>
    <cellStyle name="Normal 2 10" xfId="2338" xr:uid="{00000000-0005-0000-0000-00002A000000}"/>
    <cellStyle name="Normal 2 11" xfId="2079" xr:uid="{00000000-0005-0000-0000-000064090000}"/>
    <cellStyle name="Normal 2 2" xfId="599" xr:uid="{00000000-0005-0000-0000-00004E030000}"/>
    <cellStyle name="Normal 2 2 2" xfId="600" xr:uid="{00000000-0005-0000-0000-00004F030000}"/>
    <cellStyle name="Normal 2 2 2 2" xfId="601" xr:uid="{00000000-0005-0000-0000-000050030000}"/>
    <cellStyle name="Normal 2 2 2 2 2" xfId="1332" xr:uid="{00000000-0005-0000-0000-000051030000}"/>
    <cellStyle name="Normal 2 2 2 2 2 2" xfId="1777" xr:uid="{00000000-0005-0000-0000-000052030000}"/>
    <cellStyle name="Normal 2 2 2 2 3" xfId="1778" xr:uid="{00000000-0005-0000-0000-000053030000}"/>
    <cellStyle name="Normal 2 2 2 3" xfId="1333" xr:uid="{00000000-0005-0000-0000-000054030000}"/>
    <cellStyle name="Normal 2 2 2 3 2" xfId="1779" xr:uid="{00000000-0005-0000-0000-000055030000}"/>
    <cellStyle name="Normal 2 2 2 4" xfId="1780" xr:uid="{00000000-0005-0000-0000-000056030000}"/>
    <cellStyle name="Normal 2 2 3" xfId="602" xr:uid="{00000000-0005-0000-0000-000057030000}"/>
    <cellStyle name="Normal 2 2 4" xfId="603" xr:uid="{00000000-0005-0000-0000-000058030000}"/>
    <cellStyle name="Normal 2 2 5" xfId="604" xr:uid="{00000000-0005-0000-0000-000059030000}"/>
    <cellStyle name="Normal 2 3" xfId="605" xr:uid="{00000000-0005-0000-0000-00005A030000}"/>
    <cellStyle name="Normal 2 3 2" xfId="1334" xr:uid="{00000000-0005-0000-0000-00005B030000}"/>
    <cellStyle name="Normal 2 4" xfId="606" xr:uid="{00000000-0005-0000-0000-00005C030000}"/>
    <cellStyle name="Normal 2 4 2" xfId="1335" xr:uid="{00000000-0005-0000-0000-00005D030000}"/>
    <cellStyle name="Normal 2 5" xfId="607" xr:uid="{00000000-0005-0000-0000-00005E030000}"/>
    <cellStyle name="Normal 2 6" xfId="608" xr:uid="{00000000-0005-0000-0000-00005F030000}"/>
    <cellStyle name="Normal 2 7" xfId="609" xr:uid="{00000000-0005-0000-0000-000060030000}"/>
    <cellStyle name="Normal 2 8" xfId="598" xr:uid="{00000000-0005-0000-0000-000061030000}"/>
    <cellStyle name="Normal 2 9" xfId="1336" xr:uid="{00000000-0005-0000-0000-000062030000}"/>
    <cellStyle name="Normal 20" xfId="610" xr:uid="{00000000-0005-0000-0000-000063030000}"/>
    <cellStyle name="Normal 20 2" xfId="1781" xr:uid="{00000000-0005-0000-0000-000064030000}"/>
    <cellStyle name="Normal 21" xfId="611" xr:uid="{00000000-0005-0000-0000-000065030000}"/>
    <cellStyle name="Normal 21 2" xfId="1782" xr:uid="{00000000-0005-0000-0000-000066030000}"/>
    <cellStyle name="Normal 22" xfId="612" xr:uid="{00000000-0005-0000-0000-000067030000}"/>
    <cellStyle name="Normal 22 2" xfId="1783" xr:uid="{00000000-0005-0000-0000-000068030000}"/>
    <cellStyle name="Normal 23" xfId="613" xr:uid="{00000000-0005-0000-0000-000069030000}"/>
    <cellStyle name="Normal 23 2" xfId="1784" xr:uid="{00000000-0005-0000-0000-00006A030000}"/>
    <cellStyle name="Normal 24" xfId="614" xr:uid="{00000000-0005-0000-0000-00006B030000}"/>
    <cellStyle name="Normal 24 2" xfId="1785" xr:uid="{00000000-0005-0000-0000-00006C030000}"/>
    <cellStyle name="Normal 25" xfId="615" xr:uid="{00000000-0005-0000-0000-00006D030000}"/>
    <cellStyle name="Normal 25 2" xfId="1786" xr:uid="{00000000-0005-0000-0000-00006E030000}"/>
    <cellStyle name="Normal 26" xfId="288" xr:uid="{00000000-0005-0000-0000-00006F030000}"/>
    <cellStyle name="Normal 26 2" xfId="1787" xr:uid="{00000000-0005-0000-0000-000070030000}"/>
    <cellStyle name="Normal 27" xfId="1010" xr:uid="{00000000-0005-0000-0000-000071030000}"/>
    <cellStyle name="Normal 27 2" xfId="1788" xr:uid="{00000000-0005-0000-0000-000072030000}"/>
    <cellStyle name="Normal 28" xfId="1105" xr:uid="{00000000-0005-0000-0000-000073030000}"/>
    <cellStyle name="Normal 28 2" xfId="1127" xr:uid="{00000000-0005-0000-0000-000074030000}"/>
    <cellStyle name="Normal 29" xfId="1058" xr:uid="{00000000-0005-0000-0000-000075030000}"/>
    <cellStyle name="Normal 29 2" xfId="1789" xr:uid="{00000000-0005-0000-0000-000076030000}"/>
    <cellStyle name="Normal 3" xfId="109" xr:uid="{00000000-0005-0000-0000-000077030000}"/>
    <cellStyle name="Normal 3 10" xfId="2010" xr:uid="{00000000-0005-0000-0000-000065090000}"/>
    <cellStyle name="Normal 3 2" xfId="617" xr:uid="{00000000-0005-0000-0000-000078030000}"/>
    <cellStyle name="Normal 3 2 2" xfId="618" xr:uid="{00000000-0005-0000-0000-000079030000}"/>
    <cellStyle name="Normal 3 2 2 2" xfId="1337" xr:uid="{00000000-0005-0000-0000-00007A030000}"/>
    <cellStyle name="Normal 3 2 2 2 2" xfId="1790" xr:uid="{00000000-0005-0000-0000-00007B030000}"/>
    <cellStyle name="Normal 3 2 2 3" xfId="1338" xr:uid="{00000000-0005-0000-0000-00007C030000}"/>
    <cellStyle name="Normal 3 2 3" xfId="1339" xr:uid="{00000000-0005-0000-0000-00007D030000}"/>
    <cellStyle name="Normal 3 2 3 2" xfId="1791" xr:uid="{00000000-0005-0000-0000-00007E030000}"/>
    <cellStyle name="Normal 3 2 4" xfId="1340" xr:uid="{00000000-0005-0000-0000-00007F030000}"/>
    <cellStyle name="Normal 3 2 4 2" xfId="1792" xr:uid="{00000000-0005-0000-0000-000080030000}"/>
    <cellStyle name="Normal 3 2 4 2 2" xfId="2280" xr:uid="{00000000-0005-0000-0000-000080030000}"/>
    <cellStyle name="Normal 3 3" xfId="619" xr:uid="{00000000-0005-0000-0000-000081030000}"/>
    <cellStyle name="Normal 3 3 2" xfId="620" xr:uid="{00000000-0005-0000-0000-000082030000}"/>
    <cellStyle name="Normal 3 3 2 2" xfId="1341" xr:uid="{00000000-0005-0000-0000-000083030000}"/>
    <cellStyle name="Normal 3 3 2 2 2" xfId="1793" xr:uid="{00000000-0005-0000-0000-000084030000}"/>
    <cellStyle name="Normal 3 3 2 3" xfId="1794" xr:uid="{00000000-0005-0000-0000-000085030000}"/>
    <cellStyle name="Normal 3 3 3" xfId="1342" xr:uid="{00000000-0005-0000-0000-000086030000}"/>
    <cellStyle name="Normal 3 3 3 2" xfId="1795" xr:uid="{00000000-0005-0000-0000-000087030000}"/>
    <cellStyle name="Normal 3 3 4" xfId="1796" xr:uid="{00000000-0005-0000-0000-000088030000}"/>
    <cellStyle name="Normal 3 4" xfId="621" xr:uid="{00000000-0005-0000-0000-000089030000}"/>
    <cellStyle name="Normal 3 5" xfId="622" xr:uid="{00000000-0005-0000-0000-00008A030000}"/>
    <cellStyle name="Normal 3 6" xfId="623" xr:uid="{00000000-0005-0000-0000-00008B030000}"/>
    <cellStyle name="Normal 3 7" xfId="616" xr:uid="{00000000-0005-0000-0000-00008C030000}"/>
    <cellStyle name="Normal 3 8" xfId="1343" xr:uid="{00000000-0005-0000-0000-00008D030000}"/>
    <cellStyle name="Normal 3 9" xfId="1572" xr:uid="{00000000-0005-0000-0000-00008E030000}"/>
    <cellStyle name="Normal 30" xfId="1099" xr:uid="{00000000-0005-0000-0000-00008F030000}"/>
    <cellStyle name="Normal 30 2" xfId="1797" xr:uid="{00000000-0005-0000-0000-000090030000}"/>
    <cellStyle name="Normal 31" xfId="1344" xr:uid="{00000000-0005-0000-0000-000091030000}"/>
    <cellStyle name="Normal 31 2" xfId="1798" xr:uid="{00000000-0005-0000-0000-000092030000}"/>
    <cellStyle name="Normal 32" xfId="1345" xr:uid="{00000000-0005-0000-0000-000093030000}"/>
    <cellStyle name="Normal 33" xfId="1346" xr:uid="{00000000-0005-0000-0000-000094030000}"/>
    <cellStyle name="Normal 34" xfId="1347" xr:uid="{00000000-0005-0000-0000-000095030000}"/>
    <cellStyle name="Normal 35" xfId="1348" xr:uid="{00000000-0005-0000-0000-000096030000}"/>
    <cellStyle name="Normal 36" xfId="1349" xr:uid="{00000000-0005-0000-0000-000097030000}"/>
    <cellStyle name="Normal 37" xfId="1350" xr:uid="{00000000-0005-0000-0000-000098030000}"/>
    <cellStyle name="Normal 38" xfId="1351" xr:uid="{00000000-0005-0000-0000-000099030000}"/>
    <cellStyle name="Normal 39" xfId="1352" xr:uid="{00000000-0005-0000-0000-00009A030000}"/>
    <cellStyle name="Normal 4" xfId="110" xr:uid="{00000000-0005-0000-0000-00009B030000}"/>
    <cellStyle name="Normal 4 2" xfId="625" xr:uid="{00000000-0005-0000-0000-00009C030000}"/>
    <cellStyle name="Normal 4 2 2" xfId="1353" xr:uid="{00000000-0005-0000-0000-00009D030000}"/>
    <cellStyle name="Normal 4 3" xfId="626" xr:uid="{00000000-0005-0000-0000-00009E030000}"/>
    <cellStyle name="Normal 4 3 2" xfId="1354" xr:uid="{00000000-0005-0000-0000-00009F030000}"/>
    <cellStyle name="Normal 4 4" xfId="627" xr:uid="{00000000-0005-0000-0000-0000A0030000}"/>
    <cellStyle name="Normal 4 5" xfId="628" xr:uid="{00000000-0005-0000-0000-0000A1030000}"/>
    <cellStyle name="Normal 4 6" xfId="624" xr:uid="{00000000-0005-0000-0000-0000A2030000}"/>
    <cellStyle name="Normal 40" xfId="286" xr:uid="{00000000-0005-0000-0000-0000A3030000}"/>
    <cellStyle name="Normal 40 2" xfId="630" xr:uid="{00000000-0005-0000-0000-0000A4030000}"/>
    <cellStyle name="Normal 40 3" xfId="629" xr:uid="{00000000-0005-0000-0000-0000A5030000}"/>
    <cellStyle name="Normal 40 4" xfId="1355" xr:uid="{00000000-0005-0000-0000-0000A6030000}"/>
    <cellStyle name="Normal 41" xfId="1799" xr:uid="{00000000-0005-0000-0000-0000A7030000}"/>
    <cellStyle name="Normal 41 2" xfId="2281" xr:uid="{00000000-0005-0000-0000-0000A7030000}"/>
    <cellStyle name="Normal 42" xfId="1570" xr:uid="{00000000-0005-0000-0000-0000A8030000}"/>
    <cellStyle name="Normal 42 2" xfId="2228" xr:uid="{00000000-0005-0000-0000-0000A8030000}"/>
    <cellStyle name="Normal 43" xfId="1800" xr:uid="{00000000-0005-0000-0000-0000A9030000}"/>
    <cellStyle name="Normal 44" xfId="1977" xr:uid="{00000000-0005-0000-0000-000046030000}"/>
    <cellStyle name="Normal 45" xfId="2337" xr:uid="{00000000-0005-0000-0000-0000E6070000}"/>
    <cellStyle name="Normal 46" xfId="1973" xr:uid="{00000000-0005-0000-0000-0000A9080000}"/>
    <cellStyle name="Normal 47" xfId="2003" xr:uid="{00000000-0005-0000-0000-00005A090000}"/>
    <cellStyle name="Normal 48" xfId="2342" xr:uid="{00000000-0005-0000-0000-00005D090000}"/>
    <cellStyle name="Normal 49" xfId="2210" xr:uid="{00000000-0005-0000-0000-000060090000}"/>
    <cellStyle name="Normal 5" xfId="111" xr:uid="{00000000-0005-0000-0000-0000AA030000}"/>
    <cellStyle name="Normal 5 2" xfId="631" xr:uid="{00000000-0005-0000-0000-0000AB030000}"/>
    <cellStyle name="Normal 5 2 2" xfId="1356" xr:uid="{00000000-0005-0000-0000-0000AC030000}"/>
    <cellStyle name="Normal 5 2 2 2" xfId="1801" xr:uid="{00000000-0005-0000-0000-0000AD030000}"/>
    <cellStyle name="Normal 5 2 3" xfId="1357" xr:uid="{00000000-0005-0000-0000-0000AE030000}"/>
    <cellStyle name="Normal 5 3" xfId="632" xr:uid="{00000000-0005-0000-0000-0000AF030000}"/>
    <cellStyle name="Normal 5 3 2" xfId="1802" xr:uid="{00000000-0005-0000-0000-0000B0030000}"/>
    <cellStyle name="Normal 5 4" xfId="633" xr:uid="{00000000-0005-0000-0000-0000B1030000}"/>
    <cellStyle name="Normal 5 4 2" xfId="1358" xr:uid="{00000000-0005-0000-0000-0000B2030000}"/>
    <cellStyle name="Normal 5 5" xfId="1359" xr:uid="{00000000-0005-0000-0000-0000B3030000}"/>
    <cellStyle name="Normal 50" xfId="2080" xr:uid="{00000000-0005-0000-0000-000063090000}"/>
    <cellStyle name="Normal 51" xfId="2343" xr:uid="{00000000-0005-0000-0000-000051090000}"/>
    <cellStyle name="Normal 52" xfId="2345" xr:uid="{00000000-0005-0000-0000-000055090000}"/>
    <cellStyle name="Normal 6" xfId="112" xr:uid="{00000000-0005-0000-0000-0000B4030000}"/>
    <cellStyle name="Normal 6 2" xfId="635" xr:uid="{00000000-0005-0000-0000-0000B5030000}"/>
    <cellStyle name="Normal 6 2 2" xfId="1360" xr:uid="{00000000-0005-0000-0000-0000B6030000}"/>
    <cellStyle name="Normal 6 2 2 2" xfId="1803" xr:uid="{00000000-0005-0000-0000-0000B7030000}"/>
    <cellStyle name="Normal 6 2 3" xfId="1361" xr:uid="{00000000-0005-0000-0000-0000B8030000}"/>
    <cellStyle name="Normal 6 3" xfId="636" xr:uid="{00000000-0005-0000-0000-0000B9030000}"/>
    <cellStyle name="Normal 6 3 2" xfId="1804" xr:uid="{00000000-0005-0000-0000-0000BA030000}"/>
    <cellStyle name="Normal 6 4" xfId="637" xr:uid="{00000000-0005-0000-0000-0000BB030000}"/>
    <cellStyle name="Normal 6 4 2" xfId="1362" xr:uid="{00000000-0005-0000-0000-0000BC030000}"/>
    <cellStyle name="Normal 6 5" xfId="634" xr:uid="{00000000-0005-0000-0000-0000BD030000}"/>
    <cellStyle name="Normal 7" xfId="113" xr:uid="{00000000-0005-0000-0000-0000BE030000}"/>
    <cellStyle name="Normal 7 2" xfId="639" xr:uid="{00000000-0005-0000-0000-0000BF030000}"/>
    <cellStyle name="Normal 7 2 2" xfId="1363" xr:uid="{00000000-0005-0000-0000-0000C0030000}"/>
    <cellStyle name="Normal 7 2 2 2" xfId="1805" xr:uid="{00000000-0005-0000-0000-0000C1030000}"/>
    <cellStyle name="Normal 7 2 3" xfId="1364" xr:uid="{00000000-0005-0000-0000-0000C2030000}"/>
    <cellStyle name="Normal 7 3" xfId="640" xr:uid="{00000000-0005-0000-0000-0000C3030000}"/>
    <cellStyle name="Normal 7 3 2" xfId="1806" xr:uid="{00000000-0005-0000-0000-0000C4030000}"/>
    <cellStyle name="Normal 7 4" xfId="641" xr:uid="{00000000-0005-0000-0000-0000C5030000}"/>
    <cellStyle name="Normal 7 4 2" xfId="1365" xr:uid="{00000000-0005-0000-0000-0000C6030000}"/>
    <cellStyle name="Normal 7 5" xfId="638" xr:uid="{00000000-0005-0000-0000-0000C7030000}"/>
    <cellStyle name="Normal 8" xfId="114" xr:uid="{00000000-0005-0000-0000-0000C8030000}"/>
    <cellStyle name="Normal 8 2" xfId="643" xr:uid="{00000000-0005-0000-0000-0000C9030000}"/>
    <cellStyle name="Normal 8 2 2" xfId="1366" xr:uid="{00000000-0005-0000-0000-0000CA030000}"/>
    <cellStyle name="Normal 8 2 2 2" xfId="1807" xr:uid="{00000000-0005-0000-0000-0000CB030000}"/>
    <cellStyle name="Normal 8 2 3" xfId="1367" xr:uid="{00000000-0005-0000-0000-0000CC030000}"/>
    <cellStyle name="Normal 8 3" xfId="644" xr:uid="{00000000-0005-0000-0000-0000CD030000}"/>
    <cellStyle name="Normal 8 3 2" xfId="1808" xr:uid="{00000000-0005-0000-0000-0000CE030000}"/>
    <cellStyle name="Normal 8 4" xfId="645" xr:uid="{00000000-0005-0000-0000-0000CF030000}"/>
    <cellStyle name="Normal 8 4 2" xfId="1368" xr:uid="{00000000-0005-0000-0000-0000D0030000}"/>
    <cellStyle name="Normal 8 5" xfId="642" xr:uid="{00000000-0005-0000-0000-0000D1030000}"/>
    <cellStyle name="Normal 9" xfId="115" xr:uid="{00000000-0005-0000-0000-0000D2030000}"/>
    <cellStyle name="Normal 9 2" xfId="646" xr:uid="{00000000-0005-0000-0000-0000D3030000}"/>
    <cellStyle name="Normal 9 2 2" xfId="1369" xr:uid="{00000000-0005-0000-0000-0000D4030000}"/>
    <cellStyle name="Normal 9 2 2 2" xfId="1809" xr:uid="{00000000-0005-0000-0000-0000D5030000}"/>
    <cellStyle name="Normal 9 2 3" xfId="1370" xr:uid="{00000000-0005-0000-0000-0000D6030000}"/>
    <cellStyle name="Normal 9 3" xfId="647" xr:uid="{00000000-0005-0000-0000-0000D7030000}"/>
    <cellStyle name="Normal 9 3 2" xfId="1810" xr:uid="{00000000-0005-0000-0000-0000D8030000}"/>
    <cellStyle name="Normal 9 4" xfId="648" xr:uid="{00000000-0005-0000-0000-0000D9030000}"/>
    <cellStyle name="Normal 9 4 2" xfId="1371" xr:uid="{00000000-0005-0000-0000-0000DA030000}"/>
    <cellStyle name="Normal 9 5" xfId="1372" xr:uid="{00000000-0005-0000-0000-0000DB030000}"/>
    <cellStyle name="Normal_Estimate Details" xfId="116" xr:uid="{00000000-0005-0000-0000-0000DC030000}"/>
    <cellStyle name="Normal_Estimate Details 2" xfId="1131" xr:uid="{00000000-0005-0000-0000-0000DD030000}"/>
    <cellStyle name="Normal_Estimate Details 3" xfId="1574" xr:uid="{00000000-0005-0000-0000-0000DE030000}"/>
    <cellStyle name="Normal_Estimate Details_1" xfId="117" xr:uid="{00000000-0005-0000-0000-0000DF030000}"/>
    <cellStyle name="Normal_KJE4TEST" xfId="118" xr:uid="{00000000-0005-0000-0000-0000E0030000}"/>
    <cellStyle name="Normal_Oscar53-E" xfId="119" xr:uid="{00000000-0005-0000-0000-0000E1030000}"/>
    <cellStyle name="Normal_Oscar53-E 3" xfId="1128" xr:uid="{00000000-0005-0000-0000-0000E2030000}"/>
    <cellStyle name="Normal_SegmentSUM_1" xfId="120" xr:uid="{00000000-0005-0000-0000-0000E3030000}"/>
    <cellStyle name="Normal_Tianjin Beitang 2X350MW_CCS_Rev08_2010324-1" xfId="121" xr:uid="{00000000-0005-0000-0000-0000E4030000}"/>
    <cellStyle name="Normalny 2" xfId="1373" xr:uid="{00000000-0005-0000-0000-0000E5030000}"/>
    <cellStyle name="Normalny 2 2" xfId="1811" xr:uid="{00000000-0005-0000-0000-0000E6030000}"/>
    <cellStyle name="Normalny_Arkusz1" xfId="122" xr:uid="{00000000-0005-0000-0000-0000E7030000}"/>
    <cellStyle name="Note 2" xfId="649" xr:uid="{00000000-0005-0000-0000-0000E8030000}"/>
    <cellStyle name="Note 2 2" xfId="1093" xr:uid="{00000000-0005-0000-0000-0000E9030000}"/>
    <cellStyle name="Note 2 2 2" xfId="2122" xr:uid="{00000000-0005-0000-0000-0000E9030000}"/>
    <cellStyle name="Note 2 3" xfId="2063" xr:uid="{00000000-0005-0000-0000-0000E8030000}"/>
    <cellStyle name="Note 2 4" xfId="2299" xr:uid="{00000000-0005-0000-0000-000066090000}"/>
    <cellStyle name="Notiz" xfId="123" xr:uid="{00000000-0005-0000-0000-0000EA030000}"/>
    <cellStyle name="Notiz 10" xfId="1991" xr:uid="{00000000-0005-0000-0000-0000EA030000}"/>
    <cellStyle name="Notiz 2" xfId="650" xr:uid="{00000000-0005-0000-0000-0000EB030000}"/>
    <cellStyle name="Notiz 2 2" xfId="651" xr:uid="{00000000-0005-0000-0000-0000EC030000}"/>
    <cellStyle name="Notiz 2 2 2" xfId="1096" xr:uid="{00000000-0005-0000-0000-0000ED030000}"/>
    <cellStyle name="Notiz 2 2 2 2" xfId="2125" xr:uid="{00000000-0005-0000-0000-0000ED030000}"/>
    <cellStyle name="Notiz 2 2 3" xfId="2065" xr:uid="{00000000-0005-0000-0000-0000EC030000}"/>
    <cellStyle name="Notiz 2 3" xfId="1095" xr:uid="{00000000-0005-0000-0000-0000EE030000}"/>
    <cellStyle name="Notiz 2 3 2" xfId="2124" xr:uid="{00000000-0005-0000-0000-0000EE030000}"/>
    <cellStyle name="Notiz 2 4" xfId="2064" xr:uid="{00000000-0005-0000-0000-0000EB030000}"/>
    <cellStyle name="Notiz 3" xfId="1094" xr:uid="{00000000-0005-0000-0000-0000EF030000}"/>
    <cellStyle name="Notiz 3 2" xfId="2123" xr:uid="{00000000-0005-0000-0000-0000EF030000}"/>
    <cellStyle name="Notiz 4" xfId="1812" xr:uid="{00000000-0005-0000-0000-0000F0030000}"/>
    <cellStyle name="Notiz 4 2" xfId="2282" xr:uid="{00000000-0005-0000-0000-0000F0030000}"/>
    <cellStyle name="Notiz 5" xfId="1813" xr:uid="{00000000-0005-0000-0000-0000F1030000}"/>
    <cellStyle name="Notiz 5 2" xfId="2283" xr:uid="{00000000-0005-0000-0000-0000F1030000}"/>
    <cellStyle name="Notiz 6" xfId="1814" xr:uid="{00000000-0005-0000-0000-0000F2030000}"/>
    <cellStyle name="Notiz 6 2" xfId="2284" xr:uid="{00000000-0005-0000-0000-0000F2030000}"/>
    <cellStyle name="Notiz 7" xfId="1815" xr:uid="{00000000-0005-0000-0000-0000F3030000}"/>
    <cellStyle name="Notiz 7 2" xfId="2285" xr:uid="{00000000-0005-0000-0000-0000F3030000}"/>
    <cellStyle name="Notiz 8" xfId="1816" xr:uid="{00000000-0005-0000-0000-0000F4030000}"/>
    <cellStyle name="Notiz 8 2" xfId="2286" xr:uid="{00000000-0005-0000-0000-0000F4030000}"/>
    <cellStyle name="Notiz 9" xfId="1817" xr:uid="{00000000-0005-0000-0000-0000F5030000}"/>
    <cellStyle name="Notiz 9 2" xfId="2287" xr:uid="{00000000-0005-0000-0000-0000F5030000}"/>
    <cellStyle name="Nummer" xfId="124" xr:uid="{00000000-0005-0000-0000-0000F6030000}"/>
    <cellStyle name="Nummer 2" xfId="653" xr:uid="{00000000-0005-0000-0000-0000F7030000}"/>
    <cellStyle name="Nummer 2 2" xfId="654" xr:uid="{00000000-0005-0000-0000-0000F8030000}"/>
    <cellStyle name="Nummer 2 2 2" xfId="2068" xr:uid="{00000000-0005-0000-0000-0000F8030000}"/>
    <cellStyle name="Nummer 2 3" xfId="1374" xr:uid="{00000000-0005-0000-0000-0000F9030000}"/>
    <cellStyle name="Nummer 2 3 2" xfId="2215" xr:uid="{00000000-0005-0000-0000-0000F9030000}"/>
    <cellStyle name="Nummer 2 4" xfId="2067" xr:uid="{00000000-0005-0000-0000-0000F7030000}"/>
    <cellStyle name="Nummer 3" xfId="652" xr:uid="{00000000-0005-0000-0000-0000FA030000}"/>
    <cellStyle name="Nummer 3 2" xfId="1818" xr:uid="{00000000-0005-0000-0000-0000FB030000}"/>
    <cellStyle name="Nummer 3 3" xfId="2066" xr:uid="{00000000-0005-0000-0000-0000FA030000}"/>
    <cellStyle name="Nummer 4" xfId="1819" xr:uid="{00000000-0005-0000-0000-0000FC030000}"/>
    <cellStyle name="Output 2" xfId="655" xr:uid="{00000000-0005-0000-0000-0000FD030000}"/>
    <cellStyle name="Output 2 2" xfId="1097" xr:uid="{00000000-0005-0000-0000-0000FE030000}"/>
    <cellStyle name="Output 2 2 2" xfId="2126" xr:uid="{00000000-0005-0000-0000-0000FE030000}"/>
    <cellStyle name="Output 2 3" xfId="2069" xr:uid="{00000000-0005-0000-0000-0000FD030000}"/>
    <cellStyle name="Override" xfId="125" xr:uid="{00000000-0005-0000-0000-0000FF030000}"/>
    <cellStyle name="Override 2" xfId="656" xr:uid="{00000000-0005-0000-0000-000000040000}"/>
    <cellStyle name="Override 2 2" xfId="657" xr:uid="{00000000-0005-0000-0000-000001040000}"/>
    <cellStyle name="Override 2 2 2" xfId="2071" xr:uid="{00000000-0005-0000-0000-000001040000}"/>
    <cellStyle name="Override 2 3" xfId="1375" xr:uid="{00000000-0005-0000-0000-000002040000}"/>
    <cellStyle name="Override 2 3 2" xfId="2216" xr:uid="{00000000-0005-0000-0000-000002040000}"/>
    <cellStyle name="Override 2 4" xfId="2070" xr:uid="{00000000-0005-0000-0000-000000040000}"/>
    <cellStyle name="Override 3" xfId="1820" xr:uid="{00000000-0005-0000-0000-000003040000}"/>
    <cellStyle name="Override 3 2" xfId="2288" xr:uid="{00000000-0005-0000-0000-000003040000}"/>
    <cellStyle name="Override 4" xfId="1821" xr:uid="{00000000-0005-0000-0000-000004040000}"/>
    <cellStyle name="Override 4 2" xfId="2289" xr:uid="{00000000-0005-0000-0000-000004040000}"/>
    <cellStyle name="Override 5" xfId="1822" xr:uid="{00000000-0005-0000-0000-000005040000}"/>
    <cellStyle name="Override 5 2" xfId="2290" xr:uid="{00000000-0005-0000-0000-000005040000}"/>
    <cellStyle name="Override 6" xfId="1823" xr:uid="{00000000-0005-0000-0000-000006040000}"/>
    <cellStyle name="Override 6 2" xfId="2291" xr:uid="{00000000-0005-0000-0000-000006040000}"/>
    <cellStyle name="Override 7" xfId="1824" xr:uid="{00000000-0005-0000-0000-000007040000}"/>
    <cellStyle name="Override 7 2" xfId="2292" xr:uid="{00000000-0005-0000-0000-000007040000}"/>
    <cellStyle name="Override 8" xfId="1825" xr:uid="{00000000-0005-0000-0000-000008040000}"/>
    <cellStyle name="Override 8 2" xfId="2293" xr:uid="{00000000-0005-0000-0000-000008040000}"/>
    <cellStyle name="Override 9" xfId="1992" xr:uid="{00000000-0005-0000-0000-0000FF030000}"/>
    <cellStyle name="Percen - Style2" xfId="126" xr:uid="{00000000-0005-0000-0000-000009040000}"/>
    <cellStyle name="Percen - Style2 2" xfId="658" xr:uid="{00000000-0005-0000-0000-00000A040000}"/>
    <cellStyle name="Percen - Style2 2 2" xfId="659" xr:uid="{00000000-0005-0000-0000-00000B040000}"/>
    <cellStyle name="Percen - Style2 2 3" xfId="1376" xr:uid="{00000000-0005-0000-0000-00000C040000}"/>
    <cellStyle name="Percen - Style2 3" xfId="1826" xr:uid="{00000000-0005-0000-0000-00000D040000}"/>
    <cellStyle name="Percent" xfId="127" builtinId="5"/>
    <cellStyle name="Percent [2]" xfId="128" xr:uid="{00000000-0005-0000-0000-00000F040000}"/>
    <cellStyle name="Percent [2] 2" xfId="661" xr:uid="{00000000-0005-0000-0000-000010040000}"/>
    <cellStyle name="Percent [2] 2 2" xfId="662" xr:uid="{00000000-0005-0000-0000-000011040000}"/>
    <cellStyle name="Percent [2] 2 2 2" xfId="1377" xr:uid="{00000000-0005-0000-0000-000012040000}"/>
    <cellStyle name="Percent [2] 2 2 2 2" xfId="1827" xr:uid="{00000000-0005-0000-0000-000013040000}"/>
    <cellStyle name="Percent [2] 2 2 3" xfId="1828" xr:uid="{00000000-0005-0000-0000-000014040000}"/>
    <cellStyle name="Percent [2] 2 3" xfId="1378" xr:uid="{00000000-0005-0000-0000-000015040000}"/>
    <cellStyle name="Percent [2] 2 3 2" xfId="1829" xr:uid="{00000000-0005-0000-0000-000016040000}"/>
    <cellStyle name="Percent [2] 2 4" xfId="1830" xr:uid="{00000000-0005-0000-0000-000017040000}"/>
    <cellStyle name="Percent [2] 3" xfId="663" xr:uid="{00000000-0005-0000-0000-000018040000}"/>
    <cellStyle name="Percent [2] 3 2" xfId="1379" xr:uid="{00000000-0005-0000-0000-000019040000}"/>
    <cellStyle name="Percent [2] 3 2 2" xfId="1831" xr:uid="{00000000-0005-0000-0000-00001A040000}"/>
    <cellStyle name="Percent [2] 3 3" xfId="1832" xr:uid="{00000000-0005-0000-0000-00001B040000}"/>
    <cellStyle name="Percent [2] 4" xfId="664" xr:uid="{00000000-0005-0000-0000-00001C040000}"/>
    <cellStyle name="Percent [2] 4 2" xfId="1833" xr:uid="{00000000-0005-0000-0000-00001D040000}"/>
    <cellStyle name="Percent [2] 5" xfId="660" xr:uid="{00000000-0005-0000-0000-00001E040000}"/>
    <cellStyle name="Percent 10" xfId="665" xr:uid="{00000000-0005-0000-0000-00001F040000}"/>
    <cellStyle name="Percent 10 2" xfId="1129" xr:uid="{00000000-0005-0000-0000-000020040000}"/>
    <cellStyle name="Percent 10 2 2" xfId="1834" xr:uid="{00000000-0005-0000-0000-000021040000}"/>
    <cellStyle name="Percent 10 3" xfId="1380" xr:uid="{00000000-0005-0000-0000-000022040000}"/>
    <cellStyle name="Percent 11" xfId="666" xr:uid="{00000000-0005-0000-0000-000023040000}"/>
    <cellStyle name="Percent 11 2" xfId="1835" xr:uid="{00000000-0005-0000-0000-000024040000}"/>
    <cellStyle name="Percent 12" xfId="667" xr:uid="{00000000-0005-0000-0000-000025040000}"/>
    <cellStyle name="Percent 12 2" xfId="1381" xr:uid="{00000000-0005-0000-0000-000026040000}"/>
    <cellStyle name="Percent 13" xfId="1382" xr:uid="{00000000-0005-0000-0000-000027040000}"/>
    <cellStyle name="Percent 13 2" xfId="1836" xr:uid="{00000000-0005-0000-0000-000028040000}"/>
    <cellStyle name="Percent 14" xfId="1383" xr:uid="{00000000-0005-0000-0000-000029040000}"/>
    <cellStyle name="Percent 14 2" xfId="1384" xr:uid="{00000000-0005-0000-0000-00002A040000}"/>
    <cellStyle name="Percent 15" xfId="1385" xr:uid="{00000000-0005-0000-0000-00002B040000}"/>
    <cellStyle name="Percent 16" xfId="1126" xr:uid="{00000000-0005-0000-0000-00002C040000}"/>
    <cellStyle name="Percent 17" xfId="1386" xr:uid="{00000000-0005-0000-0000-00002D040000}"/>
    <cellStyle name="Percent 18" xfId="1387" xr:uid="{00000000-0005-0000-0000-00002E040000}"/>
    <cellStyle name="Percent 19" xfId="1388" xr:uid="{00000000-0005-0000-0000-00002F040000}"/>
    <cellStyle name="Percent 2" xfId="129" xr:uid="{00000000-0005-0000-0000-000030040000}"/>
    <cellStyle name="Percent 2 2" xfId="669" xr:uid="{00000000-0005-0000-0000-000031040000}"/>
    <cellStyle name="Percent 2 2 2" xfId="670" xr:uid="{00000000-0005-0000-0000-000032040000}"/>
    <cellStyle name="Percent 2 2 2 2" xfId="1389" xr:uid="{00000000-0005-0000-0000-000033040000}"/>
    <cellStyle name="Percent 2 2 2 2 2" xfId="1837" xr:uid="{00000000-0005-0000-0000-000034040000}"/>
    <cellStyle name="Percent 2 2 2 3" xfId="1838" xr:uid="{00000000-0005-0000-0000-000035040000}"/>
    <cellStyle name="Percent 2 2 3" xfId="1390" xr:uid="{00000000-0005-0000-0000-000036040000}"/>
    <cellStyle name="Percent 2 2 3 2" xfId="1839" xr:uid="{00000000-0005-0000-0000-000037040000}"/>
    <cellStyle name="Percent 2 2 4" xfId="1840" xr:uid="{00000000-0005-0000-0000-000038040000}"/>
    <cellStyle name="Percent 2 3" xfId="671" xr:uid="{00000000-0005-0000-0000-000039040000}"/>
    <cellStyle name="Percent 2 4" xfId="672" xr:uid="{00000000-0005-0000-0000-00003A040000}"/>
    <cellStyle name="Percent 2 5" xfId="668" xr:uid="{00000000-0005-0000-0000-00003B040000}"/>
    <cellStyle name="Percent 20" xfId="1391" xr:uid="{00000000-0005-0000-0000-00003C040000}"/>
    <cellStyle name="Percent 21" xfId="1392" xr:uid="{00000000-0005-0000-0000-00003D040000}"/>
    <cellStyle name="Percent 22" xfId="1393" xr:uid="{00000000-0005-0000-0000-00003E040000}"/>
    <cellStyle name="Percent 23" xfId="1394" xr:uid="{00000000-0005-0000-0000-00003F040000}"/>
    <cellStyle name="Percent 24" xfId="1395" xr:uid="{00000000-0005-0000-0000-000040040000}"/>
    <cellStyle name="Percent 25" xfId="1396" xr:uid="{00000000-0005-0000-0000-000041040000}"/>
    <cellStyle name="Percent 26" xfId="1397" xr:uid="{00000000-0005-0000-0000-000042040000}"/>
    <cellStyle name="Percent 27" xfId="1398" xr:uid="{00000000-0005-0000-0000-000043040000}"/>
    <cellStyle name="Percent 28" xfId="1399" xr:uid="{00000000-0005-0000-0000-000044040000}"/>
    <cellStyle name="Percent 29" xfId="1400" xr:uid="{00000000-0005-0000-0000-000045040000}"/>
    <cellStyle name="Percent 3" xfId="130" xr:uid="{00000000-0005-0000-0000-000046040000}"/>
    <cellStyle name="Percent 3 2" xfId="674" xr:uid="{00000000-0005-0000-0000-000047040000}"/>
    <cellStyle name="Percent 3 2 2" xfId="675" xr:uid="{00000000-0005-0000-0000-000048040000}"/>
    <cellStyle name="Percent 3 2 2 2" xfId="1401" xr:uid="{00000000-0005-0000-0000-000049040000}"/>
    <cellStyle name="Percent 3 2 2 2 2" xfId="1841" xr:uid="{00000000-0005-0000-0000-00004A040000}"/>
    <cellStyle name="Percent 3 2 2 3" xfId="1842" xr:uid="{00000000-0005-0000-0000-00004B040000}"/>
    <cellStyle name="Percent 3 2 3" xfId="1402" xr:uid="{00000000-0005-0000-0000-00004C040000}"/>
    <cellStyle name="Percent 3 2 3 2" xfId="1843" xr:uid="{00000000-0005-0000-0000-00004D040000}"/>
    <cellStyle name="Percent 3 3" xfId="676" xr:uid="{00000000-0005-0000-0000-00004E040000}"/>
    <cellStyle name="Percent 3 4" xfId="677" xr:uid="{00000000-0005-0000-0000-00004F040000}"/>
    <cellStyle name="Percent 3 5" xfId="673" xr:uid="{00000000-0005-0000-0000-000050040000}"/>
    <cellStyle name="Percent 30" xfId="1403" xr:uid="{00000000-0005-0000-0000-000051040000}"/>
    <cellStyle name="Percent 31" xfId="1404" xr:uid="{00000000-0005-0000-0000-000052040000}"/>
    <cellStyle name="Percent 32" xfId="1405" xr:uid="{00000000-0005-0000-0000-000053040000}"/>
    <cellStyle name="Percent 33" xfId="1406" xr:uid="{00000000-0005-0000-0000-000054040000}"/>
    <cellStyle name="Percent 34" xfId="1407" xr:uid="{00000000-0005-0000-0000-000055040000}"/>
    <cellStyle name="Percent 35" xfId="1408" xr:uid="{00000000-0005-0000-0000-000056040000}"/>
    <cellStyle name="Percent 36" xfId="1409" xr:uid="{00000000-0005-0000-0000-000057040000}"/>
    <cellStyle name="Percent 36 3" xfId="1971" xr:uid="{00000000-0005-0000-0000-000058040000}"/>
    <cellStyle name="Percent 36 3 2" xfId="2335" xr:uid="{00000000-0005-0000-0000-000058040000}"/>
    <cellStyle name="Percent 37" xfId="1410" xr:uid="{00000000-0005-0000-0000-000059040000}"/>
    <cellStyle name="Percent 38" xfId="1411" xr:uid="{00000000-0005-0000-0000-00005A040000}"/>
    <cellStyle name="Percent 39" xfId="1412" xr:uid="{00000000-0005-0000-0000-00005B040000}"/>
    <cellStyle name="Percent 4" xfId="131" xr:uid="{00000000-0005-0000-0000-00005C040000}"/>
    <cellStyle name="Percent 4 2" xfId="679" xr:uid="{00000000-0005-0000-0000-00005D040000}"/>
    <cellStyle name="Percent 4 2 2" xfId="1413" xr:uid="{00000000-0005-0000-0000-00005E040000}"/>
    <cellStyle name="Percent 4 2 2 2" xfId="1844" xr:uid="{00000000-0005-0000-0000-00005F040000}"/>
    <cellStyle name="Percent 4 2 3" xfId="1414" xr:uid="{00000000-0005-0000-0000-000060040000}"/>
    <cellStyle name="Percent 4 2 3 2" xfId="1845" xr:uid="{00000000-0005-0000-0000-000061040000}"/>
    <cellStyle name="Percent 4 3" xfId="680" xr:uid="{00000000-0005-0000-0000-000062040000}"/>
    <cellStyle name="Percent 4 3 2" xfId="1846" xr:uid="{00000000-0005-0000-0000-000063040000}"/>
    <cellStyle name="Percent 4 4" xfId="681" xr:uid="{00000000-0005-0000-0000-000064040000}"/>
    <cellStyle name="Percent 4 4 2" xfId="1415" xr:uid="{00000000-0005-0000-0000-000065040000}"/>
    <cellStyle name="Percent 4 5" xfId="678" xr:uid="{00000000-0005-0000-0000-000066040000}"/>
    <cellStyle name="Percent 40" xfId="1416" xr:uid="{00000000-0005-0000-0000-000067040000}"/>
    <cellStyle name="Percent 41" xfId="1417" xr:uid="{00000000-0005-0000-0000-000068040000}"/>
    <cellStyle name="Percent 42" xfId="1418" xr:uid="{00000000-0005-0000-0000-000069040000}"/>
    <cellStyle name="Percent 43" xfId="1419" xr:uid="{00000000-0005-0000-0000-00006A040000}"/>
    <cellStyle name="Percent 44" xfId="1420" xr:uid="{00000000-0005-0000-0000-00006B040000}"/>
    <cellStyle name="Percent 45" xfId="1421" xr:uid="{00000000-0005-0000-0000-00006C040000}"/>
    <cellStyle name="Percent 46" xfId="1422" xr:uid="{00000000-0005-0000-0000-00006D040000}"/>
    <cellStyle name="Percent 47" xfId="1423" xr:uid="{00000000-0005-0000-0000-00006E040000}"/>
    <cellStyle name="Percent 48" xfId="1424" xr:uid="{00000000-0005-0000-0000-00006F040000}"/>
    <cellStyle name="Percent 49" xfId="1425" xr:uid="{00000000-0005-0000-0000-000070040000}"/>
    <cellStyle name="Percent 5" xfId="132" xr:uid="{00000000-0005-0000-0000-000071040000}"/>
    <cellStyle name="Percent 5 2" xfId="683" xr:uid="{00000000-0005-0000-0000-000072040000}"/>
    <cellStyle name="Percent 5 2 2" xfId="1426" xr:uid="{00000000-0005-0000-0000-000073040000}"/>
    <cellStyle name="Percent 5 2 2 2" xfId="1847" xr:uid="{00000000-0005-0000-0000-000074040000}"/>
    <cellStyle name="Percent 5 2 3" xfId="1848" xr:uid="{00000000-0005-0000-0000-000075040000}"/>
    <cellStyle name="Percent 5 3" xfId="682" xr:uid="{00000000-0005-0000-0000-000076040000}"/>
    <cellStyle name="Percent 5 3 2" xfId="1849" xr:uid="{00000000-0005-0000-0000-000077040000}"/>
    <cellStyle name="Percent 5 4" xfId="1427" xr:uid="{00000000-0005-0000-0000-000078040000}"/>
    <cellStyle name="Percent 5 4 2" xfId="1850" xr:uid="{00000000-0005-0000-0000-000079040000}"/>
    <cellStyle name="Percent 5 5" xfId="1851" xr:uid="{00000000-0005-0000-0000-00007A040000}"/>
    <cellStyle name="Percent 50" xfId="1428" xr:uid="{00000000-0005-0000-0000-00007B040000}"/>
    <cellStyle name="Percent 51" xfId="1429" xr:uid="{00000000-0005-0000-0000-00007C040000}"/>
    <cellStyle name="Percent 52" xfId="1430" xr:uid="{00000000-0005-0000-0000-00007D040000}"/>
    <cellStyle name="Percent 53" xfId="1852" xr:uid="{00000000-0005-0000-0000-00007E040000}"/>
    <cellStyle name="Percent 53 2" xfId="2294" xr:uid="{00000000-0005-0000-0000-00007E040000}"/>
    <cellStyle name="Percent 54" xfId="1573" xr:uid="{00000000-0005-0000-0000-00007F040000}"/>
    <cellStyle name="Percent 54 2" xfId="2230" xr:uid="{00000000-0005-0000-0000-00007F040000}"/>
    <cellStyle name="Percent 55" xfId="1993" xr:uid="{00000000-0005-0000-0000-00003F040000}"/>
    <cellStyle name="Percent 56" xfId="1976" xr:uid="{00000000-0005-0000-0000-0000D4080000}"/>
    <cellStyle name="Percent 57" xfId="2227" xr:uid="{00000000-0005-0000-0000-00005B090000}"/>
    <cellStyle name="Percent 58" xfId="2340" xr:uid="{00000000-0005-0000-0000-00005E090000}"/>
    <cellStyle name="Percent 59" xfId="2270" xr:uid="{00000000-0005-0000-0000-000061090000}"/>
    <cellStyle name="Percent 6" xfId="133" xr:uid="{00000000-0005-0000-0000-000080040000}"/>
    <cellStyle name="Percent 6 2" xfId="685" xr:uid="{00000000-0005-0000-0000-000081040000}"/>
    <cellStyle name="Percent 6 2 2" xfId="1431" xr:uid="{00000000-0005-0000-0000-000082040000}"/>
    <cellStyle name="Percent 6 2 2 2" xfId="1853" xr:uid="{00000000-0005-0000-0000-000083040000}"/>
    <cellStyle name="Percent 6 2 3" xfId="1432" xr:uid="{00000000-0005-0000-0000-000084040000}"/>
    <cellStyle name="Percent 6 3" xfId="686" xr:uid="{00000000-0005-0000-0000-000085040000}"/>
    <cellStyle name="Percent 6 3 2" xfId="1854" xr:uid="{00000000-0005-0000-0000-000086040000}"/>
    <cellStyle name="Percent 6 4" xfId="684" xr:uid="{00000000-0005-0000-0000-000087040000}"/>
    <cellStyle name="Percent 60" xfId="2346" xr:uid="{00000000-0005-0000-0000-000052090000}"/>
    <cellStyle name="Percent 61" xfId="2348" xr:uid="{00000000-0005-0000-0000-000056090000}"/>
    <cellStyle name="Percent 7" xfId="283" xr:uid="{00000000-0005-0000-0000-000088040000}"/>
    <cellStyle name="Percent 7 2" xfId="687" xr:uid="{00000000-0005-0000-0000-000089040000}"/>
    <cellStyle name="Percent 7 2 2" xfId="1433" xr:uid="{00000000-0005-0000-0000-00008A040000}"/>
    <cellStyle name="Percent 7 2 2 2" xfId="1855" xr:uid="{00000000-0005-0000-0000-00008B040000}"/>
    <cellStyle name="Percent 7 2 3" xfId="1856" xr:uid="{00000000-0005-0000-0000-00008C040000}"/>
    <cellStyle name="Percent 7 3" xfId="1434" xr:uid="{00000000-0005-0000-0000-00008D040000}"/>
    <cellStyle name="Percent 7 3 2" xfId="1857" xr:uid="{00000000-0005-0000-0000-00008E040000}"/>
    <cellStyle name="Percent 7 4" xfId="1858" xr:uid="{00000000-0005-0000-0000-00008F040000}"/>
    <cellStyle name="Percent 8" xfId="688" xr:uid="{00000000-0005-0000-0000-000090040000}"/>
    <cellStyle name="Percent 8 2" xfId="689" xr:uid="{00000000-0005-0000-0000-000091040000}"/>
    <cellStyle name="Percent 8 2 2" xfId="1435" xr:uid="{00000000-0005-0000-0000-000092040000}"/>
    <cellStyle name="Percent 8 2 2 2" xfId="1859" xr:uid="{00000000-0005-0000-0000-000093040000}"/>
    <cellStyle name="Percent 8 2 3" xfId="1860" xr:uid="{00000000-0005-0000-0000-000094040000}"/>
    <cellStyle name="Percent 8 3" xfId="690" xr:uid="{00000000-0005-0000-0000-000095040000}"/>
    <cellStyle name="Percent 8 3 2" xfId="1436" xr:uid="{00000000-0005-0000-0000-000096040000}"/>
    <cellStyle name="Percent 8 4" xfId="1861" xr:uid="{00000000-0005-0000-0000-000097040000}"/>
    <cellStyle name="Percent 9" xfId="691" xr:uid="{00000000-0005-0000-0000-000098040000}"/>
    <cellStyle name="Percent 9 2" xfId="692" xr:uid="{00000000-0005-0000-0000-000099040000}"/>
    <cellStyle name="Percent 9 2 2" xfId="1437" xr:uid="{00000000-0005-0000-0000-00009A040000}"/>
    <cellStyle name="Percent 9 2 2 2" xfId="1862" xr:uid="{00000000-0005-0000-0000-00009B040000}"/>
    <cellStyle name="Percent 9 2 3" xfId="1438" xr:uid="{00000000-0005-0000-0000-00009C040000}"/>
    <cellStyle name="Percent 9 3" xfId="1439" xr:uid="{00000000-0005-0000-0000-00009D040000}"/>
    <cellStyle name="Percent 9 3 2" xfId="1863" xr:uid="{00000000-0005-0000-0000-00009E040000}"/>
    <cellStyle name="Percent 9 4" xfId="1864" xr:uid="{00000000-0005-0000-0000-00009F040000}"/>
    <cellStyle name="Popis" xfId="134" xr:uid="{00000000-0005-0000-0000-0000A0040000}"/>
    <cellStyle name="Popis 2" xfId="693" xr:uid="{00000000-0005-0000-0000-0000A1040000}"/>
    <cellStyle name="Popis 2 2" xfId="694" xr:uid="{00000000-0005-0000-0000-0000A2040000}"/>
    <cellStyle name="Popis 2 3" xfId="1440" xr:uid="{00000000-0005-0000-0000-0000A3040000}"/>
    <cellStyle name="Popis 3" xfId="1865" xr:uid="{00000000-0005-0000-0000-0000A4040000}"/>
    <cellStyle name="Pourcentage 2" xfId="1122" xr:uid="{00000000-0005-0000-0000-0000A5040000}"/>
    <cellStyle name="Preise1" xfId="135" xr:uid="{00000000-0005-0000-0000-0000A6040000}"/>
    <cellStyle name="Preise1 2" xfId="695" xr:uid="{00000000-0005-0000-0000-0000A7040000}"/>
    <cellStyle name="Preise1 2 2" xfId="696" xr:uid="{00000000-0005-0000-0000-0000A8040000}"/>
    <cellStyle name="Preise1 2 3" xfId="1441" xr:uid="{00000000-0005-0000-0000-0000A9040000}"/>
    <cellStyle name="Preise1 3" xfId="697" xr:uid="{00000000-0005-0000-0000-0000AA040000}"/>
    <cellStyle name="Preise1 3 2" xfId="1866" xr:uid="{00000000-0005-0000-0000-0000AB040000}"/>
    <cellStyle name="Preise1 4" xfId="1867" xr:uid="{00000000-0005-0000-0000-0000AC040000}"/>
    <cellStyle name="Preise2" xfId="136" xr:uid="{00000000-0005-0000-0000-0000AD040000}"/>
    <cellStyle name="Preise2 2" xfId="1868" xr:uid="{00000000-0005-0000-0000-0000AE040000}"/>
    <cellStyle name="Schlecht" xfId="137" xr:uid="{00000000-0005-0000-0000-0000AF040000}"/>
    <cellStyle name="Schlecht 2" xfId="698" xr:uid="{00000000-0005-0000-0000-0000B0040000}"/>
    <cellStyle name="Schlecht 2 2" xfId="699" xr:uid="{00000000-0005-0000-0000-0000B1040000}"/>
    <cellStyle name="Schlecht 2 3" xfId="1442" xr:uid="{00000000-0005-0000-0000-0000B2040000}"/>
    <cellStyle name="Schlecht 3" xfId="1869" xr:uid="{00000000-0005-0000-0000-0000B3040000}"/>
    <cellStyle name="Separador de milhares [0]_cashflow.xls" xfId="138" xr:uid="{00000000-0005-0000-0000-0000B4040000}"/>
    <cellStyle name="Separador de milhares_cashflow.xls" xfId="139" xr:uid="{00000000-0005-0000-0000-0000B5040000}"/>
    <cellStyle name="Sledovaný hypertextový odkaz" xfId="140" xr:uid="{00000000-0005-0000-0000-0000B6040000}"/>
    <cellStyle name="Sledovaný hypertextový odkaz 2" xfId="701" xr:uid="{00000000-0005-0000-0000-0000B7040000}"/>
    <cellStyle name="Sledovaný hypertextový odkaz 2 2" xfId="702" xr:uid="{00000000-0005-0000-0000-0000B8040000}"/>
    <cellStyle name="Sledovaný hypertextový odkaz 2 3" xfId="1443" xr:uid="{00000000-0005-0000-0000-0000B9040000}"/>
    <cellStyle name="Sledovaný hypertextový odkaz 3" xfId="703" xr:uid="{00000000-0005-0000-0000-0000BA040000}"/>
    <cellStyle name="Sledovaný hypertextový odkaz 3 2" xfId="704" xr:uid="{00000000-0005-0000-0000-0000BB040000}"/>
    <cellStyle name="Sledovaný hypertextový odkaz 3 3" xfId="1444" xr:uid="{00000000-0005-0000-0000-0000BC040000}"/>
    <cellStyle name="Sledovaný hypertextový odkaz 4" xfId="700" xr:uid="{00000000-0005-0000-0000-0000BD040000}"/>
    <cellStyle name="Sledovaný hypertextový odkaz 4 2" xfId="1445" xr:uid="{00000000-0005-0000-0000-0000BE040000}"/>
    <cellStyle name="Sledovaný hypertextový odkaz 5" xfId="1446" xr:uid="{00000000-0005-0000-0000-0000BF040000}"/>
    <cellStyle name="Sonstiges" xfId="141" xr:uid="{00000000-0005-0000-0000-0000C0040000}"/>
    <cellStyle name="Sonstiges 2" xfId="705" xr:uid="{00000000-0005-0000-0000-0000C1040000}"/>
    <cellStyle name="Sonstiges 2 2" xfId="706" xr:uid="{00000000-0005-0000-0000-0000C2040000}"/>
    <cellStyle name="Sonstiges 2 3" xfId="1447" xr:uid="{00000000-0005-0000-0000-0000C3040000}"/>
    <cellStyle name="Sonstiges 3" xfId="1870" xr:uid="{00000000-0005-0000-0000-0000C4040000}"/>
    <cellStyle name="Sonstiges 3 2" xfId="1871" xr:uid="{00000000-0005-0000-0000-0000C5040000}"/>
    <cellStyle name="Sonstiges 4" xfId="1872" xr:uid="{00000000-0005-0000-0000-0000C6040000}"/>
    <cellStyle name="Standard 2" xfId="142" xr:uid="{00000000-0005-0000-0000-0000C7040000}"/>
    <cellStyle name="Standard 2 2" xfId="708" xr:uid="{00000000-0005-0000-0000-0000C8040000}"/>
    <cellStyle name="Standard 2 2 2" xfId="709" xr:uid="{00000000-0005-0000-0000-0000C9040000}"/>
    <cellStyle name="Standard 2 2 2 2" xfId="1873" xr:uid="{00000000-0005-0000-0000-0000CA040000}"/>
    <cellStyle name="Standard 2 2 3" xfId="1874" xr:uid="{00000000-0005-0000-0000-0000CB040000}"/>
    <cellStyle name="Standard 2 3" xfId="710" xr:uid="{00000000-0005-0000-0000-0000CC040000}"/>
    <cellStyle name="Standard 2 3 2" xfId="711" xr:uid="{00000000-0005-0000-0000-0000CD040000}"/>
    <cellStyle name="Standard 2 3 3" xfId="1448" xr:uid="{00000000-0005-0000-0000-0000CE040000}"/>
    <cellStyle name="Standard 2 4" xfId="707" xr:uid="{00000000-0005-0000-0000-0000CF040000}"/>
    <cellStyle name="Standard 3" xfId="143" xr:uid="{00000000-0005-0000-0000-0000D0040000}"/>
    <cellStyle name="Standard 3 2" xfId="713" xr:uid="{00000000-0005-0000-0000-0000D1040000}"/>
    <cellStyle name="Standard 3 2 2" xfId="714" xr:uid="{00000000-0005-0000-0000-0000D2040000}"/>
    <cellStyle name="Standard 3 2 2 2" xfId="1875" xr:uid="{00000000-0005-0000-0000-0000D3040000}"/>
    <cellStyle name="Standard 3 2 3" xfId="1876" xr:uid="{00000000-0005-0000-0000-0000D4040000}"/>
    <cellStyle name="Standard 3 3" xfId="715" xr:uid="{00000000-0005-0000-0000-0000D5040000}"/>
    <cellStyle name="Standard 3 3 2" xfId="716" xr:uid="{00000000-0005-0000-0000-0000D6040000}"/>
    <cellStyle name="Standard 3 3 3" xfId="1449" xr:uid="{00000000-0005-0000-0000-0000D7040000}"/>
    <cellStyle name="Standard 3 4" xfId="712" xr:uid="{00000000-0005-0000-0000-0000D8040000}"/>
    <cellStyle name="Standard_8.79125 Sostanj Price Sheet Pressure Part_01" xfId="717" xr:uid="{00000000-0005-0000-0000-0000D9040000}"/>
    <cellStyle name="Stunden" xfId="144" xr:uid="{00000000-0005-0000-0000-0000DA040000}"/>
    <cellStyle name="Stunden 2" xfId="718" xr:uid="{00000000-0005-0000-0000-0000DB040000}"/>
    <cellStyle name="Stunden 2 2" xfId="719" xr:uid="{00000000-0005-0000-0000-0000DC040000}"/>
    <cellStyle name="Stunden 2 3" xfId="1450" xr:uid="{00000000-0005-0000-0000-0000DD040000}"/>
    <cellStyle name="Stunden 3" xfId="720" xr:uid="{00000000-0005-0000-0000-0000DE040000}"/>
    <cellStyle name="Stunden 3 2" xfId="1877" xr:uid="{00000000-0005-0000-0000-0000DF040000}"/>
    <cellStyle name="Stunden 4" xfId="1878" xr:uid="{00000000-0005-0000-0000-0000E0040000}"/>
    <cellStyle name="Style 1" xfId="145" xr:uid="{00000000-0005-0000-0000-0000E1040000}"/>
    <cellStyle name="Style 1 2" xfId="721" xr:uid="{00000000-0005-0000-0000-0000E2040000}"/>
    <cellStyle name="Style 1 2 2" xfId="722" xr:uid="{00000000-0005-0000-0000-0000E3040000}"/>
    <cellStyle name="Style 1 2 3" xfId="1451" xr:uid="{00000000-0005-0000-0000-0000E4040000}"/>
    <cellStyle name="Style 1 3" xfId="723" xr:uid="{00000000-0005-0000-0000-0000E5040000}"/>
    <cellStyle name="sub-total" xfId="146" xr:uid="{00000000-0005-0000-0000-0000E6040000}"/>
    <cellStyle name="sub-total 2" xfId="724" xr:uid="{00000000-0005-0000-0000-0000E7040000}"/>
    <cellStyle name="sub-total 2 2" xfId="725" xr:uid="{00000000-0005-0000-0000-0000E8040000}"/>
    <cellStyle name="sub-total 2 3" xfId="1452" xr:uid="{00000000-0005-0000-0000-0000E9040000}"/>
    <cellStyle name="sub-total 3" xfId="1879" xr:uid="{00000000-0005-0000-0000-0000EA040000}"/>
    <cellStyle name="Times New Roman" xfId="147" xr:uid="{00000000-0005-0000-0000-0000EB040000}"/>
    <cellStyle name="Titel" xfId="148" xr:uid="{00000000-0005-0000-0000-0000EC040000}"/>
    <cellStyle name="Titel 2" xfId="727" xr:uid="{00000000-0005-0000-0000-0000ED040000}"/>
    <cellStyle name="Titel 2 2" xfId="728" xr:uid="{00000000-0005-0000-0000-0000EE040000}"/>
    <cellStyle name="Titel 2 2 2" xfId="2074" xr:uid="{00000000-0005-0000-0000-0000EE040000}"/>
    <cellStyle name="Titel 2 3" xfId="1453" xr:uid="{00000000-0005-0000-0000-0000EF040000}"/>
    <cellStyle name="Titel 2 3 2" xfId="2217" xr:uid="{00000000-0005-0000-0000-0000EF040000}"/>
    <cellStyle name="Titel 2 4" xfId="2073" xr:uid="{00000000-0005-0000-0000-0000ED040000}"/>
    <cellStyle name="Titel 3" xfId="726" xr:uid="{00000000-0005-0000-0000-0000F0040000}"/>
    <cellStyle name="Titel 3 2" xfId="1880" xr:uid="{00000000-0005-0000-0000-0000F1040000}"/>
    <cellStyle name="Titel 3 2 2" xfId="2295" xr:uid="{00000000-0005-0000-0000-0000F1040000}"/>
    <cellStyle name="Titel 3 3" xfId="2072" xr:uid="{00000000-0005-0000-0000-0000F0040000}"/>
    <cellStyle name="Titel 4" xfId="1881" xr:uid="{00000000-0005-0000-0000-0000F2040000}"/>
    <cellStyle name="Titel 4 2" xfId="2296" xr:uid="{00000000-0005-0000-0000-0000F2040000}"/>
    <cellStyle name="Titel 5" xfId="1994" xr:uid="{00000000-0005-0000-0000-0000EC040000}"/>
    <cellStyle name="Title 2" xfId="729" xr:uid="{00000000-0005-0000-0000-0000F3040000}"/>
    <cellStyle name="Title 2 2" xfId="1882" xr:uid="{00000000-0005-0000-0000-0000F4040000}"/>
    <cellStyle name="TNR10" xfId="149" xr:uid="{00000000-0005-0000-0000-0000F5040000}"/>
    <cellStyle name="TNR10 2" xfId="730" xr:uid="{00000000-0005-0000-0000-0000F6040000}"/>
    <cellStyle name="TNR10 2 2" xfId="1883" xr:uid="{00000000-0005-0000-0000-0000F7040000}"/>
    <cellStyle name="TNR10 3" xfId="731" xr:uid="{00000000-0005-0000-0000-0000F8040000}"/>
    <cellStyle name="TNR10 3 2" xfId="732" xr:uid="{00000000-0005-0000-0000-0000F9040000}"/>
    <cellStyle name="TNR10 3 3" xfId="1454" xr:uid="{00000000-0005-0000-0000-0000FA040000}"/>
    <cellStyle name="Total" xfId="1123" builtinId="25" customBuiltin="1"/>
    <cellStyle name="Total 2" xfId="733" xr:uid="{00000000-0005-0000-0000-0000FC040000}"/>
    <cellStyle name="Total 2 2" xfId="1455" xr:uid="{00000000-0005-0000-0000-0000FD040000}"/>
    <cellStyle name="Total 3" xfId="734" xr:uid="{00000000-0005-0000-0000-0000FE040000}"/>
    <cellStyle name="Total 3 2" xfId="1098" xr:uid="{00000000-0005-0000-0000-0000FF040000}"/>
    <cellStyle name="Total 3 2 2" xfId="2127" xr:uid="{00000000-0005-0000-0000-0000FF040000}"/>
    <cellStyle name="Total 3 3" xfId="2075" xr:uid="{00000000-0005-0000-0000-0000FE040000}"/>
    <cellStyle name="Total 4" xfId="2141" xr:uid="{00000000-0005-0000-0000-00002C050000}"/>
    <cellStyle name="Tusental (0)_pldt" xfId="150" xr:uid="{00000000-0005-0000-0000-000000050000}"/>
    <cellStyle name="Tusental_pldt" xfId="151" xr:uid="{00000000-0005-0000-0000-000001050000}"/>
    <cellStyle name="Überschrift" xfId="152" xr:uid="{00000000-0005-0000-0000-000002050000}"/>
    <cellStyle name="Überschrift 1" xfId="153" xr:uid="{00000000-0005-0000-0000-000003050000}"/>
    <cellStyle name="Überschrift 1 2" xfId="735" xr:uid="{00000000-0005-0000-0000-000004050000}"/>
    <cellStyle name="Überschrift 1 2 2" xfId="736" xr:uid="{00000000-0005-0000-0000-000005050000}"/>
    <cellStyle name="Überschrift 1 2 3" xfId="1456" xr:uid="{00000000-0005-0000-0000-000006050000}"/>
    <cellStyle name="Überschrift 1 3" xfId="1884" xr:uid="{00000000-0005-0000-0000-000007050000}"/>
    <cellStyle name="Überschrift 2" xfId="154" xr:uid="{00000000-0005-0000-0000-000008050000}"/>
    <cellStyle name="Überschrift 2 2" xfId="737" xr:uid="{00000000-0005-0000-0000-000009050000}"/>
    <cellStyle name="Überschrift 2 2 2" xfId="738" xr:uid="{00000000-0005-0000-0000-00000A050000}"/>
    <cellStyle name="Überschrift 2 2 3" xfId="1457" xr:uid="{00000000-0005-0000-0000-00000B050000}"/>
    <cellStyle name="Überschrift 2 3" xfId="1885" xr:uid="{00000000-0005-0000-0000-00000C050000}"/>
    <cellStyle name="Überschrift 3" xfId="155" xr:uid="{00000000-0005-0000-0000-00000D050000}"/>
    <cellStyle name="Überschrift 3 2" xfId="739" xr:uid="{00000000-0005-0000-0000-00000E050000}"/>
    <cellStyle name="Überschrift 3 2 2" xfId="740" xr:uid="{00000000-0005-0000-0000-00000F050000}"/>
    <cellStyle name="Überschrift 3 2 2 2" xfId="1886" xr:uid="{00000000-0005-0000-0000-000010050000}"/>
    <cellStyle name="Überschrift 3 2 3" xfId="1458" xr:uid="{00000000-0005-0000-0000-000011050000}"/>
    <cellStyle name="Überschrift 3 3" xfId="1459" xr:uid="{00000000-0005-0000-0000-000012050000}"/>
    <cellStyle name="Überschrift 3 3 2" xfId="1887" xr:uid="{00000000-0005-0000-0000-000013050000}"/>
    <cellStyle name="Überschrift 3 4" xfId="1888" xr:uid="{00000000-0005-0000-0000-000014050000}"/>
    <cellStyle name="Überschrift 4" xfId="156" xr:uid="{00000000-0005-0000-0000-000015050000}"/>
    <cellStyle name="Überschrift 4 2" xfId="741" xr:uid="{00000000-0005-0000-0000-000016050000}"/>
    <cellStyle name="Überschrift 4 2 2" xfId="742" xr:uid="{00000000-0005-0000-0000-000017050000}"/>
    <cellStyle name="Überschrift 4 2 3" xfId="1460" xr:uid="{00000000-0005-0000-0000-000018050000}"/>
    <cellStyle name="Überschrift 4 3" xfId="1889" xr:uid="{00000000-0005-0000-0000-000019050000}"/>
    <cellStyle name="Überschrift 5" xfId="743" xr:uid="{00000000-0005-0000-0000-00001A050000}"/>
    <cellStyle name="Überschrift 5 2" xfId="744" xr:uid="{00000000-0005-0000-0000-00001B050000}"/>
    <cellStyle name="Überschrift 5 3" xfId="1461" xr:uid="{00000000-0005-0000-0000-00001C050000}"/>
    <cellStyle name="Überschrift 6" xfId="1890" xr:uid="{00000000-0005-0000-0000-00001D050000}"/>
    <cellStyle name="Ü-Titel" xfId="157" xr:uid="{00000000-0005-0000-0000-00001E050000}"/>
    <cellStyle name="Ü-Titel 2" xfId="746" xr:uid="{00000000-0005-0000-0000-00001F050000}"/>
    <cellStyle name="Ü-Titel 2 2" xfId="747" xr:uid="{00000000-0005-0000-0000-000020050000}"/>
    <cellStyle name="Ü-Titel 2 2 2" xfId="2078" xr:uid="{00000000-0005-0000-0000-000020050000}"/>
    <cellStyle name="Ü-Titel 2 3" xfId="1462" xr:uid="{00000000-0005-0000-0000-000021050000}"/>
    <cellStyle name="Ü-Titel 2 3 2" xfId="2218" xr:uid="{00000000-0005-0000-0000-000021050000}"/>
    <cellStyle name="Ü-Titel 2 4" xfId="2077" xr:uid="{00000000-0005-0000-0000-00001F050000}"/>
    <cellStyle name="Ü-Titel 3" xfId="745" xr:uid="{00000000-0005-0000-0000-000022050000}"/>
    <cellStyle name="Ü-Titel 3 2" xfId="1891" xr:uid="{00000000-0005-0000-0000-000023050000}"/>
    <cellStyle name="Ü-Titel 3 2 2" xfId="2297" xr:uid="{00000000-0005-0000-0000-000023050000}"/>
    <cellStyle name="Ü-Titel 3 3" xfId="2076" xr:uid="{00000000-0005-0000-0000-000022050000}"/>
    <cellStyle name="Ü-Titel 4" xfId="1892" xr:uid="{00000000-0005-0000-0000-000024050000}"/>
    <cellStyle name="Ü-Titel 4 2" xfId="2298" xr:uid="{00000000-0005-0000-0000-000024050000}"/>
    <cellStyle name="Ü-Titel 5" xfId="1995" xr:uid="{00000000-0005-0000-0000-00001E050000}"/>
    <cellStyle name="Valuta (0)_pldt" xfId="158" xr:uid="{00000000-0005-0000-0000-000025050000}"/>
    <cellStyle name="Valuta_pldt" xfId="159" xr:uid="{00000000-0005-0000-0000-000026050000}"/>
    <cellStyle name="Verknüpfte Zelle" xfId="160" xr:uid="{00000000-0005-0000-0000-000027050000}"/>
    <cellStyle name="Verknüpfte Zelle 2" xfId="748" xr:uid="{00000000-0005-0000-0000-000028050000}"/>
    <cellStyle name="Verknüpfte Zelle 2 2" xfId="749" xr:uid="{00000000-0005-0000-0000-000029050000}"/>
    <cellStyle name="Verknüpfte Zelle 2 3" xfId="1463" xr:uid="{00000000-0005-0000-0000-00002A050000}"/>
    <cellStyle name="Verknüpfte Zelle 3" xfId="1893" xr:uid="{00000000-0005-0000-0000-00002B050000}"/>
    <cellStyle name="Währung [0]_98PGES" xfId="161" xr:uid="{00000000-0005-0000-0000-00002C050000}"/>
    <cellStyle name="Währung_98PGES" xfId="162" xr:uid="{00000000-0005-0000-0000-00002D050000}"/>
    <cellStyle name="Walutowy [0]_Arkusz1" xfId="163" xr:uid="{00000000-0005-0000-0000-00002E050000}"/>
    <cellStyle name="Walutowy_Arkusz1" xfId="164" xr:uid="{00000000-0005-0000-0000-00002F050000}"/>
    <cellStyle name="Warnender Text" xfId="165" xr:uid="{00000000-0005-0000-0000-000030050000}"/>
    <cellStyle name="Warnender Text 2" xfId="750" xr:uid="{00000000-0005-0000-0000-000031050000}"/>
    <cellStyle name="Warnender Text 2 2" xfId="751" xr:uid="{00000000-0005-0000-0000-000032050000}"/>
    <cellStyle name="Warnender Text 2 3" xfId="1464" xr:uid="{00000000-0005-0000-0000-000033050000}"/>
    <cellStyle name="Warnender Text 3" xfId="1894" xr:uid="{00000000-0005-0000-0000-000034050000}"/>
    <cellStyle name="Warning Text 2" xfId="752" xr:uid="{00000000-0005-0000-0000-000035050000}"/>
    <cellStyle name="Warning Text 2 2" xfId="1895" xr:uid="{00000000-0005-0000-0000-000036050000}"/>
    <cellStyle name="Yellow" xfId="166" xr:uid="{00000000-0005-0000-0000-000037050000}"/>
    <cellStyle name="Yellow 2" xfId="754" xr:uid="{00000000-0005-0000-0000-000038050000}"/>
    <cellStyle name="Yellow 2 2" xfId="755" xr:uid="{00000000-0005-0000-0000-000039050000}"/>
    <cellStyle name="Yellow 2 2 2" xfId="1465" xr:uid="{00000000-0005-0000-0000-00003A050000}"/>
    <cellStyle name="Yellow 2 2 2 2" xfId="1896" xr:uid="{00000000-0005-0000-0000-00003B050000}"/>
    <cellStyle name="Yellow 2 2 3" xfId="1897" xr:uid="{00000000-0005-0000-0000-00003C050000}"/>
    <cellStyle name="Yellow 2 3" xfId="756" xr:uid="{00000000-0005-0000-0000-00003D050000}"/>
    <cellStyle name="Yellow 2 3 2" xfId="1898" xr:uid="{00000000-0005-0000-0000-00003E050000}"/>
    <cellStyle name="Yellow 2 4" xfId="1899" xr:uid="{00000000-0005-0000-0000-00003F050000}"/>
    <cellStyle name="Yellow 3" xfId="757" xr:uid="{00000000-0005-0000-0000-000040050000}"/>
    <cellStyle name="Yellow 3 2" xfId="1466" xr:uid="{00000000-0005-0000-0000-000041050000}"/>
    <cellStyle name="Yellow 3 2 2" xfId="1900" xr:uid="{00000000-0005-0000-0000-000042050000}"/>
    <cellStyle name="Yellow 3 3" xfId="1901" xr:uid="{00000000-0005-0000-0000-000043050000}"/>
    <cellStyle name="Yellow 4" xfId="758" xr:uid="{00000000-0005-0000-0000-000044050000}"/>
    <cellStyle name="Yellow 4 2" xfId="759" xr:uid="{00000000-0005-0000-0000-000045050000}"/>
    <cellStyle name="Yellow 4 3" xfId="1467" xr:uid="{00000000-0005-0000-0000-000046050000}"/>
    <cellStyle name="Yellow 5" xfId="753" xr:uid="{00000000-0005-0000-0000-000047050000}"/>
    <cellStyle name="Zelle überprüfen" xfId="167" xr:uid="{00000000-0005-0000-0000-000048050000}"/>
    <cellStyle name="Zelle überprüfen 2" xfId="760" xr:uid="{00000000-0005-0000-0000-000049050000}"/>
    <cellStyle name="Zelle überprüfen 2 2" xfId="761" xr:uid="{00000000-0005-0000-0000-00004A050000}"/>
    <cellStyle name="Zelle überprüfen 2 3" xfId="1468" xr:uid="{00000000-0005-0000-0000-00004B050000}"/>
    <cellStyle name="Zelle überprüfen 3" xfId="1902" xr:uid="{00000000-0005-0000-0000-00004C050000}"/>
    <cellStyle name="Βασικό_GT1-KOMOTINI" xfId="168" xr:uid="{00000000-0005-0000-0000-00004D050000}"/>
    <cellStyle name="百分比 10" xfId="1969" xr:uid="{00000000-0005-0000-0000-00004E050000}"/>
    <cellStyle name="百分比 10 2" xfId="2333" xr:uid="{00000000-0005-0000-0000-00004E050000}"/>
    <cellStyle name="百分比 2" xfId="762" xr:uid="{00000000-0005-0000-0000-00004F050000}"/>
    <cellStyle name="百分比 2 2" xfId="1557" xr:uid="{00000000-0005-0000-0000-000050050000}"/>
    <cellStyle name="百分比 2 2 2" xfId="1558" xr:uid="{00000000-0005-0000-0000-000051050000}"/>
    <cellStyle name="百分比 2 3" xfId="1559" xr:uid="{00000000-0005-0000-0000-000052050000}"/>
    <cellStyle name="百分比 3" xfId="1560" xr:uid="{00000000-0005-0000-0000-000053050000}"/>
    <cellStyle name="百分比 3 2" xfId="1943" xr:uid="{00000000-0005-0000-0000-000054050000}"/>
    <cellStyle name="百分比 3 3" xfId="1944" xr:uid="{00000000-0005-0000-0000-000055050000}"/>
    <cellStyle name="百分比 4" xfId="1945" xr:uid="{00000000-0005-0000-0000-000056050000}"/>
    <cellStyle name="百分比 5" xfId="1577" xr:uid="{00000000-0005-0000-0000-000057050000}"/>
    <cellStyle name="百分比 5 2" xfId="2232" xr:uid="{00000000-0005-0000-0000-000057050000}"/>
    <cellStyle name="标题" xfId="169" xr:uid="{00000000-0005-0000-0000-000058050000}"/>
    <cellStyle name="标题 1" xfId="170" xr:uid="{00000000-0005-0000-0000-000059050000}"/>
    <cellStyle name="标题 1 2" xfId="763" xr:uid="{00000000-0005-0000-0000-00005A050000}"/>
    <cellStyle name="标题 1 2 2" xfId="1926" xr:uid="{00000000-0005-0000-0000-00005B050000}"/>
    <cellStyle name="标题 1 3" xfId="764" xr:uid="{00000000-0005-0000-0000-00005C050000}"/>
    <cellStyle name="标题 1 4" xfId="1550" xr:uid="{00000000-0005-0000-0000-00005D050000}"/>
    <cellStyle name="标题 2" xfId="171" xr:uid="{00000000-0005-0000-0000-00005E050000}"/>
    <cellStyle name="标题 2 2" xfId="765" xr:uid="{00000000-0005-0000-0000-00005F050000}"/>
    <cellStyle name="标题 2 2 2" xfId="1927" xr:uid="{00000000-0005-0000-0000-000060050000}"/>
    <cellStyle name="标题 2 3" xfId="766" xr:uid="{00000000-0005-0000-0000-000061050000}"/>
    <cellStyle name="标题 2 4" xfId="1551" xr:uid="{00000000-0005-0000-0000-000062050000}"/>
    <cellStyle name="标题 3" xfId="172" xr:uid="{00000000-0005-0000-0000-000063050000}"/>
    <cellStyle name="标题 3 2" xfId="767" xr:uid="{00000000-0005-0000-0000-000064050000}"/>
    <cellStyle name="标题 3 2 2" xfId="1928" xr:uid="{00000000-0005-0000-0000-000065050000}"/>
    <cellStyle name="标题 3 3" xfId="768" xr:uid="{00000000-0005-0000-0000-000066050000}"/>
    <cellStyle name="标题 3 4" xfId="1552" xr:uid="{00000000-0005-0000-0000-000067050000}"/>
    <cellStyle name="标题 4" xfId="173" xr:uid="{00000000-0005-0000-0000-000068050000}"/>
    <cellStyle name="标题 4 2" xfId="769" xr:uid="{00000000-0005-0000-0000-000069050000}"/>
    <cellStyle name="标题 4 2 2" xfId="1929" xr:uid="{00000000-0005-0000-0000-00006A050000}"/>
    <cellStyle name="标题 4 3" xfId="770" xr:uid="{00000000-0005-0000-0000-00006B050000}"/>
    <cellStyle name="标题 4 4" xfId="1553" xr:uid="{00000000-0005-0000-0000-00006C050000}"/>
    <cellStyle name="标题 5" xfId="771" xr:uid="{00000000-0005-0000-0000-00006D050000}"/>
    <cellStyle name="标题 5 2" xfId="1930" xr:uid="{00000000-0005-0000-0000-00006E050000}"/>
    <cellStyle name="标题 6" xfId="772" xr:uid="{00000000-0005-0000-0000-00006F050000}"/>
    <cellStyle name="标题 7" xfId="1554" xr:uid="{00000000-0005-0000-0000-000070050000}"/>
    <cellStyle name="标题_Duyen Hai2_coal analysis &amp; boiler steam parameters&amp;safety valves selection sheet Rev00 final coals" xfId="174" xr:uid="{00000000-0005-0000-0000-000071050000}"/>
    <cellStyle name="標準_FORM" xfId="175" xr:uid="{00000000-0005-0000-0000-000072050000}"/>
    <cellStyle name="差" xfId="176" xr:uid="{00000000-0005-0000-0000-000073050000}"/>
    <cellStyle name="差 2" xfId="773" xr:uid="{00000000-0005-0000-0000-000074050000}"/>
    <cellStyle name="差 2 2" xfId="1910" xr:uid="{00000000-0005-0000-0000-000075050000}"/>
    <cellStyle name="差 3" xfId="774" xr:uid="{00000000-0005-0000-0000-000076050000}"/>
    <cellStyle name="差 4" xfId="1483" xr:uid="{00000000-0005-0000-0000-000077050000}"/>
    <cellStyle name="差_Duyen Hai2_coal analysis &amp; boiler steam parameters&amp;safety valves selection sheet Rev00 final coals" xfId="177" xr:uid="{00000000-0005-0000-0000-000078050000}"/>
    <cellStyle name="差_Duyen Hai2_coal analysis &amp; boiler steam parameters&amp;safety valves selection sheet Rev00 final coals 2" xfId="775" xr:uid="{00000000-0005-0000-0000-000079050000}"/>
    <cellStyle name="差_Duyen Hai2_coal analysis &amp; boiler steam parameters&amp;safety valves selection sheet Rev00 final coals 2 2" xfId="776" xr:uid="{00000000-0005-0000-0000-00007A050000}"/>
    <cellStyle name="差_Duyen Hai2_coal analysis &amp; boiler steam parameters&amp;safety valves selection sheet Rev00 final coals 3" xfId="777" xr:uid="{00000000-0005-0000-0000-00007B050000}"/>
    <cellStyle name="差_Duyen Hai2_coal analysis &amp; boiler steam parameters&amp;safety valves selection sheet Rev00 final coals 4" xfId="778" xr:uid="{00000000-0005-0000-0000-00007C050000}"/>
    <cellStyle name="差_Duyen Hai2_coal analysis &amp; boiler steam parameters&amp;safety valves selection sheet Rev00 final coals 5" xfId="1484" xr:uid="{00000000-0005-0000-0000-00007D050000}"/>
    <cellStyle name="差_PP Circuits" xfId="779" xr:uid="{00000000-0005-0000-0000-00007E050000}"/>
    <cellStyle name="差_PP Circuits_ PP Circuits" xfId="780" xr:uid="{00000000-0005-0000-0000-00007F050000}"/>
    <cellStyle name="差_Sheet1" xfId="1911" xr:uid="{00000000-0005-0000-0000-000080050000}"/>
    <cellStyle name="差_Sheet2" xfId="1912" xr:uid="{00000000-0005-0000-0000-000081050000}"/>
    <cellStyle name="差_Sheet3" xfId="781" xr:uid="{00000000-0005-0000-0000-000082050000}"/>
    <cellStyle name="差_xiang yuan coal analysis &amp; boiler steam parameters&amp;safety valves" xfId="178" xr:uid="{00000000-0005-0000-0000-000083050000}"/>
    <cellStyle name="差_xiang yuan coal analysis &amp; boiler steam parameters&amp;safety valves 2" xfId="782" xr:uid="{00000000-0005-0000-0000-000084050000}"/>
    <cellStyle name="差_xiang yuan coal analysis &amp; boiler steam parameters&amp;safety valves 2 2" xfId="783" xr:uid="{00000000-0005-0000-0000-000085050000}"/>
    <cellStyle name="差_xiang yuan coal analysis &amp; boiler steam parameters&amp;safety valves 3" xfId="784" xr:uid="{00000000-0005-0000-0000-000086050000}"/>
    <cellStyle name="差_xiang yuan coal analysis &amp; boiler steam parameters&amp;safety valves 4" xfId="785" xr:uid="{00000000-0005-0000-0000-000087050000}"/>
    <cellStyle name="差_xiang yuan coal analysis &amp; boiler steam parameters&amp;safety valves 5" xfId="1485" xr:uid="{00000000-0005-0000-0000-000088050000}"/>
    <cellStyle name="差_xiang yuan coal analysis &amp; boiler steam parameters&amp;safety valves 6" xfId="1486" xr:uid="{00000000-0005-0000-0000-000089050000}"/>
    <cellStyle name="常规 10" xfId="179" xr:uid="{00000000-0005-0000-0000-00008A050000}"/>
    <cellStyle name="常规 10 2" xfId="786" xr:uid="{00000000-0005-0000-0000-00008B050000}"/>
    <cellStyle name="常规 10 2 2" xfId="787" xr:uid="{00000000-0005-0000-0000-00008C050000}"/>
    <cellStyle name="常规 10 3" xfId="788" xr:uid="{00000000-0005-0000-0000-00008D050000}"/>
    <cellStyle name="常规 10 4" xfId="789" xr:uid="{00000000-0005-0000-0000-00008E050000}"/>
    <cellStyle name="常规 10 5" xfId="1487" xr:uid="{00000000-0005-0000-0000-00008F050000}"/>
    <cellStyle name="常规 11" xfId="180" xr:uid="{00000000-0005-0000-0000-000090050000}"/>
    <cellStyle name="常规 11 2" xfId="790" xr:uid="{00000000-0005-0000-0000-000091050000}"/>
    <cellStyle name="常规 11 2 2" xfId="791" xr:uid="{00000000-0005-0000-0000-000092050000}"/>
    <cellStyle name="常规 11 3" xfId="792" xr:uid="{00000000-0005-0000-0000-000093050000}"/>
    <cellStyle name="常规 11 4" xfId="793" xr:uid="{00000000-0005-0000-0000-000094050000}"/>
    <cellStyle name="常规 11 5" xfId="1488" xr:uid="{00000000-0005-0000-0000-000095050000}"/>
    <cellStyle name="常规 12" xfId="794" xr:uid="{00000000-0005-0000-0000-000096050000}"/>
    <cellStyle name="常规 12 2" xfId="795" xr:uid="{00000000-0005-0000-0000-000097050000}"/>
    <cellStyle name="常规 12 2 2" xfId="1489" xr:uid="{00000000-0005-0000-0000-000098050000}"/>
    <cellStyle name="常规 12 3" xfId="1490" xr:uid="{00000000-0005-0000-0000-000099050000}"/>
    <cellStyle name="常规 12 3 2" xfId="1913" xr:uid="{00000000-0005-0000-0000-00009A050000}"/>
    <cellStyle name="常规 12 4" xfId="1491" xr:uid="{00000000-0005-0000-0000-00009B050000}"/>
    <cellStyle name="常规 13" xfId="796" xr:uid="{00000000-0005-0000-0000-00009C050000}"/>
    <cellStyle name="常规 13 2" xfId="797" xr:uid="{00000000-0005-0000-0000-00009D050000}"/>
    <cellStyle name="常规 13 2 2" xfId="1914" xr:uid="{00000000-0005-0000-0000-00009E050000}"/>
    <cellStyle name="常规 13 3" xfId="1915" xr:uid="{00000000-0005-0000-0000-00009F050000}"/>
    <cellStyle name="常规 14" xfId="798" xr:uid="{00000000-0005-0000-0000-0000A0050000}"/>
    <cellStyle name="常规 14 2" xfId="1916" xr:uid="{00000000-0005-0000-0000-0000A1050000}"/>
    <cellStyle name="常规 14 3" xfId="1972" xr:uid="{00000000-0005-0000-0000-0000A2050000}"/>
    <cellStyle name="常规 14 3 2" xfId="2336" xr:uid="{00000000-0005-0000-0000-0000A2050000}"/>
    <cellStyle name="常规 15" xfId="799" xr:uid="{00000000-0005-0000-0000-0000A3050000}"/>
    <cellStyle name="常规 15 2" xfId="1917" xr:uid="{00000000-0005-0000-0000-0000A4050000}"/>
    <cellStyle name="常规 16" xfId="1492" xr:uid="{00000000-0005-0000-0000-0000A5050000}"/>
    <cellStyle name="常规 17" xfId="1493" xr:uid="{00000000-0005-0000-0000-0000A6050000}"/>
    <cellStyle name="常规 17 2" xfId="1918" xr:uid="{00000000-0005-0000-0000-0000A7050000}"/>
    <cellStyle name="常规 18" xfId="1576" xr:uid="{00000000-0005-0000-0000-0000A8050000}"/>
    <cellStyle name="常规 18 2" xfId="2231" xr:uid="{00000000-0005-0000-0000-0000A8050000}"/>
    <cellStyle name="常规 19 2" xfId="1968" xr:uid="{00000000-0005-0000-0000-0000A9050000}"/>
    <cellStyle name="常规 19 2 2" xfId="2332" xr:uid="{00000000-0005-0000-0000-0000A9050000}"/>
    <cellStyle name="常规 2" xfId="181" xr:uid="{00000000-0005-0000-0000-0000AA050000}"/>
    <cellStyle name="常规 2 10" xfId="182" xr:uid="{00000000-0005-0000-0000-0000AB050000}"/>
    <cellStyle name="常规 2 10 2" xfId="800" xr:uid="{00000000-0005-0000-0000-0000AC050000}"/>
    <cellStyle name="常规 2 10 2 2" xfId="801" xr:uid="{00000000-0005-0000-0000-0000AD050000}"/>
    <cellStyle name="常规 2 10 3" xfId="802" xr:uid="{00000000-0005-0000-0000-0000AE050000}"/>
    <cellStyle name="常规 2 10 4" xfId="803" xr:uid="{00000000-0005-0000-0000-0000AF050000}"/>
    <cellStyle name="常规 2 10 5" xfId="1494" xr:uid="{00000000-0005-0000-0000-0000B0050000}"/>
    <cellStyle name="常规 2 11" xfId="183" xr:uid="{00000000-0005-0000-0000-0000B1050000}"/>
    <cellStyle name="常规 2 11 2" xfId="804" xr:uid="{00000000-0005-0000-0000-0000B2050000}"/>
    <cellStyle name="常规 2 11 2 2" xfId="805" xr:uid="{00000000-0005-0000-0000-0000B3050000}"/>
    <cellStyle name="常规 2 11 3" xfId="806" xr:uid="{00000000-0005-0000-0000-0000B4050000}"/>
    <cellStyle name="常规 2 11 4" xfId="807" xr:uid="{00000000-0005-0000-0000-0000B5050000}"/>
    <cellStyle name="常规 2 11 5" xfId="1495" xr:uid="{00000000-0005-0000-0000-0000B6050000}"/>
    <cellStyle name="常规 2 12" xfId="184" xr:uid="{00000000-0005-0000-0000-0000B7050000}"/>
    <cellStyle name="常规 2 12 2" xfId="808" xr:uid="{00000000-0005-0000-0000-0000B8050000}"/>
    <cellStyle name="常规 2 12 2 2" xfId="809" xr:uid="{00000000-0005-0000-0000-0000B9050000}"/>
    <cellStyle name="常规 2 12 3" xfId="810" xr:uid="{00000000-0005-0000-0000-0000BA050000}"/>
    <cellStyle name="常规 2 12 4" xfId="811" xr:uid="{00000000-0005-0000-0000-0000BB050000}"/>
    <cellStyle name="常规 2 12 5" xfId="1496" xr:uid="{00000000-0005-0000-0000-0000BC050000}"/>
    <cellStyle name="常规 2 13" xfId="185" xr:uid="{00000000-0005-0000-0000-0000BD050000}"/>
    <cellStyle name="常规 2 13 2" xfId="812" xr:uid="{00000000-0005-0000-0000-0000BE050000}"/>
    <cellStyle name="常规 2 13 2 2" xfId="813" xr:uid="{00000000-0005-0000-0000-0000BF050000}"/>
    <cellStyle name="常规 2 13 3" xfId="814" xr:uid="{00000000-0005-0000-0000-0000C0050000}"/>
    <cellStyle name="常规 2 13 4" xfId="815" xr:uid="{00000000-0005-0000-0000-0000C1050000}"/>
    <cellStyle name="常规 2 13 5" xfId="1497" xr:uid="{00000000-0005-0000-0000-0000C2050000}"/>
    <cellStyle name="常规 2 14" xfId="186" xr:uid="{00000000-0005-0000-0000-0000C3050000}"/>
    <cellStyle name="常规 2 14 2" xfId="816" xr:uid="{00000000-0005-0000-0000-0000C4050000}"/>
    <cellStyle name="常规 2 14 2 2" xfId="817" xr:uid="{00000000-0005-0000-0000-0000C5050000}"/>
    <cellStyle name="常规 2 14 3" xfId="818" xr:uid="{00000000-0005-0000-0000-0000C6050000}"/>
    <cellStyle name="常规 2 14 4" xfId="819" xr:uid="{00000000-0005-0000-0000-0000C7050000}"/>
    <cellStyle name="常规 2 14 5" xfId="1498" xr:uid="{00000000-0005-0000-0000-0000C8050000}"/>
    <cellStyle name="常规 2 15" xfId="820" xr:uid="{00000000-0005-0000-0000-0000C9050000}"/>
    <cellStyle name="常规 2 15 2" xfId="821" xr:uid="{00000000-0005-0000-0000-0000CA050000}"/>
    <cellStyle name="常规 2 15 3" xfId="822" xr:uid="{00000000-0005-0000-0000-0000CB050000}"/>
    <cellStyle name="常规 2 16" xfId="823" xr:uid="{00000000-0005-0000-0000-0000CC050000}"/>
    <cellStyle name="常规 2 16 2" xfId="1499" xr:uid="{00000000-0005-0000-0000-0000CD050000}"/>
    <cellStyle name="常规 2 17" xfId="824" xr:uid="{00000000-0005-0000-0000-0000CE050000}"/>
    <cellStyle name="常规 2 18" xfId="1500" xr:uid="{00000000-0005-0000-0000-0000CF050000}"/>
    <cellStyle name="常规 2 2" xfId="187" xr:uid="{00000000-0005-0000-0000-0000D0050000}"/>
    <cellStyle name="常规 2 2 2" xfId="188" xr:uid="{00000000-0005-0000-0000-0000D1050000}"/>
    <cellStyle name="常规 2 2 2 2" xfId="825" xr:uid="{00000000-0005-0000-0000-0000D2050000}"/>
    <cellStyle name="常规 2 2 2 2 2" xfId="826" xr:uid="{00000000-0005-0000-0000-0000D3050000}"/>
    <cellStyle name="常规 2 2 2 3" xfId="827" xr:uid="{00000000-0005-0000-0000-0000D4050000}"/>
    <cellStyle name="常规 2 2 2 4" xfId="828" xr:uid="{00000000-0005-0000-0000-0000D5050000}"/>
    <cellStyle name="常规 2 2 2 5" xfId="1501" xr:uid="{00000000-0005-0000-0000-0000D6050000}"/>
    <cellStyle name="常规 2 2 3" xfId="189" xr:uid="{00000000-0005-0000-0000-0000D7050000}"/>
    <cellStyle name="常规 2 2 3 2" xfId="829" xr:uid="{00000000-0005-0000-0000-0000D8050000}"/>
    <cellStyle name="常规 2 2 3 2 2" xfId="830" xr:uid="{00000000-0005-0000-0000-0000D9050000}"/>
    <cellStyle name="常规 2 2 3 3" xfId="831" xr:uid="{00000000-0005-0000-0000-0000DA050000}"/>
    <cellStyle name="常规 2 2 3 4" xfId="832" xr:uid="{00000000-0005-0000-0000-0000DB050000}"/>
    <cellStyle name="常规 2 2 3 5" xfId="1502" xr:uid="{00000000-0005-0000-0000-0000DC050000}"/>
    <cellStyle name="常规 2 2 4" xfId="190" xr:uid="{00000000-0005-0000-0000-0000DD050000}"/>
    <cellStyle name="常规 2 2 4 2" xfId="833" xr:uid="{00000000-0005-0000-0000-0000DE050000}"/>
    <cellStyle name="常规 2 2 4 2 2" xfId="834" xr:uid="{00000000-0005-0000-0000-0000DF050000}"/>
    <cellStyle name="常规 2 2 4 3" xfId="835" xr:uid="{00000000-0005-0000-0000-0000E0050000}"/>
    <cellStyle name="常规 2 2 4 4" xfId="836" xr:uid="{00000000-0005-0000-0000-0000E1050000}"/>
    <cellStyle name="常规 2 2 4 5" xfId="1503" xr:uid="{00000000-0005-0000-0000-0000E2050000}"/>
    <cellStyle name="常规 2 2 5" xfId="837" xr:uid="{00000000-0005-0000-0000-0000E3050000}"/>
    <cellStyle name="常规 2 2 5 2" xfId="838" xr:uid="{00000000-0005-0000-0000-0000E4050000}"/>
    <cellStyle name="常规 2 2 6" xfId="839" xr:uid="{00000000-0005-0000-0000-0000E5050000}"/>
    <cellStyle name="常规 2 2 7" xfId="840" xr:uid="{00000000-0005-0000-0000-0000E6050000}"/>
    <cellStyle name="常规 2 2 8" xfId="1504" xr:uid="{00000000-0005-0000-0000-0000E7050000}"/>
    <cellStyle name="常规 2 2_Summary-Tanjung Bin_Raw Materia-20120322" xfId="191" xr:uid="{00000000-0005-0000-0000-0000E8050000}"/>
    <cellStyle name="常规 2 3" xfId="192" xr:uid="{00000000-0005-0000-0000-0000E9050000}"/>
    <cellStyle name="常规 2 3 2" xfId="193" xr:uid="{00000000-0005-0000-0000-0000EA050000}"/>
    <cellStyle name="常规 2 3 2 2" xfId="841" xr:uid="{00000000-0005-0000-0000-0000EB050000}"/>
    <cellStyle name="常规 2 3 2 2 2" xfId="842" xr:uid="{00000000-0005-0000-0000-0000EC050000}"/>
    <cellStyle name="常规 2 3 2 3" xfId="843" xr:uid="{00000000-0005-0000-0000-0000ED050000}"/>
    <cellStyle name="常规 2 3 2 4" xfId="844" xr:uid="{00000000-0005-0000-0000-0000EE050000}"/>
    <cellStyle name="常规 2 3 2 5" xfId="1505" xr:uid="{00000000-0005-0000-0000-0000EF050000}"/>
    <cellStyle name="常规 2 3 3" xfId="194" xr:uid="{00000000-0005-0000-0000-0000F0050000}"/>
    <cellStyle name="常规 2 3 3 2" xfId="845" xr:uid="{00000000-0005-0000-0000-0000F1050000}"/>
    <cellStyle name="常规 2 3 3 2 2" xfId="846" xr:uid="{00000000-0005-0000-0000-0000F2050000}"/>
    <cellStyle name="常规 2 3 3 3" xfId="847" xr:uid="{00000000-0005-0000-0000-0000F3050000}"/>
    <cellStyle name="常规 2 3 3 4" xfId="848" xr:uid="{00000000-0005-0000-0000-0000F4050000}"/>
    <cellStyle name="常规 2 3 3 5" xfId="1506" xr:uid="{00000000-0005-0000-0000-0000F5050000}"/>
    <cellStyle name="常规 2 3 4" xfId="195" xr:uid="{00000000-0005-0000-0000-0000F6050000}"/>
    <cellStyle name="常规 2 3 4 2" xfId="849" xr:uid="{00000000-0005-0000-0000-0000F7050000}"/>
    <cellStyle name="常规 2 3 4 2 2" xfId="850" xr:uid="{00000000-0005-0000-0000-0000F8050000}"/>
    <cellStyle name="常规 2 3 4 3" xfId="851" xr:uid="{00000000-0005-0000-0000-0000F9050000}"/>
    <cellStyle name="常规 2 3 4 4" xfId="852" xr:uid="{00000000-0005-0000-0000-0000FA050000}"/>
    <cellStyle name="常规 2 3 4 5" xfId="1507" xr:uid="{00000000-0005-0000-0000-0000FB050000}"/>
    <cellStyle name="常规 2 3 5" xfId="853" xr:uid="{00000000-0005-0000-0000-0000FC050000}"/>
    <cellStyle name="常规 2 3 5 2" xfId="854" xr:uid="{00000000-0005-0000-0000-0000FD050000}"/>
    <cellStyle name="常规 2 3 6" xfId="855" xr:uid="{00000000-0005-0000-0000-0000FE050000}"/>
    <cellStyle name="常规 2 3 7" xfId="856" xr:uid="{00000000-0005-0000-0000-0000FF050000}"/>
    <cellStyle name="常规 2 3 8" xfId="1508" xr:uid="{00000000-0005-0000-0000-000000060000}"/>
    <cellStyle name="常规 2 3_Summary-Tanjung Bin_Raw Materia-20120322" xfId="196" xr:uid="{00000000-0005-0000-0000-000001060000}"/>
    <cellStyle name="常规 2 4" xfId="197" xr:uid="{00000000-0005-0000-0000-000002060000}"/>
    <cellStyle name="常规 2 4 2" xfId="198" xr:uid="{00000000-0005-0000-0000-000003060000}"/>
    <cellStyle name="常规 2 4 2 2" xfId="857" xr:uid="{00000000-0005-0000-0000-000004060000}"/>
    <cellStyle name="常规 2 4 2 2 2" xfId="858" xr:uid="{00000000-0005-0000-0000-000005060000}"/>
    <cellStyle name="常规 2 4 2 3" xfId="859" xr:uid="{00000000-0005-0000-0000-000006060000}"/>
    <cellStyle name="常规 2 4 2 4" xfId="860" xr:uid="{00000000-0005-0000-0000-000007060000}"/>
    <cellStyle name="常规 2 4 2 5" xfId="1509" xr:uid="{00000000-0005-0000-0000-000008060000}"/>
    <cellStyle name="常规 2 4 3" xfId="199" xr:uid="{00000000-0005-0000-0000-000009060000}"/>
    <cellStyle name="常规 2 4 3 2" xfId="861" xr:uid="{00000000-0005-0000-0000-00000A060000}"/>
    <cellStyle name="常规 2 4 3 2 2" xfId="862" xr:uid="{00000000-0005-0000-0000-00000B060000}"/>
    <cellStyle name="常规 2 4 3 3" xfId="863" xr:uid="{00000000-0005-0000-0000-00000C060000}"/>
    <cellStyle name="常规 2 4 3 4" xfId="864" xr:uid="{00000000-0005-0000-0000-00000D060000}"/>
    <cellStyle name="常规 2 4 3 5" xfId="1510" xr:uid="{00000000-0005-0000-0000-00000E060000}"/>
    <cellStyle name="常规 2 4 4" xfId="200" xr:uid="{00000000-0005-0000-0000-00000F060000}"/>
    <cellStyle name="常规 2 4 4 2" xfId="865" xr:uid="{00000000-0005-0000-0000-000010060000}"/>
    <cellStyle name="常规 2 4 4 2 2" xfId="866" xr:uid="{00000000-0005-0000-0000-000011060000}"/>
    <cellStyle name="常规 2 4 4 3" xfId="867" xr:uid="{00000000-0005-0000-0000-000012060000}"/>
    <cellStyle name="常规 2 4 4 4" xfId="868" xr:uid="{00000000-0005-0000-0000-000013060000}"/>
    <cellStyle name="常规 2 4 4 5" xfId="1511" xr:uid="{00000000-0005-0000-0000-000014060000}"/>
    <cellStyle name="常规 2 4 5" xfId="869" xr:uid="{00000000-0005-0000-0000-000015060000}"/>
    <cellStyle name="常规 2 4 5 2" xfId="870" xr:uid="{00000000-0005-0000-0000-000016060000}"/>
    <cellStyle name="常规 2 4 6" xfId="871" xr:uid="{00000000-0005-0000-0000-000017060000}"/>
    <cellStyle name="常规 2 4 7" xfId="872" xr:uid="{00000000-0005-0000-0000-000018060000}"/>
    <cellStyle name="常规 2 4 8" xfId="1512" xr:uid="{00000000-0005-0000-0000-000019060000}"/>
    <cellStyle name="常规 2 4_Summary-Tanjung Bin_Raw Materia-20120322" xfId="201" xr:uid="{00000000-0005-0000-0000-00001A060000}"/>
    <cellStyle name="常规 2 5" xfId="202" xr:uid="{00000000-0005-0000-0000-00001B060000}"/>
    <cellStyle name="常规 2 5 2" xfId="203" xr:uid="{00000000-0005-0000-0000-00001C060000}"/>
    <cellStyle name="常规 2 5 2 2" xfId="873" xr:uid="{00000000-0005-0000-0000-00001D060000}"/>
    <cellStyle name="常规 2 5 2 2 2" xfId="874" xr:uid="{00000000-0005-0000-0000-00001E060000}"/>
    <cellStyle name="常规 2 5 2 3" xfId="875" xr:uid="{00000000-0005-0000-0000-00001F060000}"/>
    <cellStyle name="常规 2 5 2 4" xfId="876" xr:uid="{00000000-0005-0000-0000-000020060000}"/>
    <cellStyle name="常规 2 5 2 5" xfId="1513" xr:uid="{00000000-0005-0000-0000-000021060000}"/>
    <cellStyle name="常规 2 5 3" xfId="204" xr:uid="{00000000-0005-0000-0000-000022060000}"/>
    <cellStyle name="常规 2 5 3 2" xfId="877" xr:uid="{00000000-0005-0000-0000-000023060000}"/>
    <cellStyle name="常规 2 5 3 2 2" xfId="878" xr:uid="{00000000-0005-0000-0000-000024060000}"/>
    <cellStyle name="常规 2 5 3 3" xfId="879" xr:uid="{00000000-0005-0000-0000-000025060000}"/>
    <cellStyle name="常规 2 5 3 4" xfId="880" xr:uid="{00000000-0005-0000-0000-000026060000}"/>
    <cellStyle name="常规 2 5 3 5" xfId="1514" xr:uid="{00000000-0005-0000-0000-000027060000}"/>
    <cellStyle name="常规 2 5 4" xfId="205" xr:uid="{00000000-0005-0000-0000-000028060000}"/>
    <cellStyle name="常规 2 5 4 2" xfId="881" xr:uid="{00000000-0005-0000-0000-000029060000}"/>
    <cellStyle name="常规 2 5 4 2 2" xfId="882" xr:uid="{00000000-0005-0000-0000-00002A060000}"/>
    <cellStyle name="常规 2 5 4 3" xfId="883" xr:uid="{00000000-0005-0000-0000-00002B060000}"/>
    <cellStyle name="常规 2 5 4 4" xfId="884" xr:uid="{00000000-0005-0000-0000-00002C060000}"/>
    <cellStyle name="常规 2 5 4 5" xfId="1515" xr:uid="{00000000-0005-0000-0000-00002D060000}"/>
    <cellStyle name="常规 2 5 5" xfId="885" xr:uid="{00000000-0005-0000-0000-00002E060000}"/>
    <cellStyle name="常规 2 5 5 2" xfId="886" xr:uid="{00000000-0005-0000-0000-00002F060000}"/>
    <cellStyle name="常规 2 5 6" xfId="887" xr:uid="{00000000-0005-0000-0000-000030060000}"/>
    <cellStyle name="常规 2 5 7" xfId="888" xr:uid="{00000000-0005-0000-0000-000031060000}"/>
    <cellStyle name="常规 2 5 8" xfId="1516" xr:uid="{00000000-0005-0000-0000-000032060000}"/>
    <cellStyle name="常规 2 5_Summary-Tanjung Bin_Raw Materia-20120322" xfId="206" xr:uid="{00000000-0005-0000-0000-000033060000}"/>
    <cellStyle name="常规 2 6" xfId="207" xr:uid="{00000000-0005-0000-0000-000034060000}"/>
    <cellStyle name="常规 2 6 2" xfId="208" xr:uid="{00000000-0005-0000-0000-000035060000}"/>
    <cellStyle name="常规 2 6 2 2" xfId="889" xr:uid="{00000000-0005-0000-0000-000036060000}"/>
    <cellStyle name="常规 2 6 2 2 2" xfId="890" xr:uid="{00000000-0005-0000-0000-000037060000}"/>
    <cellStyle name="常规 2 6 2 3" xfId="891" xr:uid="{00000000-0005-0000-0000-000038060000}"/>
    <cellStyle name="常规 2 6 2 4" xfId="892" xr:uid="{00000000-0005-0000-0000-000039060000}"/>
    <cellStyle name="常规 2 6 2 5" xfId="1517" xr:uid="{00000000-0005-0000-0000-00003A060000}"/>
    <cellStyle name="常规 2 6 3" xfId="209" xr:uid="{00000000-0005-0000-0000-00003B060000}"/>
    <cellStyle name="常规 2 6 3 2" xfId="893" xr:uid="{00000000-0005-0000-0000-00003C060000}"/>
    <cellStyle name="常规 2 6 3 2 2" xfId="894" xr:uid="{00000000-0005-0000-0000-00003D060000}"/>
    <cellStyle name="常规 2 6 3 3" xfId="895" xr:uid="{00000000-0005-0000-0000-00003E060000}"/>
    <cellStyle name="常规 2 6 3 4" xfId="896" xr:uid="{00000000-0005-0000-0000-00003F060000}"/>
    <cellStyle name="常规 2 6 3 5" xfId="1518" xr:uid="{00000000-0005-0000-0000-000040060000}"/>
    <cellStyle name="常规 2 6 4" xfId="210" xr:uid="{00000000-0005-0000-0000-000041060000}"/>
    <cellStyle name="常规 2 6 4 2" xfId="897" xr:uid="{00000000-0005-0000-0000-000042060000}"/>
    <cellStyle name="常规 2 6 4 2 2" xfId="898" xr:uid="{00000000-0005-0000-0000-000043060000}"/>
    <cellStyle name="常规 2 6 4 3" xfId="899" xr:uid="{00000000-0005-0000-0000-000044060000}"/>
    <cellStyle name="常规 2 6 4 4" xfId="900" xr:uid="{00000000-0005-0000-0000-000045060000}"/>
    <cellStyle name="常规 2 6 4 5" xfId="1519" xr:uid="{00000000-0005-0000-0000-000046060000}"/>
    <cellStyle name="常规 2 6 5" xfId="901" xr:uid="{00000000-0005-0000-0000-000047060000}"/>
    <cellStyle name="常规 2 6 5 2" xfId="902" xr:uid="{00000000-0005-0000-0000-000048060000}"/>
    <cellStyle name="常规 2 6 6" xfId="903" xr:uid="{00000000-0005-0000-0000-000049060000}"/>
    <cellStyle name="常规 2 6 7" xfId="904" xr:uid="{00000000-0005-0000-0000-00004A060000}"/>
    <cellStyle name="常规 2 6 8" xfId="1520" xr:uid="{00000000-0005-0000-0000-00004B060000}"/>
    <cellStyle name="常规 2 6_Summary-Tanjung Bin_Raw Materia-20120322" xfId="211" xr:uid="{00000000-0005-0000-0000-00004C060000}"/>
    <cellStyle name="常规 2 7" xfId="212" xr:uid="{00000000-0005-0000-0000-00004D060000}"/>
    <cellStyle name="常规 2 7 2" xfId="905" xr:uid="{00000000-0005-0000-0000-00004E060000}"/>
    <cellStyle name="常规 2 7 2 2" xfId="906" xr:uid="{00000000-0005-0000-0000-00004F060000}"/>
    <cellStyle name="常规 2 7 3" xfId="907" xr:uid="{00000000-0005-0000-0000-000050060000}"/>
    <cellStyle name="常规 2 7 4" xfId="908" xr:uid="{00000000-0005-0000-0000-000051060000}"/>
    <cellStyle name="常规 2 7 5" xfId="1521" xr:uid="{00000000-0005-0000-0000-000052060000}"/>
    <cellStyle name="常规 2 8" xfId="213" xr:uid="{00000000-0005-0000-0000-000053060000}"/>
    <cellStyle name="常规 2 8 2" xfId="909" xr:uid="{00000000-0005-0000-0000-000054060000}"/>
    <cellStyle name="常规 2 8 2 2" xfId="910" xr:uid="{00000000-0005-0000-0000-000055060000}"/>
    <cellStyle name="常规 2 8 3" xfId="911" xr:uid="{00000000-0005-0000-0000-000056060000}"/>
    <cellStyle name="常规 2 8 4" xfId="912" xr:uid="{00000000-0005-0000-0000-000057060000}"/>
    <cellStyle name="常规 2 8 5" xfId="1522" xr:uid="{00000000-0005-0000-0000-000058060000}"/>
    <cellStyle name="常规 2 9" xfId="214" xr:uid="{00000000-0005-0000-0000-000059060000}"/>
    <cellStyle name="常规 2 9 2" xfId="913" xr:uid="{00000000-0005-0000-0000-00005A060000}"/>
    <cellStyle name="常规 2 9 2 2" xfId="914" xr:uid="{00000000-0005-0000-0000-00005B060000}"/>
    <cellStyle name="常规 2 9 3" xfId="915" xr:uid="{00000000-0005-0000-0000-00005C060000}"/>
    <cellStyle name="常规 2 9 4" xfId="916" xr:uid="{00000000-0005-0000-0000-00005D060000}"/>
    <cellStyle name="常规 2 9 5" xfId="1523" xr:uid="{00000000-0005-0000-0000-00005E060000}"/>
    <cellStyle name="常规 2_Summary-Tanjung Bin_Raw Materia-20120322" xfId="215" xr:uid="{00000000-0005-0000-0000-00005F060000}"/>
    <cellStyle name="常规 3" xfId="216" xr:uid="{00000000-0005-0000-0000-000060060000}"/>
    <cellStyle name="常规 3 2" xfId="217" xr:uid="{00000000-0005-0000-0000-000061060000}"/>
    <cellStyle name="常规 3 2 2" xfId="917" xr:uid="{00000000-0005-0000-0000-000062060000}"/>
    <cellStyle name="常规 3 2 2 2" xfId="918" xr:uid="{00000000-0005-0000-0000-000063060000}"/>
    <cellStyle name="常规 3 2 3" xfId="919" xr:uid="{00000000-0005-0000-0000-000064060000}"/>
    <cellStyle name="常规 3 2 4" xfId="920" xr:uid="{00000000-0005-0000-0000-000065060000}"/>
    <cellStyle name="常规 3 2 5" xfId="1524" xr:uid="{00000000-0005-0000-0000-000066060000}"/>
    <cellStyle name="常规 3 3" xfId="218" xr:uid="{00000000-0005-0000-0000-000067060000}"/>
    <cellStyle name="常规 3 3 2" xfId="921" xr:uid="{00000000-0005-0000-0000-000068060000}"/>
    <cellStyle name="常规 3 3 2 2" xfId="922" xr:uid="{00000000-0005-0000-0000-000069060000}"/>
    <cellStyle name="常规 3 3 3" xfId="923" xr:uid="{00000000-0005-0000-0000-00006A060000}"/>
    <cellStyle name="常规 3 3 4" xfId="924" xr:uid="{00000000-0005-0000-0000-00006B060000}"/>
    <cellStyle name="常规 3 3 5" xfId="1525" xr:uid="{00000000-0005-0000-0000-00006C060000}"/>
    <cellStyle name="常规 3 4" xfId="219" xr:uid="{00000000-0005-0000-0000-00006D060000}"/>
    <cellStyle name="常规 3 4 2" xfId="925" xr:uid="{00000000-0005-0000-0000-00006E060000}"/>
    <cellStyle name="常规 3 4 2 2" xfId="926" xr:uid="{00000000-0005-0000-0000-00006F060000}"/>
    <cellStyle name="常规 3 4 3" xfId="927" xr:uid="{00000000-0005-0000-0000-000070060000}"/>
    <cellStyle name="常规 3 4 4" xfId="928" xr:uid="{00000000-0005-0000-0000-000071060000}"/>
    <cellStyle name="常规 3 4 5" xfId="1526" xr:uid="{00000000-0005-0000-0000-000072060000}"/>
    <cellStyle name="常规 3 5" xfId="929" xr:uid="{00000000-0005-0000-0000-000073060000}"/>
    <cellStyle name="常规 3 5 2" xfId="930" xr:uid="{00000000-0005-0000-0000-000074060000}"/>
    <cellStyle name="常规 3 6" xfId="931" xr:uid="{00000000-0005-0000-0000-000075060000}"/>
    <cellStyle name="常规 3 7" xfId="932" xr:uid="{00000000-0005-0000-0000-000076060000}"/>
    <cellStyle name="常规 3 8" xfId="1527" xr:uid="{00000000-0005-0000-0000-000077060000}"/>
    <cellStyle name="常规 3_Summary-Tanjung Bin_Raw Materia-20120322" xfId="220" xr:uid="{00000000-0005-0000-0000-000078060000}"/>
    <cellStyle name="常规 4" xfId="221" xr:uid="{00000000-0005-0000-0000-000079060000}"/>
    <cellStyle name="常规 4 2" xfId="222" xr:uid="{00000000-0005-0000-0000-00007A060000}"/>
    <cellStyle name="常规 4 2 2" xfId="933" xr:uid="{00000000-0005-0000-0000-00007B060000}"/>
    <cellStyle name="常规 4 2 2 2" xfId="934" xr:uid="{00000000-0005-0000-0000-00007C060000}"/>
    <cellStyle name="常规 4 2 3" xfId="935" xr:uid="{00000000-0005-0000-0000-00007D060000}"/>
    <cellStyle name="常规 4 2 4" xfId="936" xr:uid="{00000000-0005-0000-0000-00007E060000}"/>
    <cellStyle name="常规 4 2 5" xfId="1528" xr:uid="{00000000-0005-0000-0000-00007F060000}"/>
    <cellStyle name="常规 4 3" xfId="223" xr:uid="{00000000-0005-0000-0000-000080060000}"/>
    <cellStyle name="常规 4 3 2" xfId="937" xr:uid="{00000000-0005-0000-0000-000081060000}"/>
    <cellStyle name="常规 4 3 2 2" xfId="938" xr:uid="{00000000-0005-0000-0000-000082060000}"/>
    <cellStyle name="常规 4 3 3" xfId="939" xr:uid="{00000000-0005-0000-0000-000083060000}"/>
    <cellStyle name="常规 4 3 4" xfId="940" xr:uid="{00000000-0005-0000-0000-000084060000}"/>
    <cellStyle name="常规 4 3 5" xfId="1529" xr:uid="{00000000-0005-0000-0000-000085060000}"/>
    <cellStyle name="常规 4 4" xfId="224" xr:uid="{00000000-0005-0000-0000-000086060000}"/>
    <cellStyle name="常规 4 4 2" xfId="941" xr:uid="{00000000-0005-0000-0000-000087060000}"/>
    <cellStyle name="常规 4 4 2 2" xfId="942" xr:uid="{00000000-0005-0000-0000-000088060000}"/>
    <cellStyle name="常规 4 4 3" xfId="943" xr:uid="{00000000-0005-0000-0000-000089060000}"/>
    <cellStyle name="常规 4 4 4" xfId="944" xr:uid="{00000000-0005-0000-0000-00008A060000}"/>
    <cellStyle name="常规 4 4 5" xfId="1530" xr:uid="{00000000-0005-0000-0000-00008B060000}"/>
    <cellStyle name="常规 4 5" xfId="945" xr:uid="{00000000-0005-0000-0000-00008C060000}"/>
    <cellStyle name="常规 4 5 2" xfId="946" xr:uid="{00000000-0005-0000-0000-00008D060000}"/>
    <cellStyle name="常规 4 6" xfId="947" xr:uid="{00000000-0005-0000-0000-00008E060000}"/>
    <cellStyle name="常规 4 7" xfId="948" xr:uid="{00000000-0005-0000-0000-00008F060000}"/>
    <cellStyle name="常规 4 8" xfId="1531" xr:uid="{00000000-0005-0000-0000-000090060000}"/>
    <cellStyle name="常规 4_Summary-Tanjung Bin_Raw Materia-20120322" xfId="225" xr:uid="{00000000-0005-0000-0000-000091060000}"/>
    <cellStyle name="常规 5" xfId="226" xr:uid="{00000000-0005-0000-0000-000092060000}"/>
    <cellStyle name="常规 5 2" xfId="949" xr:uid="{00000000-0005-0000-0000-000093060000}"/>
    <cellStyle name="常规 5 2 2" xfId="950" xr:uid="{00000000-0005-0000-0000-000094060000}"/>
    <cellStyle name="常规 5 2 3" xfId="1532" xr:uid="{00000000-0005-0000-0000-000095060000}"/>
    <cellStyle name="常规 5 3" xfId="951" xr:uid="{00000000-0005-0000-0000-000096060000}"/>
    <cellStyle name="常规 5 4" xfId="952" xr:uid="{00000000-0005-0000-0000-000097060000}"/>
    <cellStyle name="常规 5 5" xfId="953" xr:uid="{00000000-0005-0000-0000-000098060000}"/>
    <cellStyle name="常规 5 6" xfId="1533" xr:uid="{00000000-0005-0000-0000-000099060000}"/>
    <cellStyle name="常规 6" xfId="227" xr:uid="{00000000-0005-0000-0000-00009A060000}"/>
    <cellStyle name="常规 6 2" xfId="228" xr:uid="{00000000-0005-0000-0000-00009B060000}"/>
    <cellStyle name="常规 6 2 2" xfId="954" xr:uid="{00000000-0005-0000-0000-00009C060000}"/>
    <cellStyle name="常规 6 2 2 2" xfId="955" xr:uid="{00000000-0005-0000-0000-00009D060000}"/>
    <cellStyle name="常规 6 2 3" xfId="956" xr:uid="{00000000-0005-0000-0000-00009E060000}"/>
    <cellStyle name="常规 6 2 4" xfId="957" xr:uid="{00000000-0005-0000-0000-00009F060000}"/>
    <cellStyle name="常规 6 2 5" xfId="1534" xr:uid="{00000000-0005-0000-0000-0000A0060000}"/>
    <cellStyle name="常规 6 3" xfId="229" xr:uid="{00000000-0005-0000-0000-0000A1060000}"/>
    <cellStyle name="常规 6 3 2" xfId="958" xr:uid="{00000000-0005-0000-0000-0000A2060000}"/>
    <cellStyle name="常规 6 3 2 2" xfId="959" xr:uid="{00000000-0005-0000-0000-0000A3060000}"/>
    <cellStyle name="常规 6 3 3" xfId="960" xr:uid="{00000000-0005-0000-0000-0000A4060000}"/>
    <cellStyle name="常规 6 3 4" xfId="961" xr:uid="{00000000-0005-0000-0000-0000A5060000}"/>
    <cellStyle name="常规 6 3 5" xfId="1535" xr:uid="{00000000-0005-0000-0000-0000A6060000}"/>
    <cellStyle name="常规 6 4" xfId="230" xr:uid="{00000000-0005-0000-0000-0000A7060000}"/>
    <cellStyle name="常规 6 4 2" xfId="962" xr:uid="{00000000-0005-0000-0000-0000A8060000}"/>
    <cellStyle name="常规 6 4 2 2" xfId="963" xr:uid="{00000000-0005-0000-0000-0000A9060000}"/>
    <cellStyle name="常规 6 4 3" xfId="964" xr:uid="{00000000-0005-0000-0000-0000AA060000}"/>
    <cellStyle name="常规 6 4 4" xfId="965" xr:uid="{00000000-0005-0000-0000-0000AB060000}"/>
    <cellStyle name="常规 6 4 5" xfId="1536" xr:uid="{00000000-0005-0000-0000-0000AC060000}"/>
    <cellStyle name="常规 6 5" xfId="966" xr:uid="{00000000-0005-0000-0000-0000AD060000}"/>
    <cellStyle name="常规 6 5 2" xfId="967" xr:uid="{00000000-0005-0000-0000-0000AE060000}"/>
    <cellStyle name="常规 6 6" xfId="968" xr:uid="{00000000-0005-0000-0000-0000AF060000}"/>
    <cellStyle name="常规 6 7" xfId="969" xr:uid="{00000000-0005-0000-0000-0000B0060000}"/>
    <cellStyle name="常规 6 8" xfId="1537" xr:uid="{00000000-0005-0000-0000-0000B1060000}"/>
    <cellStyle name="常规 6_Summary-Tanjung Bin_Raw Materia-20120322" xfId="231" xr:uid="{00000000-0005-0000-0000-0000B2060000}"/>
    <cellStyle name="常规 7" xfId="232" xr:uid="{00000000-0005-0000-0000-0000B3060000}"/>
    <cellStyle name="常规 7 2" xfId="233" xr:uid="{00000000-0005-0000-0000-0000B4060000}"/>
    <cellStyle name="常规 7 2 2" xfId="970" xr:uid="{00000000-0005-0000-0000-0000B5060000}"/>
    <cellStyle name="常规 7 2 2 2" xfId="971" xr:uid="{00000000-0005-0000-0000-0000B6060000}"/>
    <cellStyle name="常规 7 2 3" xfId="972" xr:uid="{00000000-0005-0000-0000-0000B7060000}"/>
    <cellStyle name="常规 7 2 4" xfId="973" xr:uid="{00000000-0005-0000-0000-0000B8060000}"/>
    <cellStyle name="常规 7 2 5" xfId="1538" xr:uid="{00000000-0005-0000-0000-0000B9060000}"/>
    <cellStyle name="常规 7 3" xfId="234" xr:uid="{00000000-0005-0000-0000-0000BA060000}"/>
    <cellStyle name="常规 7 3 2" xfId="974" xr:uid="{00000000-0005-0000-0000-0000BB060000}"/>
    <cellStyle name="常规 7 3 2 2" xfId="975" xr:uid="{00000000-0005-0000-0000-0000BC060000}"/>
    <cellStyle name="常规 7 3 3" xfId="976" xr:uid="{00000000-0005-0000-0000-0000BD060000}"/>
    <cellStyle name="常规 7 3 4" xfId="977" xr:uid="{00000000-0005-0000-0000-0000BE060000}"/>
    <cellStyle name="常规 7 3 5" xfId="1539" xr:uid="{00000000-0005-0000-0000-0000BF060000}"/>
    <cellStyle name="常规 7 4" xfId="235" xr:uid="{00000000-0005-0000-0000-0000C0060000}"/>
    <cellStyle name="常规 7 4 2" xfId="978" xr:uid="{00000000-0005-0000-0000-0000C1060000}"/>
    <cellStyle name="常规 7 4 2 2" xfId="979" xr:uid="{00000000-0005-0000-0000-0000C2060000}"/>
    <cellStyle name="常规 7 4 3" xfId="980" xr:uid="{00000000-0005-0000-0000-0000C3060000}"/>
    <cellStyle name="常规 7 4 4" xfId="981" xr:uid="{00000000-0005-0000-0000-0000C4060000}"/>
    <cellStyle name="常规 7 4 5" xfId="1540" xr:uid="{00000000-0005-0000-0000-0000C5060000}"/>
    <cellStyle name="常规 7 5" xfId="982" xr:uid="{00000000-0005-0000-0000-0000C6060000}"/>
    <cellStyle name="常规 7 5 2" xfId="983" xr:uid="{00000000-0005-0000-0000-0000C7060000}"/>
    <cellStyle name="常规 7 6" xfId="984" xr:uid="{00000000-0005-0000-0000-0000C8060000}"/>
    <cellStyle name="常规 7 7" xfId="985" xr:uid="{00000000-0005-0000-0000-0000C9060000}"/>
    <cellStyle name="常规 7 8" xfId="1541" xr:uid="{00000000-0005-0000-0000-0000CA060000}"/>
    <cellStyle name="常规 7_Summary-Tanjung Bin_Raw Materia-20120322" xfId="236" xr:uid="{00000000-0005-0000-0000-0000CB060000}"/>
    <cellStyle name="常规 8" xfId="237" xr:uid="{00000000-0005-0000-0000-0000CC060000}"/>
    <cellStyle name="常规 8 2" xfId="986" xr:uid="{00000000-0005-0000-0000-0000CD060000}"/>
    <cellStyle name="常规 8 2 2" xfId="987" xr:uid="{00000000-0005-0000-0000-0000CE060000}"/>
    <cellStyle name="常规 8 3" xfId="988" xr:uid="{00000000-0005-0000-0000-0000CF060000}"/>
    <cellStyle name="常规 8 4" xfId="989" xr:uid="{00000000-0005-0000-0000-0000D0060000}"/>
    <cellStyle name="常规 8 5" xfId="1542" xr:uid="{00000000-0005-0000-0000-0000D1060000}"/>
    <cellStyle name="常规 9" xfId="238" xr:uid="{00000000-0005-0000-0000-0000D2060000}"/>
    <cellStyle name="常规 9 2" xfId="990" xr:uid="{00000000-0005-0000-0000-0000D3060000}"/>
    <cellStyle name="常规 9 2 2" xfId="991" xr:uid="{00000000-0005-0000-0000-0000D4060000}"/>
    <cellStyle name="常规 9 3" xfId="992" xr:uid="{00000000-0005-0000-0000-0000D5060000}"/>
    <cellStyle name="常规 9 4" xfId="993" xr:uid="{00000000-0005-0000-0000-0000D6060000}"/>
    <cellStyle name="常规 9 5" xfId="1543" xr:uid="{00000000-0005-0000-0000-0000D7060000}"/>
    <cellStyle name="常规_32 (version 1)" xfId="1975" xr:uid="{00000000-0005-0000-0000-000004000000}"/>
    <cellStyle name="常规_32 (version 1)_WuZhong 2X350MW_CCS_Rev01_20100923" xfId="239" xr:uid="{00000000-0005-0000-0000-0000D8060000}"/>
    <cellStyle name="常规_Dperpen PBOM_2009.10.28_rev01" xfId="240" xr:uid="{00000000-0005-0000-0000-0000D9060000}"/>
    <cellStyle name="常规_Oscar v300 less scope D&amp;E iteration x rev1" xfId="241" xr:uid="{00000000-0005-0000-0000-0000DA060000}"/>
    <cellStyle name="常规_Oscar v300 less scope D&amp;E iteration x rev1 2" xfId="281" xr:uid="{00000000-0005-0000-0000-0000DB060000}"/>
    <cellStyle name="常规_Oscar v300 less scope D&amp;E iteration x rev1_CCS_Rev01_20090911" xfId="242" xr:uid="{00000000-0005-0000-0000-0000DC060000}"/>
    <cellStyle name="常规_proposal- ArrgmtSPSCV-VW 56mm report rev 01" xfId="243" xr:uid="{00000000-0005-0000-0000-0000DD060000}"/>
    <cellStyle name="常规_Reference 600MW SCPC_2nd CGR_CCS_Rev04_20090505" xfId="244" xr:uid="{00000000-0005-0000-0000-0000DE060000}"/>
    <cellStyle name="常规_Sheet1" xfId="245" xr:uid="{00000000-0005-0000-0000-0000DF060000}"/>
    <cellStyle name="常规_Sheet1 2" xfId="1130" xr:uid="{00000000-0005-0000-0000-0000E0060000}"/>
    <cellStyle name="常规_Sheet1 2 2" xfId="1919" xr:uid="{00000000-0005-0000-0000-0000E1060000}"/>
    <cellStyle name="常规_WBC 1x344MW 9-Dec-08 CCS(Kelar) DRAFT_WuZhong 2X350MW_CCS_Rev01_20100923" xfId="246" xr:uid="{00000000-0005-0000-0000-0000E2060000}"/>
    <cellStyle name="常规_WBC 2x330MW Jul-08 CCS(liao yuan)" xfId="247" xr:uid="{00000000-0005-0000-0000-0000E3060000}"/>
    <cellStyle name="常规_WBC 2x350MW Sep-08 CCS(Weiqiao)—V02" xfId="248" xr:uid="{00000000-0005-0000-0000-0000E4060000}"/>
    <cellStyle name="常规_WBC 2x350MW Sep-08 CCS(Weiqiao)—V02_WuZhong 2X350MW_CCS_Rev01_20100923" xfId="249" xr:uid="{00000000-0005-0000-0000-0000E5060000}"/>
    <cellStyle name="超链接 2" xfId="250" xr:uid="{00000000-0005-0000-0000-0000E6060000}"/>
    <cellStyle name="超链接 2 2" xfId="994" xr:uid="{00000000-0005-0000-0000-0000E7060000}"/>
    <cellStyle name="超链接 2 2 2" xfId="995" xr:uid="{00000000-0005-0000-0000-0000E8060000}"/>
    <cellStyle name="超链接 2 3" xfId="996" xr:uid="{00000000-0005-0000-0000-0000E9060000}"/>
    <cellStyle name="超链接 2 4" xfId="997" xr:uid="{00000000-0005-0000-0000-0000EA060000}"/>
    <cellStyle name="超链接 2 5" xfId="1563" xr:uid="{00000000-0005-0000-0000-0000EB060000}"/>
    <cellStyle name="超链接 3" xfId="251" xr:uid="{00000000-0005-0000-0000-0000EC060000}"/>
    <cellStyle name="超链接 3 2" xfId="998" xr:uid="{00000000-0005-0000-0000-0000ED060000}"/>
    <cellStyle name="超链接 3 2 2" xfId="999" xr:uid="{00000000-0005-0000-0000-0000EE060000}"/>
    <cellStyle name="超链接 3 3" xfId="1000" xr:uid="{00000000-0005-0000-0000-0000EF060000}"/>
    <cellStyle name="超链接 3 4" xfId="1001" xr:uid="{00000000-0005-0000-0000-0000F0060000}"/>
    <cellStyle name="超链接 3 5" xfId="1564" xr:uid="{00000000-0005-0000-0000-0000F1060000}"/>
    <cellStyle name="超链接 4" xfId="252" xr:uid="{00000000-0005-0000-0000-0000F2060000}"/>
    <cellStyle name="超链接 4 2" xfId="1002" xr:uid="{00000000-0005-0000-0000-0000F3060000}"/>
    <cellStyle name="超链接 4 2 2" xfId="1003" xr:uid="{00000000-0005-0000-0000-0000F4060000}"/>
    <cellStyle name="超链接 4 3" xfId="1004" xr:uid="{00000000-0005-0000-0000-0000F5060000}"/>
    <cellStyle name="超链接 4 4" xfId="1005" xr:uid="{00000000-0005-0000-0000-0000F6060000}"/>
    <cellStyle name="超链接 4 5" xfId="1565" xr:uid="{00000000-0005-0000-0000-0000F7060000}"/>
    <cellStyle name="超链接 5" xfId="253" xr:uid="{00000000-0005-0000-0000-0000F8060000}"/>
    <cellStyle name="超链接 5 2" xfId="1006" xr:uid="{00000000-0005-0000-0000-0000F9060000}"/>
    <cellStyle name="超链接 5 2 2" xfId="1007" xr:uid="{00000000-0005-0000-0000-0000FA060000}"/>
    <cellStyle name="超链接 5 3" xfId="1008" xr:uid="{00000000-0005-0000-0000-0000FB060000}"/>
    <cellStyle name="超链接 5 4" xfId="1009" xr:uid="{00000000-0005-0000-0000-0000FC060000}"/>
    <cellStyle name="超链接 5 5" xfId="1566" xr:uid="{00000000-0005-0000-0000-0000FD060000}"/>
    <cellStyle name="超链接 6" xfId="254" xr:uid="{00000000-0005-0000-0000-0000FE060000}"/>
    <cellStyle name="超链接 6 2" xfId="1011" xr:uid="{00000000-0005-0000-0000-0000FF060000}"/>
    <cellStyle name="超链接 6 2 2" xfId="1012" xr:uid="{00000000-0005-0000-0000-000000070000}"/>
    <cellStyle name="超链接 6 3" xfId="1013" xr:uid="{00000000-0005-0000-0000-000001070000}"/>
    <cellStyle name="超链接 6 4" xfId="1014" xr:uid="{00000000-0005-0000-0000-000002070000}"/>
    <cellStyle name="超链接 6 5" xfId="1567" xr:uid="{00000000-0005-0000-0000-000003070000}"/>
    <cellStyle name="超链接 7" xfId="1953" xr:uid="{00000000-0005-0000-0000-000004070000}"/>
    <cellStyle name="超链接 8" xfId="1575" xr:uid="{00000000-0005-0000-0000-000005070000}"/>
    <cellStyle name="好" xfId="255" xr:uid="{00000000-0005-0000-0000-000006070000}"/>
    <cellStyle name="好 2" xfId="1015" xr:uid="{00000000-0005-0000-0000-000007070000}"/>
    <cellStyle name="好 2 2" xfId="1016" xr:uid="{00000000-0005-0000-0000-000008070000}"/>
    <cellStyle name="好 2 2 2" xfId="1478" xr:uid="{00000000-0005-0000-0000-000009070000}"/>
    <cellStyle name="好 3" xfId="1017" xr:uid="{00000000-0005-0000-0000-00000A070000}"/>
    <cellStyle name="好 4" xfId="1479" xr:uid="{00000000-0005-0000-0000-00000B070000}"/>
    <cellStyle name="好_Duyen Hai2_coal analysis &amp; boiler steam parameters&amp;safety valves selection sheet Rev00 final coals" xfId="256" xr:uid="{00000000-0005-0000-0000-00000C070000}"/>
    <cellStyle name="好_Duyen Hai2_coal analysis &amp; boiler steam parameters&amp;safety valves selection sheet Rev00 final coals 2" xfId="1018" xr:uid="{00000000-0005-0000-0000-00000D070000}"/>
    <cellStyle name="好_Duyen Hai2_coal analysis &amp; boiler steam parameters&amp;safety valves selection sheet Rev00 final coals 2 2" xfId="1019" xr:uid="{00000000-0005-0000-0000-00000E070000}"/>
    <cellStyle name="好_Duyen Hai2_coal analysis &amp; boiler steam parameters&amp;safety valves selection sheet Rev00 final coals 3" xfId="1020" xr:uid="{00000000-0005-0000-0000-00000F070000}"/>
    <cellStyle name="好_Duyen Hai2_coal analysis &amp; boiler steam parameters&amp;safety valves selection sheet Rev00 final coals 4" xfId="1021" xr:uid="{00000000-0005-0000-0000-000010070000}"/>
    <cellStyle name="好_Duyen Hai2_coal analysis &amp; boiler steam parameters&amp;safety valves selection sheet Rev00 final coals 5" xfId="1480" xr:uid="{00000000-0005-0000-0000-000011070000}"/>
    <cellStyle name="好_PP Circuits" xfId="1022" xr:uid="{00000000-0005-0000-0000-000012070000}"/>
    <cellStyle name="好_PP Circuits_ PP Circuits" xfId="1023" xr:uid="{00000000-0005-0000-0000-000013070000}"/>
    <cellStyle name="好_Sheet1" xfId="1908" xr:uid="{00000000-0005-0000-0000-000014070000}"/>
    <cellStyle name="好_Sheet2" xfId="1909" xr:uid="{00000000-0005-0000-0000-000015070000}"/>
    <cellStyle name="好_Sheet3" xfId="1024" xr:uid="{00000000-0005-0000-0000-000016070000}"/>
    <cellStyle name="好_xiang yuan coal analysis &amp; boiler steam parameters&amp;safety valves" xfId="257" xr:uid="{00000000-0005-0000-0000-000017070000}"/>
    <cellStyle name="好_xiang yuan coal analysis &amp; boiler steam parameters&amp;safety valves 2" xfId="1025" xr:uid="{00000000-0005-0000-0000-000018070000}"/>
    <cellStyle name="好_xiang yuan coal analysis &amp; boiler steam parameters&amp;safety valves 2 2" xfId="1026" xr:uid="{00000000-0005-0000-0000-000019070000}"/>
    <cellStyle name="好_xiang yuan coal analysis &amp; boiler steam parameters&amp;safety valves 3" xfId="1027" xr:uid="{00000000-0005-0000-0000-00001A070000}"/>
    <cellStyle name="好_xiang yuan coal analysis &amp; boiler steam parameters&amp;safety valves 4" xfId="1028" xr:uid="{00000000-0005-0000-0000-00001B070000}"/>
    <cellStyle name="好_xiang yuan coal analysis &amp; boiler steam parameters&amp;safety valves 5" xfId="1481" xr:uid="{00000000-0005-0000-0000-00001C070000}"/>
    <cellStyle name="好_xiang yuan coal analysis &amp; boiler steam parameters&amp;safety valves 6" xfId="1482" xr:uid="{00000000-0005-0000-0000-00001D070000}"/>
    <cellStyle name="汇总 2" xfId="1029" xr:uid="{00000000-0005-0000-0000-00001E070000}"/>
    <cellStyle name="汇总 2 2" xfId="1101" xr:uid="{00000000-0005-0000-0000-00001F070000}"/>
    <cellStyle name="汇总 2 2 2" xfId="2129" xr:uid="{00000000-0005-0000-0000-00001F070000}"/>
    <cellStyle name="汇总 2 3" xfId="2081" xr:uid="{00000000-0005-0000-0000-00001E070000}"/>
    <cellStyle name="汇总 3" xfId="1030" xr:uid="{00000000-0005-0000-0000-000020070000}"/>
    <cellStyle name="汇总 3 2" xfId="1102" xr:uid="{00000000-0005-0000-0000-000021070000}"/>
    <cellStyle name="汇总 3 2 2" xfId="2130" xr:uid="{00000000-0005-0000-0000-000021070000}"/>
    <cellStyle name="汇总 3 3" xfId="2082" xr:uid="{00000000-0005-0000-0000-000020070000}"/>
    <cellStyle name="汇总 4" xfId="1100" xr:uid="{00000000-0005-0000-0000-000022070000}"/>
    <cellStyle name="汇总 4 2" xfId="2128" xr:uid="{00000000-0005-0000-0000-000022070000}"/>
    <cellStyle name="汇总 5" xfId="1933" xr:uid="{00000000-0005-0000-0000-000023070000}"/>
    <cellStyle name="汇总 5 2" xfId="2306" xr:uid="{00000000-0005-0000-0000-000023070000}"/>
    <cellStyle name="汇总 6" xfId="1934" xr:uid="{00000000-0005-0000-0000-000024070000}"/>
    <cellStyle name="汇总 6 2" xfId="2307" xr:uid="{00000000-0005-0000-0000-000024070000}"/>
    <cellStyle name="汇总 7" xfId="1935" xr:uid="{00000000-0005-0000-0000-000025070000}"/>
    <cellStyle name="汇总 7 2" xfId="2308" xr:uid="{00000000-0005-0000-0000-000025070000}"/>
    <cellStyle name="汇总 8" xfId="1936" xr:uid="{00000000-0005-0000-0000-000026070000}"/>
    <cellStyle name="汇总 8 2" xfId="2309" xr:uid="{00000000-0005-0000-0000-000026070000}"/>
    <cellStyle name="汇总 9" xfId="1937" xr:uid="{00000000-0005-0000-0000-000027070000}"/>
    <cellStyle name="汇总 9 2" xfId="2310" xr:uid="{00000000-0005-0000-0000-000027070000}"/>
    <cellStyle name="貨幣 [0]_laroux" xfId="258" xr:uid="{00000000-0005-0000-0000-000028070000}"/>
    <cellStyle name="貨幣_laroux" xfId="259" xr:uid="{00000000-0005-0000-0000-000029070000}"/>
    <cellStyle name="计算" xfId="260" xr:uid="{00000000-0005-0000-0000-00002A070000}"/>
    <cellStyle name="计算 10" xfId="1996" xr:uid="{00000000-0005-0000-0000-00002A070000}"/>
    <cellStyle name="计算 2" xfId="1032" xr:uid="{00000000-0005-0000-0000-00002B070000}"/>
    <cellStyle name="计算 2 2" xfId="1103" xr:uid="{00000000-0005-0000-0000-00002C070000}"/>
    <cellStyle name="计算 2 2 2" xfId="2131" xr:uid="{00000000-0005-0000-0000-00002C070000}"/>
    <cellStyle name="计算 2 3" xfId="2084" xr:uid="{00000000-0005-0000-0000-00002B070000}"/>
    <cellStyle name="计算 3" xfId="1033" xr:uid="{00000000-0005-0000-0000-00002D070000}"/>
    <cellStyle name="计算 3 2" xfId="1104" xr:uid="{00000000-0005-0000-0000-00002E070000}"/>
    <cellStyle name="计算 3 2 2" xfId="2132" xr:uid="{00000000-0005-0000-0000-00002E070000}"/>
    <cellStyle name="计算 3 3" xfId="2085" xr:uid="{00000000-0005-0000-0000-00002D070000}"/>
    <cellStyle name="计算 4" xfId="1031" xr:uid="{00000000-0005-0000-0000-00002F070000}"/>
    <cellStyle name="计算 4 2" xfId="2083" xr:uid="{00000000-0005-0000-0000-00002F070000}"/>
    <cellStyle name="计算 5" xfId="1948" xr:uid="{00000000-0005-0000-0000-000030070000}"/>
    <cellStyle name="计算 5 2" xfId="2316" xr:uid="{00000000-0005-0000-0000-000030070000}"/>
    <cellStyle name="计算 6" xfId="1949" xr:uid="{00000000-0005-0000-0000-000031070000}"/>
    <cellStyle name="计算 6 2" xfId="2317" xr:uid="{00000000-0005-0000-0000-000031070000}"/>
    <cellStyle name="计算 7" xfId="1950" xr:uid="{00000000-0005-0000-0000-000032070000}"/>
    <cellStyle name="计算 7 2" xfId="2318" xr:uid="{00000000-0005-0000-0000-000032070000}"/>
    <cellStyle name="计算 8" xfId="1951" xr:uid="{00000000-0005-0000-0000-000033070000}"/>
    <cellStyle name="计算 8 2" xfId="2319" xr:uid="{00000000-0005-0000-0000-000033070000}"/>
    <cellStyle name="计算 9" xfId="1952" xr:uid="{00000000-0005-0000-0000-000034070000}"/>
    <cellStyle name="计算 9 2" xfId="2320" xr:uid="{00000000-0005-0000-0000-000034070000}"/>
    <cellStyle name="检查单元格" xfId="261" xr:uid="{00000000-0005-0000-0000-000035070000}"/>
    <cellStyle name="检查单元格 2" xfId="1034" xr:uid="{00000000-0005-0000-0000-000036070000}"/>
    <cellStyle name="检查单元格 2 2" xfId="1932" xr:uid="{00000000-0005-0000-0000-000037070000}"/>
    <cellStyle name="检查单元格 3" xfId="1035" xr:uid="{00000000-0005-0000-0000-000038070000}"/>
    <cellStyle name="检查单元格 4" xfId="1556" xr:uid="{00000000-0005-0000-0000-000039070000}"/>
    <cellStyle name="解释性文本" xfId="262" xr:uid="{00000000-0005-0000-0000-00003A070000}"/>
    <cellStyle name="解释性文本 2" xfId="1036" xr:uid="{00000000-0005-0000-0000-00003B070000}"/>
    <cellStyle name="解释性文本 2 2" xfId="1946" xr:uid="{00000000-0005-0000-0000-00003C070000}"/>
    <cellStyle name="解释性文本 3" xfId="1037" xr:uid="{00000000-0005-0000-0000-00003D070000}"/>
    <cellStyle name="解释性文本 4" xfId="1561" xr:uid="{00000000-0005-0000-0000-00003E070000}"/>
    <cellStyle name="警告文本" xfId="263" xr:uid="{00000000-0005-0000-0000-00003F070000}"/>
    <cellStyle name="警告文本 2" xfId="1038" xr:uid="{00000000-0005-0000-0000-000040070000}"/>
    <cellStyle name="警告文本 2 2" xfId="1947" xr:uid="{00000000-0005-0000-0000-000041070000}"/>
    <cellStyle name="警告文本 3" xfId="1039" xr:uid="{00000000-0005-0000-0000-000042070000}"/>
    <cellStyle name="警告文本 4" xfId="1562" xr:uid="{00000000-0005-0000-0000-000043070000}"/>
    <cellStyle name="链接单元格" xfId="264" xr:uid="{00000000-0005-0000-0000-000044070000}"/>
    <cellStyle name="链接单元格 2" xfId="1040" xr:uid="{00000000-0005-0000-0000-000045070000}"/>
    <cellStyle name="链接单元格 2 2" xfId="1965" xr:uid="{00000000-0005-0000-0000-000046070000}"/>
    <cellStyle name="链接单元格 3" xfId="1041" xr:uid="{00000000-0005-0000-0000-000047070000}"/>
    <cellStyle name="链接单元格 4" xfId="1569" xr:uid="{00000000-0005-0000-0000-000048070000}"/>
    <cellStyle name="千分位[0]_laroux" xfId="265" xr:uid="{00000000-0005-0000-0000-000049070000}"/>
    <cellStyle name="千分位_laroux" xfId="266" xr:uid="{00000000-0005-0000-0000-00004A070000}"/>
    <cellStyle name="千位分隔 10" xfId="1903" xr:uid="{00000000-0005-0000-0000-00004B070000}"/>
    <cellStyle name="千位分隔 10 2" xfId="2300" xr:uid="{00000000-0005-0000-0000-00004B070000}"/>
    <cellStyle name="千位分隔 11" xfId="1966" xr:uid="{00000000-0005-0000-0000-00004C070000}"/>
    <cellStyle name="千位分隔 11 2" xfId="2331" xr:uid="{00000000-0005-0000-0000-00004C070000}"/>
    <cellStyle name="千位分隔 15" xfId="1970" xr:uid="{00000000-0005-0000-0000-00004D070000}"/>
    <cellStyle name="千位分隔 15 2" xfId="2334" xr:uid="{00000000-0005-0000-0000-00004D070000}"/>
    <cellStyle name="千位分隔 2" xfId="267" xr:uid="{00000000-0005-0000-0000-00004E070000}"/>
    <cellStyle name="千位分隔 2 2" xfId="1042" xr:uid="{00000000-0005-0000-0000-00004F070000}"/>
    <cellStyle name="千位分隔 2 2 2" xfId="2086" xr:uid="{00000000-0005-0000-0000-00004F070000}"/>
    <cellStyle name="千位分隔 2 3" xfId="1043" xr:uid="{00000000-0005-0000-0000-000050070000}"/>
    <cellStyle name="千位分隔 2 3 2" xfId="2087" xr:uid="{00000000-0005-0000-0000-000050070000}"/>
    <cellStyle name="千位分隔 2 4" xfId="1044" xr:uid="{00000000-0005-0000-0000-000051070000}"/>
    <cellStyle name="千位分隔 2 4 2" xfId="2088" xr:uid="{00000000-0005-0000-0000-000051070000}"/>
    <cellStyle name="千位分隔 2 5" xfId="1469" xr:uid="{00000000-0005-0000-0000-000052070000}"/>
    <cellStyle name="千位分隔 2 5 2" xfId="2219" xr:uid="{00000000-0005-0000-0000-000052070000}"/>
    <cellStyle name="千位分隔 2 6" xfId="1997" xr:uid="{00000000-0005-0000-0000-00004E070000}"/>
    <cellStyle name="千位分隔 3" xfId="268" xr:uid="{00000000-0005-0000-0000-000053070000}"/>
    <cellStyle name="千位分隔 3 2" xfId="1045" xr:uid="{00000000-0005-0000-0000-000054070000}"/>
    <cellStyle name="千位分隔 3 2 2" xfId="2089" xr:uid="{00000000-0005-0000-0000-000054070000}"/>
    <cellStyle name="千位分隔 3 3" xfId="1046" xr:uid="{00000000-0005-0000-0000-000055070000}"/>
    <cellStyle name="千位分隔 3 3 2" xfId="2090" xr:uid="{00000000-0005-0000-0000-000055070000}"/>
    <cellStyle name="千位分隔 3 4" xfId="1047" xr:uid="{00000000-0005-0000-0000-000056070000}"/>
    <cellStyle name="千位分隔 3 4 2" xfId="2091" xr:uid="{00000000-0005-0000-0000-000056070000}"/>
    <cellStyle name="千位分隔 3 5" xfId="1470" xr:uid="{00000000-0005-0000-0000-000057070000}"/>
    <cellStyle name="千位分隔 3 5 2" xfId="2220" xr:uid="{00000000-0005-0000-0000-000057070000}"/>
    <cellStyle name="千位分隔 3 6" xfId="1998" xr:uid="{00000000-0005-0000-0000-000053070000}"/>
    <cellStyle name="千位分隔 4" xfId="269" xr:uid="{00000000-0005-0000-0000-000058070000}"/>
    <cellStyle name="千位分隔 4 2" xfId="1048" xr:uid="{00000000-0005-0000-0000-000059070000}"/>
    <cellStyle name="千位分隔 4 2 2" xfId="2092" xr:uid="{00000000-0005-0000-0000-000059070000}"/>
    <cellStyle name="千位分隔 4 3" xfId="1049" xr:uid="{00000000-0005-0000-0000-00005A070000}"/>
    <cellStyle name="千位分隔 4 3 2" xfId="2093" xr:uid="{00000000-0005-0000-0000-00005A070000}"/>
    <cellStyle name="千位分隔 4 4" xfId="1050" xr:uid="{00000000-0005-0000-0000-00005B070000}"/>
    <cellStyle name="千位分隔 4 4 2" xfId="2094" xr:uid="{00000000-0005-0000-0000-00005B070000}"/>
    <cellStyle name="千位分隔 4 5" xfId="1471" xr:uid="{00000000-0005-0000-0000-00005C070000}"/>
    <cellStyle name="千位分隔 4 5 2" xfId="2221" xr:uid="{00000000-0005-0000-0000-00005C070000}"/>
    <cellStyle name="千位分隔 4 6" xfId="1999" xr:uid="{00000000-0005-0000-0000-000058070000}"/>
    <cellStyle name="千位分隔 5" xfId="270" xr:uid="{00000000-0005-0000-0000-00005D070000}"/>
    <cellStyle name="千位分隔 5 2" xfId="1051" xr:uid="{00000000-0005-0000-0000-00005E070000}"/>
    <cellStyle name="千位分隔 5 2 2" xfId="2095" xr:uid="{00000000-0005-0000-0000-00005E070000}"/>
    <cellStyle name="千位分隔 5 3" xfId="1052" xr:uid="{00000000-0005-0000-0000-00005F070000}"/>
    <cellStyle name="千位分隔 5 3 2" xfId="2096" xr:uid="{00000000-0005-0000-0000-00005F070000}"/>
    <cellStyle name="千位分隔 5 4" xfId="1053" xr:uid="{00000000-0005-0000-0000-000060070000}"/>
    <cellStyle name="千位分隔 5 4 2" xfId="2097" xr:uid="{00000000-0005-0000-0000-000060070000}"/>
    <cellStyle name="千位分隔 5 5" xfId="1472" xr:uid="{00000000-0005-0000-0000-000061070000}"/>
    <cellStyle name="千位分隔 5 5 2" xfId="2222" xr:uid="{00000000-0005-0000-0000-000061070000}"/>
    <cellStyle name="千位分隔 5 6" xfId="2000" xr:uid="{00000000-0005-0000-0000-00005D070000}"/>
    <cellStyle name="千位分隔 6" xfId="271" xr:uid="{00000000-0005-0000-0000-000062070000}"/>
    <cellStyle name="千位分隔 6 2" xfId="1054" xr:uid="{00000000-0005-0000-0000-000063070000}"/>
    <cellStyle name="千位分隔 6 2 2" xfId="2098" xr:uid="{00000000-0005-0000-0000-000063070000}"/>
    <cellStyle name="千位分隔 6 3" xfId="1055" xr:uid="{00000000-0005-0000-0000-000064070000}"/>
    <cellStyle name="千位分隔 6 3 2" xfId="2099" xr:uid="{00000000-0005-0000-0000-000064070000}"/>
    <cellStyle name="千位分隔 6 4" xfId="1056" xr:uid="{00000000-0005-0000-0000-000065070000}"/>
    <cellStyle name="千位分隔 6 4 2" xfId="2100" xr:uid="{00000000-0005-0000-0000-000065070000}"/>
    <cellStyle name="千位分隔 6 5" xfId="1473" xr:uid="{00000000-0005-0000-0000-000066070000}"/>
    <cellStyle name="千位分隔 6 5 2" xfId="2223" xr:uid="{00000000-0005-0000-0000-000066070000}"/>
    <cellStyle name="千位分隔 6 6" xfId="2001" xr:uid="{00000000-0005-0000-0000-000062070000}"/>
    <cellStyle name="千位分隔 7" xfId="1057" xr:uid="{00000000-0005-0000-0000-000067070000}"/>
    <cellStyle name="千位分隔 7 2" xfId="1474" xr:uid="{00000000-0005-0000-0000-000068070000}"/>
    <cellStyle name="千位分隔 7 2 2" xfId="2224" xr:uid="{00000000-0005-0000-0000-000068070000}"/>
    <cellStyle name="千位分隔 7 3" xfId="2101" xr:uid="{00000000-0005-0000-0000-000067070000}"/>
    <cellStyle name="千位分隔 8" xfId="1475" xr:uid="{00000000-0005-0000-0000-000069070000}"/>
    <cellStyle name="千位分隔 8 2" xfId="1476" xr:uid="{00000000-0005-0000-0000-00006A070000}"/>
    <cellStyle name="千位分隔 8 3" xfId="2225" xr:uid="{00000000-0005-0000-0000-000069070000}"/>
    <cellStyle name="千位分隔 9" xfId="1904" xr:uid="{00000000-0005-0000-0000-00006B070000}"/>
    <cellStyle name="千位分隔[0] 2" xfId="1477" xr:uid="{00000000-0005-0000-0000-00006C070000}"/>
    <cellStyle name="千位分隔[0] 2 2" xfId="1905" xr:uid="{00000000-0005-0000-0000-00006D070000}"/>
    <cellStyle name="千位分隔[0] 2 2 2" xfId="2301" xr:uid="{00000000-0005-0000-0000-00006D070000}"/>
    <cellStyle name="千位分隔[0] 2 3" xfId="1906" xr:uid="{00000000-0005-0000-0000-00006E070000}"/>
    <cellStyle name="千位分隔[0] 2 3 2" xfId="2302" xr:uid="{00000000-0005-0000-0000-00006E070000}"/>
    <cellStyle name="千位分隔[0] 2 4" xfId="2226" xr:uid="{00000000-0005-0000-0000-00006C070000}"/>
    <cellStyle name="千位分隔[0] 3" xfId="1907" xr:uid="{00000000-0005-0000-0000-00006F070000}"/>
    <cellStyle name="千位分隔[0] 3 2" xfId="2303" xr:uid="{00000000-0005-0000-0000-00006F070000}"/>
    <cellStyle name="强调文字颜色 1" xfId="272" xr:uid="{00000000-0005-0000-0000-000070070000}"/>
    <cellStyle name="强调文字颜色 1 2" xfId="1059" xr:uid="{00000000-0005-0000-0000-000071070000}"/>
    <cellStyle name="强调文字颜色 1 2 2" xfId="1920" xr:uid="{00000000-0005-0000-0000-000072070000}"/>
    <cellStyle name="强调文字颜色 1 3" xfId="1060" xr:uid="{00000000-0005-0000-0000-000073070000}"/>
    <cellStyle name="强调文字颜色 1 4" xfId="1544" xr:uid="{00000000-0005-0000-0000-000074070000}"/>
    <cellStyle name="强调文字颜色 2" xfId="273" xr:uid="{00000000-0005-0000-0000-000075070000}"/>
    <cellStyle name="强调文字颜色 2 2" xfId="1061" xr:uid="{00000000-0005-0000-0000-000076070000}"/>
    <cellStyle name="强调文字颜色 2 2 2" xfId="1921" xr:uid="{00000000-0005-0000-0000-000077070000}"/>
    <cellStyle name="强调文字颜色 2 3" xfId="1062" xr:uid="{00000000-0005-0000-0000-000078070000}"/>
    <cellStyle name="强调文字颜色 2 4" xfId="1545" xr:uid="{00000000-0005-0000-0000-000079070000}"/>
    <cellStyle name="强调文字颜色 3" xfId="274" xr:uid="{00000000-0005-0000-0000-00007A070000}"/>
    <cellStyle name="强调文字颜色 3 2" xfId="1063" xr:uid="{00000000-0005-0000-0000-00007B070000}"/>
    <cellStyle name="强调文字颜色 3 2 2" xfId="1922" xr:uid="{00000000-0005-0000-0000-00007C070000}"/>
    <cellStyle name="强调文字颜色 3 3" xfId="1064" xr:uid="{00000000-0005-0000-0000-00007D070000}"/>
    <cellStyle name="强调文字颜色 3 4" xfId="1546" xr:uid="{00000000-0005-0000-0000-00007E070000}"/>
    <cellStyle name="强调文字颜色 4" xfId="275" xr:uid="{00000000-0005-0000-0000-00007F070000}"/>
    <cellStyle name="强调文字颜色 4 2" xfId="1065" xr:uid="{00000000-0005-0000-0000-000080070000}"/>
    <cellStyle name="强调文字颜色 4 2 2" xfId="1923" xr:uid="{00000000-0005-0000-0000-000081070000}"/>
    <cellStyle name="强调文字颜色 4 3" xfId="1066" xr:uid="{00000000-0005-0000-0000-000082070000}"/>
    <cellStyle name="强调文字颜色 4 4" xfId="1547" xr:uid="{00000000-0005-0000-0000-000083070000}"/>
    <cellStyle name="强调文字颜色 5" xfId="276" xr:uid="{00000000-0005-0000-0000-000084070000}"/>
    <cellStyle name="强调文字颜色 5 2" xfId="1067" xr:uid="{00000000-0005-0000-0000-000085070000}"/>
    <cellStyle name="强调文字颜色 5 2 2" xfId="1924" xr:uid="{00000000-0005-0000-0000-000086070000}"/>
    <cellStyle name="强调文字颜色 5 3" xfId="1068" xr:uid="{00000000-0005-0000-0000-000087070000}"/>
    <cellStyle name="强调文字颜色 5 4" xfId="1548" xr:uid="{00000000-0005-0000-0000-000088070000}"/>
    <cellStyle name="强调文字颜色 6" xfId="277" xr:uid="{00000000-0005-0000-0000-000089070000}"/>
    <cellStyle name="强调文字颜色 6 2" xfId="1069" xr:uid="{00000000-0005-0000-0000-00008A070000}"/>
    <cellStyle name="强调文字颜色 6 2 2" xfId="1925" xr:uid="{00000000-0005-0000-0000-00008B070000}"/>
    <cellStyle name="强调文字颜色 6 3" xfId="1070" xr:uid="{00000000-0005-0000-0000-00008C070000}"/>
    <cellStyle name="强调文字颜色 6 4" xfId="1549" xr:uid="{00000000-0005-0000-0000-00008D070000}"/>
    <cellStyle name="适中 2" xfId="1071" xr:uid="{00000000-0005-0000-0000-00008E070000}"/>
    <cellStyle name="适中 2 2" xfId="1964" xr:uid="{00000000-0005-0000-0000-00008F070000}"/>
    <cellStyle name="适中 3" xfId="1072" xr:uid="{00000000-0005-0000-0000-000090070000}"/>
    <cellStyle name="适中 4" xfId="1568" xr:uid="{00000000-0005-0000-0000-000091070000}"/>
    <cellStyle name="输出" xfId="278" xr:uid="{00000000-0005-0000-0000-000092070000}"/>
    <cellStyle name="输出 10" xfId="2002" xr:uid="{00000000-0005-0000-0000-000092070000}"/>
    <cellStyle name="输出 2" xfId="1074" xr:uid="{00000000-0005-0000-0000-000093070000}"/>
    <cellStyle name="输出 2 2" xfId="1106" xr:uid="{00000000-0005-0000-0000-000094070000}"/>
    <cellStyle name="输出 2 2 2" xfId="2133" xr:uid="{00000000-0005-0000-0000-000094070000}"/>
    <cellStyle name="输出 2 3" xfId="2103" xr:uid="{00000000-0005-0000-0000-000093070000}"/>
    <cellStyle name="输出 3" xfId="1075" xr:uid="{00000000-0005-0000-0000-000095070000}"/>
    <cellStyle name="输出 3 2" xfId="1107" xr:uid="{00000000-0005-0000-0000-000096070000}"/>
    <cellStyle name="输出 3 2 2" xfId="2134" xr:uid="{00000000-0005-0000-0000-000096070000}"/>
    <cellStyle name="输出 3 3" xfId="2104" xr:uid="{00000000-0005-0000-0000-000095070000}"/>
    <cellStyle name="输出 4" xfId="1073" xr:uid="{00000000-0005-0000-0000-000097070000}"/>
    <cellStyle name="输出 4 2" xfId="2102" xr:uid="{00000000-0005-0000-0000-000097070000}"/>
    <cellStyle name="输出 5" xfId="1959" xr:uid="{00000000-0005-0000-0000-000098070000}"/>
    <cellStyle name="输出 5 2" xfId="2326" xr:uid="{00000000-0005-0000-0000-000098070000}"/>
    <cellStyle name="输出 6" xfId="1960" xr:uid="{00000000-0005-0000-0000-000099070000}"/>
    <cellStyle name="输出 6 2" xfId="2327" xr:uid="{00000000-0005-0000-0000-000099070000}"/>
    <cellStyle name="输出 7" xfId="1961" xr:uid="{00000000-0005-0000-0000-00009A070000}"/>
    <cellStyle name="输出 7 2" xfId="2328" xr:uid="{00000000-0005-0000-0000-00009A070000}"/>
    <cellStyle name="输出 8" xfId="1962" xr:uid="{00000000-0005-0000-0000-00009B070000}"/>
    <cellStyle name="输出 8 2" xfId="2329" xr:uid="{00000000-0005-0000-0000-00009B070000}"/>
    <cellStyle name="输出 9" xfId="1963" xr:uid="{00000000-0005-0000-0000-00009C070000}"/>
    <cellStyle name="输出 9 2" xfId="2330" xr:uid="{00000000-0005-0000-0000-00009C070000}"/>
    <cellStyle name="输入 2" xfId="1076" xr:uid="{00000000-0005-0000-0000-00009D070000}"/>
    <cellStyle name="输入 2 2" xfId="1109" xr:uid="{00000000-0005-0000-0000-00009E070000}"/>
    <cellStyle name="输入 2 2 2" xfId="2136" xr:uid="{00000000-0005-0000-0000-00009E070000}"/>
    <cellStyle name="输入 2 3" xfId="2105" xr:uid="{00000000-0005-0000-0000-00009D070000}"/>
    <cellStyle name="输入 3" xfId="1077" xr:uid="{00000000-0005-0000-0000-00009F070000}"/>
    <cellStyle name="输入 3 2" xfId="1110" xr:uid="{00000000-0005-0000-0000-0000A0070000}"/>
    <cellStyle name="输入 3 2 2" xfId="2137" xr:uid="{00000000-0005-0000-0000-0000A0070000}"/>
    <cellStyle name="输入 3 3" xfId="2106" xr:uid="{00000000-0005-0000-0000-00009F070000}"/>
    <cellStyle name="输入 4" xfId="1108" xr:uid="{00000000-0005-0000-0000-0000A1070000}"/>
    <cellStyle name="输入 4 2" xfId="2135" xr:uid="{00000000-0005-0000-0000-0000A1070000}"/>
    <cellStyle name="输入 5" xfId="1954" xr:uid="{00000000-0005-0000-0000-0000A2070000}"/>
    <cellStyle name="输入 5 2" xfId="2321" xr:uid="{00000000-0005-0000-0000-0000A2070000}"/>
    <cellStyle name="输入 6" xfId="1955" xr:uid="{00000000-0005-0000-0000-0000A3070000}"/>
    <cellStyle name="输入 6 2" xfId="2322" xr:uid="{00000000-0005-0000-0000-0000A3070000}"/>
    <cellStyle name="输入 7" xfId="1956" xr:uid="{00000000-0005-0000-0000-0000A4070000}"/>
    <cellStyle name="输入 7 2" xfId="2323" xr:uid="{00000000-0005-0000-0000-0000A4070000}"/>
    <cellStyle name="输入 8" xfId="1957" xr:uid="{00000000-0005-0000-0000-0000A5070000}"/>
    <cellStyle name="输入 8 2" xfId="2324" xr:uid="{00000000-0005-0000-0000-0000A5070000}"/>
    <cellStyle name="输入 9" xfId="1958" xr:uid="{00000000-0005-0000-0000-0000A6070000}"/>
    <cellStyle name="输入 9 2" xfId="2325" xr:uid="{00000000-0005-0000-0000-0000A6070000}"/>
    <cellStyle name="样式 1" xfId="1555" xr:uid="{00000000-0005-0000-0000-0000A7070000}"/>
    <cellStyle name="样式 1 2" xfId="1931" xr:uid="{00000000-0005-0000-0000-0000A8070000}"/>
    <cellStyle name="一般_Abacus-M" xfId="279" xr:uid="{00000000-0005-0000-0000-0000A9070000}"/>
    <cellStyle name="注释" xfId="280" xr:uid="{00000000-0005-0000-0000-0000AA070000}"/>
    <cellStyle name="注释 10" xfId="2004" xr:uid="{00000000-0005-0000-0000-0000AA070000}"/>
    <cellStyle name="注释 2" xfId="1078" xr:uid="{00000000-0005-0000-0000-0000AB070000}"/>
    <cellStyle name="注释 2 2" xfId="1112" xr:uid="{00000000-0005-0000-0000-0000AC070000}"/>
    <cellStyle name="注释 2 2 2" xfId="2139" xr:uid="{00000000-0005-0000-0000-0000AC070000}"/>
    <cellStyle name="注释 2 3" xfId="2107" xr:uid="{00000000-0005-0000-0000-0000AB070000}"/>
    <cellStyle name="注释 3" xfId="1079" xr:uid="{00000000-0005-0000-0000-0000AD070000}"/>
    <cellStyle name="注释 3 2" xfId="1113" xr:uid="{00000000-0005-0000-0000-0000AE070000}"/>
    <cellStyle name="注释 3 2 2" xfId="2140" xr:uid="{00000000-0005-0000-0000-0000AE070000}"/>
    <cellStyle name="注释 3 3" xfId="2108" xr:uid="{00000000-0005-0000-0000-0000AD070000}"/>
    <cellStyle name="注释 4" xfId="1111" xr:uid="{00000000-0005-0000-0000-0000AF070000}"/>
    <cellStyle name="注释 4 2" xfId="2138" xr:uid="{00000000-0005-0000-0000-0000AF070000}"/>
    <cellStyle name="注释 5" xfId="1938" xr:uid="{00000000-0005-0000-0000-0000B0070000}"/>
    <cellStyle name="注释 5 2" xfId="2311" xr:uid="{00000000-0005-0000-0000-0000B0070000}"/>
    <cellStyle name="注释 6" xfId="1939" xr:uid="{00000000-0005-0000-0000-0000B1070000}"/>
    <cellStyle name="注释 6 2" xfId="2312" xr:uid="{00000000-0005-0000-0000-0000B1070000}"/>
    <cellStyle name="注释 7" xfId="1940" xr:uid="{00000000-0005-0000-0000-0000B2070000}"/>
    <cellStyle name="注释 7 2" xfId="2313" xr:uid="{00000000-0005-0000-0000-0000B2070000}"/>
    <cellStyle name="注释 8" xfId="1941" xr:uid="{00000000-0005-0000-0000-0000B3070000}"/>
    <cellStyle name="注释 8 2" xfId="2314" xr:uid="{00000000-0005-0000-0000-0000B3070000}"/>
    <cellStyle name="注释 9" xfId="1942" xr:uid="{00000000-0005-0000-0000-0000B4070000}"/>
    <cellStyle name="注释 9 2" xfId="2315" xr:uid="{00000000-0005-0000-0000-0000B4070000}"/>
  </cellStyles>
  <dxfs count="138">
    <dxf>
      <fill>
        <patternFill>
          <bgColor indexed="10"/>
        </patternFill>
      </fill>
    </dxf>
    <dxf>
      <font>
        <color theme="0"/>
      </font>
    </dxf>
    <dxf>
      <numFmt numFmtId="3" formatCode="#,##0"/>
    </dxf>
    <dxf>
      <numFmt numFmtId="3" formatCode="#,##0"/>
    </dxf>
    <dxf>
      <numFmt numFmtId="3" formatCode="#,##0"/>
    </dxf>
    <dxf>
      <numFmt numFmtId="183" formatCode="_ * #,##0_ ;_ * \-#,##0_ ;_ * &quot;-&quot;??_ ;_ @_ "/>
    </dxf>
    <dxf>
      <numFmt numFmtId="183" formatCode="_ * #,##0_ ;_ * \-#,##0_ ;_ * &quot;-&quot;??_ ;_ @_ "/>
    </dxf>
    <dxf>
      <numFmt numFmtId="183" formatCode="_ * #,##0_ ;_ * \-#,##0_ ;_ * &quot;-&quot;??_ ;_ @_ "/>
    </dxf>
    <dxf>
      <numFmt numFmtId="233" formatCode="_ * #,##0.0_ ;_ * \-#,##0.0_ ;_ * &quot;-&quot;??_ ;_ @_ "/>
    </dxf>
    <dxf>
      <numFmt numFmtId="233" formatCode="_ * #,##0.0_ ;_ * \-#,##0.0_ ;_ * &quot;-&quot;??_ ;_ @_ "/>
    </dxf>
    <dxf>
      <numFmt numFmtId="233" formatCode="_ * #,##0.0_ ;_ * \-#,##0.0_ ;_ * &quot;-&quot;??_ ;_ @_ "/>
    </dxf>
    <dxf>
      <numFmt numFmtId="183" formatCode="_ * #,##0_ ;_ * \-#,##0_ ;_ * &quot;-&quot;??_ ;_ @_ "/>
    </dxf>
    <dxf>
      <numFmt numFmtId="183" formatCode="_ * #,##0_ ;_ * \-#,##0_ ;_ * &quot;-&quot;??_ ;_ @_ "/>
    </dxf>
    <dxf>
      <numFmt numFmtId="183" formatCode="_ * #,##0_ ;_ * \-#,##0_ ;_ * &quot;-&quot;??_ ;_ @_ "/>
    </dxf>
    <dxf>
      <numFmt numFmtId="233" formatCode="_ * #,##0.0_ ;_ * \-#,##0.0_ ;_ * &quot;-&quot;??_ ;_ @_ "/>
    </dxf>
    <dxf>
      <numFmt numFmtId="233" formatCode="_ * #,##0.0_ ;_ * \-#,##0.0_ ;_ * &quot;-&quot;??_ ;_ @_ "/>
    </dxf>
    <dxf>
      <numFmt numFmtId="233" formatCode="_ * #,##0.0_ ;_ * \-#,##0.0_ ;_ * &quot;-&quot;??_ ;_ @_ "/>
    </dxf>
    <dxf>
      <numFmt numFmtId="183" formatCode="_ * #,##0_ ;_ * \-#,##0_ ;_ * &quot;-&quot;??_ ;_ @_ "/>
    </dxf>
    <dxf>
      <numFmt numFmtId="183" formatCode="_ * #,##0_ ;_ * \-#,##0_ ;_ * &quot;-&quot;??_ ;_ @_ "/>
    </dxf>
    <dxf>
      <numFmt numFmtId="233" formatCode="_ * #,##0.0_ ;_ * \-#,##0.0_ ;_ * &quot;-&quot;??_ ;_ @_ "/>
    </dxf>
    <dxf>
      <numFmt numFmtId="233" formatCode="_ * #,##0.0_ ;_ * \-#,##0.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 patternType="none">
          <bgColor indexed="65"/>
        </patternFill>
      </fill>
    </dxf>
    <dxf>
      <fill>
        <patternFill>
          <bgColor indexed="4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 patternType="none">
          <bgColor indexed="65"/>
        </patternFill>
      </fill>
    </dxf>
    <dxf>
      <fill>
        <patternFill>
          <bgColor indexed="41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211" formatCode="#,##0.0"/>
    </dxf>
    <dxf>
      <numFmt numFmtId="183" formatCode="_ * #,##0_ ;_ * \-#,##0_ ;_ * &quot;-&quot;??_ ;_ @_ "/>
    </dxf>
    <dxf>
      <numFmt numFmtId="233" formatCode="_ * #,##0.0_ ;_ * \-#,##0.0_ ;_ * &quot;-&quot;??_ ;_ @_ "/>
    </dxf>
    <dxf>
      <numFmt numFmtId="35" formatCode="_ * #,##0.00_ ;_ * \-#,##0.00_ ;_ * &quot;-&quot;??_ ;_ @_ "/>
    </dxf>
    <dxf>
      <numFmt numFmtId="183" formatCode="_ * #,##0_ ;_ * \-#,##0_ ;_ * &quot;-&quot;??_ ;_ @_ "/>
    </dxf>
    <dxf>
      <numFmt numFmtId="233" formatCode="_ * #,##0.0_ ;_ * \-#,##0.0_ ;_ * &quot;-&quot;??_ ;_ @_ "/>
    </dxf>
    <dxf>
      <numFmt numFmtId="211" formatCode="#,##0.0"/>
    </dxf>
    <dxf>
      <numFmt numFmtId="183" formatCode="_ * #,##0_ ;_ * \-#,##0_ ;_ * &quot;-&quot;??_ ;_ @_ "/>
    </dxf>
    <dxf>
      <numFmt numFmtId="233" formatCode="_ * #,##0.0_ ;_ * \-#,##0.0_ ;_ * &quot;-&quot;??_ ;_ @_ "/>
    </dxf>
    <dxf>
      <numFmt numFmtId="35" formatCode="_ * #,##0.00_ ;_ * \-#,##0.00_ ;_ * &quot;-&quot;??_ ;_ @_ 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83" formatCode="_ * #,##0_ ;_ * \-#,##0_ ;_ * &quot;-&quot;??_ ;_ @_ "/>
    </dxf>
    <dxf>
      <numFmt numFmtId="183" formatCode="_ * #,##0_ ;_ * \-#,##0_ ;_ * &quot;-&quot;??_ ;_ @_ "/>
    </dxf>
    <dxf>
      <numFmt numFmtId="233" formatCode="_ * #,##0.0_ ;_ * \-#,##0.0_ ;_ * &quot;-&quot;??_ ;_ @_ "/>
    </dxf>
    <dxf>
      <numFmt numFmtId="233" formatCode="_ * #,##0.0_ ;_ * \-#,##0.0_ ;_ * &quot;-&quot;??_ ;_ @_ 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0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4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1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3.xml"/><Relationship Id="rId32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2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1.xml"/><Relationship Id="rId27" Type="http://schemas.openxmlformats.org/officeDocument/2006/relationships/chartsheet" Target="chartsheets/sheet2.xml"/><Relationship Id="rId30" Type="http://schemas.openxmlformats.org/officeDocument/2006/relationships/pivotCacheDefinition" Target="pivotCache/pivotCacheDefinition2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'Estimate Summary'!$AT$5</c:f>
          <c:strCache>
            <c:ptCount val="1"/>
          </c:strCache>
        </c:strRef>
      </c:tx>
      <c:layout>
        <c:manualLayout>
          <c:xMode val="edge"/>
          <c:yMode val="edge"/>
          <c:x val="0.43402251791197538"/>
          <c:y val="1.0449320794148381E-2"/>
        </c:manualLayout>
      </c:layout>
      <c:overlay val="1"/>
      <c:txPr>
        <a:bodyPr/>
        <a:lstStyle/>
        <a:p>
          <a:pPr>
            <a:defRPr>
              <a:ln>
                <a:noFill/>
              </a:ln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4434427528698116"/>
          <c:y val="0.1231874542327977"/>
          <c:w val="0.78880569989460192"/>
          <c:h val="0.74724638834287826"/>
        </c:manualLayout>
      </c:layout>
      <c:barChart>
        <c:barDir val="col"/>
        <c:grouping val="clustered"/>
        <c:varyColors val="0"/>
        <c:ser>
          <c:idx val="4"/>
          <c:order val="2"/>
          <c:tx>
            <c:v>Net Cashflow</c:v>
          </c:tx>
          <c:spPr>
            <a:pattFill prst="dkUpDiag">
              <a:fgClr>
                <a:srgbClr val="7030A0"/>
              </a:fgClr>
              <a:bgClr>
                <a:schemeClr val="bg1"/>
              </a:bgClr>
            </a:pattFill>
            <a:ln w="19050" cap="flat" cmpd="sng">
              <a:solidFill>
                <a:srgbClr val="00B0F0"/>
              </a:solidFill>
              <a:prstDash val="solid"/>
              <a:round/>
            </a:ln>
            <a:effectLst>
              <a:softEdge rad="0"/>
            </a:effectLst>
          </c:spPr>
          <c:invertIfNegative val="0"/>
          <c:cat>
            <c:numRef>
              <c:f>'Offshore INT'!$B$13:$B$72</c:f>
              <c:numCache>
                <c:formatCode>0</c:formatCode>
                <c:ptCount val="60"/>
                <c:pt idx="0">
                  <c:v>1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20</c:v>
                </c:pt>
                <c:pt idx="24">
                  <c:v>21</c:v>
                </c:pt>
                <c:pt idx="25">
                  <c:v>22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28</c:v>
                </c:pt>
                <c:pt idx="32">
                  <c:v>29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33</c:v>
                </c:pt>
                <c:pt idx="37">
                  <c:v>34</c:v>
                </c:pt>
                <c:pt idx="38">
                  <c:v>35</c:v>
                </c:pt>
                <c:pt idx="39">
                  <c:v>36</c:v>
                </c:pt>
                <c:pt idx="40">
                  <c:v>37</c:v>
                </c:pt>
                <c:pt idx="41">
                  <c:v>38</c:v>
                </c:pt>
                <c:pt idx="42">
                  <c:v>39</c:v>
                </c:pt>
                <c:pt idx="43">
                  <c:v>40</c:v>
                </c:pt>
                <c:pt idx="44">
                  <c:v>41</c:v>
                </c:pt>
                <c:pt idx="45">
                  <c:v>42</c:v>
                </c:pt>
                <c:pt idx="46">
                  <c:v>43</c:v>
                </c:pt>
                <c:pt idx="47">
                  <c:v>44</c:v>
                </c:pt>
                <c:pt idx="48">
                  <c:v>45</c:v>
                </c:pt>
                <c:pt idx="49">
                  <c:v>46</c:v>
                </c:pt>
                <c:pt idx="50">
                  <c:v>47</c:v>
                </c:pt>
                <c:pt idx="51">
                  <c:v>48</c:v>
                </c:pt>
                <c:pt idx="52">
                  <c:v>49</c:v>
                </c:pt>
                <c:pt idx="53">
                  <c:v>50</c:v>
                </c:pt>
                <c:pt idx="54">
                  <c:v>51</c:v>
                </c:pt>
                <c:pt idx="55">
                  <c:v>52</c:v>
                </c:pt>
                <c:pt idx="56">
                  <c:v>53</c:v>
                </c:pt>
                <c:pt idx="57">
                  <c:v>54</c:v>
                </c:pt>
                <c:pt idx="58">
                  <c:v>55</c:v>
                </c:pt>
                <c:pt idx="59">
                  <c:v>56</c:v>
                </c:pt>
              </c:numCache>
            </c:numRef>
          </c:cat>
          <c:val>
            <c:numRef>
              <c:f>'Offshore INT'!$R$13:$R$72</c:f>
              <c:numCache>
                <c:formatCode>0</c:formatCode>
                <c:ptCount val="60"/>
                <c:pt idx="0">
                  <c:v>-1E-3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B-4F70-BDEE-8AA1B2944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7827712"/>
        <c:axId val="227829632"/>
      </c:barChart>
      <c:lineChart>
        <c:grouping val="standard"/>
        <c:varyColors val="0"/>
        <c:ser>
          <c:idx val="1"/>
          <c:order val="0"/>
          <c:tx>
            <c:strRef>
              <c:f>'Offshore INT'!$G$12</c:f>
              <c:strCache>
                <c:ptCount val="1"/>
                <c:pt idx="0">
                  <c:v>Accum Payments Cash In</c:v>
                </c:pt>
              </c:strCache>
            </c:strRef>
          </c:tx>
          <c:spPr>
            <a:ln w="12700">
              <a:solidFill>
                <a:srgbClr val="000000"/>
              </a:solidFill>
            </a:ln>
          </c:spPr>
          <c:marker>
            <c:symbol val="triangle"/>
            <c:size val="6"/>
            <c:spPr>
              <a:solidFill>
                <a:schemeClr val="tx1"/>
              </a:solidFill>
              <a:ln>
                <a:solidFill>
                  <a:srgbClr val="000000"/>
                </a:solidFill>
              </a:ln>
            </c:spPr>
          </c:marker>
          <c:cat>
            <c:numRef>
              <c:f>'Offshore INT'!$B$13:$B$85</c:f>
              <c:numCache>
                <c:formatCode>0</c:formatCode>
                <c:ptCount val="73"/>
                <c:pt idx="0">
                  <c:v>1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20</c:v>
                </c:pt>
                <c:pt idx="24">
                  <c:v>21</c:v>
                </c:pt>
                <c:pt idx="25">
                  <c:v>22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28</c:v>
                </c:pt>
                <c:pt idx="32">
                  <c:v>29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33</c:v>
                </c:pt>
                <c:pt idx="37">
                  <c:v>34</c:v>
                </c:pt>
                <c:pt idx="38">
                  <c:v>35</c:v>
                </c:pt>
                <c:pt idx="39">
                  <c:v>36</c:v>
                </c:pt>
                <c:pt idx="40">
                  <c:v>37</c:v>
                </c:pt>
                <c:pt idx="41">
                  <c:v>38</c:v>
                </c:pt>
                <c:pt idx="42">
                  <c:v>39</c:v>
                </c:pt>
                <c:pt idx="43">
                  <c:v>40</c:v>
                </c:pt>
                <c:pt idx="44">
                  <c:v>41</c:v>
                </c:pt>
                <c:pt idx="45">
                  <c:v>42</c:v>
                </c:pt>
                <c:pt idx="46">
                  <c:v>43</c:v>
                </c:pt>
                <c:pt idx="47">
                  <c:v>44</c:v>
                </c:pt>
                <c:pt idx="48">
                  <c:v>45</c:v>
                </c:pt>
                <c:pt idx="49">
                  <c:v>46</c:v>
                </c:pt>
                <c:pt idx="50">
                  <c:v>47</c:v>
                </c:pt>
                <c:pt idx="51">
                  <c:v>48</c:v>
                </c:pt>
                <c:pt idx="52">
                  <c:v>49</c:v>
                </c:pt>
                <c:pt idx="53">
                  <c:v>50</c:v>
                </c:pt>
                <c:pt idx="54">
                  <c:v>51</c:v>
                </c:pt>
                <c:pt idx="55">
                  <c:v>52</c:v>
                </c:pt>
                <c:pt idx="56">
                  <c:v>53</c:v>
                </c:pt>
                <c:pt idx="57">
                  <c:v>54</c:v>
                </c:pt>
                <c:pt idx="58">
                  <c:v>55</c:v>
                </c:pt>
                <c:pt idx="59">
                  <c:v>56</c:v>
                </c:pt>
                <c:pt idx="60">
                  <c:v>57</c:v>
                </c:pt>
                <c:pt idx="61">
                  <c:v>58</c:v>
                </c:pt>
                <c:pt idx="62">
                  <c:v>59</c:v>
                </c:pt>
                <c:pt idx="63">
                  <c:v>60</c:v>
                </c:pt>
                <c:pt idx="64">
                  <c:v>61</c:v>
                </c:pt>
                <c:pt idx="65">
                  <c:v>62</c:v>
                </c:pt>
                <c:pt idx="66">
                  <c:v>63</c:v>
                </c:pt>
                <c:pt idx="67">
                  <c:v>64</c:v>
                </c:pt>
                <c:pt idx="68">
                  <c:v>65</c:v>
                </c:pt>
                <c:pt idx="69">
                  <c:v>66</c:v>
                </c:pt>
                <c:pt idx="70">
                  <c:v>67</c:v>
                </c:pt>
                <c:pt idx="71">
                  <c:v>68</c:v>
                </c:pt>
                <c:pt idx="72">
                  <c:v>69</c:v>
                </c:pt>
              </c:numCache>
            </c:numRef>
          </c:cat>
          <c:val>
            <c:numRef>
              <c:f>'Offshore INT'!$G$13:$G$72</c:f>
              <c:numCache>
                <c:formatCode>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FB-4F70-BDEE-8AA1B2944D00}"/>
            </c:ext>
          </c:extLst>
        </c:ser>
        <c:ser>
          <c:idx val="3"/>
          <c:order val="1"/>
          <c:tx>
            <c:strRef>
              <c:f>'Offshore INT'!$M$12</c:f>
              <c:strCache>
                <c:ptCount val="1"/>
                <c:pt idx="0">
                  <c:v>Accum Expense Cash Out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dLbl>
              <c:idx val="6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2FB-4F70-BDEE-8AA1B2944D0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'Offshore INT'!$B$13:$B$85</c:f>
              <c:numCache>
                <c:formatCode>0</c:formatCode>
                <c:ptCount val="73"/>
                <c:pt idx="0">
                  <c:v>1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20</c:v>
                </c:pt>
                <c:pt idx="24">
                  <c:v>21</c:v>
                </c:pt>
                <c:pt idx="25">
                  <c:v>22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28</c:v>
                </c:pt>
                <c:pt idx="32">
                  <c:v>29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33</c:v>
                </c:pt>
                <c:pt idx="37">
                  <c:v>34</c:v>
                </c:pt>
                <c:pt idx="38">
                  <c:v>35</c:v>
                </c:pt>
                <c:pt idx="39">
                  <c:v>36</c:v>
                </c:pt>
                <c:pt idx="40">
                  <c:v>37</c:v>
                </c:pt>
                <c:pt idx="41">
                  <c:v>38</c:v>
                </c:pt>
                <c:pt idx="42">
                  <c:v>39</c:v>
                </c:pt>
                <c:pt idx="43">
                  <c:v>40</c:v>
                </c:pt>
                <c:pt idx="44">
                  <c:v>41</c:v>
                </c:pt>
                <c:pt idx="45">
                  <c:v>42</c:v>
                </c:pt>
                <c:pt idx="46">
                  <c:v>43</c:v>
                </c:pt>
                <c:pt idx="47">
                  <c:v>44</c:v>
                </c:pt>
                <c:pt idx="48">
                  <c:v>45</c:v>
                </c:pt>
                <c:pt idx="49">
                  <c:v>46</c:v>
                </c:pt>
                <c:pt idx="50">
                  <c:v>47</c:v>
                </c:pt>
                <c:pt idx="51">
                  <c:v>48</c:v>
                </c:pt>
                <c:pt idx="52">
                  <c:v>49</c:v>
                </c:pt>
                <c:pt idx="53">
                  <c:v>50</c:v>
                </c:pt>
                <c:pt idx="54">
                  <c:v>51</c:v>
                </c:pt>
                <c:pt idx="55">
                  <c:v>52</c:v>
                </c:pt>
                <c:pt idx="56">
                  <c:v>53</c:v>
                </c:pt>
                <c:pt idx="57">
                  <c:v>54</c:v>
                </c:pt>
                <c:pt idx="58">
                  <c:v>55</c:v>
                </c:pt>
                <c:pt idx="59">
                  <c:v>56</c:v>
                </c:pt>
                <c:pt idx="60">
                  <c:v>57</c:v>
                </c:pt>
                <c:pt idx="61">
                  <c:v>58</c:v>
                </c:pt>
                <c:pt idx="62">
                  <c:v>59</c:v>
                </c:pt>
                <c:pt idx="63">
                  <c:v>60</c:v>
                </c:pt>
                <c:pt idx="64">
                  <c:v>61</c:v>
                </c:pt>
                <c:pt idx="65">
                  <c:v>62</c:v>
                </c:pt>
                <c:pt idx="66">
                  <c:v>63</c:v>
                </c:pt>
                <c:pt idx="67">
                  <c:v>64</c:v>
                </c:pt>
                <c:pt idx="68">
                  <c:v>65</c:v>
                </c:pt>
                <c:pt idx="69">
                  <c:v>66</c:v>
                </c:pt>
                <c:pt idx="70">
                  <c:v>67</c:v>
                </c:pt>
                <c:pt idx="71">
                  <c:v>68</c:v>
                </c:pt>
                <c:pt idx="72">
                  <c:v>69</c:v>
                </c:pt>
              </c:numCache>
            </c:numRef>
          </c:cat>
          <c:val>
            <c:numRef>
              <c:f>'Offshore INT'!$M$13:$M$72</c:f>
              <c:numCache>
                <c:formatCode>0</c:formatCode>
                <c:ptCount val="60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1E-3</c:v>
                </c:pt>
                <c:pt idx="25">
                  <c:v>1E-3</c:v>
                </c:pt>
                <c:pt idx="26">
                  <c:v>1E-3</c:v>
                </c:pt>
                <c:pt idx="27">
                  <c:v>1E-3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1E-3</c:v>
                </c:pt>
                <c:pt idx="32">
                  <c:v>1E-3</c:v>
                </c:pt>
                <c:pt idx="33">
                  <c:v>1E-3</c:v>
                </c:pt>
                <c:pt idx="34">
                  <c:v>1E-3</c:v>
                </c:pt>
                <c:pt idx="35">
                  <c:v>1E-3</c:v>
                </c:pt>
                <c:pt idx="36">
                  <c:v>1E-3</c:v>
                </c:pt>
                <c:pt idx="37">
                  <c:v>1E-3</c:v>
                </c:pt>
                <c:pt idx="38">
                  <c:v>1E-3</c:v>
                </c:pt>
                <c:pt idx="39">
                  <c:v>1E-3</c:v>
                </c:pt>
                <c:pt idx="40">
                  <c:v>1E-3</c:v>
                </c:pt>
                <c:pt idx="41">
                  <c:v>1E-3</c:v>
                </c:pt>
                <c:pt idx="42">
                  <c:v>1E-3</c:v>
                </c:pt>
                <c:pt idx="43">
                  <c:v>1E-3</c:v>
                </c:pt>
                <c:pt idx="44">
                  <c:v>1E-3</c:v>
                </c:pt>
                <c:pt idx="45">
                  <c:v>1E-3</c:v>
                </c:pt>
                <c:pt idx="46">
                  <c:v>1E-3</c:v>
                </c:pt>
                <c:pt idx="47">
                  <c:v>1E-3</c:v>
                </c:pt>
                <c:pt idx="48">
                  <c:v>1E-3</c:v>
                </c:pt>
                <c:pt idx="49">
                  <c:v>1E-3</c:v>
                </c:pt>
                <c:pt idx="50">
                  <c:v>1E-3</c:v>
                </c:pt>
                <c:pt idx="51">
                  <c:v>1E-3</c:v>
                </c:pt>
                <c:pt idx="52">
                  <c:v>1E-3</c:v>
                </c:pt>
                <c:pt idx="53">
                  <c:v>1E-3</c:v>
                </c:pt>
                <c:pt idx="54">
                  <c:v>1E-3</c:v>
                </c:pt>
                <c:pt idx="55">
                  <c:v>1E-3</c:v>
                </c:pt>
                <c:pt idx="56">
                  <c:v>1E-3</c:v>
                </c:pt>
                <c:pt idx="57">
                  <c:v>1E-3</c:v>
                </c:pt>
                <c:pt idx="58">
                  <c:v>1E-3</c:v>
                </c:pt>
                <c:pt idx="59">
                  <c:v>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FB-4F70-BDEE-8AA1B2944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7827712"/>
        <c:axId val="227829632"/>
      </c:lineChart>
      <c:catAx>
        <c:axId val="22782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Months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noFill/>
        </c:spPr>
        <c:txPr>
          <a:bodyPr rot="0"/>
          <a:lstStyle/>
          <a:p>
            <a:pPr>
              <a:defRPr sz="1000" b="0" i="0" spc="0" baseline="0"/>
            </a:pPr>
            <a:endParaRPr lang="zh-CN"/>
          </a:p>
        </c:txPr>
        <c:crossAx val="227829632"/>
        <c:crosses val="autoZero"/>
        <c:auto val="1"/>
        <c:lblAlgn val="ctr"/>
        <c:lblOffset val="100"/>
        <c:tickLblSkip val="2"/>
        <c:noMultiLvlLbl val="0"/>
      </c:catAx>
      <c:valAx>
        <c:axId val="22782963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en-US"/>
                  <a:t>CNY </a:t>
                </a:r>
              </a:p>
              <a:p>
                <a:pPr>
                  <a:defRPr/>
                </a:pPr>
                <a:r>
                  <a:rPr lang="en-US" altLang="zh-CN" sz="1000" b="1" i="0" u="none" strike="noStrike" baseline="0">
                    <a:effectLst/>
                  </a:rPr>
                  <a:t>in Thousands</a:t>
                </a:r>
                <a:r>
                  <a:rPr lang="en-US" altLang="en-US" baseline="0"/>
                  <a:t> </a:t>
                </a:r>
                <a:endParaRPr lang="en-US" altLang="en-US"/>
              </a:p>
            </c:rich>
          </c:tx>
          <c:layout>
            <c:manualLayout>
              <c:xMode val="edge"/>
              <c:yMode val="edge"/>
              <c:x val="3.8174603814236631E-2"/>
              <c:y val="0.42261002641127537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227827712"/>
        <c:crosses val="autoZero"/>
        <c:crossBetween val="between"/>
      </c:valAx>
      <c:spPr>
        <a:solidFill>
          <a:srgbClr val="FFFFC0"/>
        </a:solidFill>
        <a:ln w="3175">
          <a:solidFill>
            <a:schemeClr val="tx1"/>
          </a:solidFill>
        </a:ln>
      </c:spPr>
    </c:plotArea>
    <c:legend>
      <c:legendPos val="b"/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spPr>
    <a:noFill/>
  </c:spPr>
  <c:txPr>
    <a:bodyPr/>
    <a:lstStyle/>
    <a:p>
      <a:pPr>
        <a:defRPr sz="1000" baseline="0">
          <a:latin typeface="Arial" pitchFamily="34" charset="0"/>
        </a:defRPr>
      </a:pPr>
      <a:endParaRPr lang="zh-CN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altLang="en-US"/>
              <a:t>Pricing Accuracy</a:t>
            </a:r>
          </a:p>
        </c:rich>
      </c:tx>
      <c:layout>
        <c:manualLayout>
          <c:xMode val="edge"/>
          <c:yMode val="edge"/>
          <c:x val="0.3950624690432214"/>
          <c:y val="3.133159268929503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9100579221401052"/>
          <c:y val="0.16710182767624021"/>
          <c:w val="0.44797255286277982"/>
          <c:h val="0.66318537859007831"/>
        </c:manualLayout>
      </c:layout>
      <c:pieChart>
        <c:varyColors val="1"/>
        <c:ser>
          <c:idx val="3"/>
          <c:order val="0"/>
          <c:spPr>
            <a:solidFill>
              <a:srgbClr val="A0E0E0"/>
            </a:solidFill>
            <a:ln w="12700">
              <a:solidFill>
                <a:srgbClr val="999933"/>
              </a:solidFill>
              <a:prstDash val="solid"/>
            </a:ln>
          </c:spPr>
          <c:explosion val="3"/>
          <c:dPt>
            <c:idx val="0"/>
            <c:bubble3D val="0"/>
            <c:spPr>
              <a:solidFill>
                <a:srgbClr val="8080FF"/>
              </a:solidFill>
              <a:ln w="12700">
                <a:solidFill>
                  <a:srgbClr val="999933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552-42F2-990B-D5D622DAF4AB}"/>
              </c:ext>
            </c:extLst>
          </c:dPt>
          <c:dPt>
            <c:idx val="1"/>
            <c:bubble3D val="0"/>
            <c:spPr>
              <a:solidFill>
                <a:srgbClr val="802060"/>
              </a:solidFill>
              <a:ln w="12700">
                <a:solidFill>
                  <a:srgbClr val="999933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552-42F2-990B-D5D622DAF4AB}"/>
              </c:ext>
            </c:extLst>
          </c:dPt>
          <c:dPt>
            <c:idx val="2"/>
            <c:bubble3D val="0"/>
            <c:spPr>
              <a:solidFill>
                <a:srgbClr val="FFFFC0"/>
              </a:solidFill>
              <a:ln w="12700">
                <a:solidFill>
                  <a:srgbClr val="999933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552-42F2-990B-D5D622DAF4AB}"/>
              </c:ext>
            </c:extLst>
          </c:dPt>
          <c:cat>
            <c:strRef>
              <c:f>'Price Accuracy'!$C$90:$C$92</c:f>
              <c:strCache>
                <c:ptCount val="3"/>
                <c:pt idx="0">
                  <c:v>Quoted</c:v>
                </c:pt>
                <c:pt idx="1">
                  <c:v>Rate Sheet/Inventory</c:v>
                </c:pt>
                <c:pt idx="2">
                  <c:v>Estimated</c:v>
                </c:pt>
              </c:strCache>
            </c:strRef>
          </c:cat>
          <c:val>
            <c:numRef>
              <c:f>'Price Accuracy'!$E$90:$E$92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52-42F2-990B-D5D622DAF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6102329801367419"/>
          <c:y val="0.86684073107049608"/>
          <c:w val="0.48853708101302151"/>
          <c:h val="6.26631853785900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'Consortium Cancellation'!$A$13:$A$98</c:f>
          <c:strCache>
            <c:ptCount val="86"/>
            <c:pt idx="0">
              <c:v>1</c:v>
            </c:pt>
            <c:pt idx="1">
              <c:v>-2</c:v>
            </c:pt>
            <c:pt idx="2">
              <c:v>-1</c:v>
            </c:pt>
            <c:pt idx="3">
              <c:v>0</c:v>
            </c:pt>
            <c:pt idx="4">
              <c:v>1</c:v>
            </c:pt>
            <c:pt idx="5">
              <c:v>2</c:v>
            </c:pt>
            <c:pt idx="6">
              <c:v>3</c:v>
            </c:pt>
            <c:pt idx="7">
              <c:v>4</c:v>
            </c:pt>
            <c:pt idx="8">
              <c:v>5</c:v>
            </c:pt>
            <c:pt idx="9">
              <c:v>6</c:v>
            </c:pt>
            <c:pt idx="10">
              <c:v>7</c:v>
            </c:pt>
            <c:pt idx="11">
              <c:v>8</c:v>
            </c:pt>
            <c:pt idx="12">
              <c:v>9</c:v>
            </c:pt>
            <c:pt idx="13">
              <c:v>10</c:v>
            </c:pt>
            <c:pt idx="14">
              <c:v>11</c:v>
            </c:pt>
            <c:pt idx="15">
              <c:v>12</c:v>
            </c:pt>
            <c:pt idx="16">
              <c:v>13</c:v>
            </c:pt>
            <c:pt idx="17">
              <c:v>14</c:v>
            </c:pt>
            <c:pt idx="18">
              <c:v>15</c:v>
            </c:pt>
            <c:pt idx="19">
              <c:v>16</c:v>
            </c:pt>
            <c:pt idx="20">
              <c:v>17</c:v>
            </c:pt>
            <c:pt idx="21">
              <c:v>18</c:v>
            </c:pt>
            <c:pt idx="22">
              <c:v>19</c:v>
            </c:pt>
            <c:pt idx="23">
              <c:v>20</c:v>
            </c:pt>
            <c:pt idx="24">
              <c:v>21</c:v>
            </c:pt>
            <c:pt idx="25">
              <c:v>22</c:v>
            </c:pt>
            <c:pt idx="26">
              <c:v>23</c:v>
            </c:pt>
            <c:pt idx="27">
              <c:v>24</c:v>
            </c:pt>
            <c:pt idx="28">
              <c:v>25</c:v>
            </c:pt>
            <c:pt idx="29">
              <c:v>26</c:v>
            </c:pt>
            <c:pt idx="30">
              <c:v>27</c:v>
            </c:pt>
            <c:pt idx="31">
              <c:v>28</c:v>
            </c:pt>
            <c:pt idx="32">
              <c:v>29</c:v>
            </c:pt>
            <c:pt idx="33">
              <c:v>30</c:v>
            </c:pt>
            <c:pt idx="34">
              <c:v>31</c:v>
            </c:pt>
            <c:pt idx="35">
              <c:v>32</c:v>
            </c:pt>
            <c:pt idx="36">
              <c:v>33</c:v>
            </c:pt>
            <c:pt idx="37">
              <c:v>34</c:v>
            </c:pt>
            <c:pt idx="38">
              <c:v>35</c:v>
            </c:pt>
            <c:pt idx="39">
              <c:v>36</c:v>
            </c:pt>
            <c:pt idx="40">
              <c:v>37</c:v>
            </c:pt>
            <c:pt idx="41">
              <c:v>38</c:v>
            </c:pt>
            <c:pt idx="42">
              <c:v>39</c:v>
            </c:pt>
            <c:pt idx="43">
              <c:v>40</c:v>
            </c:pt>
            <c:pt idx="44">
              <c:v>41</c:v>
            </c:pt>
            <c:pt idx="45">
              <c:v>42</c:v>
            </c:pt>
            <c:pt idx="46">
              <c:v>43</c:v>
            </c:pt>
            <c:pt idx="47">
              <c:v>44</c:v>
            </c:pt>
            <c:pt idx="48">
              <c:v>45</c:v>
            </c:pt>
            <c:pt idx="49">
              <c:v>46</c:v>
            </c:pt>
            <c:pt idx="50">
              <c:v>47</c:v>
            </c:pt>
            <c:pt idx="51">
              <c:v>48</c:v>
            </c:pt>
            <c:pt idx="52">
              <c:v>49</c:v>
            </c:pt>
            <c:pt idx="53">
              <c:v>50</c:v>
            </c:pt>
            <c:pt idx="54">
              <c:v>51</c:v>
            </c:pt>
            <c:pt idx="55">
              <c:v>52</c:v>
            </c:pt>
            <c:pt idx="56">
              <c:v>53</c:v>
            </c:pt>
            <c:pt idx="57">
              <c:v>54</c:v>
            </c:pt>
            <c:pt idx="58">
              <c:v>55</c:v>
            </c:pt>
            <c:pt idx="59">
              <c:v>56</c:v>
            </c:pt>
            <c:pt idx="60">
              <c:v>57</c:v>
            </c:pt>
            <c:pt idx="61">
              <c:v>58</c:v>
            </c:pt>
            <c:pt idx="62">
              <c:v>59</c:v>
            </c:pt>
            <c:pt idx="63">
              <c:v>60</c:v>
            </c:pt>
            <c:pt idx="64">
              <c:v>61</c:v>
            </c:pt>
            <c:pt idx="65">
              <c:v>62</c:v>
            </c:pt>
            <c:pt idx="66">
              <c:v>63</c:v>
            </c:pt>
            <c:pt idx="67">
              <c:v>64</c:v>
            </c:pt>
            <c:pt idx="68">
              <c:v>65</c:v>
            </c:pt>
            <c:pt idx="69">
              <c:v>66</c:v>
            </c:pt>
            <c:pt idx="70">
              <c:v>67</c:v>
            </c:pt>
            <c:pt idx="71">
              <c:v>68</c:v>
            </c:pt>
            <c:pt idx="72">
              <c:v>69</c:v>
            </c:pt>
            <c:pt idx="73">
              <c:v>70</c:v>
            </c:pt>
            <c:pt idx="74">
              <c:v>71</c:v>
            </c:pt>
            <c:pt idx="75">
              <c:v>72</c:v>
            </c:pt>
            <c:pt idx="76">
              <c:v>73</c:v>
            </c:pt>
            <c:pt idx="77">
              <c:v>74</c:v>
            </c:pt>
            <c:pt idx="78">
              <c:v>75</c:v>
            </c:pt>
            <c:pt idx="79">
              <c:v>76</c:v>
            </c:pt>
            <c:pt idx="80">
              <c:v>77</c:v>
            </c:pt>
            <c:pt idx="81">
              <c:v>78</c:v>
            </c:pt>
            <c:pt idx="82">
              <c:v>79</c:v>
            </c:pt>
            <c:pt idx="83">
              <c:v>80</c:v>
            </c:pt>
            <c:pt idx="84">
              <c:v>81</c:v>
            </c:pt>
            <c:pt idx="85">
              <c:v>82</c:v>
            </c:pt>
          </c:strCache>
        </c:strRef>
      </c:tx>
      <c:layout>
        <c:manualLayout>
          <c:xMode val="edge"/>
          <c:yMode val="edge"/>
          <c:x val="0.43130421261183005"/>
          <c:y val="1.671891327063741E-2"/>
        </c:manualLayout>
      </c:layout>
      <c:overlay val="1"/>
      <c:txPr>
        <a:bodyPr/>
        <a:lstStyle/>
        <a:p>
          <a:pPr>
            <a:defRPr>
              <a:ln>
                <a:noFill/>
              </a:ln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9120156871288"/>
          <c:y val="0.11482800211934517"/>
          <c:w val="0.78880569989460192"/>
          <c:h val="0.74724638834287826"/>
        </c:manualLayout>
      </c:layout>
      <c:lineChart>
        <c:grouping val="standard"/>
        <c:varyColors val="0"/>
        <c:ser>
          <c:idx val="1"/>
          <c:order val="0"/>
          <c:tx>
            <c:strRef>
              <c:f>'Consortium Cancellation'!$D$12</c:f>
              <c:strCache>
                <c:ptCount val="1"/>
                <c:pt idx="0">
                  <c:v>Cancellation, Cumm  $</c:v>
                </c:pt>
              </c:strCache>
            </c:strRef>
          </c:tx>
          <c:cat>
            <c:numRef>
              <c:f>'Consortium Cancellation'!$A$13:$A$98</c:f>
              <c:numCache>
                <c:formatCode>0</c:formatCode>
                <c:ptCount val="86"/>
                <c:pt idx="0">
                  <c:v>1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20</c:v>
                </c:pt>
                <c:pt idx="24">
                  <c:v>21</c:v>
                </c:pt>
                <c:pt idx="25">
                  <c:v>22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28</c:v>
                </c:pt>
                <c:pt idx="32">
                  <c:v>29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33</c:v>
                </c:pt>
                <c:pt idx="37">
                  <c:v>34</c:v>
                </c:pt>
                <c:pt idx="38">
                  <c:v>35</c:v>
                </c:pt>
                <c:pt idx="39">
                  <c:v>36</c:v>
                </c:pt>
                <c:pt idx="40">
                  <c:v>37</c:v>
                </c:pt>
                <c:pt idx="41">
                  <c:v>38</c:v>
                </c:pt>
                <c:pt idx="42">
                  <c:v>39</c:v>
                </c:pt>
                <c:pt idx="43">
                  <c:v>40</c:v>
                </c:pt>
                <c:pt idx="44">
                  <c:v>41</c:v>
                </c:pt>
                <c:pt idx="45">
                  <c:v>42</c:v>
                </c:pt>
                <c:pt idx="46">
                  <c:v>43</c:v>
                </c:pt>
                <c:pt idx="47">
                  <c:v>44</c:v>
                </c:pt>
                <c:pt idx="48">
                  <c:v>45</c:v>
                </c:pt>
                <c:pt idx="49">
                  <c:v>46</c:v>
                </c:pt>
                <c:pt idx="50">
                  <c:v>47</c:v>
                </c:pt>
                <c:pt idx="51">
                  <c:v>48</c:v>
                </c:pt>
                <c:pt idx="52">
                  <c:v>49</c:v>
                </c:pt>
                <c:pt idx="53">
                  <c:v>50</c:v>
                </c:pt>
                <c:pt idx="54">
                  <c:v>51</c:v>
                </c:pt>
                <c:pt idx="55">
                  <c:v>52</c:v>
                </c:pt>
                <c:pt idx="56">
                  <c:v>53</c:v>
                </c:pt>
                <c:pt idx="57">
                  <c:v>54</c:v>
                </c:pt>
                <c:pt idx="58">
                  <c:v>55</c:v>
                </c:pt>
                <c:pt idx="59">
                  <c:v>56</c:v>
                </c:pt>
                <c:pt idx="60">
                  <c:v>57</c:v>
                </c:pt>
                <c:pt idx="61">
                  <c:v>58</c:v>
                </c:pt>
                <c:pt idx="62">
                  <c:v>59</c:v>
                </c:pt>
                <c:pt idx="63">
                  <c:v>60</c:v>
                </c:pt>
                <c:pt idx="64">
                  <c:v>61</c:v>
                </c:pt>
                <c:pt idx="65">
                  <c:v>62</c:v>
                </c:pt>
                <c:pt idx="66">
                  <c:v>63</c:v>
                </c:pt>
                <c:pt idx="67">
                  <c:v>64</c:v>
                </c:pt>
                <c:pt idx="68">
                  <c:v>65</c:v>
                </c:pt>
                <c:pt idx="69">
                  <c:v>66</c:v>
                </c:pt>
                <c:pt idx="70">
                  <c:v>67</c:v>
                </c:pt>
                <c:pt idx="71">
                  <c:v>68</c:v>
                </c:pt>
                <c:pt idx="72">
                  <c:v>69</c:v>
                </c:pt>
                <c:pt idx="73">
                  <c:v>70</c:v>
                </c:pt>
                <c:pt idx="74">
                  <c:v>71</c:v>
                </c:pt>
                <c:pt idx="75">
                  <c:v>72</c:v>
                </c:pt>
                <c:pt idx="76">
                  <c:v>73</c:v>
                </c:pt>
                <c:pt idx="77">
                  <c:v>74</c:v>
                </c:pt>
                <c:pt idx="78">
                  <c:v>75</c:v>
                </c:pt>
                <c:pt idx="79">
                  <c:v>76</c:v>
                </c:pt>
                <c:pt idx="80">
                  <c:v>77</c:v>
                </c:pt>
                <c:pt idx="81">
                  <c:v>78</c:v>
                </c:pt>
                <c:pt idx="82">
                  <c:v>79</c:v>
                </c:pt>
                <c:pt idx="83">
                  <c:v>80</c:v>
                </c:pt>
                <c:pt idx="84">
                  <c:v>81</c:v>
                </c:pt>
                <c:pt idx="85">
                  <c:v>82</c:v>
                </c:pt>
              </c:numCache>
            </c:numRef>
          </c:cat>
          <c:val>
            <c:numRef>
              <c:f>'Consortium Cancellation'!$D$13:$D$98</c:f>
              <c:numCache>
                <c:formatCode>#,##0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90-4C33-A0BF-E877B6526BF5}"/>
            </c:ext>
          </c:extLst>
        </c:ser>
        <c:ser>
          <c:idx val="2"/>
          <c:order val="1"/>
          <c:tx>
            <c:strRef>
              <c:f>'Consortium Cancellation'!$P$12</c:f>
              <c:strCache>
                <c:ptCount val="1"/>
                <c:pt idx="0">
                  <c:v>Customer Payments In</c:v>
                </c:pt>
              </c:strCache>
            </c:strRef>
          </c:tx>
          <c:cat>
            <c:numRef>
              <c:f>'Consortium Cancellation'!$A$13:$A$98</c:f>
              <c:numCache>
                <c:formatCode>0</c:formatCode>
                <c:ptCount val="86"/>
                <c:pt idx="0">
                  <c:v>1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20</c:v>
                </c:pt>
                <c:pt idx="24">
                  <c:v>21</c:v>
                </c:pt>
                <c:pt idx="25">
                  <c:v>22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28</c:v>
                </c:pt>
                <c:pt idx="32">
                  <c:v>29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33</c:v>
                </c:pt>
                <c:pt idx="37">
                  <c:v>34</c:v>
                </c:pt>
                <c:pt idx="38">
                  <c:v>35</c:v>
                </c:pt>
                <c:pt idx="39">
                  <c:v>36</c:v>
                </c:pt>
                <c:pt idx="40">
                  <c:v>37</c:v>
                </c:pt>
                <c:pt idx="41">
                  <c:v>38</c:v>
                </c:pt>
                <c:pt idx="42">
                  <c:v>39</c:v>
                </c:pt>
                <c:pt idx="43">
                  <c:v>40</c:v>
                </c:pt>
                <c:pt idx="44">
                  <c:v>41</c:v>
                </c:pt>
                <c:pt idx="45">
                  <c:v>42</c:v>
                </c:pt>
                <c:pt idx="46">
                  <c:v>43</c:v>
                </c:pt>
                <c:pt idx="47">
                  <c:v>44</c:v>
                </c:pt>
                <c:pt idx="48">
                  <c:v>45</c:v>
                </c:pt>
                <c:pt idx="49">
                  <c:v>46</c:v>
                </c:pt>
                <c:pt idx="50">
                  <c:v>47</c:v>
                </c:pt>
                <c:pt idx="51">
                  <c:v>48</c:v>
                </c:pt>
                <c:pt idx="52">
                  <c:v>49</c:v>
                </c:pt>
                <c:pt idx="53">
                  <c:v>50</c:v>
                </c:pt>
                <c:pt idx="54">
                  <c:v>51</c:v>
                </c:pt>
                <c:pt idx="55">
                  <c:v>52</c:v>
                </c:pt>
                <c:pt idx="56">
                  <c:v>53</c:v>
                </c:pt>
                <c:pt idx="57">
                  <c:v>54</c:v>
                </c:pt>
                <c:pt idx="58">
                  <c:v>55</c:v>
                </c:pt>
                <c:pt idx="59">
                  <c:v>56</c:v>
                </c:pt>
                <c:pt idx="60">
                  <c:v>57</c:v>
                </c:pt>
                <c:pt idx="61">
                  <c:v>58</c:v>
                </c:pt>
                <c:pt idx="62">
                  <c:v>59</c:v>
                </c:pt>
                <c:pt idx="63">
                  <c:v>60</c:v>
                </c:pt>
                <c:pt idx="64">
                  <c:v>61</c:v>
                </c:pt>
                <c:pt idx="65">
                  <c:v>62</c:v>
                </c:pt>
                <c:pt idx="66">
                  <c:v>63</c:v>
                </c:pt>
                <c:pt idx="67">
                  <c:v>64</c:v>
                </c:pt>
                <c:pt idx="68">
                  <c:v>65</c:v>
                </c:pt>
                <c:pt idx="69">
                  <c:v>66</c:v>
                </c:pt>
                <c:pt idx="70">
                  <c:v>67</c:v>
                </c:pt>
                <c:pt idx="71">
                  <c:v>68</c:v>
                </c:pt>
                <c:pt idx="72">
                  <c:v>69</c:v>
                </c:pt>
                <c:pt idx="73">
                  <c:v>70</c:v>
                </c:pt>
                <c:pt idx="74">
                  <c:v>71</c:v>
                </c:pt>
                <c:pt idx="75">
                  <c:v>72</c:v>
                </c:pt>
                <c:pt idx="76">
                  <c:v>73</c:v>
                </c:pt>
                <c:pt idx="77">
                  <c:v>74</c:v>
                </c:pt>
                <c:pt idx="78">
                  <c:v>75</c:v>
                </c:pt>
                <c:pt idx="79">
                  <c:v>76</c:v>
                </c:pt>
                <c:pt idx="80">
                  <c:v>77</c:v>
                </c:pt>
                <c:pt idx="81">
                  <c:v>78</c:v>
                </c:pt>
                <c:pt idx="82">
                  <c:v>79</c:v>
                </c:pt>
                <c:pt idx="83">
                  <c:v>80</c:v>
                </c:pt>
                <c:pt idx="84">
                  <c:v>81</c:v>
                </c:pt>
                <c:pt idx="85">
                  <c:v>82</c:v>
                </c:pt>
              </c:numCache>
            </c:numRef>
          </c:cat>
          <c:val>
            <c:numRef>
              <c:f>'Consortium Cancellation'!$P$13:$P$98</c:f>
              <c:numCache>
                <c:formatCode>#,##0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0-4C33-A0BF-E877B6526BF5}"/>
            </c:ext>
          </c:extLst>
        </c:ser>
        <c:ser>
          <c:idx val="3"/>
          <c:order val="2"/>
          <c:tx>
            <c:strRef>
              <c:f>'Consortium Cancellation'!$Q$12</c:f>
              <c:strCache>
                <c:ptCount val="1"/>
                <c:pt idx="0">
                  <c:v>Net</c:v>
                </c:pt>
              </c:strCache>
            </c:strRef>
          </c:tx>
          <c:cat>
            <c:numRef>
              <c:f>'Consortium Cancellation'!$A$13:$A$98</c:f>
              <c:numCache>
                <c:formatCode>0</c:formatCode>
                <c:ptCount val="86"/>
                <c:pt idx="0">
                  <c:v>1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20</c:v>
                </c:pt>
                <c:pt idx="24">
                  <c:v>21</c:v>
                </c:pt>
                <c:pt idx="25">
                  <c:v>22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28</c:v>
                </c:pt>
                <c:pt idx="32">
                  <c:v>29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33</c:v>
                </c:pt>
                <c:pt idx="37">
                  <c:v>34</c:v>
                </c:pt>
                <c:pt idx="38">
                  <c:v>35</c:v>
                </c:pt>
                <c:pt idx="39">
                  <c:v>36</c:v>
                </c:pt>
                <c:pt idx="40">
                  <c:v>37</c:v>
                </c:pt>
                <c:pt idx="41">
                  <c:v>38</c:v>
                </c:pt>
                <c:pt idx="42">
                  <c:v>39</c:v>
                </c:pt>
                <c:pt idx="43">
                  <c:v>40</c:v>
                </c:pt>
                <c:pt idx="44">
                  <c:v>41</c:v>
                </c:pt>
                <c:pt idx="45">
                  <c:v>42</c:v>
                </c:pt>
                <c:pt idx="46">
                  <c:v>43</c:v>
                </c:pt>
                <c:pt idx="47">
                  <c:v>44</c:v>
                </c:pt>
                <c:pt idx="48">
                  <c:v>45</c:v>
                </c:pt>
                <c:pt idx="49">
                  <c:v>46</c:v>
                </c:pt>
                <c:pt idx="50">
                  <c:v>47</c:v>
                </c:pt>
                <c:pt idx="51">
                  <c:v>48</c:v>
                </c:pt>
                <c:pt idx="52">
                  <c:v>49</c:v>
                </c:pt>
                <c:pt idx="53">
                  <c:v>50</c:v>
                </c:pt>
                <c:pt idx="54">
                  <c:v>51</c:v>
                </c:pt>
                <c:pt idx="55">
                  <c:v>52</c:v>
                </c:pt>
                <c:pt idx="56">
                  <c:v>53</c:v>
                </c:pt>
                <c:pt idx="57">
                  <c:v>54</c:v>
                </c:pt>
                <c:pt idx="58">
                  <c:v>55</c:v>
                </c:pt>
                <c:pt idx="59">
                  <c:v>56</c:v>
                </c:pt>
                <c:pt idx="60">
                  <c:v>57</c:v>
                </c:pt>
                <c:pt idx="61">
                  <c:v>58</c:v>
                </c:pt>
                <c:pt idx="62">
                  <c:v>59</c:v>
                </c:pt>
                <c:pt idx="63">
                  <c:v>60</c:v>
                </c:pt>
                <c:pt idx="64">
                  <c:v>61</c:v>
                </c:pt>
                <c:pt idx="65">
                  <c:v>62</c:v>
                </c:pt>
                <c:pt idx="66">
                  <c:v>63</c:v>
                </c:pt>
                <c:pt idx="67">
                  <c:v>64</c:v>
                </c:pt>
                <c:pt idx="68">
                  <c:v>65</c:v>
                </c:pt>
                <c:pt idx="69">
                  <c:v>66</c:v>
                </c:pt>
                <c:pt idx="70">
                  <c:v>67</c:v>
                </c:pt>
                <c:pt idx="71">
                  <c:v>68</c:v>
                </c:pt>
                <c:pt idx="72">
                  <c:v>69</c:v>
                </c:pt>
                <c:pt idx="73">
                  <c:v>70</c:v>
                </c:pt>
                <c:pt idx="74">
                  <c:v>71</c:v>
                </c:pt>
                <c:pt idx="75">
                  <c:v>72</c:v>
                </c:pt>
                <c:pt idx="76">
                  <c:v>73</c:v>
                </c:pt>
                <c:pt idx="77">
                  <c:v>74</c:v>
                </c:pt>
                <c:pt idx="78">
                  <c:v>75</c:v>
                </c:pt>
                <c:pt idx="79">
                  <c:v>76</c:v>
                </c:pt>
                <c:pt idx="80">
                  <c:v>77</c:v>
                </c:pt>
                <c:pt idx="81">
                  <c:v>78</c:v>
                </c:pt>
                <c:pt idx="82">
                  <c:v>79</c:v>
                </c:pt>
                <c:pt idx="83">
                  <c:v>80</c:v>
                </c:pt>
                <c:pt idx="84">
                  <c:v>81</c:v>
                </c:pt>
                <c:pt idx="85">
                  <c:v>82</c:v>
                </c:pt>
              </c:numCache>
            </c:numRef>
          </c:cat>
          <c:val>
            <c:numRef>
              <c:f>'Consortium Cancellation'!$Q$13:$Q$98</c:f>
              <c:numCache>
                <c:formatCode>#,##0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90-4C33-A0BF-E877B6526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367040"/>
        <c:axId val="231368960"/>
      </c:lineChart>
      <c:catAx>
        <c:axId val="231367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Months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noFill/>
        </c:spPr>
        <c:txPr>
          <a:bodyPr rot="0"/>
          <a:lstStyle/>
          <a:p>
            <a:pPr>
              <a:defRPr sz="1000" b="0" i="0" spc="0" baseline="0"/>
            </a:pPr>
            <a:endParaRPr lang="zh-CN"/>
          </a:p>
        </c:txPr>
        <c:crossAx val="231368960"/>
        <c:crosses val="autoZero"/>
        <c:auto val="1"/>
        <c:lblAlgn val="ctr"/>
        <c:lblOffset val="100"/>
        <c:tickLblSkip val="2"/>
        <c:noMultiLvlLbl val="0"/>
      </c:catAx>
      <c:valAx>
        <c:axId val="23136896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en-US"/>
                  <a:t>CNY </a:t>
                </a:r>
              </a:p>
              <a:p>
                <a:pPr>
                  <a:defRPr/>
                </a:pPr>
                <a:r>
                  <a:rPr lang="en-US" altLang="zh-CN" sz="1000" b="1" i="0" u="none" strike="noStrike" baseline="0">
                    <a:effectLst/>
                  </a:rPr>
                  <a:t>in Thousands</a:t>
                </a:r>
                <a:r>
                  <a:rPr lang="en-US" altLang="en-US" baseline="0"/>
                  <a:t> </a:t>
                </a:r>
                <a:endParaRPr lang="en-US" altLang="en-US"/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231367040"/>
        <c:crosses val="autoZero"/>
        <c:crossBetween val="between"/>
      </c:valAx>
      <c:spPr>
        <a:solidFill>
          <a:srgbClr val="FFFFC0"/>
        </a:solidFill>
        <a:ln w="3175">
          <a:solidFill>
            <a:schemeClr val="tx1"/>
          </a:solidFill>
        </a:ln>
      </c:spPr>
    </c:plotArea>
    <c:legend>
      <c:legendPos val="b"/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spPr>
    <a:noFill/>
  </c:spPr>
  <c:txPr>
    <a:bodyPr/>
    <a:lstStyle/>
    <a:p>
      <a:pPr>
        <a:defRPr sz="1000" baseline="0">
          <a:latin typeface="Arial" pitchFamily="34" charset="0"/>
        </a:defRPr>
      </a:pPr>
      <a:endParaRPr lang="zh-CN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9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1"/>
  <sheetViews>
    <sheetView workbookViewId="0"/>
  </sheetViews>
  <pageMargins left="0.7" right="0.7" top="0.75" bottom="0.75" header="0.3" footer="0.3"/>
  <pageSetup paperSize="9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图表21"/>
  <sheetViews>
    <sheetView workbookViewId="0"/>
  </sheetViews>
  <pageMargins left="0.7" right="0.7" top="0.75" bottom="0.75" header="0.3" footer="0.3"/>
  <pageSetup paperSize="9" orientation="landscape" r:id="rId1"/>
  <drawing r:id="rId2"/>
</chartsheet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2</xdr:row>
      <xdr:rowOff>95250</xdr:rowOff>
    </xdr:from>
    <xdr:to>
      <xdr:col>5</xdr:col>
      <xdr:colOff>95250</xdr:colOff>
      <xdr:row>26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aterial Category1">
              <a:extLst>
                <a:ext uri="{FF2B5EF4-FFF2-40B4-BE49-F238E27FC236}">
                  <a16:creationId xmlns:a16="http://schemas.microsoft.com/office/drawing/2014/main" id="{7C0A7F1D-2D9E-43C7-960F-5488BB014A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terial Category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14525" y="419100"/>
              <a:ext cx="1828800" cy="3905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19</xdr:row>
      <xdr:rowOff>85725</xdr:rowOff>
    </xdr:from>
    <xdr:to>
      <xdr:col>13</xdr:col>
      <xdr:colOff>0</xdr:colOff>
      <xdr:row>19</xdr:row>
      <xdr:rowOff>85725</xdr:rowOff>
    </xdr:to>
    <xdr:sp macro="" textlink="">
      <xdr:nvSpPr>
        <xdr:cNvPr id="1547070" name="Line 2">
          <a:extLst>
            <a:ext uri="{FF2B5EF4-FFF2-40B4-BE49-F238E27FC236}">
              <a16:creationId xmlns:a16="http://schemas.microsoft.com/office/drawing/2014/main" id="{00000000-0008-0000-0B00-00003E9B1700}"/>
            </a:ext>
          </a:extLst>
        </xdr:cNvPr>
        <xdr:cNvSpPr>
          <a:spLocks noChangeShapeType="1"/>
        </xdr:cNvSpPr>
      </xdr:nvSpPr>
      <xdr:spPr bwMode="auto">
        <a:xfrm>
          <a:off x="8486775" y="3409950"/>
          <a:ext cx="638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137</xdr:col>
      <xdr:colOff>819150</xdr:colOff>
      <xdr:row>7</xdr:row>
      <xdr:rowOff>152400</xdr:rowOff>
    </xdr:from>
    <xdr:to>
      <xdr:col>138</xdr:col>
      <xdr:colOff>247650</xdr:colOff>
      <xdr:row>10</xdr:row>
      <xdr:rowOff>152400</xdr:rowOff>
    </xdr:to>
    <xdr:sp macro="" textlink="">
      <xdr:nvSpPr>
        <xdr:cNvPr id="1547071" name="AutoShape 3">
          <a:extLst>
            <a:ext uri="{FF2B5EF4-FFF2-40B4-BE49-F238E27FC236}">
              <a16:creationId xmlns:a16="http://schemas.microsoft.com/office/drawing/2014/main" id="{00000000-0008-0000-0B00-00003F9B1700}"/>
            </a:ext>
          </a:extLst>
        </xdr:cNvPr>
        <xdr:cNvSpPr>
          <a:spLocks/>
        </xdr:cNvSpPr>
      </xdr:nvSpPr>
      <xdr:spPr bwMode="auto">
        <a:xfrm>
          <a:off x="61055250" y="1314450"/>
          <a:ext cx="581025" cy="485775"/>
        </a:xfrm>
        <a:prstGeom prst="rightBrace">
          <a:avLst>
            <a:gd name="adj1" fmla="val 8333"/>
            <a:gd name="adj2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131</xdr:col>
      <xdr:colOff>47625</xdr:colOff>
      <xdr:row>19</xdr:row>
      <xdr:rowOff>85725</xdr:rowOff>
    </xdr:from>
    <xdr:to>
      <xdr:col>131</xdr:col>
      <xdr:colOff>390525</xdr:colOff>
      <xdr:row>19</xdr:row>
      <xdr:rowOff>85725</xdr:rowOff>
    </xdr:to>
    <xdr:sp macro="" textlink="">
      <xdr:nvSpPr>
        <xdr:cNvPr id="1547072" name="Line 4">
          <a:extLst>
            <a:ext uri="{FF2B5EF4-FFF2-40B4-BE49-F238E27FC236}">
              <a16:creationId xmlns:a16="http://schemas.microsoft.com/office/drawing/2014/main" id="{00000000-0008-0000-0B00-0000409B1700}"/>
            </a:ext>
          </a:extLst>
        </xdr:cNvPr>
        <xdr:cNvSpPr>
          <a:spLocks noChangeShapeType="1"/>
        </xdr:cNvSpPr>
      </xdr:nvSpPr>
      <xdr:spPr bwMode="auto">
        <a:xfrm>
          <a:off x="54768750" y="3409950"/>
          <a:ext cx="3429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133</xdr:col>
      <xdr:colOff>152400</xdr:colOff>
      <xdr:row>19</xdr:row>
      <xdr:rowOff>66675</xdr:rowOff>
    </xdr:from>
    <xdr:to>
      <xdr:col>133</xdr:col>
      <xdr:colOff>152400</xdr:colOff>
      <xdr:row>21</xdr:row>
      <xdr:rowOff>161925</xdr:rowOff>
    </xdr:to>
    <xdr:sp macro="" textlink="">
      <xdr:nvSpPr>
        <xdr:cNvPr id="1547073" name="Line 5">
          <a:extLst>
            <a:ext uri="{FF2B5EF4-FFF2-40B4-BE49-F238E27FC236}">
              <a16:creationId xmlns:a16="http://schemas.microsoft.com/office/drawing/2014/main" id="{00000000-0008-0000-0B00-0000419B1700}"/>
            </a:ext>
          </a:extLst>
        </xdr:cNvPr>
        <xdr:cNvSpPr>
          <a:spLocks noChangeShapeType="1"/>
        </xdr:cNvSpPr>
      </xdr:nvSpPr>
      <xdr:spPr bwMode="auto">
        <a:xfrm>
          <a:off x="56111775" y="3390900"/>
          <a:ext cx="0" cy="457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135</xdr:col>
      <xdr:colOff>0</xdr:colOff>
      <xdr:row>16</xdr:row>
      <xdr:rowOff>0</xdr:rowOff>
    </xdr:from>
    <xdr:to>
      <xdr:col>140</xdr:col>
      <xdr:colOff>76200</xdr:colOff>
      <xdr:row>17</xdr:row>
      <xdr:rowOff>9525</xdr:rowOff>
    </xdr:to>
    <xdr:sp macro="" textlink="">
      <xdr:nvSpPr>
        <xdr:cNvPr id="1547074" name="AutoShape 6">
          <a:extLst>
            <a:ext uri="{FF2B5EF4-FFF2-40B4-BE49-F238E27FC236}">
              <a16:creationId xmlns:a16="http://schemas.microsoft.com/office/drawing/2014/main" id="{00000000-0008-0000-0B00-0000429B1700}"/>
            </a:ext>
          </a:extLst>
        </xdr:cNvPr>
        <xdr:cNvSpPr>
          <a:spLocks/>
        </xdr:cNvSpPr>
      </xdr:nvSpPr>
      <xdr:spPr bwMode="auto">
        <a:xfrm rot="-5400000">
          <a:off x="60655200" y="-295275"/>
          <a:ext cx="190500" cy="6038850"/>
        </a:xfrm>
        <a:prstGeom prst="rightBrace">
          <a:avLst>
            <a:gd name="adj1" fmla="val 264167"/>
            <a:gd name="adj2" fmla="val 37106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135</xdr:col>
      <xdr:colOff>0</xdr:colOff>
      <xdr:row>16</xdr:row>
      <xdr:rowOff>0</xdr:rowOff>
    </xdr:from>
    <xdr:to>
      <xdr:col>140</xdr:col>
      <xdr:colOff>76200</xdr:colOff>
      <xdr:row>17</xdr:row>
      <xdr:rowOff>9525</xdr:rowOff>
    </xdr:to>
    <xdr:sp macro="" textlink="">
      <xdr:nvSpPr>
        <xdr:cNvPr id="1547075" name="AutoShape 9">
          <a:extLst>
            <a:ext uri="{FF2B5EF4-FFF2-40B4-BE49-F238E27FC236}">
              <a16:creationId xmlns:a16="http://schemas.microsoft.com/office/drawing/2014/main" id="{00000000-0008-0000-0B00-0000439B1700}"/>
            </a:ext>
          </a:extLst>
        </xdr:cNvPr>
        <xdr:cNvSpPr>
          <a:spLocks/>
        </xdr:cNvSpPr>
      </xdr:nvSpPr>
      <xdr:spPr bwMode="auto">
        <a:xfrm rot="-5400000">
          <a:off x="60655200" y="-295275"/>
          <a:ext cx="190500" cy="6038850"/>
        </a:xfrm>
        <a:prstGeom prst="rightBrace">
          <a:avLst>
            <a:gd name="adj1" fmla="val 264167"/>
            <a:gd name="adj2" fmla="val 37106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19</xdr:row>
      <xdr:rowOff>85725</xdr:rowOff>
    </xdr:from>
    <xdr:to>
      <xdr:col>11</xdr:col>
      <xdr:colOff>0</xdr:colOff>
      <xdr:row>19</xdr:row>
      <xdr:rowOff>85725</xdr:rowOff>
    </xdr:to>
    <xdr:sp macro="" textlink="">
      <xdr:nvSpPr>
        <xdr:cNvPr id="2" name="Line 2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>
          <a:spLocks noChangeShapeType="1"/>
        </xdr:cNvSpPr>
      </xdr:nvSpPr>
      <xdr:spPr bwMode="auto">
        <a:xfrm>
          <a:off x="6743700" y="3409950"/>
          <a:ext cx="638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129</xdr:col>
      <xdr:colOff>47625</xdr:colOff>
      <xdr:row>19</xdr:row>
      <xdr:rowOff>85725</xdr:rowOff>
    </xdr:from>
    <xdr:to>
      <xdr:col>129</xdr:col>
      <xdr:colOff>390525</xdr:colOff>
      <xdr:row>19</xdr:row>
      <xdr:rowOff>85725</xdr:rowOff>
    </xdr:to>
    <xdr:sp macro="" textlink="">
      <xdr:nvSpPr>
        <xdr:cNvPr id="3" name="Line 4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>
          <a:spLocks noChangeShapeType="1"/>
        </xdr:cNvSpPr>
      </xdr:nvSpPr>
      <xdr:spPr bwMode="auto">
        <a:xfrm>
          <a:off x="53025675" y="3409950"/>
          <a:ext cx="3429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131</xdr:col>
      <xdr:colOff>152400</xdr:colOff>
      <xdr:row>19</xdr:row>
      <xdr:rowOff>66675</xdr:rowOff>
    </xdr:from>
    <xdr:to>
      <xdr:col>131</xdr:col>
      <xdr:colOff>152400</xdr:colOff>
      <xdr:row>21</xdr:row>
      <xdr:rowOff>161925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>
          <a:spLocks noChangeShapeType="1"/>
        </xdr:cNvSpPr>
      </xdr:nvSpPr>
      <xdr:spPr bwMode="auto">
        <a:xfrm>
          <a:off x="54368700" y="3390900"/>
          <a:ext cx="0" cy="457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133</xdr:col>
      <xdr:colOff>0</xdr:colOff>
      <xdr:row>16</xdr:row>
      <xdr:rowOff>0</xdr:rowOff>
    </xdr:from>
    <xdr:to>
      <xdr:col>138</xdr:col>
      <xdr:colOff>76200</xdr:colOff>
      <xdr:row>17</xdr:row>
      <xdr:rowOff>9525</xdr:rowOff>
    </xdr:to>
    <xdr:sp macro="" textlink="">
      <xdr:nvSpPr>
        <xdr:cNvPr id="5" name="AutoShape 6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>
          <a:spLocks/>
        </xdr:cNvSpPr>
      </xdr:nvSpPr>
      <xdr:spPr bwMode="auto">
        <a:xfrm rot="-5400000">
          <a:off x="58912125" y="-295275"/>
          <a:ext cx="190500" cy="6038850"/>
        </a:xfrm>
        <a:prstGeom prst="rightBrace">
          <a:avLst>
            <a:gd name="adj1" fmla="val 264167"/>
            <a:gd name="adj2" fmla="val 37106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133</xdr:col>
      <xdr:colOff>0</xdr:colOff>
      <xdr:row>16</xdr:row>
      <xdr:rowOff>0</xdr:rowOff>
    </xdr:from>
    <xdr:to>
      <xdr:col>138</xdr:col>
      <xdr:colOff>76200</xdr:colOff>
      <xdr:row>17</xdr:row>
      <xdr:rowOff>9525</xdr:rowOff>
    </xdr:to>
    <xdr:sp macro="" textlink="">
      <xdr:nvSpPr>
        <xdr:cNvPr id="6" name="AutoShape 9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>
          <a:spLocks/>
        </xdr:cNvSpPr>
      </xdr:nvSpPr>
      <xdr:spPr bwMode="auto">
        <a:xfrm rot="-5400000">
          <a:off x="58912125" y="-295275"/>
          <a:ext cx="190500" cy="6038850"/>
        </a:xfrm>
        <a:prstGeom prst="rightBrace">
          <a:avLst>
            <a:gd name="adj1" fmla="val 264167"/>
            <a:gd name="adj2" fmla="val 37106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7695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0.40737</cdr:x>
      <cdr:y>0.05015</cdr:y>
    </cdr:from>
    <cdr:to>
      <cdr:x>0.60491</cdr:x>
      <cdr:y>0.10031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96F7D2A-E7D7-455B-8262-9DADD0415A8C}"/>
            </a:ext>
          </a:extLst>
        </cdr:cNvPr>
        <cdr:cNvSpPr/>
      </cdr:nvSpPr>
      <cdr:spPr>
        <a:xfrm xmlns:a="http://schemas.openxmlformats.org/drawingml/2006/main">
          <a:off x="3790941" y="304775"/>
          <a:ext cx="1838293" cy="3048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 i="0" baseline="0">
              <a:solidFill>
                <a:schemeClr val="tx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Cashflow</a:t>
          </a:r>
          <a:r>
            <a:rPr lang="en-US" altLang="zh-CN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Curve</a:t>
          </a:r>
          <a:endParaRPr lang="zh-CN" altLang="zh-CN" sz="1400">
            <a:solidFill>
              <a:schemeClr val="tx1"/>
            </a:solidFill>
            <a:effectLst/>
          </a:endParaRPr>
        </a:p>
        <a:p xmlns:a="http://schemas.openxmlformats.org/drawingml/2006/main">
          <a:pPr algn="ctr"/>
          <a:endParaRPr lang="zh-CN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0.40737</cdr:x>
      <cdr:y>0.05015</cdr:y>
    </cdr:from>
    <cdr:to>
      <cdr:x>0.60491</cdr:x>
      <cdr:y>0.10031</cdr:y>
    </cdr:to>
    <cdr:sp macro="" textlink="">
      <cdr:nvSpPr>
        <cdr:cNvPr id="3" name="Rectangle 1">
          <a:extLst xmlns:a="http://schemas.openxmlformats.org/drawingml/2006/main">
            <a:ext uri="{FF2B5EF4-FFF2-40B4-BE49-F238E27FC236}">
              <a16:creationId xmlns:a16="http://schemas.microsoft.com/office/drawing/2014/main" id="{AE074CA6-040B-41E8-9BE0-4BB4C95B8DA1}"/>
            </a:ext>
          </a:extLst>
        </cdr:cNvPr>
        <cdr:cNvSpPr/>
      </cdr:nvSpPr>
      <cdr:spPr>
        <a:xfrm xmlns:a="http://schemas.openxmlformats.org/drawingml/2006/main">
          <a:off x="3790941" y="304775"/>
          <a:ext cx="1838293" cy="3048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 i="0" baseline="0">
              <a:solidFill>
                <a:schemeClr val="tx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Cashflow</a:t>
          </a:r>
          <a:r>
            <a:rPr lang="en-US" altLang="zh-CN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Curve</a:t>
          </a:r>
          <a:endParaRPr lang="zh-CN" altLang="zh-CN" sz="1400">
            <a:solidFill>
              <a:schemeClr val="tx1"/>
            </a:solidFill>
            <a:effectLst/>
          </a:endParaRPr>
        </a:p>
        <a:p xmlns:a="http://schemas.openxmlformats.org/drawingml/2006/main">
          <a:pPr algn="ctr"/>
          <a:endParaRPr lang="zh-CN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0.40737</cdr:x>
      <cdr:y>0.05015</cdr:y>
    </cdr:from>
    <cdr:to>
      <cdr:x>0.60491</cdr:x>
      <cdr:y>0.10031</cdr:y>
    </cdr:to>
    <cdr:sp macro="" textlink="">
      <cdr:nvSpPr>
        <cdr:cNvPr id="4" name="Rectangle 1">
          <a:extLst xmlns:a="http://schemas.openxmlformats.org/drawingml/2006/main">
            <a:ext uri="{FF2B5EF4-FFF2-40B4-BE49-F238E27FC236}">
              <a16:creationId xmlns:a16="http://schemas.microsoft.com/office/drawing/2014/main" id="{2855A748-C5FB-479A-B87A-708FB594D929}"/>
            </a:ext>
          </a:extLst>
        </cdr:cNvPr>
        <cdr:cNvSpPr/>
      </cdr:nvSpPr>
      <cdr:spPr>
        <a:xfrm xmlns:a="http://schemas.openxmlformats.org/drawingml/2006/main">
          <a:off x="3790941" y="304775"/>
          <a:ext cx="1838293" cy="3048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 i="0" baseline="0">
              <a:solidFill>
                <a:schemeClr val="tx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Cashflow</a:t>
          </a:r>
          <a:r>
            <a:rPr lang="en-US" altLang="zh-CN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Curve</a:t>
          </a:r>
          <a:endParaRPr lang="zh-CN" altLang="zh-CN" sz="1400">
            <a:solidFill>
              <a:schemeClr val="tx1"/>
            </a:solidFill>
            <a:effectLst/>
          </a:endParaRPr>
        </a:p>
        <a:p xmlns:a="http://schemas.openxmlformats.org/drawingml/2006/main">
          <a:pPr algn="ctr"/>
          <a:endParaRPr lang="zh-CN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0.40737</cdr:x>
      <cdr:y>0.05015</cdr:y>
    </cdr:from>
    <cdr:to>
      <cdr:x>0.60491</cdr:x>
      <cdr:y>0.10031</cdr:y>
    </cdr:to>
    <cdr:sp macro="" textlink="">
      <cdr:nvSpPr>
        <cdr:cNvPr id="5" name="Rectangle 1">
          <a:extLst xmlns:a="http://schemas.openxmlformats.org/drawingml/2006/main">
            <a:ext uri="{FF2B5EF4-FFF2-40B4-BE49-F238E27FC236}">
              <a16:creationId xmlns:a16="http://schemas.microsoft.com/office/drawing/2014/main" id="{AC1406D4-E7C1-49EE-AEAF-F4AFC5805FC3}"/>
            </a:ext>
          </a:extLst>
        </cdr:cNvPr>
        <cdr:cNvSpPr/>
      </cdr:nvSpPr>
      <cdr:spPr>
        <a:xfrm xmlns:a="http://schemas.openxmlformats.org/drawingml/2006/main">
          <a:off x="3790941" y="304775"/>
          <a:ext cx="1838293" cy="3048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 i="0" baseline="0">
              <a:solidFill>
                <a:schemeClr val="tx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Cashflow</a:t>
          </a:r>
          <a:r>
            <a:rPr lang="en-US" altLang="zh-CN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Curve</a:t>
          </a:r>
          <a:endParaRPr lang="zh-CN" altLang="zh-CN" sz="1400">
            <a:solidFill>
              <a:schemeClr val="tx1"/>
            </a:solidFill>
            <a:effectLst/>
          </a:endParaRPr>
        </a:p>
        <a:p xmlns:a="http://schemas.openxmlformats.org/drawingml/2006/main">
          <a:pPr algn="ctr"/>
          <a:endParaRPr lang="zh-CN">
            <a:solidFill>
              <a:schemeClr val="tx1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90</xdr:row>
      <xdr:rowOff>57150</xdr:rowOff>
    </xdr:from>
    <xdr:to>
      <xdr:col>13</xdr:col>
      <xdr:colOff>1323975</xdr:colOff>
      <xdr:row>112</xdr:row>
      <xdr:rowOff>123825</xdr:rowOff>
    </xdr:to>
    <xdr:graphicFrame macro="">
      <xdr:nvGraphicFramePr>
        <xdr:cNvPr id="1196509" name="Chart 1">
          <a:extLst>
            <a:ext uri="{FF2B5EF4-FFF2-40B4-BE49-F238E27FC236}">
              <a16:creationId xmlns:a16="http://schemas.microsoft.com/office/drawing/2014/main" id="{00000000-0008-0000-0E00-0000DD411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66</xdr:row>
      <xdr:rowOff>235743</xdr:rowOff>
    </xdr:from>
    <xdr:to>
      <xdr:col>10</xdr:col>
      <xdr:colOff>95250</xdr:colOff>
      <xdr:row>66</xdr:row>
      <xdr:rowOff>245268</xdr:rowOff>
    </xdr:to>
    <xdr:sp macro="" textlink="">
      <xdr:nvSpPr>
        <xdr:cNvPr id="2" name="Line 5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>
          <a:spLocks noChangeShapeType="1"/>
        </xdr:cNvSpPr>
      </xdr:nvSpPr>
      <xdr:spPr bwMode="auto">
        <a:xfrm>
          <a:off x="314325" y="15475743"/>
          <a:ext cx="708660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7695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0.40756</cdr:x>
      <cdr:y>0.05485</cdr:y>
    </cdr:from>
    <cdr:to>
      <cdr:x>0.64862</cdr:x>
      <cdr:y>0.10501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96932A2-C436-4E64-A143-23624DC026D9}"/>
            </a:ext>
          </a:extLst>
        </cdr:cNvPr>
        <cdr:cNvSpPr/>
      </cdr:nvSpPr>
      <cdr:spPr>
        <a:xfrm xmlns:a="http://schemas.openxmlformats.org/drawingml/2006/main">
          <a:off x="3800475" y="333350"/>
          <a:ext cx="2247900" cy="3048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rtl="0"/>
          <a:r>
            <a:rPr lang="en-US" sz="1200" b="1" i="0" baseline="0">
              <a:solidFill>
                <a:sysClr val="windowText" lastClr="000000"/>
              </a:solidFill>
              <a:effectLst/>
              <a:latin typeface="Arial" pitchFamily="34" charset="0"/>
              <a:ea typeface="+mn-ea"/>
              <a:cs typeface="Arial" pitchFamily="34" charset="0"/>
            </a:rPr>
            <a:t>Consortium  Exposure</a:t>
          </a:r>
          <a:r>
            <a:rPr lang="en-US" sz="1200" b="1" i="0" baseline="0">
              <a:solidFill>
                <a:schemeClr val="lt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E</a:t>
          </a:r>
          <a:endParaRPr lang="zh-CN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0.40756</cdr:x>
      <cdr:y>0.05485</cdr:y>
    </cdr:from>
    <cdr:to>
      <cdr:x>0.64862</cdr:x>
      <cdr:y>0.10501</cdr:y>
    </cdr:to>
    <cdr:sp macro="" textlink="">
      <cdr:nvSpPr>
        <cdr:cNvPr id="3" name="Rectangle 1">
          <a:extLst xmlns:a="http://schemas.openxmlformats.org/drawingml/2006/main">
            <a:ext uri="{FF2B5EF4-FFF2-40B4-BE49-F238E27FC236}">
              <a16:creationId xmlns:a16="http://schemas.microsoft.com/office/drawing/2014/main" id="{0B4E2EC9-EB18-4083-BF0A-22F190BAB41C}"/>
            </a:ext>
          </a:extLst>
        </cdr:cNvPr>
        <cdr:cNvSpPr/>
      </cdr:nvSpPr>
      <cdr:spPr>
        <a:xfrm xmlns:a="http://schemas.openxmlformats.org/drawingml/2006/main">
          <a:off x="3800475" y="333350"/>
          <a:ext cx="2247900" cy="3048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rtl="0"/>
          <a:r>
            <a:rPr lang="en-US" sz="1200" b="1" i="0" baseline="0">
              <a:solidFill>
                <a:sysClr val="windowText" lastClr="000000"/>
              </a:solidFill>
              <a:effectLst/>
              <a:latin typeface="Arial" pitchFamily="34" charset="0"/>
              <a:ea typeface="+mn-ea"/>
              <a:cs typeface="Arial" pitchFamily="34" charset="0"/>
            </a:rPr>
            <a:t>Consortium  Exposure</a:t>
          </a:r>
          <a:r>
            <a:rPr lang="en-US" sz="1200" b="1" i="0" baseline="0">
              <a:solidFill>
                <a:schemeClr val="lt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E</a:t>
          </a:r>
          <a:endParaRPr lang="zh-CN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0.39462</cdr:x>
      <cdr:y>0.01149</cdr:y>
    </cdr:from>
    <cdr:to>
      <cdr:x>0.63568</cdr:x>
      <cdr:y>0.06165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6B5CE56D-0CE8-4A5B-983F-35F2FC2AB05A}"/>
            </a:ext>
          </a:extLst>
        </cdr:cNvPr>
        <cdr:cNvSpPr/>
      </cdr:nvSpPr>
      <cdr:spPr>
        <a:xfrm xmlns:a="http://schemas.openxmlformats.org/drawingml/2006/main">
          <a:off x="3679825" y="69850"/>
          <a:ext cx="2247878" cy="3048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200" b="1" i="0" baseline="0">
              <a:solidFill>
                <a:sysClr val="windowText" lastClr="000000"/>
              </a:solidFill>
              <a:effectLst/>
              <a:latin typeface="Arial" pitchFamily="34" charset="0"/>
              <a:ea typeface="+mn-ea"/>
              <a:cs typeface="Arial" pitchFamily="34" charset="0"/>
            </a:rPr>
            <a:t>Hubco 2x660MW USC</a:t>
          </a:r>
          <a:endParaRPr lang="zh-CN">
            <a:solidFill>
              <a:schemeClr val="tx1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nder\350MW\17.0xx.P.10.F-TBJ\1-Direct%20Cost\Rev01\Termobijiao%201&#215;330MW%20direct%20cost_Rev01_201708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 Info"/>
      <sheetName val="Finsum"/>
      <sheetName val="Estimate Summary"/>
      <sheetName val="Estimate Detail"/>
      <sheetName val="PcdCost"/>
      <sheetName val="Manufacture"/>
      <sheetName val="CF"/>
      <sheetName val="INT"/>
      <sheetName val="CF Chart"/>
      <sheetName val="Cancellation"/>
      <sheetName val="Consortium Cancellation"/>
      <sheetName val="Consortium Exposure Chart"/>
      <sheetName val="WBC Mfg Matl"/>
      <sheetName val="FX&amp;Hedging"/>
      <sheetName val="For Logistics"/>
      <sheetName val="Breakdown"/>
      <sheetName val="WBC PBOM"/>
      <sheetName val="Price Accuracy"/>
      <sheetName val="Material unit price"/>
      <sheetName val="Material analysis"/>
      <sheetName val="SUMMARY"/>
      <sheetName val="WBC rew materialsy-PCDB"/>
      <sheetName val="WBC Manufactoryy-PCDB"/>
      <sheetName val="PcdCostFacto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22">
          <cell r="A22" t="str">
            <v>Workshop No.</v>
          </cell>
          <cell r="B22" t="str">
            <v>PCDB CODE</v>
          </cell>
          <cell r="C22" t="str">
            <v>PCDB ITEM</v>
          </cell>
          <cell r="D22" t="str">
            <v>Circuit</v>
          </cell>
          <cell r="E22" t="str">
            <v xml:space="preserve"> Comp.</v>
          </cell>
          <cell r="F22" t="str">
            <v>Subcomponent</v>
          </cell>
          <cell r="G22" t="str">
            <v>部件 Assembly</v>
          </cell>
          <cell r="H22" t="str">
            <v>Qty</v>
          </cell>
          <cell r="I22" t="str">
            <v>OD/Width
(mm)</v>
          </cell>
          <cell r="J22" t="str">
            <v>Thick
(mm)</v>
          </cell>
          <cell r="K22" t="str">
            <v>Length 
（mm）</v>
          </cell>
          <cell r="L22" t="str">
            <v>Total length(MM)</v>
          </cell>
          <cell r="M22" t="str">
            <v>Material</v>
          </cell>
          <cell r="N22" t="str">
            <v>Total Net Weight (kg)</v>
          </cell>
          <cell r="O22" t="str">
            <v>Rate</v>
          </cell>
          <cell r="P22" t="str">
            <v>Total Net Weight (kg)</v>
          </cell>
          <cell r="Q22" t="str">
            <v>工艺余量margin</v>
          </cell>
          <cell r="R22" t="str">
            <v>MOQ</v>
          </cell>
          <cell r="S22" t="str">
            <v>Gross Wgt
(kg)</v>
          </cell>
          <cell r="T22" t="str">
            <v>Purchase Spare</v>
          </cell>
          <cell r="U22" t="str">
            <v xml:space="preserve">Purchase Wgt (kg) </v>
          </cell>
          <cell r="V22" t="str">
            <v>Assistant</v>
          </cell>
          <cell r="W22" t="str">
            <v>Category TSCR</v>
          </cell>
          <cell r="X22" t="str">
            <v>Category 1</v>
          </cell>
          <cell r="Y22" t="str">
            <v>Category 1a</v>
          </cell>
          <cell r="Z22" t="str">
            <v>Category 2</v>
          </cell>
          <cell r="AA22" t="str">
            <v>Inventory wgt</v>
          </cell>
          <cell r="AB22" t="str">
            <v>Inventory unit price</v>
          </cell>
          <cell r="AC22" t="str">
            <v>Inventory cost</v>
          </cell>
          <cell r="AD22" t="str">
            <v>Process Y/N</v>
          </cell>
          <cell r="AE22" t="str">
            <v>Material
source</v>
          </cell>
          <cell r="AF22" t="str">
            <v>Q/R/Est</v>
          </cell>
          <cell r="AG22" t="str">
            <v>Supplier</v>
          </cell>
          <cell r="AH22" t="str">
            <v>Lead time</v>
          </cell>
          <cell r="AI22" t="str">
            <v>Currency</v>
          </cell>
          <cell r="AJ22" t="str">
            <v>Quote Unit</v>
          </cell>
          <cell r="AK22" t="str">
            <v>Unit price /KG(Per)</v>
          </cell>
          <cell r="AL22" t="str">
            <v>Unit price w/o VAT</v>
          </cell>
          <cell r="AM22" t="str">
            <v>Quantity Extras%</v>
          </cell>
          <cell r="AN22" t="str">
            <v>Add of Standard %</v>
          </cell>
          <cell r="AO22" t="str">
            <v>Unit price/kg</v>
          </cell>
          <cell r="AP22" t="str">
            <v>Neg Margin Rate</v>
          </cell>
          <cell r="AQ22" t="str">
            <v>Neg Margin Rate adjust</v>
          </cell>
          <cell r="AR22" t="str">
            <v>Neg Margin</v>
          </cell>
          <cell r="AS22" t="str">
            <v>Actual Purchse wgt (kg)</v>
          </cell>
          <cell r="AT22" t="str">
            <v>Prime
Total Cost</v>
          </cell>
          <cell r="AU22" t="str">
            <v>Pchs 
Cost/Fc</v>
          </cell>
          <cell r="AV22" t="str">
            <v>Pchs 
Cost/Lc</v>
          </cell>
          <cell r="AW22" t="str">
            <v>Quote Date</v>
          </cell>
          <cell r="AX22" t="str">
            <v>Quote Validity Duration</v>
          </cell>
          <cell r="AY22" t="str">
            <v>Quote Validity Date</v>
          </cell>
          <cell r="AZ22" t="str">
            <v>PO</v>
          </cell>
          <cell r="BA22" t="str">
            <v>PO+Validity dates</v>
          </cell>
          <cell r="BB22" t="str">
            <v>Total Mons</v>
          </cell>
          <cell r="BC22" t="str">
            <v>Firming months average</v>
          </cell>
          <cell r="BD22" t="str">
            <v>Category Firming</v>
          </cell>
          <cell r="BE22" t="str">
            <v>Total Firming Rate</v>
          </cell>
          <cell r="BF22" t="str">
            <v>Firming/Fc</v>
          </cell>
          <cell r="BG22" t="str">
            <v>Firming/Lc</v>
          </cell>
          <cell r="BH22" t="str">
            <v>Total matl incl. firming/Lc</v>
          </cell>
          <cell r="BI22" t="str">
            <v>L/C cost</v>
          </cell>
          <cell r="BJ22" t="str">
            <v>Custom
 Rate</v>
          </cell>
          <cell r="BK22" t="str">
            <v>Custom Cost/Lc</v>
          </cell>
          <cell r="BL22" t="str">
            <v>Port
Charge</v>
          </cell>
          <cell r="BM22" t="str">
            <v>Commodity Inspection Fees</v>
          </cell>
          <cell r="BN22" t="str">
            <v>Freight
Cost</v>
          </cell>
          <cell r="BO22" t="str">
            <v>Firming of Freight</v>
          </cell>
          <cell r="BP22" t="str">
            <v>Custom &amp; Logistic</v>
          </cell>
          <cell r="BQ22" t="str">
            <v>Anti-Dumping Rate</v>
          </cell>
          <cell r="BR22" t="str">
            <v>Anti-Dumping Cost</v>
          </cell>
          <cell r="BS22" t="str">
            <v>Plate
Category</v>
          </cell>
          <cell r="BT22" t="str">
            <v>Process Cost</v>
          </cell>
          <cell r="BU22" t="str">
            <v>Total cost</v>
          </cell>
          <cell r="BV22" t="str">
            <v>Total Firming</v>
          </cell>
          <cell r="BW22" t="str">
            <v>Mhrs</v>
          </cell>
          <cell r="BX22" t="str">
            <v>Painting &amp;
Packaging</v>
          </cell>
          <cell r="BY22" t="str">
            <v>Shot-peening
Machine-hour</v>
          </cell>
          <cell r="BZ22" t="str">
            <v>Mhrs 1</v>
          </cell>
          <cell r="CA22" t="str">
            <v>Painting &amp; Packaging 1</v>
          </cell>
          <cell r="CB22" t="str">
            <v>Shot-peening
Machine-hour 1</v>
          </cell>
          <cell r="CC22" t="str">
            <v>Mhrs Cost</v>
          </cell>
          <cell r="CD22" t="str">
            <v>Shot-peening Cost</v>
          </cell>
          <cell r="CE22" t="str">
            <v>QC</v>
          </cell>
          <cell r="CF22" t="str">
            <v>Hedging Cost/Lc</v>
          </cell>
          <cell r="CG22" t="str">
            <v>Remark</v>
          </cell>
        </row>
        <row r="23">
          <cell r="A23" t="str">
            <v>Drum Workshop</v>
          </cell>
        </row>
        <row r="24">
          <cell r="A24" t="str">
            <v>Drum Workshop</v>
          </cell>
        </row>
        <row r="25">
          <cell r="A25" t="str">
            <v>Drum Workshop</v>
          </cell>
        </row>
        <row r="26">
          <cell r="A26" t="str">
            <v>Drum Workshop</v>
          </cell>
        </row>
        <row r="27">
          <cell r="A27" t="str">
            <v>Header Workshop</v>
          </cell>
        </row>
        <row r="28">
          <cell r="A28" t="str">
            <v>Header Workshop</v>
          </cell>
        </row>
        <row r="29">
          <cell r="A29" t="str">
            <v>Header Workshop</v>
          </cell>
        </row>
        <row r="30">
          <cell r="A30" t="str">
            <v>Header Workshop</v>
          </cell>
        </row>
        <row r="31">
          <cell r="A31" t="str">
            <v>Header Workshop</v>
          </cell>
        </row>
        <row r="32">
          <cell r="A32" t="str">
            <v>Header Workshop</v>
          </cell>
        </row>
        <row r="33">
          <cell r="A33" t="str">
            <v>Header Workshop</v>
          </cell>
        </row>
        <row r="34">
          <cell r="A34" t="str">
            <v>Header Workshop</v>
          </cell>
        </row>
        <row r="35">
          <cell r="A35" t="str">
            <v>Header Workshop</v>
          </cell>
        </row>
        <row r="36">
          <cell r="A36" t="str">
            <v>Header Workshop</v>
          </cell>
        </row>
        <row r="37">
          <cell r="A37" t="str">
            <v>Header Workshop</v>
          </cell>
        </row>
        <row r="38">
          <cell r="A38" t="str">
            <v>Header Workshop</v>
          </cell>
        </row>
        <row r="39">
          <cell r="A39" t="str">
            <v>Header Workshop</v>
          </cell>
        </row>
        <row r="40">
          <cell r="A40" t="str">
            <v>Header Workshop</v>
          </cell>
        </row>
        <row r="41">
          <cell r="A41" t="str">
            <v>Header Workshop</v>
          </cell>
        </row>
        <row r="42">
          <cell r="A42" t="str">
            <v>Header Workshop</v>
          </cell>
        </row>
        <row r="43">
          <cell r="A43" t="str">
            <v>Waterwall Workshop</v>
          </cell>
        </row>
        <row r="44">
          <cell r="A44" t="str">
            <v>Waterwall Workshop</v>
          </cell>
        </row>
        <row r="45">
          <cell r="A45" t="str">
            <v>Waterwall Workshop</v>
          </cell>
        </row>
        <row r="46">
          <cell r="A46" t="str">
            <v>Waterwall Workshop</v>
          </cell>
        </row>
        <row r="47">
          <cell r="A47" t="str">
            <v>Waterwall Workshop</v>
          </cell>
        </row>
        <row r="48">
          <cell r="A48" t="str">
            <v>Waterwall Workshop</v>
          </cell>
        </row>
        <row r="49">
          <cell r="A49" t="str">
            <v>Waterwall Workshop</v>
          </cell>
        </row>
        <row r="50">
          <cell r="A50" t="str">
            <v>Waterwall Workshop</v>
          </cell>
        </row>
        <row r="51">
          <cell r="A51" t="str">
            <v>Waterwall Workshop</v>
          </cell>
        </row>
        <row r="52">
          <cell r="A52" t="str">
            <v>Waterwall Workshop</v>
          </cell>
        </row>
        <row r="53">
          <cell r="A53" t="str">
            <v>Waterwall Workshop</v>
          </cell>
        </row>
        <row r="54">
          <cell r="A54" t="str">
            <v>Waterwall Workshop</v>
          </cell>
        </row>
        <row r="55">
          <cell r="A55" t="str">
            <v>Waterwall Workshop</v>
          </cell>
        </row>
        <row r="56">
          <cell r="A56" t="str">
            <v>Waterwall Workshop</v>
          </cell>
        </row>
        <row r="57">
          <cell r="A57" t="str">
            <v>Waterwall Workshop</v>
          </cell>
        </row>
        <row r="58">
          <cell r="A58" t="str">
            <v>Waterwall Workshop</v>
          </cell>
        </row>
        <row r="59">
          <cell r="A59" t="str">
            <v>Waterwall Workshop</v>
          </cell>
        </row>
        <row r="60">
          <cell r="A60" t="str">
            <v>Waterwall Workshop</v>
          </cell>
        </row>
        <row r="61">
          <cell r="A61" t="str">
            <v>Waterwall Workshop</v>
          </cell>
        </row>
        <row r="62">
          <cell r="A62" t="str">
            <v>Waterwall Workshop</v>
          </cell>
        </row>
        <row r="63">
          <cell r="A63" t="str">
            <v>Waterwall Workshop</v>
          </cell>
        </row>
        <row r="64">
          <cell r="A64" t="str">
            <v>Waterwall Workshop</v>
          </cell>
        </row>
        <row r="65">
          <cell r="A65" t="str">
            <v>Waterwall Workshop</v>
          </cell>
        </row>
        <row r="66">
          <cell r="A66" t="str">
            <v>Waterwall Workshop</v>
          </cell>
        </row>
        <row r="67">
          <cell r="A67" t="str">
            <v>Waterwall Workshop</v>
          </cell>
        </row>
        <row r="68">
          <cell r="A68" t="str">
            <v>Waterwall Workshop</v>
          </cell>
        </row>
        <row r="69">
          <cell r="A69" t="str">
            <v>Waterwall Workshop</v>
          </cell>
        </row>
        <row r="70">
          <cell r="A70" t="str">
            <v>Waterwall Workshop</v>
          </cell>
        </row>
        <row r="71">
          <cell r="A71" t="str">
            <v>Waterwall Workshop</v>
          </cell>
        </row>
        <row r="72">
          <cell r="A72" t="str">
            <v>Waterwall Workshop</v>
          </cell>
        </row>
        <row r="73">
          <cell r="A73" t="str">
            <v>Waterwall Workshop</v>
          </cell>
        </row>
        <row r="74">
          <cell r="A74" t="str">
            <v>Waterwall Workshop</v>
          </cell>
        </row>
        <row r="75">
          <cell r="A75" t="str">
            <v>Waterwall Workshop</v>
          </cell>
        </row>
        <row r="76">
          <cell r="A76" t="str">
            <v>Waterwall Workshop</v>
          </cell>
        </row>
        <row r="77">
          <cell r="A77" t="str">
            <v>Waterwall Workshop</v>
          </cell>
        </row>
        <row r="78">
          <cell r="A78" t="str">
            <v>Waterwall Workshop</v>
          </cell>
        </row>
        <row r="79">
          <cell r="A79" t="str">
            <v>Waterwall Workshop</v>
          </cell>
        </row>
        <row r="80">
          <cell r="A80" t="str">
            <v>Waterwall Workshop</v>
          </cell>
        </row>
        <row r="81">
          <cell r="A81" t="str">
            <v>Waterwall Workshop</v>
          </cell>
        </row>
        <row r="82">
          <cell r="A82" t="str">
            <v>Waterwall Workshop</v>
          </cell>
        </row>
        <row r="83">
          <cell r="A83" t="str">
            <v>Waterwall Workshop</v>
          </cell>
        </row>
        <row r="84">
          <cell r="A84" t="str">
            <v>Waterwall Workshop</v>
          </cell>
        </row>
        <row r="85">
          <cell r="A85" t="str">
            <v>Waterwall Workshop</v>
          </cell>
        </row>
        <row r="86">
          <cell r="A86" t="str">
            <v>Waterwall Workshop</v>
          </cell>
        </row>
        <row r="87">
          <cell r="A87" t="str">
            <v>Waterwall Workshop</v>
          </cell>
        </row>
        <row r="88">
          <cell r="A88" t="str">
            <v>Waterwall Workshop</v>
          </cell>
        </row>
        <row r="89">
          <cell r="A89" t="str">
            <v>Waterwall Workshop</v>
          </cell>
        </row>
        <row r="90">
          <cell r="A90" t="str">
            <v>Waterwall Workshop</v>
          </cell>
        </row>
        <row r="91">
          <cell r="A91" t="str">
            <v>Waterwall Workshop</v>
          </cell>
        </row>
        <row r="92">
          <cell r="A92" t="str">
            <v>Waterwall Workshop</v>
          </cell>
        </row>
        <row r="93">
          <cell r="A93" t="str">
            <v>Waterwall Workshop</v>
          </cell>
        </row>
        <row r="94">
          <cell r="A94" t="str">
            <v>Waterwall Workshop</v>
          </cell>
        </row>
        <row r="95">
          <cell r="A95" t="str">
            <v>Waterwall Workshop</v>
          </cell>
        </row>
        <row r="96">
          <cell r="A96" t="str">
            <v>Waterwall Workshop</v>
          </cell>
        </row>
        <row r="97">
          <cell r="A97" t="str">
            <v>Header Workshop</v>
          </cell>
        </row>
        <row r="98">
          <cell r="A98" t="str">
            <v>Header Workshop</v>
          </cell>
        </row>
        <row r="99">
          <cell r="A99" t="str">
            <v>Header Workshop</v>
          </cell>
        </row>
        <row r="100">
          <cell r="A100" t="str">
            <v>Header Workshop</v>
          </cell>
        </row>
        <row r="101">
          <cell r="A101" t="str">
            <v>Header Workshop</v>
          </cell>
        </row>
        <row r="102">
          <cell r="A102" t="str">
            <v>Waterwall Workshop</v>
          </cell>
        </row>
        <row r="103">
          <cell r="A103" t="str">
            <v>Waterwall Workshop</v>
          </cell>
        </row>
        <row r="104">
          <cell r="A104" t="str">
            <v>Header Workshop</v>
          </cell>
        </row>
        <row r="105">
          <cell r="A105" t="str">
            <v>Header Workshop</v>
          </cell>
        </row>
        <row r="106">
          <cell r="A106" t="str">
            <v>Header Workshop</v>
          </cell>
        </row>
        <row r="107">
          <cell r="A107" t="str">
            <v>Header Workshop</v>
          </cell>
        </row>
        <row r="108">
          <cell r="A108" t="str">
            <v>Header Workshop</v>
          </cell>
        </row>
        <row r="109">
          <cell r="A109" t="str">
            <v>Header Workshop</v>
          </cell>
        </row>
        <row r="110">
          <cell r="A110" t="str">
            <v>Waterwall Workshop</v>
          </cell>
        </row>
        <row r="111">
          <cell r="A111" t="str">
            <v>Waterwall Workshop</v>
          </cell>
        </row>
        <row r="112">
          <cell r="A112" t="str">
            <v>Header Workshop</v>
          </cell>
        </row>
        <row r="113">
          <cell r="A113" t="str">
            <v>Header Workshop</v>
          </cell>
        </row>
        <row r="114">
          <cell r="A114" t="str">
            <v>Header Workshop</v>
          </cell>
        </row>
        <row r="115">
          <cell r="A115" t="str">
            <v>Header Workshop</v>
          </cell>
        </row>
        <row r="116">
          <cell r="A116" t="str">
            <v>Header Workshop</v>
          </cell>
        </row>
        <row r="117">
          <cell r="A117" t="str">
            <v>Header Workshop</v>
          </cell>
        </row>
        <row r="118">
          <cell r="A118" t="str">
            <v>Header Workshop</v>
          </cell>
        </row>
        <row r="119">
          <cell r="A119" t="str">
            <v>Waterwall Workshop</v>
          </cell>
        </row>
        <row r="120">
          <cell r="A120" t="str">
            <v>Waterwall Workshop</v>
          </cell>
        </row>
        <row r="121">
          <cell r="A121" t="str">
            <v>Waterwall Workshop</v>
          </cell>
        </row>
        <row r="122">
          <cell r="A122" t="str">
            <v>Waterwall Workshop</v>
          </cell>
        </row>
        <row r="123">
          <cell r="A123" t="str">
            <v>Header Workshop</v>
          </cell>
        </row>
        <row r="124">
          <cell r="A124" t="str">
            <v>Header Workshop</v>
          </cell>
        </row>
        <row r="125">
          <cell r="A125" t="str">
            <v>Header Workshop</v>
          </cell>
        </row>
        <row r="126">
          <cell r="A126" t="str">
            <v>Elements Workshop</v>
          </cell>
        </row>
        <row r="127">
          <cell r="A127" t="str">
            <v>Header Workshop</v>
          </cell>
        </row>
        <row r="128">
          <cell r="A128" t="str">
            <v>Header Workshop</v>
          </cell>
        </row>
        <row r="129">
          <cell r="A129" t="str">
            <v>Header Workshop</v>
          </cell>
        </row>
        <row r="130">
          <cell r="A130" t="str">
            <v>Header Workshop</v>
          </cell>
        </row>
        <row r="131">
          <cell r="A131" t="str">
            <v>Header Workshop</v>
          </cell>
        </row>
        <row r="132">
          <cell r="A132" t="str">
            <v>Elements Workshop</v>
          </cell>
        </row>
        <row r="133">
          <cell r="A133" t="str">
            <v>Elements Workshop</v>
          </cell>
        </row>
        <row r="134">
          <cell r="A134" t="str">
            <v>Elements Workshop</v>
          </cell>
        </row>
        <row r="135">
          <cell r="A135" t="str">
            <v>Elements Workshop</v>
          </cell>
        </row>
        <row r="136">
          <cell r="A136" t="str">
            <v>Elements Workshop</v>
          </cell>
        </row>
        <row r="137">
          <cell r="A137" t="str">
            <v>Elements Workshop</v>
          </cell>
        </row>
        <row r="138">
          <cell r="A138" t="str">
            <v>Header Workshop</v>
          </cell>
        </row>
        <row r="139">
          <cell r="A139" t="str">
            <v>Header Workshop</v>
          </cell>
        </row>
        <row r="140">
          <cell r="A140" t="str">
            <v>Header Workshop</v>
          </cell>
        </row>
        <row r="141">
          <cell r="A141" t="str">
            <v>Header Workshop</v>
          </cell>
        </row>
        <row r="142">
          <cell r="A142" t="str">
            <v>Header Workshop</v>
          </cell>
        </row>
        <row r="143">
          <cell r="A143" t="str">
            <v>Header Workshop</v>
          </cell>
        </row>
        <row r="144">
          <cell r="A144" t="str">
            <v>Header Workshop</v>
          </cell>
        </row>
        <row r="145">
          <cell r="A145" t="str">
            <v>Header Workshop</v>
          </cell>
        </row>
        <row r="146">
          <cell r="A146" t="str">
            <v>Header Workshop</v>
          </cell>
        </row>
        <row r="147">
          <cell r="A147" t="str">
            <v>Header Workshop</v>
          </cell>
        </row>
        <row r="148">
          <cell r="A148" t="str">
            <v>Header Workshop</v>
          </cell>
        </row>
        <row r="149">
          <cell r="A149" t="str">
            <v>Header Workshop</v>
          </cell>
        </row>
        <row r="150">
          <cell r="A150" t="str">
            <v>Header Workshop</v>
          </cell>
        </row>
        <row r="151">
          <cell r="A151" t="str">
            <v>Header Workshop</v>
          </cell>
        </row>
        <row r="152">
          <cell r="A152" t="str">
            <v>Elements Workshop</v>
          </cell>
        </row>
        <row r="153">
          <cell r="A153" t="str">
            <v>Elements Workshop</v>
          </cell>
        </row>
        <row r="154">
          <cell r="A154" t="str">
            <v>Elements Workshop</v>
          </cell>
        </row>
        <row r="155">
          <cell r="A155" t="str">
            <v>Elements Workshop</v>
          </cell>
        </row>
        <row r="156">
          <cell r="A156" t="str">
            <v>Elements Workshop</v>
          </cell>
        </row>
        <row r="157">
          <cell r="A157" t="str">
            <v>Header Workshop</v>
          </cell>
        </row>
        <row r="158">
          <cell r="A158" t="str">
            <v>Header Workshop</v>
          </cell>
        </row>
        <row r="159">
          <cell r="A159" t="str">
            <v>Header Workshop</v>
          </cell>
        </row>
        <row r="160">
          <cell r="A160" t="str">
            <v>Header Workshop</v>
          </cell>
        </row>
        <row r="161">
          <cell r="A161" t="str">
            <v>Header Workshop</v>
          </cell>
        </row>
        <row r="162">
          <cell r="A162" t="str">
            <v>Header Workshop</v>
          </cell>
        </row>
        <row r="163">
          <cell r="A163" t="str">
            <v>Header Workshop</v>
          </cell>
        </row>
        <row r="164">
          <cell r="A164" t="str">
            <v>Header Workshop</v>
          </cell>
        </row>
        <row r="165">
          <cell r="A165" t="str">
            <v>Header Workshop</v>
          </cell>
        </row>
        <row r="166">
          <cell r="A166" t="str">
            <v>Header Workshop</v>
          </cell>
        </row>
        <row r="167">
          <cell r="A167" t="str">
            <v>Elements Workshop</v>
          </cell>
        </row>
        <row r="168">
          <cell r="A168" t="str">
            <v>Elements Workshop</v>
          </cell>
        </row>
        <row r="169">
          <cell r="A169" t="str">
            <v>Elements Workshop</v>
          </cell>
        </row>
        <row r="170">
          <cell r="A170" t="str">
            <v>Header Workshop</v>
          </cell>
        </row>
        <row r="171">
          <cell r="A171" t="str">
            <v>Header Workshop</v>
          </cell>
        </row>
        <row r="172">
          <cell r="A172" t="str">
            <v>Header Workshop</v>
          </cell>
        </row>
        <row r="173">
          <cell r="A173" t="str">
            <v>Header Workshop</v>
          </cell>
        </row>
        <row r="174">
          <cell r="A174" t="str">
            <v>Elements Workshop</v>
          </cell>
        </row>
        <row r="175">
          <cell r="A175" t="str">
            <v>Elements Workshop</v>
          </cell>
        </row>
        <row r="176">
          <cell r="A176" t="str">
            <v>Elements Workshop</v>
          </cell>
        </row>
        <row r="177">
          <cell r="A177" t="str">
            <v>Elements Workshop</v>
          </cell>
        </row>
        <row r="178">
          <cell r="A178" t="str">
            <v>Header Workshop</v>
          </cell>
        </row>
        <row r="179">
          <cell r="A179" t="str">
            <v>Header Workshop</v>
          </cell>
        </row>
        <row r="180">
          <cell r="A180" t="str">
            <v>Header Workshop</v>
          </cell>
        </row>
        <row r="181">
          <cell r="A181" t="str">
            <v>Header Workshop</v>
          </cell>
        </row>
        <row r="182">
          <cell r="A182" t="str">
            <v>Header Workshop</v>
          </cell>
        </row>
        <row r="183">
          <cell r="A183" t="str">
            <v>Elements Workshop</v>
          </cell>
        </row>
        <row r="184">
          <cell r="A184" t="str">
            <v>Elements Workshop</v>
          </cell>
        </row>
        <row r="185">
          <cell r="A185" t="str">
            <v>Header Workshop</v>
          </cell>
        </row>
        <row r="186">
          <cell r="A186" t="str">
            <v>Header Workshop</v>
          </cell>
        </row>
        <row r="187">
          <cell r="A187" t="str">
            <v>Header Workshop</v>
          </cell>
        </row>
        <row r="188">
          <cell r="A188" t="str">
            <v>Header Workshop</v>
          </cell>
        </row>
        <row r="189">
          <cell r="A189" t="str">
            <v>Header Workshop</v>
          </cell>
        </row>
        <row r="190">
          <cell r="A190" t="str">
            <v>Header Workshop</v>
          </cell>
        </row>
        <row r="191">
          <cell r="A191" t="str">
            <v>Header Workshop</v>
          </cell>
        </row>
        <row r="192">
          <cell r="A192" t="str">
            <v>Header Workshop</v>
          </cell>
        </row>
        <row r="193">
          <cell r="A193" t="str">
            <v>Elements Workshop</v>
          </cell>
        </row>
        <row r="194">
          <cell r="A194" t="str">
            <v>Elements Workshop</v>
          </cell>
        </row>
        <row r="195">
          <cell r="A195" t="str">
            <v>Header Workshop</v>
          </cell>
        </row>
        <row r="196">
          <cell r="A196" t="str">
            <v>Header Workshop</v>
          </cell>
        </row>
        <row r="197">
          <cell r="A197" t="str">
            <v>Header Workshop</v>
          </cell>
        </row>
        <row r="198">
          <cell r="A198" t="str">
            <v>Header Workshop</v>
          </cell>
        </row>
        <row r="199">
          <cell r="A199" t="str">
            <v>Header Workshop</v>
          </cell>
        </row>
        <row r="200">
          <cell r="A200" t="str">
            <v>Header Workshop</v>
          </cell>
        </row>
        <row r="201">
          <cell r="A201" t="str">
            <v>Header Workshop</v>
          </cell>
        </row>
        <row r="202">
          <cell r="A202" t="str">
            <v>Header Workshop</v>
          </cell>
        </row>
        <row r="203">
          <cell r="A203" t="str">
            <v>Header Workshop</v>
          </cell>
        </row>
        <row r="204">
          <cell r="A204" t="str">
            <v>Elements Workshop</v>
          </cell>
        </row>
        <row r="205">
          <cell r="A205" t="str">
            <v>Elements Workshop</v>
          </cell>
        </row>
        <row r="206">
          <cell r="A206" t="str">
            <v>Elements Workshop</v>
          </cell>
        </row>
        <row r="207">
          <cell r="A207" t="str">
            <v>Elements Workshop</v>
          </cell>
        </row>
        <row r="208">
          <cell r="A208" t="str">
            <v>Elements Workshop</v>
          </cell>
        </row>
        <row r="209">
          <cell r="A209" t="str">
            <v>Elements Workshop</v>
          </cell>
        </row>
        <row r="210">
          <cell r="A210" t="str">
            <v>Header Workshop</v>
          </cell>
        </row>
        <row r="211">
          <cell r="A211" t="str">
            <v>Header Workshop</v>
          </cell>
        </row>
        <row r="212">
          <cell r="A212" t="str">
            <v>Header Workshop</v>
          </cell>
        </row>
        <row r="213">
          <cell r="A213" t="str">
            <v>Header Workshop</v>
          </cell>
        </row>
        <row r="214">
          <cell r="A214" t="str">
            <v>Header Workshop</v>
          </cell>
        </row>
        <row r="215">
          <cell r="A215" t="str">
            <v>Header Workshop</v>
          </cell>
        </row>
        <row r="216">
          <cell r="A216" t="str">
            <v>Header Workshop</v>
          </cell>
        </row>
        <row r="217">
          <cell r="A217" t="str">
            <v>Elements Workshop</v>
          </cell>
        </row>
        <row r="218">
          <cell r="A218" t="str">
            <v>Elements Workshop</v>
          </cell>
        </row>
        <row r="219">
          <cell r="A219" t="str">
            <v>Elements Workshop</v>
          </cell>
        </row>
        <row r="220">
          <cell r="A220" t="str">
            <v>Elements Workshop</v>
          </cell>
        </row>
        <row r="221">
          <cell r="A221" t="str">
            <v>Header Workshop</v>
          </cell>
        </row>
        <row r="222">
          <cell r="A222" t="str">
            <v>Header Workshop</v>
          </cell>
        </row>
        <row r="223">
          <cell r="A223" t="str">
            <v>Header Workshop</v>
          </cell>
        </row>
        <row r="224">
          <cell r="A224" t="str">
            <v>Header Workshop</v>
          </cell>
        </row>
        <row r="225">
          <cell r="A225" t="str">
            <v>Elements Workshop</v>
          </cell>
        </row>
        <row r="226">
          <cell r="A226" t="str">
            <v>Elements Workshop</v>
          </cell>
        </row>
        <row r="227">
          <cell r="A227" t="str">
            <v>Header Workshop</v>
          </cell>
        </row>
        <row r="228">
          <cell r="A228" t="str">
            <v>Header Workshop</v>
          </cell>
        </row>
        <row r="229">
          <cell r="A229" t="str">
            <v>Header Workshop</v>
          </cell>
        </row>
        <row r="230">
          <cell r="A230" t="str">
            <v>Header Workshop</v>
          </cell>
        </row>
        <row r="231">
          <cell r="A231" t="str">
            <v>Header Workshop</v>
          </cell>
        </row>
        <row r="232">
          <cell r="A232" t="str">
            <v>Waterwall Workshop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G Yong" refreshedDate="42936.408037847221" createdVersion="4" refreshedVersion="6" minRefreshableVersion="3" recordCount="1307" xr:uid="{00000000-000A-0000-FFFF-FFFF00000000}">
  <cacheSource type="worksheet">
    <worksheetSource ref="A30:BO251" sheet="WBC PBOM"/>
  </cacheSource>
  <cacheFields count="67">
    <cacheField name="PCDB CODE" numFmtId="184">
      <sharedItems count="10">
        <s v="050309"/>
        <s v="050301"/>
        <s v="050302"/>
        <s v="050304"/>
        <s v="050305"/>
        <s v="050311"/>
        <s v="050308"/>
        <s v="050306"/>
        <s v="050307"/>
        <s v="050310"/>
      </sharedItems>
    </cacheField>
    <cacheField name="PCDB ITEM" numFmtId="184">
      <sharedItems count="10">
        <s v="Roof  Links"/>
        <s v="Water Cooling System"/>
        <s v="Superheater internal surfaces"/>
        <s v="Reheater"/>
        <s v="Economizer"/>
        <s v="Start Up System"/>
        <s v="Boiler External Piping"/>
        <s v="Boiler Internal Piping"/>
        <s v="Ancillaries"/>
        <s v="Spare Parts"/>
      </sharedItems>
    </cacheField>
    <cacheField name="Drawing No of Comp." numFmtId="227">
      <sharedItems containsMixedTypes="1" containsNumber="1" containsInteger="1" minValue="31" maxValue="31"/>
    </cacheField>
    <cacheField name="Circuit Number" numFmtId="49">
      <sharedItems/>
    </cacheField>
    <cacheField name="WBS Number" numFmtId="184">
      <sharedItems containsBlank="1"/>
    </cacheField>
    <cacheField name="分组件名称  Description of Subcomponent" numFmtId="227">
      <sharedItems containsBlank="1"/>
    </cacheField>
    <cacheField name="Subcomponents category" numFmtId="227">
      <sharedItems containsMixedTypes="1" containsNumber="1" containsInteger="1" minValue="0" maxValue="0"/>
    </cacheField>
    <cacheField name="部件名称 Description of Assembly" numFmtId="227">
      <sharedItems containsBlank="1"/>
    </cacheField>
    <cacheField name="Qty" numFmtId="3">
      <sharedItems containsString="0" containsBlank="1" containsNumber="1" containsInteger="1" minValue="0" maxValue="624"/>
    </cacheField>
    <cacheField name="Material" numFmtId="227">
      <sharedItems containsBlank="1" containsMixedTypes="1" containsNumber="1" minValue="8" maxValue="45" count="18">
        <s v="SA-106C"/>
        <s v="SA-234-WPC"/>
        <s v="SA-335  P12 "/>
        <s v="SA-234-WP12 CL1"/>
        <s v="SA-335 P91"/>
        <s v="SA-234 WP91"/>
        <s v="SA-387 GR12 CL2"/>
        <s v="SA-299"/>
        <s v="SA-213 T12"/>
        <s v="SA-387 Gr. 12"/>
        <s v="SA-182 F11 (CL.2) or SA-182 F12 (CL.2)"/>
        <m/>
        <n v="45" u="1"/>
        <n v="8.8000000000000007" u="1"/>
        <n v="10" u="1"/>
        <n v="35" u="1"/>
        <n v="20" u="1"/>
        <n v="8" u="1"/>
      </sharedItems>
    </cacheField>
    <cacheField name="内径  ID (mm)" numFmtId="3">
      <sharedItems containsString="0" containsBlank="1" containsNumber="1" minValue="18.82" maxValue="1051.5999999999999"/>
    </cacheField>
    <cacheField name="OD/W(mm)" numFmtId="227">
      <sharedItems containsString="0" containsBlank="1" containsNumber="1" minValue="12.725000000000001" maxValue="1331.6"/>
    </cacheField>
    <cacheField name="Thickness(mm)" numFmtId="227">
      <sharedItems containsString="0" containsBlank="1" containsNumber="1" minValue="6" maxValue="140"/>
    </cacheField>
    <cacheField name="单个长度     Length(MM) " numFmtId="38">
      <sharedItems containsBlank="1" containsMixedTypes="1" containsNumber="1" minValue="0" maxValue="100000"/>
    </cacheField>
    <cacheField name="Total length(MM)" numFmtId="38">
      <sharedItems containsString="0" containsBlank="1" containsNumber="1" minValue="0" maxValue="10300551.149039926"/>
    </cacheField>
    <cacheField name="Total Net Weight (kg)" numFmtId="3">
      <sharedItems containsString="0" containsBlank="1" containsNumber="1" minValue="0" maxValue="747309.63712204818"/>
    </cacheField>
    <cacheField name="Material Standard" numFmtId="40">
      <sharedItems/>
    </cacheField>
    <cacheField name="工艺余量margin" numFmtId="9">
      <sharedItems containsMixedTypes="1" containsNumber="1" minValue="0" maxValue="0.15"/>
    </cacheField>
    <cacheField name="WBC/OUT" numFmtId="223">
      <sharedItems/>
    </cacheField>
    <cacheField name="Attachment category" numFmtId="223">
      <sharedItems containsMixedTypes="1" containsNumber="1" containsInteger="1" minValue="0" maxValue="0"/>
    </cacheField>
    <cacheField name="Gross Wgt_x000a_(kg)" numFmtId="38">
      <sharedItems containsMixedTypes="1" containsNumber="1" minValue="0" maxValue="132839.16974999997"/>
    </cacheField>
    <cacheField name="Purchase Spare" numFmtId="38">
      <sharedItems containsMixedTypes="1" containsNumber="1" minValue="-30.637531205445157" maxValue="1496.3542656"/>
    </cacheField>
    <cacheField name="Purchase Wgt (kg) " numFmtId="38">
      <sharedItems containsMixedTypes="1" containsNumber="1" minValue="0" maxValue="132839.16974999997"/>
    </cacheField>
    <cacheField name="Assistant" numFmtId="38">
      <sharedItems/>
    </cacheField>
    <cacheField name="Assistant2" numFmtId="38">
      <sharedItems count="16">
        <s v="Roof  LinksCNY"/>
        <s v="Water Cooling SystemCNY"/>
        <s v="Superheater internal surfacesCNY"/>
        <s v="ReheaterCNY"/>
        <s v="EconomizerCNY"/>
        <s v="Start Up SystemCNY"/>
        <s v="Boiler External PipingEUR"/>
        <s v="Boiler External PipingUSD"/>
        <s v="Boiler External PipingCNY"/>
        <s v="Boiler Internal PipingCNY"/>
        <s v="AncillariesCNY"/>
        <s v="Spare PartsCNY"/>
        <s v="Spare PartsEUR"/>
        <s v="Superheater internal surfacesEUR" u="1"/>
        <s v="ReheaterEUR" u="1"/>
        <s v="Superheater internal surfacesUSD" u="1"/>
      </sharedItems>
    </cacheField>
    <cacheField name="Material Category" numFmtId="223">
      <sharedItems/>
    </cacheField>
    <cacheField name="Material Category1" numFmtId="223">
      <sharedItems/>
    </cacheField>
    <cacheField name="Water Cooling System categroy" numFmtId="223">
      <sharedItems containsBlank="1"/>
    </cacheField>
    <cacheField name="Inventory wgt" numFmtId="227">
      <sharedItems containsNonDate="0" containsString="0" containsBlank="1"/>
    </cacheField>
    <cacheField name="Inventory unit price" numFmtId="227">
      <sharedItems containsNonDate="0" containsString="0" containsBlank="1"/>
    </cacheField>
    <cacheField name="Inventory cost" numFmtId="183">
      <sharedItems containsString="0" containsBlank="1" containsNumber="1" containsInteger="1" minValue="0" maxValue="0"/>
    </cacheField>
    <cacheField name="Process Y/N" numFmtId="38">
      <sharedItems count="3">
        <s v="N"/>
        <e v="#N/A"/>
        <s v="Y"/>
      </sharedItems>
    </cacheField>
    <cacheField name="Material_x000a_source" numFmtId="223">
      <sharedItems count="2">
        <s v="D"/>
        <s v="I"/>
      </sharedItems>
    </cacheField>
    <cacheField name="Q/R/Est" numFmtId="223">
      <sharedItems containsMixedTypes="1" containsNumber="1" containsInteger="1" minValue="0" maxValue="0" count="3">
        <n v="0"/>
        <s v="E"/>
        <s v="Q"/>
      </sharedItems>
    </cacheField>
    <cacheField name="Supplier" numFmtId="43">
      <sharedItems containsBlank="1" containsMixedTypes="1" containsNumber="1" containsInteger="1" minValue="0" maxValue="0" count="10">
        <n v="0"/>
        <s v="V&amp;M"/>
        <s v="Hyundai RB"/>
        <s v="YCD"/>
        <m/>
        <s v="CCB"/>
        <s v="Lontrin"/>
        <s v="VALIN"/>
        <s v="JLS"/>
        <s v="SMST"/>
      </sharedItems>
    </cacheField>
    <cacheField name="Lead time" numFmtId="43">
      <sharedItems containsSemiMixedTypes="0" containsString="0" containsNumber="1" containsInteger="1" minValue="0" maxValue="180"/>
    </cacheField>
    <cacheField name="Currency" numFmtId="43">
      <sharedItems count="3">
        <s v="CNY"/>
        <s v="EUR"/>
        <s v="USD"/>
      </sharedItems>
    </cacheField>
    <cacheField name="Quote Unit" numFmtId="223">
      <sharedItems/>
    </cacheField>
    <cacheField name="Unit price /KG(Per)" numFmtId="43">
      <sharedItems containsSemiMixedTypes="0" containsString="0" containsNumber="1" minValue="0" maxValue="80"/>
    </cacheField>
    <cacheField name="Unit price w/o VAT" numFmtId="43">
      <sharedItems containsSemiMixedTypes="0" containsString="0" containsNumber="1" minValue="0" maxValue="68.376068376068375"/>
    </cacheField>
    <cacheField name="Neg Margin Rate" numFmtId="9">
      <sharedItems containsBlank="1" containsMixedTypes="1" containsNumber="1" minValue="0" maxValue="0.1"/>
    </cacheField>
    <cacheField name="Neg Margin" numFmtId="43">
      <sharedItems containsMixedTypes="1" containsNumber="1" minValue="0" maxValue="61.53846153846154"/>
    </cacheField>
    <cacheField name="Actual Purchse wgt (kg)" numFmtId="38">
      <sharedItems containsMixedTypes="1" containsNumber="1" minValue="0" maxValue="132839.16974999997"/>
    </cacheField>
    <cacheField name="Sourcing Pchs _x000a_Cost/Fc" numFmtId="183">
      <sharedItems containsMixedTypes="1" containsNumber="1" minValue="0" maxValue="22223.52"/>
    </cacheField>
    <cacheField name="Sourcing Pchs _x000a_Cost/Lc" numFmtId="183">
      <sharedItems containsMixedTypes="1" containsNumber="1" minValue="0" maxValue="1686035.6160576923"/>
    </cacheField>
    <cacheField name="Pchs _x000a_Cost/Fc" numFmtId="183">
      <sharedItems containsMixedTypes="1" containsNumber="1" minValue="0" maxValue="22223.52"/>
    </cacheField>
    <cacheField name="Pchs _x000a_Cost/Lc" numFmtId="183">
      <sharedItems containsMixedTypes="1" containsNumber="1" minValue="0" maxValue="1686035.6160576923"/>
    </cacheField>
    <cacheField name="Quote Date" numFmtId="14">
      <sharedItems containsSemiMixedTypes="0" containsNonDate="0" containsDate="1" containsString="0" minDate="1899-12-30T00:00:00" maxDate="2016-11-08T00:00:00"/>
    </cacheField>
    <cacheField name="Quote Validity Duration" numFmtId="3">
      <sharedItems containsSemiMixedTypes="0" containsString="0" containsNumber="1" containsInteger="1" minValue="0" maxValue="7"/>
    </cacheField>
    <cacheField name="Quote Validity Date" numFmtId="14">
      <sharedItems containsSemiMixedTypes="0" containsNonDate="0" containsDate="1" containsString="0" minDate="1899-12-30T00:00:00" maxDate="2016-11-15T00:00:00"/>
    </cacheField>
    <cacheField name="PO" numFmtId="14">
      <sharedItems containsSemiMixedTypes="0" containsNonDate="0" containsDate="1" containsString="0" minDate="2018-03-15T00:00:00" maxDate="2018-08-08T00:00:00"/>
    </cacheField>
    <cacheField name="Payment date" numFmtId="14">
      <sharedItems containsSemiMixedTypes="0" containsNonDate="0" containsDate="1" containsString="0" minDate="2018-07-22T00:00:00" maxDate="2018-12-30T00:00:00"/>
    </cacheField>
    <cacheField name="From PD to PO duration Mons" numFmtId="1">
      <sharedItems containsSemiMixedTypes="0" containsString="0" containsNumber="1" containsInteger="1" minValue="3" maxValue="6"/>
    </cacheField>
    <cacheField name="From PO to NTP duration Mons" numFmtId="3">
      <sharedItems containsSemiMixedTypes="0" containsString="0" containsNumber="1" containsInteger="1" minValue="3" maxValue="8"/>
    </cacheField>
    <cacheField name="Custom_x000a_ Rate" numFmtId="9">
      <sharedItems containsMixedTypes="1" containsNumber="1" minValue="0" maxValue="0.04"/>
    </cacheField>
    <cacheField name="Custom Cost/Lc" numFmtId="183">
      <sharedItems containsMixedTypes="1" containsNumber="1" minValue="0" maxValue="6644.1213273600006"/>
    </cacheField>
    <cacheField name="Commodity Inspection Fees" numFmtId="183">
      <sharedItems containsMixedTypes="1" containsNumber="1" minValue="0" maxValue="249.15454977600001"/>
    </cacheField>
    <cacheField name="Custom &amp; Logistic" numFmtId="183">
      <sharedItems containsMixedTypes="1" containsNumber="1" minValue="0" maxValue="6893.2758771360004"/>
    </cacheField>
    <cacheField name="Process Cost" numFmtId="183">
      <sharedItems containsMixedTypes="1" containsNumber="1" containsInteger="1" minValue="0" maxValue="0"/>
    </cacheField>
    <cacheField name="Add of Standard %" numFmtId="227">
      <sharedItems containsNonDate="0" containsString="0" containsBlank="1"/>
    </cacheField>
    <cacheField name="Standard Cost" numFmtId="183">
      <sharedItems containsMixedTypes="1" containsNumber="1" containsInteger="1" minValue="0" maxValue="0"/>
    </cacheField>
    <cacheField name="Total cost" numFmtId="183">
      <sharedItems containsMixedTypes="1" containsNumber="1" minValue="0" maxValue="1686035.6160576923"/>
    </cacheField>
    <cacheField name="Mhrs" numFmtId="177">
      <sharedItems containsSemiMixedTypes="0" containsString="0" containsNumber="1" containsInteger="1" minValue="0" maxValue="37654"/>
    </cacheField>
    <cacheField name="P&amp;P" numFmtId="183">
      <sharedItems containsString="0" containsBlank="1" containsNumber="1" containsInteger="1" minValue="2" maxValue="2732"/>
    </cacheField>
    <cacheField name="Shot-peening" numFmtId="183">
      <sharedItems containsString="0" containsBlank="1" containsNumber="1" containsInteger="1" minValue="2" maxValue="1592"/>
    </cacheField>
    <cacheField name="QC" numFmtId="183">
      <sharedItems containsMixedTypes="1" containsNumber="1" containsInteger="1" minValue="0" maxValue="0" count="3">
        <n v="0"/>
        <e v="#N/A"/>
        <s v="QC"/>
      </sharedItems>
    </cacheField>
    <cacheField name="Remark" numFmtId="43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G Yong" refreshedDate="42940.656103009256" createdVersion="6" refreshedVersion="6" minRefreshableVersion="3" recordCount="151" xr:uid="{00000000-000A-0000-FFFF-FFFF01000000}">
  <cacheSource type="worksheet">
    <worksheetSource ref="C3:D245" sheet="Logistics"/>
  </cacheSource>
  <cacheFields count="5">
    <cacheField name="PCDB CODE" numFmtId="227">
      <sharedItems count="7">
        <s v="050309"/>
        <s v="050305"/>
        <s v="050301"/>
        <s v="050311"/>
        <s v="050304"/>
        <s v="050302"/>
        <s v="050303"/>
      </sharedItems>
    </cacheField>
    <cacheField name="PCDB ITEM" numFmtId="227">
      <sharedItems count="7">
        <s v="Roof  Links"/>
        <s v="Economizer"/>
        <s v="Water Cooling System"/>
        <s v="Start Up System"/>
        <s v="Reheater"/>
        <s v="Superheater internal surfaces"/>
        <s v="Superheater backpass wall"/>
      </sharedItems>
    </cacheField>
    <cacheField name="Net Weight (kg)" numFmtId="183">
      <sharedItems containsString="0" containsBlank="1" containsNumber="1" minValue="0" maxValue="362541.05738311872"/>
    </cacheField>
    <cacheField name="m-hrs" numFmtId="183">
      <sharedItems containsSemiMixedTypes="0" containsString="0" containsNumber="1" minValue="0" maxValue="15548.738231194418"/>
    </cacheField>
    <cacheField name="PP m-hrs" numFmtId="183">
      <sharedItems containsSemiMixedTypes="0" containsString="0" containsNumber="1" minValue="0" maxValue="593.581616533606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O, Ting (GE Power)" refreshedDate="43630.465878935189" createdVersion="6" refreshedVersion="6" minRefreshableVersion="3" recordCount="3" xr:uid="{00000000-000A-0000-FFFF-FFFF02000000}">
  <cacheSource type="worksheet">
    <worksheetSource name="TABLE"/>
  </cacheSource>
  <cacheFields count="83">
    <cacheField name="PCDB CODE" numFmtId="49">
      <sharedItems containsBlank="1" count="16">
        <s v="050310"/>
        <m u="1"/>
        <s v="050303" u="1"/>
        <s v="050304" u="1"/>
        <s v="051201" u="1"/>
        <s v="050305" u="1"/>
        <s v="050306" u="1"/>
        <s v="050308" u="1"/>
        <s v="050309" u="1"/>
        <s v="R-14" u="1"/>
        <s v="R-13" u="1"/>
        <s v="R-12" u="1"/>
        <s v="050311" u="1"/>
        <s v="050312" u="1"/>
        <s v="050301" u="1"/>
        <s v="050302" u="1"/>
      </sharedItems>
    </cacheField>
    <cacheField name="PCDB ITEM" numFmtId="184">
      <sharedItems containsBlank="1" count="14">
        <s v="Spare Parts"/>
        <m u="1"/>
        <s v="050304" u="1"/>
        <s v="Roof  Links" u="1"/>
        <s v="Reheater" u="1"/>
        <s v="Superheater internal surfaces" u="1"/>
        <s v="Boiler External Piping" u="1"/>
        <s v="Boiler Internal Piping" u="1"/>
        <s v="Air Preheater - Assy No. 06" u="1"/>
        <s v="Drums" u="1"/>
        <s v="Start Up System" u="1"/>
        <s v="Superheater backpass wall" u="1"/>
        <s v="Water Cooling System" u="1"/>
        <s v="Economizer" u="1"/>
      </sharedItems>
    </cacheField>
    <cacheField name="Circuit" numFmtId="49">
      <sharedItems containsNonDate="0" containsString="0" containsBlank="1"/>
    </cacheField>
    <cacheField name="Component Item" numFmtId="184">
      <sharedItems count="60">
        <s v="Tubes"/>
        <s v=" Y Connectors"/>
        <s v="Attachments" u="1"/>
        <s v="吊挂 Hanger" u="1"/>
        <s v="SH 1 Heating Surface, tube coils" u="1"/>
        <s v="Openings" u="1"/>
        <s v="Evaporator openings Opening for pulverized coal burner Opening for ......" u="1"/>
        <s v="E-06U-TS-1" u="1"/>
        <s v="Evaporator openings Opening for over fire air 1 Opening for over fire air 1" u="1"/>
        <s v="Waterwall " u="1"/>
        <s v="end caps" u="1"/>
        <s v="Roof" u="1"/>
        <s v="APH" u="1"/>
        <s v="E-07-TS-3" u="1"/>
        <s v="RH2-inlet/Martensite-Austenite transit-Round bar Φ60" u="1"/>
        <s v="RH2 INLET HEADER OUTSIDE" u="1"/>
        <s v="Stub Inspection &amp; Drain" u="1"/>
        <s v="Evaporator openings Openings for AGAM-measurements Openings for SNCR injection" u="1"/>
        <s v="高温再热器 RH" u="1"/>
        <s v="附件-管夹 Attachments" u="1"/>
        <s v="HEADER" u="1"/>
        <s v="RH2 INLET HEADER INSIDE" u="1"/>
        <s v="Reducer" u="1"/>
        <s v="Boiler drum" u="1"/>
        <s v="RH2-inlet/Martensite-Austenite transit-Round bar Φ61" u="1"/>
        <s v="Evaporator openings Opening for over fire air 2 Opening for ......" u="1"/>
        <s v="SUPERHEATER" u="1"/>
        <s v="Spacer Tubes" u="1"/>
        <s v="Clipe" u="1"/>
        <s v="SOFA Burner Openings Tube Pan.s" u="1"/>
        <s v="Finishing RH Assy" u="1"/>
        <s v="Evaporator - Spirally membrane walls [1]" u="1"/>
        <s v="Type 1" u="1"/>
        <s v="RH_FRONT" u="1"/>
        <s v="RH 2 Heating Surface, tube coils" u="1"/>
        <s v="SH  - Spray attemperator #1 und #2 " u="1"/>
        <s v="RH_Rear" u="1"/>
        <s v="E-07-TS-2" u="1"/>
        <s v="Type 2" u="1"/>
        <s v="顶棚 Roof" u="1"/>
        <s v="RH 1 Heating Surface, tube coils" u="1"/>
        <s v="Screen Tube:" u="1"/>
        <s v="Economizer" u="1"/>
        <s v="R-04UI-HT-TS-1" u="1"/>
        <s v="低温过热器垂直管组 LTSH vertical section" u="1"/>
        <s v="Rod" u="1"/>
        <s v="防磨盖板 anti-abrasion plate" u="1"/>
        <s v="RH  - Spray attemperator " u="1"/>
        <s v="APH spares" u="1"/>
        <s v="SH 3 Heating Surface, tube coils" u="1"/>
        <s v="E-07-TS-1" u="1"/>
        <s v="E-07-RC-1" u="1"/>
        <s v="E-08U-TS-1" u="1"/>
        <s v="RH_Outlet_Lead" u="1"/>
        <s v="Final Superheater " u="1"/>
        <s v="E-08U-RC-1" u="1"/>
        <s v="E-07-TS-4" u="1"/>
        <s v="SH 2 a&amp;b Heating Surface, tube coils" u="1"/>
        <s v="Finishing RH Assy " u="1"/>
        <s v="省煤器悬吊管 Eco Hanger tube" u="1"/>
      </sharedItems>
    </cacheField>
    <cacheField name="Designation" numFmtId="184">
      <sharedItems/>
    </cacheField>
    <cacheField name="Subcomponents category" numFmtId="184">
      <sharedItems/>
    </cacheField>
    <cacheField name="Qty" numFmtId="207">
      <sharedItems containsSemiMixedTypes="0" containsString="0" containsNumber="1" containsInteger="1" minValue="16" maxValue="50"/>
    </cacheField>
    <cacheField name="内径  ID (mm)" numFmtId="3">
      <sharedItems containsNonDate="0" containsString="0" containsBlank="1"/>
    </cacheField>
    <cacheField name="OD/W(mm)" numFmtId="0">
      <sharedItems containsMixedTypes="1" containsNumber="1" minValue="63.5" maxValue="76.2"/>
    </cacheField>
    <cacheField name="Thickness(mm)" numFmtId="0">
      <sharedItems containsString="0" containsBlank="1" containsNumber="1" minValue="6.6" maxValue="7.11"/>
    </cacheField>
    <cacheField name="单个长度     Length(M) " numFmtId="230">
      <sharedItems containsString="0" containsBlank="1" containsNumber="1" containsInteger="1" minValue="8000" maxValue="8000"/>
    </cacheField>
    <cacheField name="Total length(M)" numFmtId="207">
      <sharedItems containsSemiMixedTypes="0" containsString="0" containsNumber="1" containsInteger="1" minValue="0" maxValue="200000"/>
    </cacheField>
    <cacheField name="Material" numFmtId="229">
      <sharedItems containsMixedTypes="1" containsNumber="1" minValue="8" maxValue="45" count="8">
        <s v="SA-210MC"/>
        <s v="SA-336M F12"/>
        <n v="20" u="1"/>
        <n v="35" u="1"/>
        <n v="8" u="1"/>
        <n v="45" u="1"/>
        <n v="8.8000000000000007" u="1"/>
        <n v="10" u="1"/>
      </sharedItems>
    </cacheField>
    <cacheField name="Total Net Weight (kg)" numFmtId="183">
      <sharedItems containsSemiMixedTypes="0" containsString="0" containsNumber="1" minValue="250" maxValue="1498.9925037780001"/>
    </cacheField>
    <cacheField name="Material Standard" numFmtId="0">
      <sharedItems/>
    </cacheField>
    <cacheField name="工艺余量margin" numFmtId="181">
      <sharedItems containsSemiMixedTypes="0" containsString="0" containsNumber="1" minValue="0" maxValue="1.4999999999999999E-2"/>
    </cacheField>
    <cacheField name="WBC/OUT" numFmtId="0">
      <sharedItems/>
    </cacheField>
    <cacheField name="Attachment CNY/T" numFmtId="0">
      <sharedItems containsNonDate="0" containsString="0" containsBlank="1"/>
    </cacheField>
    <cacheField name="Gross Wgt_x000a_(kg)" numFmtId="43">
      <sharedItems containsSemiMixedTypes="0" containsString="0" containsNumber="1" minValue="250" maxValue="1521.4773913346701"/>
    </cacheField>
    <cacheField name="MOQ" numFmtId="0">
      <sharedItems containsNonDate="0" containsString="0" containsBlank="1"/>
    </cacheField>
    <cacheField name="MOQ Assistant" numFmtId="0">
      <sharedItems containsSemiMixedTypes="0" containsString="0" containsNumber="1" containsInteger="1" minValue="0" maxValue="0"/>
    </cacheField>
    <cacheField name="Purchase Wgt (kg) " numFmtId="0">
      <sharedItems containsSemiMixedTypes="0" containsString="0" containsNumber="1" minValue="250" maxValue="1521.4773913346701"/>
    </cacheField>
    <cacheField name="Assistant" numFmtId="0">
      <sharedItems/>
    </cacheField>
    <cacheField name="Assistant2" numFmtId="0">
      <sharedItems containsBlank="1" count="29">
        <s v="Spare PartsCNY"/>
        <m u="1"/>
        <s v="ReheaterCNY" u="1"/>
        <s v="Superheater internal surfacesEUR" u="1"/>
        <s v="050304" u="1"/>
        <s v="Spare PartsEUR" u="1"/>
        <s v="Roof  LinksEUR" u="1"/>
        <s v="Reheater" u="1"/>
        <s v="DrumsCNY" u="1"/>
        <s v="ReheaterEUR" u="1"/>
        <s v="Water Cooling SystemEUR" u="1"/>
        <s v="Superheater internal surfacesCNY" u="1"/>
        <s v="Superheater backpass wallCNY" u="1"/>
        <s v="Reheater0" u="1"/>
        <s v="Water Cooling SystemCNY" u="1"/>
        <s v="Superheater internal surfacesUSD" u="1"/>
        <s v="EconomizerCNY" u="1"/>
        <s v="Roof  LinksCNY" u="1"/>
        <s v="050304USD" u="1"/>
        <s v="Boiler External PipingCNY" u="1"/>
        <s v="Boiler Internal PipingCNY" u="1"/>
        <s v="Drums0" u="1"/>
        <s v="ReheaterUSD" u="1"/>
        <e v="#N/A" u="1"/>
        <s v="050304EUR" u="1"/>
        <s v="Start Up SystemCNY" u="1"/>
        <s v="Boiler Internal PipingEUR" u="1"/>
        <s v="050304CNY" u="1"/>
        <s v="Superheater internal surfaces0" u="1"/>
      </sharedItems>
    </cacheField>
    <cacheField name="Material Category" numFmtId="0">
      <sharedItems containsBlank="1" count="18">
        <s v="Tubing-CS"/>
        <s v="Forgings"/>
        <m u="1"/>
        <s v="Profiled Bar" u="1"/>
        <s v="Piping-HA" u="1"/>
        <s v="Mid Size Piping-HA" u="1"/>
        <s v="Mid Size Piping-LA" u="1"/>
        <s v="Finning" u="1"/>
        <s v="Plate" u="1"/>
        <s v="Piping-LA" u="1"/>
        <s v="Various" u="1"/>
        <s v="Piping-CS" u="1"/>
        <e v="#N/A" u="1"/>
        <s v="Mid Size Piping-CS" u="1"/>
        <s v="Tubing-HA" u="1"/>
        <s v="Rod" u="1"/>
        <s v="Tubing-LA" u="1"/>
        <s v="Tubing-SS" u="1"/>
      </sharedItems>
    </cacheField>
    <cacheField name="Material Category1" numFmtId="0">
      <sharedItems containsBlank="1" count="11">
        <s v="Tubing"/>
        <s v="Forgings"/>
        <m u="1"/>
        <s v="Attachments" u="1"/>
        <s v="Profiled Bar" u="1"/>
        <s v="Finning" u="1"/>
        <s v="Plate" u="1"/>
        <s v="Mid-size Piping" u="1"/>
        <s v="Various" u="1"/>
        <s v="Rod" u="1"/>
        <s v="Piping" u="1"/>
      </sharedItems>
    </cacheField>
    <cacheField name="Material Price" numFmtId="0">
      <sharedItems containsNonDate="0" containsString="0" containsBlank="1"/>
    </cacheField>
    <cacheField name=" categroy" numFmtId="0">
      <sharedItems containsNonDate="0" containsString="0" containsBlank="1"/>
    </cacheField>
    <cacheField name="Inventory wgt" numFmtId="38">
      <sharedItems containsNonDate="0" containsString="0" containsBlank="1"/>
    </cacheField>
    <cacheField name="Inventory unit price" numFmtId="227">
      <sharedItems containsNonDate="0" containsString="0" containsBlank="1"/>
    </cacheField>
    <cacheField name="Inventory cost" numFmtId="183">
      <sharedItems containsSemiMixedTypes="0" containsString="0" containsNumber="1" containsInteger="1" minValue="0" maxValue="0"/>
    </cacheField>
    <cacheField name="Process Y/N" numFmtId="38">
      <sharedItems containsBlank="1" count="4">
        <s v="N"/>
        <m u="1"/>
        <e v="#N/A" u="1"/>
        <s v="Y" u="1"/>
      </sharedItems>
    </cacheField>
    <cacheField name="Material_x000a_source" numFmtId="227">
      <sharedItems containsBlank="1" count="4">
        <s v="D"/>
        <m u="1"/>
        <e v="#N/A" u="1"/>
        <s v="I" u="1"/>
      </sharedItems>
    </cacheField>
    <cacheField name="Q/R/Est" numFmtId="227">
      <sharedItems/>
    </cacheField>
    <cacheField name="Supplier" numFmtId="227">
      <sharedItems containsBlank="1" containsMixedTypes="1" containsNumber="1" containsInteger="1" minValue="0" maxValue="0" count="3">
        <s v="CCB"/>
        <m/>
        <n v="0" u="1"/>
      </sharedItems>
    </cacheField>
    <cacheField name="Lead time" numFmtId="0">
      <sharedItems containsSemiMixedTypes="0" containsString="0" containsNumber="1" containsInteger="1" minValue="90" maxValue="90"/>
    </cacheField>
    <cacheField name="Currency" numFmtId="43">
      <sharedItems containsMixedTypes="1" containsNumber="1" containsInteger="1" minValue="0" maxValue="0" count="2">
        <s v="CNY"/>
        <n v="0" u="1"/>
      </sharedItems>
    </cacheField>
    <cacheField name="Quote Unit" numFmtId="227">
      <sharedItems/>
    </cacheField>
    <cacheField name="Unit price /T(Per)" numFmtId="43">
      <sharedItems containsSemiMixedTypes="0" containsString="0" containsNumber="1" containsInteger="1" minValue="1500" maxValue="7400"/>
    </cacheField>
    <cacheField name="Unit price w/o VAT" numFmtId="43">
      <sharedItems containsSemiMixedTypes="0" containsString="0" containsNumber="1" minValue="6.5486725663716827" maxValue="1500"/>
    </cacheField>
    <cacheField name="Neg Margin Rate" numFmtId="9">
      <sharedItems containsNonDate="0" containsString="0" containsBlank="1"/>
    </cacheField>
    <cacheField name="Neg Margin" numFmtId="43">
      <sharedItems containsSemiMixedTypes="0" containsString="0" containsNumber="1" minValue="6.5486725663716827" maxValue="1500"/>
    </cacheField>
    <cacheField name="Actual Purchse wgt (kg)" numFmtId="38">
      <sharedItems containsSemiMixedTypes="0" containsString="0" containsNumber="1" minValue="250" maxValue="1521.4773913346701"/>
    </cacheField>
    <cacheField name="Sourcing Pchs _x000a_Cost/Fc" numFmtId="183">
      <sharedItems containsSemiMixedTypes="0" containsString="0" containsNumber="1" containsInteger="1" minValue="0" maxValue="0"/>
    </cacheField>
    <cacheField name="Sourcing Pchs _x000a_Cost/Lc" numFmtId="183">
      <sharedItems containsSemiMixedTypes="0" containsString="0" containsNumber="1" minValue="8663.1828320357963" maxValue="75000"/>
    </cacheField>
    <cacheField name="Pchs _x000a_Cost/Fc" numFmtId="183">
      <sharedItems containsSemiMixedTypes="0" containsString="0" containsNumber="1" containsInteger="1" minValue="0" maxValue="0"/>
    </cacheField>
    <cacheField name="Pchs _x000a_Cost/Lc" numFmtId="183">
      <sharedItems containsSemiMixedTypes="0" containsString="0" containsNumber="1" minValue="8663.1828320357963" maxValue="75000"/>
    </cacheField>
    <cacheField name="Quote Date" numFmtId="226">
      <sharedItems containsSemiMixedTypes="0" containsNonDate="0" containsDate="1" containsString="0" minDate="2019-06-14T00:00:00" maxDate="2019-06-15T00:00:00"/>
    </cacheField>
    <cacheField name="Quote Validity Duration" numFmtId="3">
      <sharedItems containsSemiMixedTypes="0" containsString="0" containsNumber="1" containsInteger="1" minValue="7" maxValue="7"/>
    </cacheField>
    <cacheField name="Quote Validity Date" numFmtId="14">
      <sharedItems containsSemiMixedTypes="0" containsNonDate="0" containsDate="1" containsString="0" minDate="2019-06-21T00:00:00" maxDate="2019-06-22T00:00:00"/>
    </cacheField>
    <cacheField name="PO" numFmtId="14">
      <sharedItems containsSemiMixedTypes="0" containsNonDate="0" containsDate="1" containsString="0" minDate="2019-06-28T00:00:00" maxDate="2019-06-29T00:00:00"/>
    </cacheField>
    <cacheField name="Payment date" numFmtId="14">
      <sharedItems containsSemiMixedTypes="0" containsNonDate="0" containsDate="1" containsString="0" minDate="2020-01-28T00:00:00" maxDate="2020-01-29T00:00:00"/>
    </cacheField>
    <cacheField name="From PD to PO duration Mons" numFmtId="1">
      <sharedItems containsSemiMixedTypes="0" containsString="0" containsNumber="1" containsInteger="1" minValue="7" maxValue="7"/>
    </cacheField>
    <cacheField name="From PO to NTP duration Mons" numFmtId="3">
      <sharedItems containsSemiMixedTypes="0" containsString="0" containsNumber="1" containsInteger="1" minValue="1" maxValue="1"/>
    </cacheField>
    <cacheField name="Custom_x000a_ Rate" numFmtId="9">
      <sharedItems containsSemiMixedTypes="0" containsString="0" containsNumber="1" containsInteger="1" minValue="0" maxValue="0"/>
    </cacheField>
    <cacheField name="Custom Cost/Lc" numFmtId="183">
      <sharedItems containsSemiMixedTypes="0" containsString="0" containsNumber="1" containsInteger="1" minValue="0" maxValue="0"/>
    </cacheField>
    <cacheField name="Commodity Inspection Fees" numFmtId="183">
      <sharedItems containsSemiMixedTypes="0" containsString="0" containsNumber="1" containsInteger="1" minValue="0" maxValue="0"/>
    </cacheField>
    <cacheField name="Custom &amp; Logistic" numFmtId="183">
      <sharedItems containsSemiMixedTypes="0" containsString="0" containsNumber="1" containsInteger="1" minValue="0" maxValue="0"/>
    </cacheField>
    <cacheField name="Process Cost" numFmtId="183">
      <sharedItems containsSemiMixedTypes="0" containsString="0" containsNumber="1" containsInteger="1" minValue="0" maxValue="0"/>
    </cacheField>
    <cacheField name="Add of Standard %" numFmtId="183">
      <sharedItems containsNonDate="0" containsString="0" containsBlank="1"/>
    </cacheField>
    <cacheField name="Standard Cost" numFmtId="183">
      <sharedItems containsSemiMixedTypes="0" containsString="0" containsNumber="1" containsInteger="1" minValue="0" maxValue="0"/>
    </cacheField>
    <cacheField name="Total cost" numFmtId="183">
      <sharedItems containsSemiMixedTypes="0" containsString="0" containsNumber="1" minValue="8663.1828320357963" maxValue="75000"/>
    </cacheField>
    <cacheField name="Mhrs" numFmtId="177">
      <sharedItems containsNonDate="0" containsString="0" containsBlank="1"/>
    </cacheField>
    <cacheField name="P&amp;P" numFmtId="183">
      <sharedItems containsString="0" containsBlank="1" containsNumber="1" containsInteger="1" minValue="12" maxValue="12"/>
    </cacheField>
    <cacheField name="Shot-peening" numFmtId="183">
      <sharedItems containsNonDate="0" containsString="0" containsBlank="1"/>
    </cacheField>
    <cacheField name="QC" numFmtId="183">
      <sharedItems containsSemiMixedTypes="0" containsString="0" containsNumber="1" containsInteger="1" minValue="0" maxValue="0" count="1">
        <n v="0"/>
      </sharedItems>
    </cacheField>
    <cacheField name="Remark" numFmtId="43">
      <sharedItems containsNonDate="0" containsString="0" containsBlank="1"/>
    </cacheField>
    <cacheField name="Non-Recoverable" numFmtId="43">
      <sharedItems containsSemiMixedTypes="0" containsString="0" containsNumber="1" containsInteger="1" minValue="0" maxValue="0"/>
    </cacheField>
    <cacheField name="*" numFmtId="227">
      <sharedItems containsNonDate="0" containsString="0" containsBlank="1"/>
    </cacheField>
    <cacheField name="Tubing Category" numFmtId="227">
      <sharedItems containsBlank="1"/>
    </cacheField>
    <cacheField name="#" numFmtId="227">
      <sharedItems containsBlank="1"/>
    </cacheField>
    <cacheField name="#2" numFmtId="227">
      <sharedItems containsBlank="1"/>
    </cacheField>
    <cacheField name="#3" numFmtId="227">
      <sharedItems containsNonDate="0" containsString="0" containsBlank="1"/>
    </cacheField>
    <cacheField name="Mid Size Category" numFmtId="227">
      <sharedItems containsBlank="1"/>
    </cacheField>
    <cacheField name="#4" numFmtId="227">
      <sharedItems containsBlank="1"/>
    </cacheField>
    <cacheField name="#5" numFmtId="227">
      <sharedItems containsBlank="1"/>
    </cacheField>
    <cacheField name="#6" numFmtId="227">
      <sharedItems containsNonDate="0" containsString="0" containsBlank="1"/>
    </cacheField>
    <cacheField name="Piping Category" numFmtId="227">
      <sharedItems containsBlank="1"/>
    </cacheField>
    <cacheField name="#7" numFmtId="227">
      <sharedItems containsBlank="1"/>
    </cacheField>
    <cacheField name="#8" numFmtId="227">
      <sharedItems containsBlank="1"/>
    </cacheField>
    <cacheField name="#9" numFmtId="227">
      <sharedItems containsNonDate="0" containsString="0" containsBlank="1"/>
    </cacheField>
    <cacheField name="Plate,Rod,Profiled Bar Category" numFmtId="227">
      <sharedItems containsBlank="1"/>
    </cacheField>
    <cacheField name="#10" numFmtId="227">
      <sharedItems containsBlank="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07">
  <r>
    <x v="0"/>
    <x v="0"/>
    <n v="31"/>
    <s v="EF-01"/>
    <s v="PG030313"/>
    <s v="ECON OUTLET LINK"/>
    <s v="Furnace/Waterwalls"/>
    <s v="Pipe"/>
    <n v="1"/>
    <x v="0"/>
    <n v="480"/>
    <n v="660"/>
    <n v="90"/>
    <n v="51000.734909419152"/>
    <n v="51000.734909419152"/>
    <n v="64454.596728844299"/>
    <s v="ASME"/>
    <n v="0.01"/>
    <s v="WBC"/>
    <n v="0"/>
    <n v="65099.142696132745"/>
    <n v="0"/>
    <n v="65099.142696132745"/>
    <s v="SA-106C 660-90"/>
    <x v="0"/>
    <s v="Piping-CS"/>
    <s v="Piping"/>
    <m/>
    <m/>
    <m/>
    <n v="0"/>
    <x v="0"/>
    <x v="0"/>
    <x v="0"/>
    <x v="0"/>
    <n v="0"/>
    <x v="0"/>
    <s v="KG"/>
    <n v="0"/>
    <n v="0"/>
    <e v="#N/A"/>
    <e v="#N/A"/>
    <n v="65099.142696132745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536"/>
    <n v="26"/>
    <m/>
    <x v="0"/>
    <m/>
  </r>
  <r>
    <x v="0"/>
    <x v="0"/>
    <n v="31"/>
    <s v="EF-01"/>
    <s v="PG030313"/>
    <s v="ECON OUTLET LINK"/>
    <s v="90° Elbows"/>
    <s v="Fitting"/>
    <n v="2"/>
    <x v="1"/>
    <n v="480"/>
    <n v="660"/>
    <n v="90"/>
    <n v="1555.0883635269479"/>
    <n v="3110.1767270538958"/>
    <n v="3930.6332948679228"/>
    <s v="ASME"/>
    <e v="#N/A"/>
    <e v="#N/A"/>
    <e v="#N/A"/>
    <e v="#N/A"/>
    <e v="#N/A"/>
    <e v="#N/A"/>
    <s v="SA-234-WPC 660-90"/>
    <x v="0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0"/>
    <x v="0"/>
    <n v="31"/>
    <s v="EF-01"/>
    <s v="PG030313"/>
    <s v="ECON OUTLET LINK"/>
    <s v="45° Elbows"/>
    <s v="Fitting"/>
    <n v="2"/>
    <x v="1"/>
    <n v="480"/>
    <n v="660"/>
    <n v="90"/>
    <n v="777.54418176347394"/>
    <n v="1555.0883635269479"/>
    <n v="1965.3166474339614"/>
    <s v="ASME"/>
    <e v="#N/A"/>
    <e v="#N/A"/>
    <e v="#N/A"/>
    <e v="#N/A"/>
    <n v="0"/>
    <e v="#N/A"/>
    <s v="45° ElbowsSA-234-WPC66090"/>
    <x v="0"/>
    <e v="#N/A"/>
    <s v="Forgings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0"/>
    <x v="0"/>
    <n v="31"/>
    <s v="EF-02"/>
    <s v="PG030314"/>
    <s v="ECON MIXING LINE"/>
    <s v="Furnace/Waterwalls"/>
    <s v="Pipe"/>
    <n v="1"/>
    <x v="0"/>
    <n v="480"/>
    <n v="660"/>
    <n v="90"/>
    <n v="13236.711636473023"/>
    <n v="13236.711636473023"/>
    <n v="16728.521894050216"/>
    <s v="ASME"/>
    <n v="0.01"/>
    <s v="WBC"/>
    <n v="0"/>
    <n v="16895.807112990718"/>
    <n v="0"/>
    <n v="16895.807112990718"/>
    <s v="SA-106C66090"/>
    <x v="0"/>
    <s v="Piping-CS"/>
    <s v="Finning"/>
    <m/>
    <m/>
    <m/>
    <n v="0"/>
    <x v="0"/>
    <x v="0"/>
    <x v="0"/>
    <x v="0"/>
    <n v="0"/>
    <x v="0"/>
    <s v="KG"/>
    <n v="0"/>
    <n v="0"/>
    <n v="0"/>
    <n v="0"/>
    <n v="16895.807112990718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0"/>
    <x v="0"/>
    <n v="31"/>
    <s v="EF-02"/>
    <s v="PG030314"/>
    <s v="ECON MIXING LINE"/>
    <s v="90° Elbows"/>
    <s v="Fitting"/>
    <n v="1"/>
    <x v="1"/>
    <n v="480"/>
    <n v="660"/>
    <n v="90"/>
    <n v="1555.0883635269479"/>
    <n v="1555.0883635269479"/>
    <n v="1965.3166474339614"/>
    <s v="ASME"/>
    <e v="#N/A"/>
    <e v="#N/A"/>
    <e v="#N/A"/>
    <e v="#N/A"/>
    <n v="0"/>
    <e v="#N/A"/>
    <s v="SA-234-WPC66090"/>
    <x v="0"/>
    <e v="#N/A"/>
    <s v="Finning"/>
    <m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0"/>
    <x v="0"/>
    <n v="31"/>
    <s v="EF-02"/>
    <s v="PG030314"/>
    <s v="ECON MIXING LINE"/>
    <s v="Reducers"/>
    <s v="Fitting"/>
    <n v="4"/>
    <x v="1"/>
    <n v="480"/>
    <n v="660"/>
    <n v="90"/>
    <n v="457.2"/>
    <n v="1828.8"/>
    <n v="2649.8891181064459"/>
    <s v="ASME"/>
    <e v="#N/A"/>
    <e v="#N/A"/>
    <e v="#N/A"/>
    <e v="#N/A"/>
    <n v="0"/>
    <e v="#N/A"/>
    <s v="SA-234-WPC66090"/>
    <x v="0"/>
    <e v="#N/A"/>
    <s v="Finning"/>
    <m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0"/>
    <x v="0"/>
    <n v="31"/>
    <s v="EF-02"/>
    <s v="PG030314"/>
    <s v="ECON MIXING LINE"/>
    <s v="Tees"/>
    <s v="Fitting"/>
    <n v="2"/>
    <x v="1"/>
    <n v="480"/>
    <n v="660"/>
    <n v="90"/>
    <n v="1645.2"/>
    <n v="3290.4"/>
    <n v="6237.5985008822108"/>
    <s v="ASME"/>
    <e v="#N/A"/>
    <e v="#N/A"/>
    <e v="#N/A"/>
    <e v="#N/A"/>
    <n v="0"/>
    <e v="#N/A"/>
    <s v="SA-234-WPC66090"/>
    <x v="0"/>
    <e v="#N/A"/>
    <s v="Finning"/>
    <m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0"/>
    <x v="0"/>
    <n v="31"/>
    <s v="EF-03"/>
    <s v="PG030315"/>
    <s v="ECON WW INLET LINK"/>
    <s v="Furnace/Waterwalls"/>
    <s v="Pipe"/>
    <n v="2"/>
    <x v="0"/>
    <n v="368"/>
    <n v="508"/>
    <n v="70"/>
    <n v="20495.106397964577"/>
    <n v="40990.212795929154"/>
    <n v="30960.817512513047"/>
    <s v="ASME"/>
    <n v="0.01"/>
    <s v="WBC"/>
    <n v="0"/>
    <n v="31270.425687638177"/>
    <n v="0"/>
    <n v="31270.425687638177"/>
    <s v="Furnace/WaterwallsSA-106C50870"/>
    <x v="0"/>
    <s v="Piping-CS"/>
    <s v="Forgings"/>
    <m/>
    <m/>
    <m/>
    <n v="0"/>
    <x v="0"/>
    <x v="0"/>
    <x v="0"/>
    <x v="0"/>
    <n v="0"/>
    <x v="0"/>
    <s v="KG"/>
    <n v="0"/>
    <n v="0"/>
    <e v="#N/A"/>
    <e v="#N/A"/>
    <n v="31270.425687638177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0"/>
    <m/>
    <m/>
    <x v="0"/>
    <m/>
  </r>
  <r>
    <x v="0"/>
    <x v="0"/>
    <n v="31"/>
    <s v="EF-03"/>
    <s v="PG030315"/>
    <s v="ECON WW INLET LINK"/>
    <s v="90° Elbows"/>
    <s v="Fitting"/>
    <n v="4"/>
    <x v="1"/>
    <n v="368"/>
    <n v="508"/>
    <n v="70"/>
    <n v="1196.9468010177111"/>
    <n v="4787.7872040708444"/>
    <n v="3616.3219413367856"/>
    <s v="ASME"/>
    <e v="#N/A"/>
    <e v="#N/A"/>
    <e v="#N/A"/>
    <e v="#N/A"/>
    <e v="#N/A"/>
    <e v="#N/A"/>
    <s v="SA-234-WPC 508-70"/>
    <x v="0"/>
    <e v="#N/A"/>
    <s v="Pip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1"/>
    <x v="1"/>
    <s v="02"/>
    <s v="F-01"/>
    <s v="PF030120"/>
    <s v="FURN LOWER FRONT INLET HEADER"/>
    <s v="Header"/>
    <s v="Pipe"/>
    <n v="1"/>
    <x v="0"/>
    <n v="276.39999999999998"/>
    <n v="406.4"/>
    <n v="65"/>
    <n v="20205.999999999993"/>
    <n v="20205.999999999993"/>
    <n v="11046.31232187991"/>
    <s v="ASME"/>
    <n v="0.01"/>
    <s v="WBC"/>
    <n v="0"/>
    <n v="11156.775445098709"/>
    <n v="0"/>
    <n v="11156.775445098709"/>
    <s v="HeaderSA-106C406.465"/>
    <x v="1"/>
    <s v="Piping-CS"/>
    <s v="Forgings"/>
    <m/>
    <m/>
    <m/>
    <n v="0"/>
    <x v="0"/>
    <x v="0"/>
    <x v="0"/>
    <x v="0"/>
    <n v="0"/>
    <x v="0"/>
    <s v="KG"/>
    <n v="0"/>
    <n v="0"/>
    <e v="#N/A"/>
    <e v="#N/A"/>
    <n v="11156.775445098709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0"/>
    <m/>
    <m/>
    <x v="0"/>
    <m/>
  </r>
  <r>
    <x v="1"/>
    <x v="1"/>
    <s v="02"/>
    <s v="F-03"/>
    <s v="PF030241"/>
    <s v="FURN INTERM FRONT HEADER"/>
    <s v="Header"/>
    <s v="Pipe"/>
    <n v="1"/>
    <x v="2"/>
    <n v="215.60000000000002"/>
    <n v="355.6"/>
    <n v="70"/>
    <n v="17795.999999999993"/>
    <n v="17795.999999999993"/>
    <n v="8764.7339210932387"/>
    <s v="ASME"/>
    <e v="#N/A"/>
    <e v="#N/A"/>
    <e v="#N/A"/>
    <e v="#N/A"/>
    <e v="#N/A"/>
    <e v="#N/A"/>
    <s v="SA-335  P12  355.6-7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1"/>
    <x v="1"/>
    <s v="02"/>
    <s v="F-03"/>
    <s v="PF030241"/>
    <s v="FURN INTERM FRONT HEADER"/>
    <s v="End Caps"/>
    <s v="Fitting"/>
    <n v="2"/>
    <x v="3"/>
    <n v="215.60000000000002"/>
    <n v="355.6"/>
    <n v="70"/>
    <m/>
    <m/>
    <n v="40.079809951468825"/>
    <s v="ASME"/>
    <e v="#N/A"/>
    <e v="#N/A"/>
    <e v="#N/A"/>
    <e v="#N/A"/>
    <n v="0"/>
    <e v="#N/A"/>
    <s v="SA-234-WP12 CL1 355.6-70"/>
    <x v="1"/>
    <e v="#N/A"/>
    <s v="Pip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507"/>
    <n v="24"/>
    <m/>
    <x v="1"/>
    <m/>
  </r>
  <r>
    <x v="1"/>
    <x v="1"/>
    <s v="02"/>
    <s v="F-05"/>
    <s v="PF030383"/>
    <s v="FURN UPPER FRONT OUTLET HEADER"/>
    <s v="Header"/>
    <s v="Pipe"/>
    <n v="1"/>
    <x v="2"/>
    <n v="183.89999999999998"/>
    <n v="323.89999999999998"/>
    <n v="70"/>
    <n v="16091.999999999993"/>
    <n v="16091.999999999993"/>
    <n v="7045.8089179242297"/>
    <s v="ASME"/>
    <e v="#N/A"/>
    <e v="#N/A"/>
    <e v="#N/A"/>
    <e v="#N/A"/>
    <e v="#N/A"/>
    <e v="#N/A"/>
    <s v="SA-335  P12  323.9-7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F-05"/>
    <s v="PF030383"/>
    <s v="FURN UPPER FRONT OUTLET HEADER"/>
    <s v="End Caps"/>
    <s v="Fitting"/>
    <n v="2"/>
    <x v="3"/>
    <n v="183.89999999999998"/>
    <n v="323.89999999999998"/>
    <n v="70"/>
    <m/>
    <m/>
    <n v="29.160273902506475"/>
    <s v="ASME"/>
    <e v="#N/A"/>
    <e v="#N/A"/>
    <e v="#N/A"/>
    <e v="#N/A"/>
    <n v="0"/>
    <e v="#N/A"/>
    <s v="End CapsSA-234-WP12 CL1323.970"/>
    <x v="1"/>
    <e v="#N/A"/>
    <s v="Forgings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F-05"/>
    <s v="PF030383"/>
    <s v="FURN UPPER FRONT OUTLET HEADER"/>
    <s v="Nozzles"/>
    <s v="Fitting"/>
    <n v="2"/>
    <x v="3"/>
    <n v="183.89999999999998"/>
    <n v="323.89999999999998"/>
    <n v="70"/>
    <n v="762"/>
    <n v="1524"/>
    <n v="307.11311771056796"/>
    <s v="ASME"/>
    <e v="#N/A"/>
    <e v="#N/A"/>
    <e v="#N/A"/>
    <e v="#N/A"/>
    <n v="0"/>
    <e v="#N/A"/>
    <s v="SA-234-WP12 CL1323.970"/>
    <x v="1"/>
    <e v="#N/A"/>
    <s v="Finning"/>
    <m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F-06"/>
    <s v="PG030512"/>
    <s v="FURN FRONT RISER"/>
    <s v="Riser"/>
    <s v="Pipe"/>
    <n v="2"/>
    <x v="2"/>
    <n v="164.5"/>
    <n v="244.5"/>
    <n v="40"/>
    <n v="9271.5522357398586"/>
    <n v="18543.104471479717"/>
    <n v="3736.7655028011213"/>
    <s v="ASME"/>
    <e v="#N/A"/>
    <e v="#N/A"/>
    <e v="#N/A"/>
    <e v="#N/A"/>
    <n v="0"/>
    <e v="#N/A"/>
    <s v="SA-335  P12 244.540"/>
    <x v="1"/>
    <e v="#N/A"/>
    <s v="Finning"/>
    <m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F-06"/>
    <s v="PG030512"/>
    <s v="FURN FRONT RISER"/>
    <s v="90° Elbows"/>
    <s v="Fitting"/>
    <n v="10"/>
    <x v="3"/>
    <n v="164.5"/>
    <n v="244.5"/>
    <n v="40"/>
    <n v="576.08955285202831"/>
    <n v="5760.8955285202828"/>
    <n v="1160.9229570660984"/>
    <s v="ASME"/>
    <e v="#N/A"/>
    <e v="#N/A"/>
    <e v="#N/A"/>
    <e v="#N/A"/>
    <n v="0"/>
    <e v="#N/A"/>
    <s v="SA-234-WP12 CL1244.540"/>
    <x v="1"/>
    <e v="#N/A"/>
    <s v="Finning"/>
    <m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F-07"/>
    <s v="PF03012A"/>
    <s v="FURN LOWER REAR INLET HEADER"/>
    <s v="Header"/>
    <s v="Pipe"/>
    <n v="1"/>
    <x v="0"/>
    <n v="276.39999999999998"/>
    <n v="406.4"/>
    <n v="65"/>
    <n v="20205.999999999993"/>
    <n v="20205.999999999993"/>
    <n v="11046.31232187991"/>
    <s v="ASME"/>
    <n v="0.01"/>
    <s v="WBC"/>
    <n v="0"/>
    <n v="11156.775445098709"/>
    <n v="0"/>
    <n v="11156.775445098709"/>
    <s v="SA-106C406.465"/>
    <x v="1"/>
    <s v="Piping-CS"/>
    <s v="Finning"/>
    <m/>
    <m/>
    <m/>
    <n v="0"/>
    <x v="0"/>
    <x v="0"/>
    <x v="0"/>
    <x v="0"/>
    <n v="0"/>
    <x v="0"/>
    <s v="KG"/>
    <n v="0"/>
    <n v="0"/>
    <n v="0"/>
    <n v="0"/>
    <n v="11156.775445098709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F-09"/>
    <s v="PF030242"/>
    <s v="FURN INTERM REAR HEADER"/>
    <s v="Header"/>
    <s v="Pipe"/>
    <n v="1"/>
    <x v="2"/>
    <n v="215.60000000000002"/>
    <n v="355.6"/>
    <n v="70"/>
    <n v="17795.999999999993"/>
    <n v="17795.999999999993"/>
    <n v="8764.7339210932387"/>
    <s v="ASME"/>
    <e v="#N/A"/>
    <e v="#N/A"/>
    <e v="#N/A"/>
    <e v="#N/A"/>
    <n v="0"/>
    <e v="#N/A"/>
    <s v="HeaderSA-335  P12 355.670"/>
    <x v="1"/>
    <e v="#N/A"/>
    <s v="Forgings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F-09"/>
    <s v="PF030242"/>
    <s v="FURN INTERM REAR HEADER"/>
    <s v="End Caps"/>
    <s v="Fitting"/>
    <n v="2"/>
    <x v="3"/>
    <n v="215.60000000000002"/>
    <n v="355.6"/>
    <n v="70"/>
    <n v="0"/>
    <m/>
    <n v="40.079809951468825"/>
    <s v="ASME"/>
    <e v="#N/A"/>
    <e v="#N/A"/>
    <e v="#N/A"/>
    <e v="#N/A"/>
    <e v="#N/A"/>
    <e v="#N/A"/>
    <s v="SA-234-WP12 CL1 355.6-70"/>
    <x v="1"/>
    <e v="#N/A"/>
    <s v="Pip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F-14"/>
    <s v="PF030384"/>
    <s v="FURN UPPER REAR OUTLET HEADER"/>
    <s v="Header"/>
    <s v="Pipe"/>
    <n v="1"/>
    <x v="2"/>
    <n v="183.89999999999998"/>
    <n v="323.89999999999998"/>
    <n v="70"/>
    <n v="16091.999999999993"/>
    <n v="16091.999999999993"/>
    <n v="7045.8089179242297"/>
    <s v="ASME"/>
    <e v="#N/A"/>
    <e v="#N/A"/>
    <e v="#N/A"/>
    <e v="#N/A"/>
    <n v="0"/>
    <e v="#N/A"/>
    <s v="HeaderSA-335  P12 323.970"/>
    <x v="1"/>
    <e v="#N/A"/>
    <s v="Forgings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F-14"/>
    <s v="PF030384"/>
    <s v="FURN UPPER REAR OUTLET HEADER"/>
    <s v="End Caps"/>
    <s v="Fitting"/>
    <n v="2"/>
    <x v="3"/>
    <n v="183.89999999999998"/>
    <n v="323.89999999999998"/>
    <n v="70"/>
    <n v="0"/>
    <m/>
    <n v="29.160273902506475"/>
    <s v="ASME"/>
    <e v="#N/A"/>
    <e v="#N/A"/>
    <e v="#N/A"/>
    <e v="#N/A"/>
    <e v="#N/A"/>
    <e v="#N/A"/>
    <s v="SA-234-WP12 CL1 323.9-7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F-14"/>
    <s v="PF030384"/>
    <s v="FURN UPPER REAR OUTLET HEADER"/>
    <s v="Nozzles"/>
    <s v="Fitting"/>
    <n v="2"/>
    <x v="3"/>
    <n v="183.89999999999998"/>
    <n v="323.89999999999998"/>
    <n v="70"/>
    <n v="762"/>
    <n v="1524"/>
    <n v="307.11311771056796"/>
    <s v="ASME"/>
    <e v="#N/A"/>
    <e v="#N/A"/>
    <e v="#N/A"/>
    <e v="#N/A"/>
    <n v="0"/>
    <e v="#N/A"/>
    <s v="NozzlesSA-234-WP12 CL1323.970"/>
    <x v="1"/>
    <e v="#N/A"/>
    <s v="Various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15"/>
    <s v="PG030513"/>
    <s v="FURN REAR RISER"/>
    <s v="Riser"/>
    <s v="Pipe"/>
    <n v="2"/>
    <x v="2"/>
    <n v="164.5"/>
    <n v="244.5"/>
    <n v="40"/>
    <n v="28825.806565017916"/>
    <n v="57651.613130035832"/>
    <n v="11617.825885438857"/>
    <s v="ASME"/>
    <e v="#N/A"/>
    <e v="#N/A"/>
    <e v="#N/A"/>
    <e v="#N/A"/>
    <n v="0"/>
    <e v="#N/A"/>
    <s v="RiserSA-335  P12 244.540"/>
    <x v="1"/>
    <e v="#N/A"/>
    <s v="Various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15"/>
    <s v="PG030513"/>
    <s v="FURN REAR RISER"/>
    <s v="90° Elbows"/>
    <s v="Fitting"/>
    <n v="6"/>
    <x v="3"/>
    <n v="164.5"/>
    <n v="244.5"/>
    <n v="40"/>
    <n v="576.08955285202831"/>
    <n v="3456.5373171121701"/>
    <n v="696.55377423965922"/>
    <s v="ASME"/>
    <e v="#N/A"/>
    <e v="#N/A"/>
    <e v="#N/A"/>
    <e v="#N/A"/>
    <n v="0"/>
    <e v="#N/A"/>
    <s v="90° ElbowsSA-234-WP12 CL1244.540"/>
    <x v="1"/>
    <e v="#N/A"/>
    <s v="Various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15"/>
    <s v="PG030513"/>
    <s v="FURN REAR RISER"/>
    <s v="45° Elbows"/>
    <s v="Fitting"/>
    <n v="2"/>
    <x v="3"/>
    <n v="164.5"/>
    <n v="244.5"/>
    <n v="40"/>
    <n v="288.04477642601415"/>
    <n v="576.08955285202831"/>
    <n v="116.09229570660986"/>
    <s v="ASME"/>
    <e v="#N/A"/>
    <e v="#N/A"/>
    <e v="#N/A"/>
    <e v="#N/A"/>
    <n v="0"/>
    <e v="#N/A"/>
    <s v="45° ElbowsSA-234-WP12 CL1244.540"/>
    <x v="1"/>
    <e v="#N/A"/>
    <s v="Various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16"/>
    <s v="PF03012C"/>
    <s v="FURN LOWER SIDE INLET HEADER"/>
    <s v="Header"/>
    <s v="Pipe"/>
    <n v="2"/>
    <x v="0"/>
    <n v="276.39999999999998"/>
    <n v="406.4"/>
    <n v="65"/>
    <n v="3396.1651183716622"/>
    <n v="6792.3302367433243"/>
    <n v="3713.2634459277097"/>
    <s v="ASME"/>
    <n v="0.01"/>
    <s v="WBC"/>
    <n v="0"/>
    <n v="3750.3960803869868"/>
    <n v="0"/>
    <n v="3750.3960803869868"/>
    <s v="HeaderSA-106C406.465"/>
    <x v="1"/>
    <s v="Piping-CS"/>
    <s v="Various"/>
    <m/>
    <m/>
    <m/>
    <n v="0"/>
    <x v="0"/>
    <x v="0"/>
    <x v="0"/>
    <x v="0"/>
    <n v="0"/>
    <x v="0"/>
    <s v="KG"/>
    <n v="0"/>
    <n v="0"/>
    <e v="#N/A"/>
    <e v="#N/A"/>
    <n v="3750.3960803869868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0"/>
    <m/>
  </r>
  <r>
    <x v="1"/>
    <x v="1"/>
    <s v="02"/>
    <s v="F-16"/>
    <s v="PF03012C"/>
    <s v="FURN LOWER SIDE INLET HEADER"/>
    <s v="90° Elbows"/>
    <s v="Fitting"/>
    <n v="4"/>
    <x v="1"/>
    <n v="276.39999999999998"/>
    <n v="406.4"/>
    <n v="65"/>
    <n v="957.55744081416879"/>
    <n v="3830.2297632566751"/>
    <n v="2093.9282504945759"/>
    <s v="ASME"/>
    <e v="#N/A"/>
    <e v="#N/A"/>
    <e v="#N/A"/>
    <e v="#N/A"/>
    <n v="0"/>
    <e v="#N/A"/>
    <s v="SA-234-WPC406.465"/>
    <x v="1"/>
    <e v="#N/A"/>
    <s v="Rod"/>
    <m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16"/>
    <s v="PF03012C"/>
    <s v="FURN LOWER SIDE INLET HEADER"/>
    <s v="Tees"/>
    <s v="Fitting"/>
    <n v="2"/>
    <x v="1"/>
    <n v="276.39999999999998"/>
    <n v="406.4"/>
    <n v="65"/>
    <n v="1188.72"/>
    <n v="2377.44"/>
    <n v="1949.5653345439609"/>
    <s v="ASME"/>
    <e v="#N/A"/>
    <e v="#N/A"/>
    <e v="#N/A"/>
    <e v="#N/A"/>
    <n v="0"/>
    <e v="#N/A"/>
    <s v="TeesSA-234-WPC406.465"/>
    <x v="1"/>
    <e v="#N/A"/>
    <s v="Forgings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F-18"/>
    <s v="PF030243"/>
    <s v="FURN INTERM SIDE HEADER"/>
    <s v="Header"/>
    <s v="Pipe"/>
    <n v="2"/>
    <x v="2"/>
    <n v="215.60000000000002"/>
    <n v="355.6"/>
    <n v="70"/>
    <n v="17148.000000000018"/>
    <n v="34296.000000000036"/>
    <n v="16891.172991560699"/>
    <s v="ASME"/>
    <e v="#N/A"/>
    <e v="#N/A"/>
    <e v="#N/A"/>
    <e v="#N/A"/>
    <n v="0"/>
    <e v="#N/A"/>
    <s v="SA-335  P12  355.6-70"/>
    <x v="1"/>
    <e v="#N/A"/>
    <s v="Tubing"/>
    <s v="Spri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1513"/>
    <n v="114"/>
    <m/>
    <x v="1"/>
    <m/>
  </r>
  <r>
    <x v="1"/>
    <x v="1"/>
    <s v="02"/>
    <s v="F-18"/>
    <s v="PF030243"/>
    <s v="FURN INTERM SIDE HEADER"/>
    <s v="End Caps"/>
    <s v="Fitting"/>
    <n v="4"/>
    <x v="3"/>
    <n v="215.60000000000002"/>
    <n v="355.6"/>
    <n v="70"/>
    <n v="0"/>
    <m/>
    <n v="80.159619902937649"/>
    <s v="ASME"/>
    <e v="#N/A"/>
    <e v="#N/A"/>
    <e v="#N/A"/>
    <e v="#N/A"/>
    <n v="0"/>
    <e v="#N/A"/>
    <s v="SA-234-WP12 CL1355.670"/>
    <x v="1"/>
    <e v="#N/A"/>
    <s v="Finning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F-20"/>
    <s v="PF030385"/>
    <s v="FURN UPPER SIDE OUTLET HEADER"/>
    <s v="Header"/>
    <s v="Pipe"/>
    <n v="2"/>
    <x v="2"/>
    <n v="183.89999999999998"/>
    <n v="323.89999999999998"/>
    <n v="70"/>
    <n v="15324.000000000018"/>
    <n v="30648.000000000036"/>
    <n v="13419.087230707317"/>
    <s v="ASME"/>
    <e v="#N/A"/>
    <e v="#N/A"/>
    <e v="#N/A"/>
    <e v="#N/A"/>
    <n v="0"/>
    <e v="#N/A"/>
    <s v="SA-335  P12 323.970"/>
    <x v="1"/>
    <e v="#N/A"/>
    <s v="Finning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F-20"/>
    <s v="PF030385"/>
    <s v="FURN UPPER SIDE OUTLET HEADER"/>
    <s v="End Caps"/>
    <s v="Fitting"/>
    <n v="4"/>
    <x v="3"/>
    <n v="183.89999999999998"/>
    <n v="323.89999999999998"/>
    <n v="70"/>
    <n v="0"/>
    <m/>
    <n v="58.32054780501295"/>
    <s v="ASME"/>
    <e v="#N/A"/>
    <e v="#N/A"/>
    <e v="#N/A"/>
    <e v="#N/A"/>
    <n v="0"/>
    <e v="#N/A"/>
    <s v="SA-234-WP12 CL1323.970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20"/>
    <s v="PF030385"/>
    <s v="FURN UPPER SIDE OUTLET HEADER"/>
    <s v="Nozzles"/>
    <s v="Fitting"/>
    <n v="4"/>
    <x v="3"/>
    <n v="183.89999999999998"/>
    <n v="323.89999999999998"/>
    <n v="70"/>
    <n v="762"/>
    <n v="3048"/>
    <n v="614.22623542113593"/>
    <s v="ASME"/>
    <e v="#N/A"/>
    <e v="#N/A"/>
    <e v="#N/A"/>
    <e v="#N/A"/>
    <n v="0"/>
    <e v="#N/A"/>
    <s v="SA-234-WP12 CL1323.970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21"/>
    <s v="PG030514"/>
    <s v="FURN SIDE RISER"/>
    <s v="Riser"/>
    <s v="Pipe"/>
    <n v="4"/>
    <x v="2"/>
    <n v="164.5"/>
    <n v="244.5"/>
    <n v="40"/>
    <n v="25779.741788591902"/>
    <n v="103118.96715436761"/>
    <n v="20780.306757133523"/>
    <s v="ASME"/>
    <e v="#N/A"/>
    <e v="#N/A"/>
    <e v="#N/A"/>
    <e v="#N/A"/>
    <n v="0"/>
    <e v="#N/A"/>
    <s v="SA-335  P12 244.540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21"/>
    <s v="PG030514"/>
    <s v="FURN SIDE RISER"/>
    <s v="90° Elbows"/>
    <s v="Fitting"/>
    <n v="16"/>
    <x v="3"/>
    <n v="164.5"/>
    <n v="244.5"/>
    <n v="40"/>
    <n v="576.08955285202831"/>
    <n v="9217.4328456324529"/>
    <n v="1857.4767313057578"/>
    <s v="ASME"/>
    <e v="#N/A"/>
    <e v="#N/A"/>
    <e v="#N/A"/>
    <e v="#N/A"/>
    <n v="0"/>
    <e v="#N/A"/>
    <s v="SA-234-WP12 CL1244.540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31"/>
    <s v="PG010200"/>
    <s v="SEPARATOR"/>
    <s v="Pressure Vessel"/>
    <s v="Pipe"/>
    <n v="2"/>
    <x v="4"/>
    <n v="602"/>
    <n v="812"/>
    <n v="105"/>
    <n v="5666"/>
    <n v="11332"/>
    <n v="20724.085477273256"/>
    <s v="ASME"/>
    <n v="0.01"/>
    <s v="WBC"/>
    <n v="0"/>
    <n v="20931.326332045988"/>
    <n v="0"/>
    <n v="20931.326332045988"/>
    <s v="SA-335 P91812105"/>
    <x v="1"/>
    <s v="Piping-HA"/>
    <s v="Plate"/>
    <s v="Sprial"/>
    <m/>
    <m/>
    <n v="0"/>
    <x v="0"/>
    <x v="0"/>
    <x v="0"/>
    <x v="0"/>
    <n v="0"/>
    <x v="0"/>
    <s v="KG"/>
    <n v="0"/>
    <n v="0"/>
    <n v="0"/>
    <n v="0"/>
    <n v="20931.32633204598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n v="0"/>
    <m/>
    <n v="0"/>
    <n v="0"/>
    <n v="0"/>
    <m/>
    <m/>
    <x v="0"/>
    <m/>
  </r>
  <r>
    <x v="1"/>
    <x v="1"/>
    <s v="02"/>
    <s v="F-31"/>
    <s v="PG010200"/>
    <s v="SEPARATOR"/>
    <s v="Hemispherical Head"/>
    <s v="Fitting"/>
    <n v="4"/>
    <x v="5"/>
    <n v="602"/>
    <n v="812"/>
    <n v="105"/>
    <m/>
    <m/>
    <n v="2604.9510482034925"/>
    <s v="ASME"/>
    <e v="#N/A"/>
    <e v="#N/A"/>
    <e v="#N/A"/>
    <e v="#N/A"/>
    <n v="0"/>
    <e v="#N/A"/>
    <s v="SA-234 WP91812105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32"/>
    <s v="PG030H1B"/>
    <s v="LINK TO SEPARATOR STORAGE TANK"/>
    <s v="Link"/>
    <s v="Pipe"/>
    <n v="0"/>
    <x v="2"/>
    <n v="183"/>
    <n v="273"/>
    <n v="45"/>
    <e v="#DIV/0!"/>
    <n v="0"/>
    <n v="0"/>
    <s v="ASME"/>
    <e v="#N/A"/>
    <e v="#N/A"/>
    <e v="#N/A"/>
    <e v="#N/A"/>
    <n v="0"/>
    <e v="#N/A"/>
    <s v="SA-335  P12 27345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32"/>
    <s v="PG030H1B"/>
    <s v="LINK TO SEPARATOR STORAGE TANK"/>
    <s v="90° Elbows"/>
    <s v="Fitting"/>
    <n v="0"/>
    <x v="3"/>
    <n v="183"/>
    <n v="273"/>
    <n v="45"/>
    <e v="#DIV/0!"/>
    <n v="0"/>
    <n v="0"/>
    <s v="ASME"/>
    <e v="#N/A"/>
    <e v="#N/A"/>
    <e v="#N/A"/>
    <e v="#N/A"/>
    <n v="0"/>
    <e v="#N/A"/>
    <s v="SA-234-WP12 CL127345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33"/>
    <s v="PG010301"/>
    <s v="SEPARATOR STORAGE TANK"/>
    <s v="Pressure Vessel"/>
    <s v="Pipe"/>
    <n v="2"/>
    <x v="4"/>
    <n v="602"/>
    <n v="812"/>
    <n v="105"/>
    <n v="15875"/>
    <n v="31750"/>
    <n v="58064.747079370441"/>
    <s v="ASME"/>
    <n v="0.01"/>
    <s v="WBC"/>
    <n v="0"/>
    <n v="58645.394550164143"/>
    <n v="0"/>
    <n v="58645.394550164143"/>
    <s v="SA-335 P91812105"/>
    <x v="1"/>
    <s v="Piping-HA"/>
    <s v="Plate"/>
    <s v="Sprial"/>
    <m/>
    <m/>
    <n v="0"/>
    <x v="0"/>
    <x v="0"/>
    <x v="0"/>
    <x v="0"/>
    <n v="0"/>
    <x v="0"/>
    <s v="KG"/>
    <n v="0"/>
    <n v="0"/>
    <n v="0"/>
    <n v="0"/>
    <n v="58645.39455016414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n v="0"/>
    <m/>
    <n v="0"/>
    <n v="0"/>
    <n v="0"/>
    <m/>
    <m/>
    <x v="0"/>
    <m/>
  </r>
  <r>
    <x v="1"/>
    <x v="1"/>
    <s v="02"/>
    <s v="F-33"/>
    <s v="PG010301"/>
    <s v="SEPARATOR STORAGE TANK"/>
    <s v="Hemispherical Head"/>
    <s v="Fitting"/>
    <m/>
    <x v="5"/>
    <n v="602"/>
    <n v="812"/>
    <n v="105"/>
    <m/>
    <m/>
    <n v="2604.9510482034925"/>
    <s v="ASME"/>
    <e v="#N/A"/>
    <e v="#N/A"/>
    <e v="#N/A"/>
    <e v="#N/A"/>
    <n v="0"/>
    <e v="#N/A"/>
    <s v="SA-234 WP91812105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34"/>
    <s v="PG030H11"/>
    <s v="SEPARATOR STORAGE TANK VENT LINK"/>
    <s v="Link"/>
    <s v="Pipe"/>
    <n v="0"/>
    <x v="2"/>
    <n v="56.900000000000006"/>
    <n v="88.9"/>
    <n v="16"/>
    <e v="#DIV/0!"/>
    <n v="0"/>
    <n v="0"/>
    <s v="ASME"/>
    <e v="#N/A"/>
    <e v="#N/A"/>
    <e v="#N/A"/>
    <e v="#N/A"/>
    <n v="0"/>
    <e v="#N/A"/>
    <s v="SA-335  P12 88.916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34"/>
    <s v="PG030H11"/>
    <s v="SEPARATOR STORAGE TANK VENT LINK"/>
    <s v="90° Elbows"/>
    <s v="Fitting"/>
    <n v="0"/>
    <x v="3"/>
    <n v="56.900000000000006"/>
    <n v="88.9"/>
    <n v="16"/>
    <e v="#DIV/0!"/>
    <n v="0"/>
    <n v="0"/>
    <s v="ASME"/>
    <e v="#N/A"/>
    <e v="#N/A"/>
    <e v="#N/A"/>
    <e v="#N/A"/>
    <n v="0"/>
    <e v="#N/A"/>
    <s v="SA-234-WP12 CL188.916"/>
    <x v="1"/>
    <e v="#N/A"/>
    <s v="Finning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F-34"/>
    <s v="PG030H11"/>
    <s v="SEPARATOR STORAGE TANK VENT LINK"/>
    <s v="Tees"/>
    <s v="Fitting"/>
    <n v="0"/>
    <x v="3"/>
    <n v="56.900000000000006"/>
    <n v="88.9"/>
    <n v="16"/>
    <e v="#DIV/0!"/>
    <n v="0"/>
    <n v="0"/>
    <s v="ASME"/>
    <e v="#N/A"/>
    <e v="#N/A"/>
    <e v="#N/A"/>
    <e v="#N/A"/>
    <n v="0"/>
    <e v="#N/A"/>
    <s v="SA-234-WP12 CL188.916"/>
    <x v="1"/>
    <e v="#N/A"/>
    <s v="Finning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F-49"/>
    <s v="PG030412"/>
    <s v="FURN DOWNCOMER TO CONNECTING SPHERE"/>
    <s v="Link"/>
    <s v="Pipe"/>
    <n v="2"/>
    <x v="2"/>
    <n v="215.60000000000002"/>
    <n v="355.6"/>
    <n v="70"/>
    <n v="7392.8387414637182"/>
    <n v="14785.677482927436"/>
    <n v="7282.1155867025554"/>
    <s v="ASME"/>
    <e v="#N/A"/>
    <e v="#N/A"/>
    <e v="#N/A"/>
    <e v="#N/A"/>
    <n v="0"/>
    <e v="#N/A"/>
    <s v="SA-335  P12 355.670"/>
    <x v="1"/>
    <e v="#N/A"/>
    <s v="Rod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49"/>
    <s v="PG030412"/>
    <s v="FURN DOWNCOMER TO CONNECTING SPHERE"/>
    <s v="45° Elbows"/>
    <s v="Fitting"/>
    <n v="2"/>
    <x v="3"/>
    <n v="215.60000000000002"/>
    <n v="355.6"/>
    <n v="70"/>
    <n v="418.93138035619899"/>
    <n v="837.86276071239797"/>
    <n v="412.65701056623885"/>
    <s v="ASME"/>
    <e v="#N/A"/>
    <e v="#N/A"/>
    <e v="#N/A"/>
    <e v="#N/A"/>
    <n v="0"/>
    <e v="#N/A"/>
    <s v="SA-234-WP12 CL1355.670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50"/>
    <s v="PG030H12"/>
    <s v="FURN CONNECTING SPHERE"/>
    <s v="Pressure Vessel"/>
    <s v="Pressure Vessel"/>
    <n v="1"/>
    <x v="6"/>
    <n v="652.79999999999995"/>
    <n v="832.8"/>
    <n v="90"/>
    <n v="0"/>
    <n v="0"/>
    <n v="614.66210510593692"/>
    <s v="ASME"/>
    <e v="#N/A"/>
    <e v="#N/A"/>
    <e v="#N/A"/>
    <e v="#N/A"/>
    <n v="0"/>
    <e v="#N/A"/>
    <s v="SA-387 GR12 CL2832.890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F-51"/>
    <s v="PG030413"/>
    <s v="WATER STORAGE DOWNCOMER"/>
    <s v="Link"/>
    <s v="Pipe"/>
    <n v="1"/>
    <x v="0"/>
    <n v="327"/>
    <n v="457"/>
    <n v="65"/>
    <n v="5390.6786769731461"/>
    <n v="5390.6786769731461"/>
    <n v="3383.7865931050133"/>
    <s v="ASME"/>
    <n v="0.01"/>
    <s v="WBC"/>
    <n v="0"/>
    <n v="3417.6244590360634"/>
    <n v="0"/>
    <n v="3417.6244590360634"/>
    <s v="SA-106C 457-65"/>
    <x v="1"/>
    <s v="Piping-CS"/>
    <s v="Tubing"/>
    <s v="Sprial"/>
    <m/>
    <m/>
    <n v="0"/>
    <x v="0"/>
    <x v="0"/>
    <x v="0"/>
    <x v="0"/>
    <n v="0"/>
    <x v="0"/>
    <s v="KG"/>
    <n v="0"/>
    <n v="0"/>
    <e v="#N/A"/>
    <e v="#N/A"/>
    <n v="3417.6244590360634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8463"/>
    <n v="423"/>
    <m/>
    <x v="0"/>
    <m/>
  </r>
  <r>
    <x v="1"/>
    <x v="1"/>
    <s v="02"/>
    <s v="F-51"/>
    <s v="PG030413"/>
    <s v="WATER STORAGE DOWNCOMER"/>
    <s v="90° Elbows"/>
    <s v="Fitting"/>
    <n v="3"/>
    <x v="1"/>
    <n v="327"/>
    <n v="457"/>
    <n v="65"/>
    <n v="1076.7808820179016"/>
    <n v="3230.3426460537048"/>
    <n v="2027.7205880483891"/>
    <s v="ASME"/>
    <e v="#N/A"/>
    <e v="#N/A"/>
    <e v="#N/A"/>
    <e v="#N/A"/>
    <n v="0"/>
    <e v="#N/A"/>
    <s v="SA-234-WPC45765"/>
    <x v="1"/>
    <e v="#N/A"/>
    <s v="Finning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1"/>
    <x v="1"/>
    <s v="02"/>
    <s v="F-51"/>
    <s v="PG030413"/>
    <s v="WATER STORAGE DOWNCOMER"/>
    <s v="Tees"/>
    <s v="Fitting"/>
    <n v="1"/>
    <x v="1"/>
    <n v="327"/>
    <n v="457"/>
    <n v="65"/>
    <n v="1279.8000000000002"/>
    <n v="1279.8000000000002"/>
    <n v="1205.0161977807036"/>
    <s v="ASME"/>
    <e v="#N/A"/>
    <e v="#N/A"/>
    <e v="#N/A"/>
    <e v="#N/A"/>
    <n v="0"/>
    <e v="#N/A"/>
    <s v="SA-234-WPC45765"/>
    <x v="1"/>
    <e v="#N/A"/>
    <s v="Finning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1"/>
    <x v="1"/>
    <s v="02"/>
    <s v="F-52"/>
    <s v="PG030H1E"/>
    <s v="LINK TO BOILER RECIRC SYSTEM"/>
    <s v="Link"/>
    <s v="Pipe"/>
    <n v="1"/>
    <x v="0"/>
    <n v="327"/>
    <n v="457"/>
    <n v="65"/>
    <n v="5390.6786769731461"/>
    <n v="5390.6786769731461"/>
    <n v="3383.7865931050133"/>
    <s v="ASME"/>
    <n v="0.01"/>
    <s v="WBC"/>
    <n v="0"/>
    <n v="3417.6244590360634"/>
    <n v="0"/>
    <n v="3417.6244590360634"/>
    <s v="SA-106C45765"/>
    <x v="1"/>
    <s v="Piping-CS"/>
    <s v="Finning"/>
    <s v="Sprial"/>
    <m/>
    <m/>
    <n v="0"/>
    <x v="0"/>
    <x v="0"/>
    <x v="0"/>
    <x v="0"/>
    <n v="0"/>
    <x v="0"/>
    <s v="KG"/>
    <n v="0"/>
    <n v="0"/>
    <n v="0"/>
    <n v="0"/>
    <n v="3417.6244590360634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F-53"/>
    <s v="PG030H12"/>
    <s v="LINK TO BOILER RECIRC ISOL VLV"/>
    <s v="Link"/>
    <s v="Pipe"/>
    <n v="1"/>
    <x v="0"/>
    <n v="327"/>
    <n v="457"/>
    <n v="65"/>
    <n v="2000"/>
    <n v="2000"/>
    <n v="1255.4213656099428"/>
    <s v="ASME"/>
    <n v="0.01"/>
    <s v="WBC"/>
    <n v="0"/>
    <n v="1267.9755792660421"/>
    <n v="0"/>
    <n v="1267.9755792660421"/>
    <s v="SA-106C45765"/>
    <x v="1"/>
    <s v="Piping-CS"/>
    <s v="Finning"/>
    <s v="Sprial"/>
    <m/>
    <m/>
    <n v="0"/>
    <x v="0"/>
    <x v="0"/>
    <x v="0"/>
    <x v="0"/>
    <n v="0"/>
    <x v="0"/>
    <s v="KG"/>
    <n v="0"/>
    <n v="0"/>
    <n v="0"/>
    <n v="0"/>
    <n v="1267.9755792660421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F-56"/>
    <s v="PG030H16"/>
    <s v="LINK TO BOILER RECIRC MIXING SPHERE"/>
    <s v="Link"/>
    <s v="Pipe"/>
    <n v="1"/>
    <x v="0"/>
    <n v="327"/>
    <n v="457"/>
    <n v="65"/>
    <n v="1102.1429744146055"/>
    <n v="1102.1429744146055"/>
    <n v="691.82691901849421"/>
    <s v="ASME"/>
    <n v="0.01"/>
    <s v="WBC"/>
    <n v="0"/>
    <n v="698.74518820867911"/>
    <n v="0"/>
    <n v="698.74518820867911"/>
    <s v="SA-106C45765"/>
    <x v="1"/>
    <s v="Piping-CS"/>
    <s v="Finning"/>
    <s v="Sprial"/>
    <m/>
    <m/>
    <n v="0"/>
    <x v="0"/>
    <x v="0"/>
    <x v="0"/>
    <x v="0"/>
    <n v="0"/>
    <x v="0"/>
    <s v="KG"/>
    <n v="0"/>
    <n v="0"/>
    <n v="0"/>
    <n v="0"/>
    <n v="698.74518820867911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F-56"/>
    <s v="PG030H16"/>
    <s v="LINK TO BOILER RECIRC MIXING SPHERE"/>
    <s v="90° Elbows"/>
    <s v="Fitting"/>
    <n v="5"/>
    <x v="1"/>
    <n v="327"/>
    <n v="457"/>
    <n v="65"/>
    <n v="1076.7808820179016"/>
    <n v="5383.904410089508"/>
    <n v="3379.5343134139816"/>
    <s v="ASME"/>
    <e v="#N/A"/>
    <e v="#N/A"/>
    <e v="#N/A"/>
    <e v="#N/A"/>
    <n v="0"/>
    <e v="#N/A"/>
    <s v="SA-234-WPC45765"/>
    <x v="1"/>
    <e v="#N/A"/>
    <s v="Finning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1"/>
    <x v="1"/>
    <s v="02"/>
    <s v="F-59A"/>
    <s v="PH030911"/>
    <s v="CIRC PUMP SUCTION SPOOL"/>
    <s v="Link"/>
    <s v="Pipe"/>
    <n v="1"/>
    <x v="0"/>
    <n v="327"/>
    <n v="457"/>
    <n v="65"/>
    <n v="1102.1429744146055"/>
    <n v="1102.1429744146055"/>
    <n v="691.82691901849421"/>
    <s v="ASME"/>
    <n v="0.01"/>
    <s v="WBC"/>
    <n v="0"/>
    <n v="698.74518820867911"/>
    <n v="0"/>
    <n v="698.74518820867911"/>
    <s v="SA-106C45765"/>
    <x v="1"/>
    <s v="Piping-CS"/>
    <s v="Plate"/>
    <s v="Sprial"/>
    <m/>
    <m/>
    <n v="0"/>
    <x v="0"/>
    <x v="0"/>
    <x v="0"/>
    <x v="0"/>
    <n v="0"/>
    <x v="0"/>
    <s v="KG"/>
    <n v="0"/>
    <n v="0"/>
    <n v="0"/>
    <n v="0"/>
    <n v="698.74518820867911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59B"/>
    <s v="PG030711"/>
    <s v="CIRC PUMP SUCTION LINE"/>
    <s v="Link"/>
    <s v="Pipe"/>
    <n v="1"/>
    <x v="0"/>
    <n v="327"/>
    <n v="457"/>
    <n v="65"/>
    <n v="1102.1429744146055"/>
    <n v="1102.1429744146055"/>
    <n v="691.82691901849421"/>
    <s v="ASME"/>
    <n v="0.01"/>
    <s v="WBC"/>
    <n v="0"/>
    <n v="698.74518820867911"/>
    <n v="0"/>
    <n v="698.74518820867911"/>
    <s v="SA-106C45765"/>
    <x v="1"/>
    <s v="Piping-CS"/>
    <s v="Plate"/>
    <s v="Sprial"/>
    <m/>
    <m/>
    <n v="0"/>
    <x v="0"/>
    <x v="0"/>
    <x v="0"/>
    <x v="0"/>
    <n v="0"/>
    <x v="0"/>
    <s v="KG"/>
    <n v="0"/>
    <n v="0"/>
    <n v="0"/>
    <n v="0"/>
    <n v="698.74518820867911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57"/>
    <s v="PG030H12"/>
    <s v="BOILER RECIRC MIXING SPHERE"/>
    <s v="Pressure Vessel"/>
    <s v="Pressure Vessel"/>
    <n v="1"/>
    <x v="7"/>
    <n v="1051.5999999999999"/>
    <n v="1331.6"/>
    <n v="140"/>
    <n v="0"/>
    <n v="0"/>
    <n v="2459.873819415518"/>
    <s v="ASME"/>
    <e v="#N/A"/>
    <e v="#N/A"/>
    <e v="#N/A"/>
    <e v="#N/A"/>
    <n v="0"/>
    <e v="#N/A"/>
    <s v="Pressure VesselSA-2991331.6140"/>
    <x v="1"/>
    <e v="#N/A"/>
    <s v="Forgings"/>
    <s v="Spri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1"/>
    <x v="1"/>
    <s v="02"/>
    <s v="F-61A"/>
    <s v="PG030H1G"/>
    <s v="LINK TO BOILER ECON FLOW CTRL VLV"/>
    <s v="Link"/>
    <s v="Pipe"/>
    <n v="1"/>
    <x v="0"/>
    <n v="233.89999999999998"/>
    <n v="323.89999999999998"/>
    <n v="45"/>
    <n v="1699.2429069400512"/>
    <n v="1699.2429069400512"/>
    <n v="525.38369426281702"/>
    <s v="ASME"/>
    <n v="0.01"/>
    <s v="WBC"/>
    <n v="0"/>
    <n v="530.63753120544516"/>
    <n v="0"/>
    <n v="530.63753120544516"/>
    <s v="SA-106C323.945"/>
    <x v="1"/>
    <s v="Piping-CS"/>
    <s v="Plate"/>
    <s v="Sprial"/>
    <m/>
    <m/>
    <n v="0"/>
    <x v="0"/>
    <x v="0"/>
    <x v="0"/>
    <x v="0"/>
    <n v="0"/>
    <x v="0"/>
    <s v="KG"/>
    <n v="0"/>
    <n v="0"/>
    <n v="0"/>
    <n v="0"/>
    <n v="530.63753120544516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61A"/>
    <s v="PG030H1G"/>
    <s v="LINK TO BOILER ECON FLOW CTRL VLV"/>
    <s v="90° Elbows"/>
    <s v="Fitting"/>
    <n v="4"/>
    <x v="1"/>
    <n v="233.89999999999998"/>
    <n v="323.89999999999998"/>
    <n v="45"/>
    <n v="763.17139537330047"/>
    <n v="3052.6855814932019"/>
    <n v="943.85047698440485"/>
    <s v="ASME"/>
    <e v="#N/A"/>
    <e v="#N/A"/>
    <e v="#N/A"/>
    <e v="#N/A"/>
    <n v="0"/>
    <e v="#N/A"/>
    <s v="SA-234-WPC323.945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5-19T00:00:00"/>
    <d v="2018-09-05T00:00:00"/>
    <n v="4"/>
    <n v="5"/>
    <n v="0"/>
    <n v="0"/>
    <n v="0"/>
    <n v="0"/>
    <e v="#N/A"/>
    <m/>
    <e v="#N/A"/>
    <e v="#N/A"/>
    <n v="0"/>
    <m/>
    <m/>
    <x v="1"/>
    <m/>
  </r>
  <r>
    <x v="1"/>
    <x v="1"/>
    <s v="02"/>
    <s v="F-61A"/>
    <s v="PG030H1G"/>
    <s v="LINK TO BOILER ECON FLOW CTRL VLV"/>
    <s v="45° Elbows"/>
    <s v="Fitting"/>
    <n v="1"/>
    <x v="1"/>
    <n v="233.89999999999998"/>
    <n v="323.89999999999998"/>
    <n v="45"/>
    <n v="381.58569768665024"/>
    <n v="381.58569768665024"/>
    <n v="117.98130962305061"/>
    <s v="ASME"/>
    <e v="#N/A"/>
    <e v="#N/A"/>
    <e v="#N/A"/>
    <e v="#N/A"/>
    <n v="0"/>
    <e v="#N/A"/>
    <s v="SA-234-WPC323.945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5-19T00:00:00"/>
    <d v="2018-09-05T00:00:00"/>
    <n v="4"/>
    <n v="5"/>
    <n v="0"/>
    <n v="0"/>
    <n v="0"/>
    <n v="0"/>
    <e v="#N/A"/>
    <m/>
    <e v="#N/A"/>
    <e v="#N/A"/>
    <n v="0"/>
    <m/>
    <m/>
    <x v="1"/>
    <m/>
  </r>
  <r>
    <x v="1"/>
    <x v="1"/>
    <s v="02"/>
    <s v="F-61B"/>
    <s v="PG030H1F"/>
    <s v="LINK TO PUMP DISCH ISOL VLV"/>
    <s v="Link"/>
    <s v="Pipe"/>
    <n v="1"/>
    <x v="0"/>
    <n v="233.89999999999998"/>
    <n v="323.89999999999998"/>
    <n v="45"/>
    <n v="1699.2429069400512"/>
    <n v="1699.2429069400512"/>
    <n v="525.38369426281702"/>
    <s v="ASME"/>
    <n v="0.01"/>
    <s v="WBC"/>
    <n v="0"/>
    <n v="530.63753120544516"/>
    <n v="0"/>
    <n v="530.63753120544516"/>
    <s v="SA-106C323.945"/>
    <x v="1"/>
    <s v="Piping-CS"/>
    <s v="Plate"/>
    <s v="Sprial"/>
    <m/>
    <m/>
    <n v="0"/>
    <x v="0"/>
    <x v="0"/>
    <x v="0"/>
    <x v="0"/>
    <n v="0"/>
    <x v="0"/>
    <s v="KG"/>
    <n v="0"/>
    <n v="0"/>
    <n v="0"/>
    <n v="0"/>
    <n v="530.63753120544516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61C"/>
    <s v="PG030H14"/>
    <s v="BOILER RECIRC LINK TO ECON"/>
    <s v="Link"/>
    <s v="Pipe"/>
    <n v="1"/>
    <x v="0"/>
    <n v="233.89999999999998"/>
    <n v="323.89999999999998"/>
    <n v="45"/>
    <n v="1699.2429069400512"/>
    <n v="1699.2429069400512"/>
    <n v="525.38369426281702"/>
    <s v="ASME"/>
    <n v="0.01"/>
    <s v="WBC"/>
    <n v="0"/>
    <n v="530.63753120544516"/>
    <n v="-30.637531205445157"/>
    <n v="500"/>
    <s v="SA-106C 323.9-45"/>
    <x v="1"/>
    <s v="Piping-CS"/>
    <s v="Tubing"/>
    <s v="Sprial"/>
    <m/>
    <m/>
    <n v="0"/>
    <x v="0"/>
    <x v="0"/>
    <x v="0"/>
    <x v="0"/>
    <n v="0"/>
    <x v="0"/>
    <s v="KG"/>
    <n v="0"/>
    <n v="0"/>
    <e v="#N/A"/>
    <e v="#N/A"/>
    <n v="500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0"/>
    <m/>
    <m/>
    <x v="0"/>
    <m/>
  </r>
  <r>
    <x v="1"/>
    <x v="1"/>
    <s v="02"/>
    <s v="F-66A"/>
    <s v="PG030H1H"/>
    <s v="SU FW LINE TO MIXING SPHERE CHECK VLV"/>
    <s v="Link"/>
    <s v="Pipe"/>
    <n v="1"/>
    <x v="0"/>
    <n v="233.89999999999998"/>
    <n v="323.89999999999998"/>
    <n v="45"/>
    <n v="4872.6572092534025"/>
    <n v="4872.6572092534025"/>
    <n v="1506.561913554727"/>
    <s v="ASME"/>
    <n v="0.01"/>
    <s v="WBC"/>
    <n v="0"/>
    <n v="1521.6275326902742"/>
    <n v="0"/>
    <n v="1521.6275326902742"/>
    <s v="SA-106C323.945"/>
    <x v="1"/>
    <s v="Piping-CS"/>
    <s v="Plate"/>
    <s v="Sprial"/>
    <m/>
    <m/>
    <n v="0"/>
    <x v="0"/>
    <x v="0"/>
    <x v="0"/>
    <x v="0"/>
    <n v="0"/>
    <x v="0"/>
    <s v="KG"/>
    <n v="0"/>
    <n v="0"/>
    <n v="0"/>
    <n v="0"/>
    <n v="1521.6275326902742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66A"/>
    <s v="PG030H1H"/>
    <s v="SU FW LINE TO MIXING SPHERE CHECK VLV"/>
    <s v="90° Elbows"/>
    <s v="Fitting"/>
    <n v="4"/>
    <x v="1"/>
    <n v="233.89999999999998"/>
    <n v="323.89999999999998"/>
    <n v="45"/>
    <n v="763.17139537330047"/>
    <n v="3052.6855814932019"/>
    <n v="943.85047698440485"/>
    <s v="ASME"/>
    <e v="#N/A"/>
    <e v="#N/A"/>
    <e v="#N/A"/>
    <e v="#N/A"/>
    <n v="0"/>
    <e v="#N/A"/>
    <s v="SA-234-WPC323.945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5-19T00:00:00"/>
    <d v="2018-09-05T00:00:00"/>
    <n v="4"/>
    <n v="5"/>
    <n v="0"/>
    <n v="0"/>
    <n v="0"/>
    <n v="0"/>
    <e v="#N/A"/>
    <m/>
    <e v="#N/A"/>
    <e v="#N/A"/>
    <n v="0"/>
    <m/>
    <m/>
    <x v="1"/>
    <m/>
  </r>
  <r>
    <x v="1"/>
    <x v="1"/>
    <s v="02"/>
    <s v="F-66B"/>
    <s v="PG030H15"/>
    <s v="SU FW LINE TO MIXING SPHERE"/>
    <s v="Link"/>
    <s v="Pipe"/>
    <n v="1"/>
    <x v="0"/>
    <n v="233.89999999999998"/>
    <n v="323.89999999999998"/>
    <n v="45"/>
    <n v="4872.6572092534025"/>
    <n v="4872.6572092534025"/>
    <n v="1506.561913554727"/>
    <s v="ASME"/>
    <n v="0.01"/>
    <s v="WBC"/>
    <n v="0"/>
    <n v="1521.6275326902742"/>
    <n v="0"/>
    <n v="1521.6275326902742"/>
    <s v="SA-106C323.945"/>
    <x v="1"/>
    <s v="Piping-CS"/>
    <s v="Plate"/>
    <s v="Sprial"/>
    <m/>
    <m/>
    <n v="0"/>
    <x v="0"/>
    <x v="0"/>
    <x v="0"/>
    <x v="0"/>
    <n v="0"/>
    <x v="0"/>
    <s v="KG"/>
    <n v="0"/>
    <n v="0"/>
    <n v="0"/>
    <n v="0"/>
    <n v="1521.6275326902742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67A"/>
    <s v="PG0301D"/>
    <s v="FURN LINK TO FLASH TANK SYSTEM"/>
    <s v="Link"/>
    <s v="Pipe"/>
    <n v="1"/>
    <x v="0"/>
    <n v="327"/>
    <n v="457"/>
    <n v="65"/>
    <n v="3486.1589060663555"/>
    <n v="3486.1589060663555"/>
    <n v="2188.299187293544"/>
    <s v="ASME"/>
    <n v="0.01"/>
    <s v="WBC"/>
    <n v="0"/>
    <n v="2210.1821791664793"/>
    <n v="0"/>
    <n v="2210.1821791664793"/>
    <s v="SA-106C45765"/>
    <x v="1"/>
    <s v="Piping-CS"/>
    <s v="Plate"/>
    <s v="Sprial"/>
    <m/>
    <m/>
    <n v="0"/>
    <x v="0"/>
    <x v="0"/>
    <x v="0"/>
    <x v="0"/>
    <n v="0"/>
    <x v="0"/>
    <s v="KG"/>
    <n v="0"/>
    <n v="0"/>
    <n v="0"/>
    <n v="0"/>
    <n v="2210.1821791664793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67A"/>
    <s v="PG0301D"/>
    <s v="FURN LINK TO FLASH TANK SYSTEM"/>
    <s v="90° Elbows"/>
    <s v="Fitting"/>
    <n v="7"/>
    <x v="1"/>
    <n v="327"/>
    <n v="457"/>
    <n v="65"/>
    <n v="1076.7808820179016"/>
    <n v="7537.4661741253112"/>
    <n v="4731.3480387795744"/>
    <s v="ASME"/>
    <e v="#N/A"/>
    <e v="#N/A"/>
    <e v="#N/A"/>
    <e v="#N/A"/>
    <n v="0"/>
    <e v="#N/A"/>
    <s v="SA-234-WPC 457-65"/>
    <x v="1"/>
    <e v="#N/A"/>
    <s v="Tubing"/>
    <s v="Spri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8460"/>
    <n v="423"/>
    <m/>
    <x v="1"/>
    <m/>
  </r>
  <r>
    <x v="1"/>
    <x v="1"/>
    <s v="02"/>
    <s v="F-67A"/>
    <s v="PG0301D"/>
    <s v="FURN LINK TO FLASH TANK SYSTEM"/>
    <s v="45° Elbows"/>
    <s v="Fitting"/>
    <n v="1"/>
    <x v="1"/>
    <n v="327"/>
    <n v="457"/>
    <n v="65"/>
    <n v="538.3904410089508"/>
    <n v="538.3904410089508"/>
    <n v="337.95343134139819"/>
    <s v="ASME"/>
    <e v="#N/A"/>
    <e v="#N/A"/>
    <e v="#N/A"/>
    <e v="#N/A"/>
    <n v="0"/>
    <e v="#N/A"/>
    <s v="SA-234-WPC45765"/>
    <x v="1"/>
    <e v="#N/A"/>
    <s v="Finning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F-67B"/>
    <s v="PG030H18"/>
    <s v="LINK-HWL1 VLV TO FLASH TANK"/>
    <s v="Link"/>
    <s v="Pipe"/>
    <n v="1"/>
    <x v="0"/>
    <n v="327"/>
    <n v="457"/>
    <n v="65"/>
    <n v="3486.1589060663555"/>
    <n v="3486.1589060663555"/>
    <n v="2188.299187293544"/>
    <s v="ASME"/>
    <n v="0.01"/>
    <s v="WBC"/>
    <n v="0"/>
    <n v="2210.1821791664793"/>
    <n v="0"/>
    <n v="2210.1821791664793"/>
    <s v="SA-106C45765"/>
    <x v="1"/>
    <s v="Piping-CS"/>
    <s v="Finning"/>
    <s v="Sprial"/>
    <m/>
    <m/>
    <n v="0"/>
    <x v="0"/>
    <x v="0"/>
    <x v="0"/>
    <x v="0"/>
    <n v="0"/>
    <x v="0"/>
    <s v="KG"/>
    <n v="0"/>
    <n v="0"/>
    <n v="0"/>
    <n v="0"/>
    <n v="2210.1821791664793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F-67C"/>
    <s v="PG060H19"/>
    <s v="LINK-HWL2 VLV TO FLASH TANK"/>
    <s v="Link"/>
    <s v="Pipe"/>
    <n v="1"/>
    <x v="0"/>
    <n v="327"/>
    <n v="457"/>
    <n v="65"/>
    <n v="3486.1589060663555"/>
    <n v="3486.1589060663555"/>
    <n v="2188.299187293544"/>
    <s v="ASME"/>
    <n v="0.01"/>
    <s v="WBC"/>
    <n v="0"/>
    <n v="2210.1821791664793"/>
    <n v="0"/>
    <n v="2210.1821791664793"/>
    <s v="SA-106C45765"/>
    <x v="1"/>
    <s v="Piping-CS"/>
    <s v="Finning"/>
    <s v="Sprial"/>
    <m/>
    <m/>
    <n v="0"/>
    <x v="0"/>
    <x v="0"/>
    <x v="0"/>
    <x v="0"/>
    <n v="0"/>
    <x v="0"/>
    <s v="KG"/>
    <n v="0"/>
    <n v="0"/>
    <n v="0"/>
    <n v="0"/>
    <n v="2210.1821791664793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S-01"/>
    <s v="PG030D1B"/>
    <s v="SH CONNECTING PIPE"/>
    <s v="Link"/>
    <s v="Pipe"/>
    <n v="4"/>
    <x v="2"/>
    <n v="245.60000000000002"/>
    <n v="355.6"/>
    <n v="55"/>
    <n v="15677.548957150404"/>
    <n v="62710.195828601616"/>
    <n v="31001.857761118186"/>
    <s v="ASME"/>
    <e v="#N/A"/>
    <e v="#N/A"/>
    <e v="#N/A"/>
    <e v="#N/A"/>
    <n v="0"/>
    <e v="#N/A"/>
    <s v="SA-335  P12 355.655"/>
    <x v="1"/>
    <e v="#N/A"/>
    <s v="Finning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S-01"/>
    <s v="PG030D1B"/>
    <s v="SH CONNECTING PIPE"/>
    <s v="90° Elbows"/>
    <s v="Fitting"/>
    <n v="16"/>
    <x v="1"/>
    <n v="245.60000000000002"/>
    <n v="355.6"/>
    <n v="55"/>
    <n v="837.86276071239797"/>
    <n v="13405.804171398368"/>
    <n v="5460.1507448512421"/>
    <s v="ASME"/>
    <e v="#N/A"/>
    <e v="#N/A"/>
    <e v="#N/A"/>
    <e v="#N/A"/>
    <n v="0"/>
    <e v="#N/A"/>
    <s v="SA-234-WPC355.655"/>
    <x v="1"/>
    <e v="#N/A"/>
    <s v="Finning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W-01"/>
    <s v="PG060H21"/>
    <s v="WARM-UP SUPPLY LINE"/>
    <s v="Link"/>
    <s v="Pipe"/>
    <n v="1"/>
    <x v="0"/>
    <n v="38.159999999999997"/>
    <n v="60.3"/>
    <n v="11.07"/>
    <n v="100000"/>
    <n v="100000"/>
    <n v="1342.571898914405"/>
    <s v="ASME"/>
    <n v="0.01"/>
    <s v="WBC"/>
    <n v="0"/>
    <n v="1355.9976179035491"/>
    <n v="0"/>
    <n v="1355.9976179035491"/>
    <s v="SA-106C60.311.07"/>
    <x v="1"/>
    <s v="Piping-CS"/>
    <s v="Finning"/>
    <s v="Sprial"/>
    <m/>
    <m/>
    <n v="0"/>
    <x v="0"/>
    <x v="0"/>
    <x v="0"/>
    <x v="0"/>
    <n v="0"/>
    <x v="0"/>
    <s v="KG"/>
    <n v="0"/>
    <n v="0"/>
    <n v="0"/>
    <n v="0"/>
    <n v="1355.9976179035491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W-01"/>
    <s v="PG060H21"/>
    <s v="WARM-UP SUPPLY LINE"/>
    <s v="90° Elbows"/>
    <s v="Fitting"/>
    <n v="35"/>
    <x v="1"/>
    <n v="38.159999999999997"/>
    <n v="60.3"/>
    <n v="11.07"/>
    <n v="142.07852775859837"/>
    <n v="4972.7484715509427"/>
    <n v="66.762723582738531"/>
    <s v="ASME"/>
    <e v="#N/A"/>
    <e v="#N/A"/>
    <e v="#N/A"/>
    <e v="#N/A"/>
    <n v="0"/>
    <e v="#N/A"/>
    <s v="SA-234-WPC60.311.07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W-02"/>
    <s v="PG060H21"/>
    <s v="WARM-UP BRANCH LINE (A)"/>
    <s v="Link"/>
    <s v="Pipe"/>
    <n v="1"/>
    <x v="0"/>
    <n v="38.159999999999997"/>
    <n v="60.3"/>
    <n v="11.07"/>
    <n v="15000"/>
    <n v="15000"/>
    <n v="201.38578483716071"/>
    <s v="ASME"/>
    <n v="0.01"/>
    <s v="WBC"/>
    <n v="0"/>
    <n v="203.39964268553231"/>
    <n v="0"/>
    <n v="203.39964268553231"/>
    <s v="SA-106C60.311.07"/>
    <x v="1"/>
    <s v="Piping-CS"/>
    <s v="Plate"/>
    <s v="Sprial"/>
    <m/>
    <m/>
    <n v="0"/>
    <x v="0"/>
    <x v="0"/>
    <x v="0"/>
    <x v="0"/>
    <n v="0"/>
    <x v="0"/>
    <s v="KG"/>
    <n v="0"/>
    <n v="0"/>
    <n v="0"/>
    <n v="0"/>
    <n v="203.3996426855323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n v="0"/>
    <m/>
    <n v="0"/>
    <n v="0"/>
    <n v="0"/>
    <m/>
    <m/>
    <x v="0"/>
    <m/>
  </r>
  <r>
    <x v="1"/>
    <x v="1"/>
    <s v="02"/>
    <s v="W-02"/>
    <s v="PG060H21"/>
    <s v="WARM-UP BRANCH LINE (A)"/>
    <s v="90° Elbows"/>
    <s v="Fitting"/>
    <n v="30"/>
    <x v="1"/>
    <n v="38.159999999999997"/>
    <n v="60.3"/>
    <n v="11.07"/>
    <n v="142.07852775859837"/>
    <n v="4262.3558327579512"/>
    <n v="57.225191642347326"/>
    <s v="ASME"/>
    <e v="#N/A"/>
    <e v="#N/A"/>
    <e v="#N/A"/>
    <e v="#N/A"/>
    <n v="0"/>
    <e v="#N/A"/>
    <s v="90° ElbowsSA-234-WPC60.311.07"/>
    <x v="1"/>
    <e v="#N/A"/>
    <s v="Forgings"/>
    <s v="Spri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W-02"/>
    <s v="PG060H21"/>
    <s v="WARM-UP BRANCH LINE (A)"/>
    <s v="45° Elbows"/>
    <s v="Fitting"/>
    <n v="30"/>
    <x v="1"/>
    <n v="38.159999999999997"/>
    <n v="60.3"/>
    <n v="11.07"/>
    <n v="71.039263879299185"/>
    <n v="2131.1779163789756"/>
    <n v="28.612595821173663"/>
    <s v="ASME"/>
    <e v="#N/A"/>
    <e v="#N/A"/>
    <e v="#N/A"/>
    <e v="#N/A"/>
    <n v="0"/>
    <e v="#N/A"/>
    <s v="SA-234-WPC60.311.07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W-03"/>
    <s v="PG060H21"/>
    <s v="WARM-UP RELIEF LINE"/>
    <s v="Link"/>
    <s v="Pipe"/>
    <n v="1"/>
    <x v="0"/>
    <n v="38.159999999999997"/>
    <n v="60.3"/>
    <n v="11.07"/>
    <n v="100000"/>
    <n v="100000"/>
    <n v="1342.571898914405"/>
    <s v="ASME"/>
    <n v="0.01"/>
    <s v="WBC"/>
    <n v="0"/>
    <n v="1355.9976179035491"/>
    <n v="0"/>
    <n v="1355.9976179035491"/>
    <s v="SA-106C60.311.07"/>
    <x v="1"/>
    <s v="Piping-CS"/>
    <s v="Plate"/>
    <s v="Sprial"/>
    <m/>
    <m/>
    <n v="0"/>
    <x v="0"/>
    <x v="0"/>
    <x v="0"/>
    <x v="0"/>
    <n v="0"/>
    <x v="0"/>
    <s v="KG"/>
    <n v="0"/>
    <n v="0"/>
    <n v="0"/>
    <n v="0"/>
    <n v="1355.997617903549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n v="0"/>
    <m/>
    <n v="0"/>
    <n v="0"/>
    <n v="0"/>
    <m/>
    <m/>
    <x v="0"/>
    <m/>
  </r>
  <r>
    <x v="1"/>
    <x v="1"/>
    <s v="02"/>
    <s v="W-03"/>
    <s v="PG060H21"/>
    <s v="WARM-UP RELIEF LINE"/>
    <s v="90° Elbows"/>
    <s v="Fitting"/>
    <n v="30"/>
    <x v="1"/>
    <n v="38.159999999999997"/>
    <n v="60.3"/>
    <n v="11.07"/>
    <n v="165.75828238503144"/>
    <n v="4972.7484715509427"/>
    <n v="66.762723582738531"/>
    <s v="ASME"/>
    <e v="#N/A"/>
    <e v="#N/A"/>
    <e v="#N/A"/>
    <e v="#N/A"/>
    <n v="0"/>
    <e v="#N/A"/>
    <s v="SA-234-WPC60.311.07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W-04"/>
    <s v="PG060H21"/>
    <s v="WARM-UP BRANCH LINE (B)"/>
    <s v="Link"/>
    <s v="Pipe"/>
    <n v="1"/>
    <x v="0"/>
    <n v="38.159999999999997"/>
    <n v="60.3"/>
    <n v="11.07"/>
    <n v="15000"/>
    <n v="15000"/>
    <n v="201.38578483716071"/>
    <s v="ASME"/>
    <n v="0.01"/>
    <s v="WBC"/>
    <n v="0"/>
    <n v="203.39964268553231"/>
    <n v="0"/>
    <n v="203.39964268553231"/>
    <s v="SA-106C60.311.07"/>
    <x v="1"/>
    <s v="Piping-CS"/>
    <s v="Plate"/>
    <s v="Sprial"/>
    <m/>
    <m/>
    <n v="0"/>
    <x v="0"/>
    <x v="0"/>
    <x v="0"/>
    <x v="0"/>
    <n v="0"/>
    <x v="0"/>
    <s v="KG"/>
    <n v="0"/>
    <n v="0"/>
    <n v="0"/>
    <n v="0"/>
    <n v="203.3996426855323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n v="0"/>
    <m/>
    <n v="0"/>
    <n v="0"/>
    <n v="0"/>
    <m/>
    <m/>
    <x v="0"/>
    <m/>
  </r>
  <r>
    <x v="1"/>
    <x v="1"/>
    <s v="02"/>
    <s v="W-04"/>
    <s v="PG060H21"/>
    <s v="WARM-UP BRANCH LINE (B)"/>
    <s v="90° Elbows"/>
    <s v="Fitting"/>
    <n v="30"/>
    <x v="1"/>
    <n v="38.159999999999997"/>
    <n v="60.3"/>
    <n v="11.07"/>
    <n v="142.07852775859837"/>
    <n v="4262.3558327579512"/>
    <n v="57.225191642347326"/>
    <s v="ASME"/>
    <e v="#N/A"/>
    <e v="#N/A"/>
    <e v="#N/A"/>
    <e v="#N/A"/>
    <e v="#N/A"/>
    <e v="#N/A"/>
    <s v="SA-234-WPC 60.3-11.1"/>
    <x v="1"/>
    <e v="#N/A"/>
    <s v="Tubing"/>
    <s v="Spri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W-04"/>
    <s v="PG060H21"/>
    <s v="WARM-UP BRANCH LINE (B)"/>
    <s v="45° Elbows"/>
    <s v="Fitting"/>
    <n v="30"/>
    <x v="1"/>
    <n v="38.159999999999997"/>
    <n v="60.3"/>
    <n v="11.07"/>
    <n v="71.039263879299185"/>
    <n v="2131.1779163789756"/>
    <n v="28.612595821173663"/>
    <s v="ASME"/>
    <e v="#N/A"/>
    <e v="#N/A"/>
    <e v="#N/A"/>
    <e v="#N/A"/>
    <n v="0"/>
    <e v="#N/A"/>
    <s v="SA-234-WPC60.311.07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W-05"/>
    <s v="PG060H21"/>
    <s v="WARM-UP BRANCH LINE (C)"/>
    <s v="Link"/>
    <s v="Pipe"/>
    <n v="1"/>
    <x v="0"/>
    <n v="38.159999999999997"/>
    <n v="60.3"/>
    <n v="11.07"/>
    <n v="15000"/>
    <n v="15000"/>
    <n v="201.38578483716071"/>
    <s v="ASME"/>
    <n v="0.01"/>
    <s v="WBC"/>
    <n v="0"/>
    <n v="203.39964268553231"/>
    <n v="0"/>
    <n v="203.39964268553231"/>
    <s v="SA-106C60.311.07"/>
    <x v="1"/>
    <s v="Piping-CS"/>
    <s v="Plate"/>
    <s v="Sprial"/>
    <m/>
    <m/>
    <n v="0"/>
    <x v="0"/>
    <x v="0"/>
    <x v="0"/>
    <x v="0"/>
    <n v="0"/>
    <x v="0"/>
    <s v="KG"/>
    <n v="0"/>
    <n v="0"/>
    <n v="0"/>
    <n v="0"/>
    <n v="203.3996426855323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n v="0"/>
    <m/>
    <n v="0"/>
    <n v="0"/>
    <n v="0"/>
    <m/>
    <m/>
    <x v="0"/>
    <m/>
  </r>
  <r>
    <x v="1"/>
    <x v="1"/>
    <s v="02"/>
    <s v="W-05"/>
    <s v="PG060H21"/>
    <s v="WARM-UP BRANCH LINE (C)"/>
    <s v="90° Elbows"/>
    <s v="Fitting"/>
    <n v="30"/>
    <x v="1"/>
    <n v="38.159999999999997"/>
    <n v="60.3"/>
    <n v="11.07"/>
    <n v="142.07852775859837"/>
    <n v="4262.3558327579512"/>
    <n v="57.225191642347326"/>
    <s v="ASME"/>
    <e v="#N/A"/>
    <e v="#N/A"/>
    <e v="#N/A"/>
    <e v="#N/A"/>
    <n v="0"/>
    <e v="#N/A"/>
    <s v="SA-234-WPC60.311.07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W-05"/>
    <s v="PG060H21"/>
    <s v="WARM-UP BRANCH LINE (C)"/>
    <s v="45° Elbows"/>
    <s v="Fitting"/>
    <n v="30"/>
    <x v="1"/>
    <n v="38.159999999999997"/>
    <n v="60.3"/>
    <n v="11.07"/>
    <n v="71.039263879299185"/>
    <n v="2131.1779163789756"/>
    <n v="28.612595821173663"/>
    <s v="ASME"/>
    <e v="#N/A"/>
    <e v="#N/A"/>
    <e v="#N/A"/>
    <e v="#N/A"/>
    <n v="0"/>
    <e v="#N/A"/>
    <s v="SA-234-WPC60.311.07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7-18T00:00:00"/>
    <d v="2018-11-04T00:00:00"/>
    <n v="4"/>
    <n v="7"/>
    <n v="0"/>
    <n v="0"/>
    <n v="0"/>
    <n v="0"/>
    <e v="#N/A"/>
    <m/>
    <e v="#N/A"/>
    <e v="#N/A"/>
    <n v="0"/>
    <m/>
    <m/>
    <x v="1"/>
    <m/>
  </r>
  <r>
    <x v="1"/>
    <x v="1"/>
    <s v="02"/>
    <s v="W-06"/>
    <s v="PG060H21"/>
    <s v="BLR RECIRC WARM-UP LINE"/>
    <s v="Link"/>
    <s v="Pipe"/>
    <n v="1"/>
    <x v="0"/>
    <n v="38.159999999999997"/>
    <n v="60.3"/>
    <n v="11.07"/>
    <n v="10000"/>
    <n v="10000"/>
    <n v="134.2571898914405"/>
    <s v="ASME"/>
    <n v="0.01"/>
    <s v="WBC"/>
    <n v="0"/>
    <n v="135.5997617903549"/>
    <n v="0"/>
    <n v="135.5997617903549"/>
    <s v="SA-106C 60.3-11.1"/>
    <x v="1"/>
    <s v="Piping-CS"/>
    <s v="Tubing"/>
    <s v="Sprial"/>
    <m/>
    <m/>
    <n v="0"/>
    <x v="0"/>
    <x v="0"/>
    <x v="0"/>
    <x v="0"/>
    <n v="0"/>
    <x v="0"/>
    <s v="KG"/>
    <n v="0"/>
    <n v="0"/>
    <e v="#N/A"/>
    <e v="#N/A"/>
    <n v="135.5997617903549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21219"/>
    <n v="849"/>
    <m/>
    <x v="0"/>
    <m/>
  </r>
  <r>
    <x v="1"/>
    <x v="1"/>
    <s v="02"/>
    <s v="W-06"/>
    <s v="PG060H21"/>
    <s v="BLR RECIRC WARM-UP LINE"/>
    <s v="90° Elbows"/>
    <s v="Fitting"/>
    <n v="30"/>
    <x v="1"/>
    <n v="38.159999999999997"/>
    <n v="60.3"/>
    <n v="11.07"/>
    <n v="142.07852775859837"/>
    <n v="4262.3558327579512"/>
    <n v="57.225191642347326"/>
    <s v="ASME"/>
    <e v="#N/A"/>
    <e v="#N/A"/>
    <e v="#N/A"/>
    <e v="#N/A"/>
    <n v="0"/>
    <e v="#N/A"/>
    <s v="SA-234-WPC 60.3-11.1"/>
    <x v="1"/>
    <e v="#N/A"/>
    <s v="Tubing"/>
    <s v="Spri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1"/>
    <x v="1"/>
    <s v="02"/>
    <s v="W-06"/>
    <s v="PG060H21"/>
    <s v="BLR RECIRC WARM-UP LINE"/>
    <s v="45° Elbows"/>
    <s v="Fitting"/>
    <n v="30"/>
    <x v="1"/>
    <n v="38.159999999999997"/>
    <n v="60.3"/>
    <n v="11.07"/>
    <n v="71.039263879299185"/>
    <n v="2131.1779163789756"/>
    <n v="28.612595821173663"/>
    <s v="ASME"/>
    <e v="#N/A"/>
    <e v="#N/A"/>
    <e v="#N/A"/>
    <e v="#N/A"/>
    <n v="0"/>
    <e v="#N/A"/>
    <s v="SA-234-WPC 60.3-11.1"/>
    <x v="1"/>
    <e v="#N/A"/>
    <s v="Tubing"/>
    <s v="Spri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1"/>
    <x v="1"/>
    <s v="02"/>
    <s v="F-02TI"/>
    <s v="PF030143"/>
    <s v="FURN LOWER FRONT SPRL INLET TERM TUBE"/>
    <s v="Loose Tubes"/>
    <s v="Tube"/>
    <n v="159"/>
    <x v="8"/>
    <n v="28.074999999999999"/>
    <n v="41.274999999999999"/>
    <n v="6.6"/>
    <n v="2640.429747028345"/>
    <n v="419828.32977750688"/>
    <n v="2366.9672155583826"/>
    <s v="ASME"/>
    <n v="0.01"/>
    <s v="WBC"/>
    <n v="0"/>
    <n v="2390.6368877139666"/>
    <n v="0"/>
    <n v="2390.6368877139666"/>
    <s v="SA-213 T1241.2756.6"/>
    <x v="1"/>
    <s v="Piping-LA"/>
    <s v="Finning"/>
    <s v="Sprial"/>
    <m/>
    <m/>
    <n v="0"/>
    <x v="0"/>
    <x v="0"/>
    <x v="0"/>
    <x v="0"/>
    <n v="0"/>
    <x v="0"/>
    <s v="KG"/>
    <n v="0"/>
    <n v="0"/>
    <n v="0"/>
    <n v="0"/>
    <n v="2390.6368877139666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F-02L"/>
    <s v="PF030141"/>
    <s v="FURN LOWER FRONT SPRL WALL PANEL"/>
    <s v="Fin Welded Panels"/>
    <s v="Tube"/>
    <n v="81"/>
    <x v="8"/>
    <n v="28.074999999999999"/>
    <n v="41.274999999999999"/>
    <n v="6.6"/>
    <n v="33998.780859494058"/>
    <n v="2753901.2496190188"/>
    <n v="15526.331860901289"/>
    <s v="ASME"/>
    <n v="0.01"/>
    <s v="WBC"/>
    <n v="0"/>
    <n v="15681.595179510303"/>
    <n v="0"/>
    <n v="15681.595179510303"/>
    <s v="SA-213 T1241.2756.6"/>
    <x v="1"/>
    <s v="Piping-LA"/>
    <s v="Finning"/>
    <s v="Sprial"/>
    <m/>
    <m/>
    <n v="0"/>
    <x v="0"/>
    <x v="0"/>
    <x v="0"/>
    <x v="0"/>
    <n v="0"/>
    <x v="0"/>
    <s v="KG"/>
    <n v="0"/>
    <n v="0"/>
    <n v="0"/>
    <n v="0"/>
    <n v="15681.595179510303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F-02L"/>
    <s v="PF030141"/>
    <s v="FURN LOWER FRONT SPRL WALL PANEL"/>
    <s v="Fin"/>
    <s v="Fin"/>
    <n v="81"/>
    <x v="9"/>
    <m/>
    <n v="12.725000000000001"/>
    <n v="6"/>
    <n v="33998.780859494058"/>
    <n v="2753901.2496190188"/>
    <n v="1648.7986682146452"/>
    <s v="ASME"/>
    <n v="7.0000000000000007E-2"/>
    <s v="WBC"/>
    <n v="0"/>
    <n v="1764.2145749896704"/>
    <n v="0"/>
    <n v="1764.2145749896704"/>
    <s v="SA-387 Gr. 1212.7256"/>
    <x v="1"/>
    <s v="Finning"/>
    <s v="Finning"/>
    <s v="Sprial"/>
    <m/>
    <m/>
    <n v="0"/>
    <x v="0"/>
    <x v="0"/>
    <x v="0"/>
    <x v="0"/>
    <n v="0"/>
    <x v="0"/>
    <s v="KG"/>
    <n v="0"/>
    <n v="0"/>
    <n v="0"/>
    <n v="0"/>
    <n v="1764.2145749896704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F-02U"/>
    <s v="PF030216"/>
    <s v="FURN UPPER FRONT SPRL WALL PANEL"/>
    <s v="Fin Welded Panels"/>
    <s v="Tube"/>
    <n v="81"/>
    <x v="8"/>
    <n v="28.074999999999999"/>
    <n v="41.274999999999999"/>
    <n v="6.6"/>
    <n v="33998.780859494058"/>
    <n v="2753901.2496190188"/>
    <n v="15526.331860901289"/>
    <s v="ASME"/>
    <n v="0.01"/>
    <s v="WBC"/>
    <n v="0"/>
    <n v="15681.595179510303"/>
    <n v="0"/>
    <n v="15681.595179510303"/>
    <s v="SA-213 T1241.2756.6"/>
    <x v="1"/>
    <s v="Piping-LA"/>
    <s v="Finning"/>
    <s v="Sprial"/>
    <m/>
    <m/>
    <n v="0"/>
    <x v="0"/>
    <x v="0"/>
    <x v="0"/>
    <x v="0"/>
    <n v="0"/>
    <x v="0"/>
    <s v="KG"/>
    <n v="0"/>
    <n v="0"/>
    <n v="0"/>
    <n v="0"/>
    <n v="15681.595179510303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F-02U"/>
    <s v="PF030216"/>
    <s v="FURN UPPER FRONT SPRL WALL PANEL"/>
    <s v="Fin"/>
    <s v="Fin"/>
    <n v="81"/>
    <x v="9"/>
    <m/>
    <n v="12.725000000000001"/>
    <n v="6"/>
    <n v="33998.780859494058"/>
    <n v="2753901.2496190188"/>
    <n v="1648.7986682146452"/>
    <s v="ASME"/>
    <n v="7.0000000000000007E-2"/>
    <s v="WBC"/>
    <n v="0"/>
    <n v="1764.2145749896704"/>
    <n v="0"/>
    <n v="1764.2145749896704"/>
    <s v="SA-387 Gr. 1212.7256"/>
    <x v="1"/>
    <s v="Finning"/>
    <s v="Finning"/>
    <s v="Sprial"/>
    <m/>
    <m/>
    <n v="0"/>
    <x v="0"/>
    <x v="0"/>
    <x v="0"/>
    <x v="0"/>
    <n v="0"/>
    <x v="0"/>
    <s v="KG"/>
    <n v="0"/>
    <n v="0"/>
    <n v="0"/>
    <n v="0"/>
    <n v="1764.2145749896704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F-02TO"/>
    <s v="PF030214"/>
    <s v="FURN FRONT SPRL OUTLET TERM TUBE"/>
    <s v="Fin Welded Panels"/>
    <s v="Tube"/>
    <n v="81"/>
    <x v="8"/>
    <n v="28.074999999999999"/>
    <n v="41.274999999999999"/>
    <n v="6.6"/>
    <n v="1650"/>
    <n v="133650"/>
    <n v="753.51077076439492"/>
    <s v="ASME"/>
    <n v="0.01"/>
    <s v="WBC"/>
    <n v="0"/>
    <n v="761.04587847203891"/>
    <n v="0"/>
    <n v="761.04587847203891"/>
    <s v="SA-213 T1241.2756.6"/>
    <x v="1"/>
    <s v="Piping-LA"/>
    <s v="Finning"/>
    <s v="Sprial"/>
    <m/>
    <m/>
    <n v="0"/>
    <x v="0"/>
    <x v="0"/>
    <x v="0"/>
    <x v="0"/>
    <n v="0"/>
    <x v="0"/>
    <s v="KG"/>
    <n v="0"/>
    <n v="0"/>
    <n v="0"/>
    <n v="0"/>
    <n v="761.04587847203891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F-02F"/>
    <s v="PF030212"/>
    <s v="FURN SPRL WALL FITTING"/>
    <s v="Fitting"/>
    <s v="Fitting"/>
    <n v="81"/>
    <x v="10"/>
    <n v="28.074999999999999"/>
    <n v="41.274999999999999"/>
    <n v="6.6"/>
    <n v="140"/>
    <n v="11340"/>
    <n v="63.93424721637291"/>
    <s v="ASME"/>
    <e v="#N/A"/>
    <e v="#N/A"/>
    <e v="#N/A"/>
    <e v="#N/A"/>
    <n v="0"/>
    <e v="#N/A"/>
    <s v="SA-182 F11 (CL.2) or SA-182 F12 (CL.2)41.2756.6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5-19T00:00:00"/>
    <d v="2018-09-05T00:00:00"/>
    <n v="4"/>
    <n v="5"/>
    <n v="0"/>
    <n v="0"/>
    <n v="0"/>
    <n v="0"/>
    <e v="#N/A"/>
    <m/>
    <e v="#N/A"/>
    <e v="#N/A"/>
    <n v="0"/>
    <m/>
    <m/>
    <x v="1"/>
    <m/>
  </r>
  <r>
    <x v="1"/>
    <x v="1"/>
    <s v="02"/>
    <s v="F-04F"/>
    <s v="PF030211"/>
    <s v="FURN VERT WALL FITTING"/>
    <s v="Fitting"/>
    <s v="Fitting"/>
    <n v="324"/>
    <x v="10"/>
    <n v="20.82"/>
    <n v="38.1"/>
    <n v="8.64"/>
    <n v="150"/>
    <n v="48600"/>
    <n v="304.74939380839061"/>
    <s v="ASME"/>
    <e v="#N/A"/>
    <e v="#N/A"/>
    <e v="#N/A"/>
    <e v="#N/A"/>
    <n v="0"/>
    <e v="#N/A"/>
    <s v="SA-182 F11 (CL.2) or SA-182 F12 (CL.2)38.18.64"/>
    <x v="1"/>
    <e v="#N/A"/>
    <s v="Plate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5-19T00:00:00"/>
    <d v="2018-09-05T00:00:00"/>
    <n v="4"/>
    <n v="5"/>
    <n v="0"/>
    <n v="0"/>
    <n v="0"/>
    <n v="0"/>
    <e v="#N/A"/>
    <m/>
    <e v="#N/A"/>
    <e v="#N/A"/>
    <n v="0"/>
    <m/>
    <m/>
    <x v="1"/>
    <m/>
  </r>
  <r>
    <x v="1"/>
    <x v="1"/>
    <s v="02"/>
    <s v="F-04TI"/>
    <s v="PF030376"/>
    <s v="FURN FRONT VERT INLET TERM TUBE"/>
    <s v="Loose Tubes"/>
    <s v="Tube"/>
    <n v="324"/>
    <x v="8"/>
    <n v="20.82"/>
    <n v="38.1"/>
    <n v="8.64"/>
    <n v="1650"/>
    <n v="534600"/>
    <n v="3352.2433318922963"/>
    <s v="ASME"/>
    <n v="0.01"/>
    <s v="WBC"/>
    <n v="0"/>
    <n v="3385.7657652112193"/>
    <n v="0"/>
    <n v="3385.7657652112193"/>
    <s v="SA-213 T1238.18.64"/>
    <x v="1"/>
    <s v="Piping-LA"/>
    <s v="Plate"/>
    <s v="Sprial"/>
    <m/>
    <m/>
    <n v="0"/>
    <x v="0"/>
    <x v="0"/>
    <x v="0"/>
    <x v="0"/>
    <n v="0"/>
    <x v="0"/>
    <s v="KG"/>
    <n v="0"/>
    <n v="0"/>
    <n v="0"/>
    <n v="0"/>
    <n v="3385.7657652112193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04L"/>
    <s v="PF03033W"/>
    <s v="FURN LOWER FRONT VERT WALL PANEL"/>
    <s v="Fin Welded Panels"/>
    <s v="Tube"/>
    <n v="324"/>
    <x v="8"/>
    <n v="20.82"/>
    <n v="38.1"/>
    <n v="8.64"/>
    <n v="14592.293508076804"/>
    <n v="4727903.0966168847"/>
    <n v="29646.617339070126"/>
    <s v="ASME"/>
    <n v="0.01"/>
    <s v="WBC"/>
    <n v="0"/>
    <n v="29943.083512460827"/>
    <n v="0"/>
    <n v="29943.083512460827"/>
    <s v="SA-213 T1238.18.64"/>
    <x v="1"/>
    <s v="Piping-LA"/>
    <s v="Plate"/>
    <s v="Sprial"/>
    <m/>
    <m/>
    <n v="0"/>
    <x v="0"/>
    <x v="0"/>
    <x v="0"/>
    <x v="0"/>
    <n v="0"/>
    <x v="0"/>
    <s v="KG"/>
    <n v="0"/>
    <n v="0"/>
    <n v="0"/>
    <n v="0"/>
    <n v="29943.083512460827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04L"/>
    <s v="PF03033W"/>
    <s v="FURN LOWER FRONT VERT WALL PANEL"/>
    <s v="Fin"/>
    <s v="Fin"/>
    <n v="324"/>
    <x v="9"/>
    <m/>
    <n v="15.899999999999999"/>
    <n v="6"/>
    <n v="14592.293508076804"/>
    <n v="4727903.0966168847"/>
    <n v="3536.9357017954553"/>
    <s v="ASME"/>
    <n v="0.12"/>
    <s v="WBC"/>
    <e v="#N/A"/>
    <n v="3961.3679860109105"/>
    <n v="0"/>
    <n v="3961.3679860109105"/>
    <s v="SA-387 Gr. 1215.96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3961.3679860109105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F-04U"/>
    <s v="PF03033O"/>
    <s v="FURN UPPER FRONT VERT WALL PANEL"/>
    <s v="Fin Welded Panels"/>
    <s v="Tube"/>
    <n v="324"/>
    <x v="8"/>
    <n v="20.82"/>
    <n v="38.1"/>
    <n v="8.64"/>
    <n v="16507.293508076804"/>
    <n v="5348363.0966168847"/>
    <n v="33537.251266690582"/>
    <s v="ASME"/>
    <n v="0.01"/>
    <s v="WBC"/>
    <n v="0"/>
    <n v="33872.623779357491"/>
    <n v="0"/>
    <n v="33872.623779357491"/>
    <s v="SA-213 T1238.18.64"/>
    <x v="1"/>
    <s v="Piping-LA"/>
    <s v="Plate"/>
    <s v="Sprial"/>
    <m/>
    <m/>
    <n v="0"/>
    <x v="0"/>
    <x v="0"/>
    <x v="0"/>
    <x v="0"/>
    <n v="0"/>
    <x v="0"/>
    <s v="KG"/>
    <n v="0"/>
    <n v="0"/>
    <n v="0"/>
    <n v="0"/>
    <n v="33872.623779357491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04U"/>
    <s v="PF03033O"/>
    <s v="FURN UPPER FRONT VERT WALL PANEL"/>
    <s v="Fin"/>
    <s v="Fin"/>
    <n v="324"/>
    <x v="9"/>
    <m/>
    <n v="15.899999999999999"/>
    <n v="6"/>
    <n v="15507.293508076804"/>
    <n v="5024363.0966168847"/>
    <n v="3758.7168882382553"/>
    <s v="ASME"/>
    <n v="0.12"/>
    <s v="WBC"/>
    <e v="#N/A"/>
    <n v="4209.7629148268461"/>
    <n v="0"/>
    <n v="4209.7629148268461"/>
    <s v="SA-387 Gr. 1215.96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4209.7629148268461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F-08TI"/>
    <s v="PF030146"/>
    <s v="FURN REAR SPRL INLET TERM TUBE"/>
    <s v="Loose Tubes"/>
    <s v="Tube"/>
    <n v="159"/>
    <x v="8"/>
    <n v="28.074999999999999"/>
    <n v="41.274999999999999"/>
    <n v="6.6"/>
    <n v="2640.429747028345"/>
    <n v="419828.32977750688"/>
    <n v="2366.9672155583826"/>
    <s v="ASME"/>
    <n v="0.01"/>
    <s v="WBC"/>
    <n v="0"/>
    <n v="2390.6368877139666"/>
    <n v="0"/>
    <n v="2390.6368877139666"/>
    <s v="SA-213 T1241.2756.6"/>
    <x v="1"/>
    <s v="Piping-LA"/>
    <s v="Plate"/>
    <s v="Sprial"/>
    <m/>
    <m/>
    <n v="0"/>
    <x v="0"/>
    <x v="0"/>
    <x v="0"/>
    <x v="0"/>
    <n v="0"/>
    <x v="0"/>
    <s v="KG"/>
    <n v="0"/>
    <n v="0"/>
    <n v="0"/>
    <n v="0"/>
    <n v="2390.6368877139666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08L"/>
    <s v="PF030144"/>
    <s v="FURN LOWER REAR SPRL WALL PANEL"/>
    <s v="Fin Welded Panels"/>
    <s v="Tube"/>
    <n v="81"/>
    <x v="8"/>
    <n v="28.074999999999999"/>
    <n v="41.274999999999999"/>
    <n v="6.6"/>
    <n v="33998.780859494058"/>
    <n v="2753901.2496190188"/>
    <n v="15526.331860901289"/>
    <s v="ASME"/>
    <n v="0.01"/>
    <s v="WBC"/>
    <n v="0"/>
    <n v="15681.595179510303"/>
    <n v="0"/>
    <n v="15681.595179510303"/>
    <s v="SA-213 T1241.2756.6"/>
    <x v="1"/>
    <s v="Piping-LA"/>
    <s v="Plate"/>
    <s v="Sprial"/>
    <m/>
    <m/>
    <n v="0"/>
    <x v="0"/>
    <x v="0"/>
    <x v="0"/>
    <x v="0"/>
    <n v="0"/>
    <x v="0"/>
    <s v="KG"/>
    <n v="0"/>
    <n v="0"/>
    <n v="0"/>
    <n v="0"/>
    <n v="15681.595179510303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08L"/>
    <s v="PF030144"/>
    <s v="FURN LOWER REAR SPRL WALL PANEL"/>
    <s v="Fin"/>
    <s v="Fin"/>
    <n v="81"/>
    <x v="9"/>
    <m/>
    <n v="12.725000000000001"/>
    <n v="6"/>
    <n v="33998.780859494058"/>
    <n v="2753901.2496190188"/>
    <n v="1648.7986682146452"/>
    <s v="ASME"/>
    <n v="0.12"/>
    <s v="WBC"/>
    <e v="#N/A"/>
    <n v="1846.6545084004028"/>
    <n v="0"/>
    <n v="1846.6545084004028"/>
    <s v="SA-387 Gr. 1212.7256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1846.6545084004028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F-08U"/>
    <s v="PF03021A"/>
    <s v="FURN UPPER REAR SPRL WALL PANEL"/>
    <s v="Fin Welded Panels"/>
    <s v="Tube"/>
    <n v="81"/>
    <x v="8"/>
    <n v="28.074999999999999"/>
    <n v="41.274999999999999"/>
    <n v="6.6"/>
    <n v="33998.780859494058"/>
    <n v="2753901.2496190188"/>
    <n v="15526.331860901289"/>
    <s v="ASME"/>
    <n v="0.01"/>
    <s v="WBC"/>
    <n v="0"/>
    <n v="15681.595179510303"/>
    <n v="0"/>
    <n v="15681.595179510303"/>
    <s v="SA-213 T1241.2756.6"/>
    <x v="1"/>
    <s v="Piping-LA"/>
    <s v="Plate"/>
    <s v="Sprial"/>
    <m/>
    <m/>
    <n v="0"/>
    <x v="0"/>
    <x v="0"/>
    <x v="0"/>
    <x v="0"/>
    <n v="0"/>
    <x v="0"/>
    <s v="KG"/>
    <n v="0"/>
    <n v="0"/>
    <n v="0"/>
    <n v="0"/>
    <n v="15681.595179510303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08U"/>
    <s v="PF03021A"/>
    <s v="FURN UPPER REAR SPRL WALL PANEL"/>
    <s v="Fin"/>
    <s v="Fin"/>
    <n v="81"/>
    <x v="9"/>
    <m/>
    <n v="12.725000000000001"/>
    <n v="6"/>
    <n v="33998.780859494058"/>
    <n v="2753901.2496190188"/>
    <n v="1648.7986682146452"/>
    <s v="ASME"/>
    <n v="0.12"/>
    <s v="WBC"/>
    <e v="#N/A"/>
    <n v="1846.6545084004028"/>
    <n v="0"/>
    <n v="1846.6545084004028"/>
    <s v="SA-387 Gr. 1212.7256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1846.6545084004028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F-08TO"/>
    <s v="PF030218"/>
    <s v="FURN REAR SPRL OUTLET TERM TUBE"/>
    <s v="Loose Tubes"/>
    <s v="Tube"/>
    <n v="81"/>
    <x v="8"/>
    <n v="28.074999999999999"/>
    <n v="41.274999999999999"/>
    <n v="6.6"/>
    <n v="1650"/>
    <n v="133650"/>
    <n v="753.51077076439492"/>
    <s v="ASME"/>
    <n v="0.01"/>
    <s v="WBC"/>
    <n v="0"/>
    <n v="761.04587847203891"/>
    <n v="0"/>
    <n v="761.04587847203891"/>
    <s v="SA-213 T1241.2756.6"/>
    <x v="1"/>
    <s v="Piping-LA"/>
    <s v="Profiled Bar"/>
    <s v="Sprial"/>
    <m/>
    <m/>
    <n v="0"/>
    <x v="0"/>
    <x v="0"/>
    <x v="0"/>
    <x v="0"/>
    <n v="0"/>
    <x v="0"/>
    <s v="KG"/>
    <n v="0"/>
    <n v="0"/>
    <n v="0"/>
    <n v="0"/>
    <n v="761.04587847203891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08F"/>
    <s v="PF030212"/>
    <s v="FURN SPRL WALL FITTING"/>
    <s v="Fitting"/>
    <s v="Fitting"/>
    <n v="81"/>
    <x v="10"/>
    <n v="28.074999999999999"/>
    <n v="41.274999999999999"/>
    <n v="6.6"/>
    <n v="140"/>
    <n v="11340"/>
    <n v="63.93424721637291"/>
    <s v="ASME"/>
    <e v="#N/A"/>
    <e v="#N/A"/>
    <e v="#N/A"/>
    <e v="#N/A"/>
    <n v="0"/>
    <e v="#N/A"/>
    <s v="FittingSA-182 F11 (CL.2) or SA-182 F12 (CL.2)41.2756.6"/>
    <x v="1"/>
    <e v="#N/A"/>
    <s v="Various"/>
    <s v="Spri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9T00:00:00"/>
    <d v="2018-09-05T00:00:00"/>
    <n v="4"/>
    <n v="5"/>
    <n v="0"/>
    <n v="0"/>
    <n v="0"/>
    <n v="0"/>
    <e v="#N/A"/>
    <m/>
    <e v="#N/A"/>
    <e v="#N/A"/>
    <n v="0"/>
    <m/>
    <m/>
    <x v="1"/>
    <m/>
  </r>
  <r>
    <x v="1"/>
    <x v="1"/>
    <s v="02"/>
    <s v="F-10F"/>
    <s v="PF030211"/>
    <s v="FURN VERT WALL FITTING"/>
    <s v="Fitting"/>
    <s v="Fitting"/>
    <n v="324"/>
    <x v="10"/>
    <n v="20.82"/>
    <n v="38.1"/>
    <n v="8.64"/>
    <n v="150"/>
    <n v="48600"/>
    <n v="304.74939380839061"/>
    <s v="ASME"/>
    <e v="#N/A"/>
    <e v="#N/A"/>
    <e v="#N/A"/>
    <e v="#N/A"/>
    <n v="0"/>
    <e v="#N/A"/>
    <s v="FittingSA-182 F11 (CL.2) or SA-182 F12 (CL.2)38.18.64"/>
    <x v="1"/>
    <e v="#N/A"/>
    <s v="Various"/>
    <s v="Spri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9T00:00:00"/>
    <d v="2018-09-05T00:00:00"/>
    <n v="4"/>
    <n v="5"/>
    <n v="0"/>
    <n v="0"/>
    <n v="0"/>
    <n v="0"/>
    <e v="#N/A"/>
    <m/>
    <e v="#N/A"/>
    <e v="#N/A"/>
    <n v="0"/>
    <m/>
    <m/>
    <x v="1"/>
    <m/>
  </r>
  <r>
    <x v="1"/>
    <x v="1"/>
    <s v="02"/>
    <s v="F-10TI"/>
    <s v="PF030374"/>
    <s v="FURN REAR VERT INLET TERM TUBE"/>
    <s v="Loose Tubes"/>
    <s v="Tube"/>
    <n v="324"/>
    <x v="8"/>
    <n v="20.82"/>
    <n v="38.1"/>
    <n v="8.64"/>
    <n v="1650"/>
    <n v="534600"/>
    <n v="3352.2433318922963"/>
    <s v="ASME"/>
    <n v="0.01"/>
    <s v="WBC"/>
    <n v="0"/>
    <n v="3385.7657652112193"/>
    <n v="0"/>
    <n v="3385.7657652112193"/>
    <s v="Loose TubesSA-213 T1238.18.64"/>
    <x v="1"/>
    <s v="Piping-LA"/>
    <s v="Various"/>
    <s v="Sprial"/>
    <m/>
    <m/>
    <n v="0"/>
    <x v="0"/>
    <x v="0"/>
    <x v="0"/>
    <x v="0"/>
    <n v="0"/>
    <x v="0"/>
    <s v="KG"/>
    <n v="0"/>
    <n v="0"/>
    <e v="#N/A"/>
    <e v="#N/A"/>
    <n v="3385.7657652112193"/>
    <n v="0"/>
    <n v="0"/>
    <n v="0"/>
    <e v="#N/A"/>
    <d v="1899-12-30T00:00:00"/>
    <n v="0"/>
    <d v="1899-12-30T00:00:00"/>
    <d v="2018-05-19T00:00:00"/>
    <d v="2018-09-05T00:00:00"/>
    <n v="4"/>
    <n v="5"/>
    <n v="0"/>
    <n v="0"/>
    <n v="0"/>
    <n v="0"/>
    <n v="0"/>
    <m/>
    <e v="#N/A"/>
    <e v="#N/A"/>
    <n v="0"/>
    <m/>
    <m/>
    <x v="0"/>
    <m/>
  </r>
  <r>
    <x v="1"/>
    <x v="1"/>
    <s v="02"/>
    <s v="F-11"/>
    <s v="PF030360"/>
    <s v="FURN REAR ARCH PANEL"/>
    <s v="Fin Welded Panels"/>
    <s v="Tube"/>
    <n v="324"/>
    <x v="8"/>
    <n v="20.82"/>
    <n v="38.1"/>
    <n v="8.64"/>
    <n v="19407.196027949816"/>
    <n v="6287931.5130557409"/>
    <n v="39428.874833588743"/>
    <s v="ASME"/>
    <n v="0.01"/>
    <s v="WBC"/>
    <n v="0"/>
    <n v="39823.163581924629"/>
    <n v="0"/>
    <n v="39823.163581924629"/>
    <s v="Fin Welded PanelsSA-213 T1238.18.64"/>
    <x v="1"/>
    <s v="Piping-LA"/>
    <s v="Forgings"/>
    <s v="Sprial"/>
    <m/>
    <m/>
    <n v="0"/>
    <x v="0"/>
    <x v="0"/>
    <x v="0"/>
    <x v="0"/>
    <n v="0"/>
    <x v="0"/>
    <s v="KG"/>
    <n v="0"/>
    <n v="0"/>
    <e v="#N/A"/>
    <e v="#N/A"/>
    <n v="39823.163581924629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0"/>
    <m/>
    <m/>
    <x v="0"/>
    <m/>
  </r>
  <r>
    <x v="1"/>
    <x v="1"/>
    <s v="02"/>
    <s v="F-11"/>
    <s v="PF030360"/>
    <s v="FURN REAR ARCH PANEL"/>
    <s v="Fin"/>
    <s v="Fin"/>
    <n v="324"/>
    <x v="9"/>
    <m/>
    <n v="15.899999999999999"/>
    <n v="6"/>
    <n v="19407.196027949816"/>
    <n v="6287931.5130557409"/>
    <n v="4703.9901208816455"/>
    <s v="ASME"/>
    <n v="0.12"/>
    <s v="WBC"/>
    <e v="#N/A"/>
    <n v="5268.4689353874437"/>
    <n v="0"/>
    <n v="5268.4689353874437"/>
    <s v="SA-387 Gr. 1215.96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5268.4689353874437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F-12"/>
    <s v="PF030351"/>
    <s v="FURN REAR SCREEN TUBE"/>
    <s v="Loose Tubes"/>
    <s v="Tube"/>
    <n v="270"/>
    <x v="8"/>
    <n v="20.82"/>
    <n v="38.1"/>
    <n v="8.64"/>
    <n v="12814.0491467255"/>
    <n v="3459793.2696158849"/>
    <n v="21694.853942752892"/>
    <s v="ASME"/>
    <n v="0.01"/>
    <s v="WBC"/>
    <n v="0"/>
    <n v="21911.802482180421"/>
    <n v="0"/>
    <n v="21911.802482180421"/>
    <s v="SA-213 T1238.18.64"/>
    <x v="1"/>
    <s v="Piping-LA"/>
    <s v="Plate"/>
    <s v="Sprial"/>
    <m/>
    <m/>
    <n v="0"/>
    <x v="0"/>
    <x v="0"/>
    <x v="0"/>
    <x v="0"/>
    <n v="0"/>
    <x v="0"/>
    <s v="KG"/>
    <n v="0"/>
    <n v="0"/>
    <n v="0"/>
    <n v="0"/>
    <n v="21911.802482180421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13"/>
    <s v="PF030341"/>
    <s v="FURN REAR HGR TUBE"/>
    <s v="Loose Tubes"/>
    <s v="Tube"/>
    <n v="54"/>
    <x v="8"/>
    <n v="20.82"/>
    <n v="54"/>
    <n v="16.59"/>
    <n v="12814.049146725498"/>
    <n v="691958.65392317693"/>
    <n v="10579.723937285658"/>
    <s v="ASME"/>
    <n v="0.01"/>
    <s v="WBC"/>
    <n v="0"/>
    <n v="10685.521176658514"/>
    <n v="0"/>
    <n v="10685.521176658514"/>
    <s v="SA-213 T125416.59"/>
    <x v="1"/>
    <s v="Piping-LA"/>
    <s v="Plate"/>
    <s v="Sprial"/>
    <m/>
    <m/>
    <n v="0"/>
    <x v="0"/>
    <x v="0"/>
    <x v="0"/>
    <x v="0"/>
    <n v="0"/>
    <x v="0"/>
    <s v="KG"/>
    <n v="0"/>
    <n v="0"/>
    <n v="0"/>
    <n v="0"/>
    <n v="10685.521176658514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17L"/>
    <s v="PF030147"/>
    <s v="FURN LOWER SIDE SPRL WALL PANEL"/>
    <s v="Fin Welded Panels"/>
    <s v="Tube"/>
    <n v="156"/>
    <x v="8"/>
    <n v="23.994999999999997"/>
    <n v="41.274999999999999"/>
    <n v="8.64"/>
    <n v="33998.780859494058"/>
    <n v="5303809.8140810728"/>
    <n v="36842.186634627804"/>
    <s v="ASME"/>
    <n v="0.01"/>
    <s v="WBC"/>
    <n v="0"/>
    <n v="37210.608500974085"/>
    <n v="0"/>
    <n v="37210.608500974085"/>
    <s v="SA-213 T1241.2758.64"/>
    <x v="1"/>
    <s v="Piping-LA"/>
    <s v="Plate"/>
    <s v="Sprial"/>
    <m/>
    <m/>
    <n v="0"/>
    <x v="0"/>
    <x v="0"/>
    <x v="0"/>
    <x v="0"/>
    <n v="0"/>
    <x v="0"/>
    <s v="KG"/>
    <n v="0"/>
    <n v="0"/>
    <n v="0"/>
    <n v="0"/>
    <n v="37210.608500974085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17L"/>
    <s v="PF030147"/>
    <s v="FURN LOWER SIDE SPRL WALL PANEL"/>
    <s v="Fin"/>
    <s v="Fin"/>
    <n v="156"/>
    <x v="9"/>
    <m/>
    <n v="12.725000000000001"/>
    <n v="6"/>
    <n v="33998.780859494058"/>
    <n v="5303809.8140810728"/>
    <n v="3175.4641017467243"/>
    <s v="ASME"/>
    <n v="0.12"/>
    <s v="WBC"/>
    <e v="#N/A"/>
    <n v="3556.5197939563313"/>
    <n v="0"/>
    <n v="3556.5197939563313"/>
    <s v="SA-387 Gr. 1212.7256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3556.5197939563313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F-17U"/>
    <s v="PF03021E"/>
    <s v="FURN UPPER SIDE SPRL WALL PANEL"/>
    <s v="Fin Welded Panels"/>
    <s v="Tube"/>
    <n v="156"/>
    <x v="8"/>
    <n v="23.994999999999997"/>
    <n v="41.274999999999999"/>
    <n v="8.64"/>
    <n v="33998.780859494058"/>
    <n v="5303809.8140810728"/>
    <n v="36842.186634627804"/>
    <s v="ASME"/>
    <n v="0.01"/>
    <s v="WBC"/>
    <n v="0"/>
    <n v="37210.608500974085"/>
    <n v="0"/>
    <n v="37210.608500974085"/>
    <s v="SA-213 T1241.2758.64"/>
    <x v="1"/>
    <s v="Piping-LA"/>
    <s v="Finning"/>
    <s v="Sprial"/>
    <m/>
    <m/>
    <n v="0"/>
    <x v="0"/>
    <x v="0"/>
    <x v="0"/>
    <x v="0"/>
    <n v="0"/>
    <x v="0"/>
    <s v="KG"/>
    <n v="0"/>
    <n v="0"/>
    <n v="0"/>
    <n v="0"/>
    <n v="37210.608500974085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F-17U"/>
    <s v="PF03021E"/>
    <s v="FURN UPPER SIDE SPRL WALL PANEL"/>
    <s v="Fin"/>
    <s v="Fin"/>
    <n v="156"/>
    <x v="9"/>
    <m/>
    <n v="12.725000000000001"/>
    <n v="6"/>
    <n v="33998.780859494058"/>
    <n v="5303809.8140810728"/>
    <n v="3175.4641017467243"/>
    <s v="ASME"/>
    <n v="0.12"/>
    <s v="WBC"/>
    <e v="#N/A"/>
    <n v="3556.5197939563313"/>
    <n v="0"/>
    <n v="3556.5197939563313"/>
    <s v="SA-387 Gr. 1212.7256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3556.5197939563313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F-17TO"/>
    <s v="PF03021C"/>
    <s v="FURN SIDE SPRL OUTLET TERM TUBE"/>
    <s v="Loose Tubes"/>
    <s v="Tube"/>
    <n v="156"/>
    <x v="8"/>
    <n v="23.994999999999997"/>
    <n v="41.274999999999999"/>
    <n v="8.64"/>
    <n v="1650"/>
    <n v="257400"/>
    <n v="1787.99375772795"/>
    <s v="ASME"/>
    <n v="0.01"/>
    <s v="WBC"/>
    <n v="0"/>
    <n v="1805.8736953052294"/>
    <n v="0"/>
    <n v="1805.8736953052294"/>
    <s v="SA-213 T1241.2758.64"/>
    <x v="1"/>
    <s v="Piping-LA"/>
    <s v="Plate"/>
    <s v="Sprial"/>
    <m/>
    <m/>
    <n v="0"/>
    <x v="0"/>
    <x v="0"/>
    <x v="0"/>
    <x v="0"/>
    <n v="0"/>
    <x v="0"/>
    <s v="KG"/>
    <n v="0"/>
    <n v="0"/>
    <n v="0"/>
    <n v="0"/>
    <n v="1805.8736953052294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n v="0"/>
    <m/>
    <n v="0"/>
    <n v="0"/>
    <n v="0"/>
    <m/>
    <m/>
    <x v="0"/>
    <m/>
  </r>
  <r>
    <x v="1"/>
    <x v="1"/>
    <s v="02"/>
    <s v="F-17F"/>
    <s v="PF030212"/>
    <s v="FURN SPRL WALL FITTING"/>
    <s v="Fitting"/>
    <s v="Fitting"/>
    <n v="156"/>
    <x v="10"/>
    <n v="23.994999999999997"/>
    <n v="41.274999999999999"/>
    <n v="8.64"/>
    <n v="140"/>
    <n v="21840"/>
    <n v="151.70856126176548"/>
    <s v="ASME"/>
    <e v="#N/A"/>
    <e v="#N/A"/>
    <e v="#N/A"/>
    <e v="#N/A"/>
    <n v="0"/>
    <e v="#N/A"/>
    <s v="SA-182 F11 (CL.2) or SA-182 F12 (CL.2)41.2758.64"/>
    <x v="1"/>
    <e v="#N/A"/>
    <s v="Rod"/>
    <s v="Sprial"/>
    <m/>
    <m/>
    <n v="0"/>
    <x v="1"/>
    <x v="0"/>
    <x v="0"/>
    <x v="0"/>
    <n v="0"/>
    <x v="0"/>
    <s v="KG"/>
    <n v="0"/>
    <n v="0"/>
    <n v="0"/>
    <n v="0"/>
    <e v="#N/A"/>
    <n v="0"/>
    <e v="#N/A"/>
    <n v="0"/>
    <e v="#N/A"/>
    <d v="1899-12-30T00:00:00"/>
    <n v="0"/>
    <d v="1899-12-30T00:00:00"/>
    <d v="2018-05-19T00:00:00"/>
    <d v="2018-09-05T00:00:00"/>
    <n v="4"/>
    <n v="5"/>
    <n v="0"/>
    <n v="0"/>
    <n v="0"/>
    <n v="0"/>
    <e v="#N/A"/>
    <m/>
    <e v="#N/A"/>
    <e v="#N/A"/>
    <n v="0"/>
    <m/>
    <m/>
    <x v="1"/>
    <m/>
  </r>
  <r>
    <x v="1"/>
    <x v="1"/>
    <s v="02"/>
    <s v="F-19F"/>
    <s v="PF030211"/>
    <s v="FURN VERT WALL FITTING"/>
    <s v="Fitting"/>
    <s v="Fitting"/>
    <n v="624"/>
    <x v="10"/>
    <n v="18.82"/>
    <n v="38.1"/>
    <n v="9.64"/>
    <n v="150"/>
    <n v="93600"/>
    <n v="632.62722032283045"/>
    <s v="ASME"/>
    <e v="#N/A"/>
    <e v="#N/A"/>
    <e v="#N/A"/>
    <e v="#N/A"/>
    <n v="0"/>
    <e v="#N/A"/>
    <s v="SA-182 F11 (CL.2) or SA-182 F12 (CL.2) 38.1-9.6"/>
    <x v="1"/>
    <e v="#N/A"/>
    <s v="Tubing"/>
    <s v="Spri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20944"/>
    <n v="845"/>
    <m/>
    <x v="1"/>
    <m/>
  </r>
  <r>
    <x v="1"/>
    <x v="1"/>
    <s v="02"/>
    <s v="F-19TI"/>
    <s v="PF030375"/>
    <s v="FURN SIDE VERT INLET TERM TUBE"/>
    <s v="Loose Tubes"/>
    <s v="Tube"/>
    <n v="624"/>
    <x v="8"/>
    <n v="18.82"/>
    <n v="38.1"/>
    <n v="9.64"/>
    <n v="1650"/>
    <n v="1029600"/>
    <n v="6958.8994235511354"/>
    <s v="ASME"/>
    <n v="0.01"/>
    <s v="WBC"/>
    <n v="0"/>
    <n v="7028.488417786647"/>
    <n v="0"/>
    <n v="7028.488417786647"/>
    <s v="SA-213 T12 38.1-9.6"/>
    <x v="1"/>
    <s v="Piping-LA"/>
    <s v="Tubing"/>
    <s v="Sprial"/>
    <m/>
    <m/>
    <n v="0"/>
    <x v="0"/>
    <x v="0"/>
    <x v="0"/>
    <x v="0"/>
    <n v="0"/>
    <x v="0"/>
    <s v="KG"/>
    <n v="0"/>
    <n v="0"/>
    <e v="#N/A"/>
    <e v="#N/A"/>
    <n v="7028.488417786647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F-19L"/>
    <s v="PF03033X"/>
    <s v="FURN LOWER SIDE VERT WALL PANEL"/>
    <s v="Fin Welded Panels"/>
    <s v="Tube"/>
    <n v="624"/>
    <x v="8"/>
    <n v="18.82"/>
    <n v="38.1"/>
    <n v="9.64"/>
    <n v="14592.293508076804"/>
    <n v="9105591.149039926"/>
    <n v="61543.213867663428"/>
    <s v="ASME"/>
    <n v="0.01"/>
    <s v="WBC"/>
    <n v="0"/>
    <n v="62158.646006340059"/>
    <n v="0"/>
    <n v="62158.646006340059"/>
    <s v="SA-213 T12 38.1-9.6"/>
    <x v="1"/>
    <s v="Piping-LA"/>
    <s v="Tubing"/>
    <s v="Sprial"/>
    <m/>
    <m/>
    <n v="0"/>
    <x v="0"/>
    <x v="0"/>
    <x v="0"/>
    <x v="0"/>
    <n v="0"/>
    <x v="0"/>
    <s v="KG"/>
    <n v="0"/>
    <n v="0"/>
    <e v="#N/A"/>
    <e v="#N/A"/>
    <n v="62158.646006340059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F-19L"/>
    <s v="PF03033X"/>
    <s v="FURN LOWER SIDE VERT WALL PANEL"/>
    <s v="Fin"/>
    <s v="Fin"/>
    <n v="624"/>
    <x v="9"/>
    <m/>
    <n v="15.899999999999999"/>
    <n v="6"/>
    <n v="14592.293508076804"/>
    <n v="9105591.149039926"/>
    <n v="6811.876166420876"/>
    <s v="ASME"/>
    <n v="7.0000000000000007E-2"/>
    <s v="WBC"/>
    <n v="0"/>
    <n v="7288.7074980703374"/>
    <n v="0"/>
    <n v="7288.7074980703374"/>
    <s v="SA-387 Gr. 1215.96"/>
    <x v="1"/>
    <s v="Finning"/>
    <s v="Finning"/>
    <s v="Sprial"/>
    <m/>
    <m/>
    <n v="0"/>
    <x v="0"/>
    <x v="0"/>
    <x v="0"/>
    <x v="0"/>
    <n v="0"/>
    <x v="0"/>
    <s v="KG"/>
    <n v="0"/>
    <n v="0"/>
    <n v="0"/>
    <n v="0"/>
    <n v="7288.7074980703374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F-19U"/>
    <s v="PF03033Q"/>
    <s v="FURN UPPER SIDE VERT WALL PANEL"/>
    <s v="Fin Welded Panels"/>
    <s v="Tube"/>
    <n v="624"/>
    <x v="8"/>
    <n v="18.82"/>
    <n v="38.1"/>
    <n v="9.64"/>
    <n v="16507.293508076804"/>
    <n v="10300551.149039926"/>
    <n v="69619.754713784889"/>
    <s v="ASME"/>
    <n v="0.01"/>
    <s v="WBC"/>
    <n v="0"/>
    <n v="70315.952260922742"/>
    <n v="0"/>
    <n v="70315.952260922742"/>
    <s v="SA-213 T1238.19.64"/>
    <x v="1"/>
    <s v="Piping-LA"/>
    <s v="Finning"/>
    <s v="Sprial"/>
    <m/>
    <m/>
    <n v="0"/>
    <x v="0"/>
    <x v="0"/>
    <x v="0"/>
    <x v="0"/>
    <n v="0"/>
    <x v="0"/>
    <s v="KG"/>
    <n v="0"/>
    <n v="0"/>
    <n v="0"/>
    <n v="0"/>
    <n v="70315.952260922742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F-19U"/>
    <s v="PF03033Q"/>
    <s v="FURN UPPER SIDE VERT WALL PANEL"/>
    <s v="Fin"/>
    <s v="Fin"/>
    <n v="624"/>
    <x v="9"/>
    <m/>
    <n v="15.899999999999999"/>
    <n v="6"/>
    <n v="15507.293508076804"/>
    <n v="9676551.149039926"/>
    <n v="7239.0103032736761"/>
    <s v="ASME"/>
    <n v="7.0000000000000007E-2"/>
    <s v="WBC"/>
    <n v="0"/>
    <n v="7745.7410245028341"/>
    <n v="0"/>
    <n v="7745.7410245028341"/>
    <s v="SA-387 Gr. 1215.96"/>
    <x v="1"/>
    <s v="Finning"/>
    <s v="Finning"/>
    <s v="Sprial"/>
    <m/>
    <m/>
    <n v="0"/>
    <x v="0"/>
    <x v="0"/>
    <x v="0"/>
    <x v="0"/>
    <n v="0"/>
    <x v="0"/>
    <s v="KG"/>
    <n v="0"/>
    <n v="0"/>
    <n v="0"/>
    <n v="0"/>
    <n v="7745.7410245028341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F-WB"/>
    <s v="PF03021F"/>
    <s v="FURN WINDBOX PANEL"/>
    <s v="Furn Windbox Panel"/>
    <s v="Windbox"/>
    <n v="4"/>
    <x v="8"/>
    <n v="28.074999999999999"/>
    <n v="41.274999999999999"/>
    <n v="6.6"/>
    <n v="0"/>
    <n v="0"/>
    <n v="0"/>
    <s v="ASME"/>
    <n v="0.15"/>
    <s v="WBC"/>
    <n v="0"/>
    <n v="0"/>
    <n v="0"/>
    <n v="0"/>
    <s v="SA-213 T1241.2756.6"/>
    <x v="1"/>
    <s v="Piping-LA"/>
    <s v="Plate"/>
    <s v="Sprial"/>
    <m/>
    <m/>
    <n v="0"/>
    <x v="0"/>
    <x v="0"/>
    <x v="0"/>
    <x v="0"/>
    <n v="0"/>
    <x v="0"/>
    <s v="KG"/>
    <n v="0"/>
    <n v="0"/>
    <n v="0"/>
    <n v="0"/>
    <n v="0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n v="0"/>
    <m/>
    <n v="0"/>
    <n v="0"/>
    <n v="0"/>
    <m/>
    <m/>
    <x v="0"/>
    <m/>
  </r>
  <r>
    <x v="1"/>
    <x v="1"/>
    <s v="02"/>
    <s v="F-OFA"/>
    <s v="PF03033N"/>
    <s v="FURN SOFA PANEL"/>
    <s v="Furn SOFA Windbox Panel"/>
    <s v="Windbox"/>
    <n v="4"/>
    <x v="8"/>
    <n v="28.074999999999999"/>
    <n v="41.274999999999999"/>
    <n v="6.6"/>
    <n v="0"/>
    <n v="0"/>
    <n v="0"/>
    <s v="ASME"/>
    <n v="0.15"/>
    <s v="WBC"/>
    <n v="0"/>
    <n v="0"/>
    <n v="0"/>
    <n v="0"/>
    <s v="SA-213 T1241.2756.6"/>
    <x v="1"/>
    <s v="Piping-LA"/>
    <s v="Plate"/>
    <s v="Sprial"/>
    <m/>
    <m/>
    <n v="0"/>
    <x v="0"/>
    <x v="0"/>
    <x v="0"/>
    <x v="0"/>
    <n v="0"/>
    <x v="0"/>
    <s v="KG"/>
    <n v="0"/>
    <n v="0"/>
    <n v="0"/>
    <n v="0"/>
    <n v="0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n v="0"/>
    <m/>
    <n v="0"/>
    <n v="0"/>
    <n v="0"/>
    <m/>
    <m/>
    <x v="0"/>
    <m/>
  </r>
  <r>
    <x v="1"/>
    <x v="1"/>
    <s v="02"/>
    <s v="0208"/>
    <m/>
    <s v="Furn Inclined Left&amp;Right Side Wall"/>
    <s v="Plate "/>
    <m/>
    <m/>
    <x v="11"/>
    <m/>
    <m/>
    <m/>
    <m/>
    <m/>
    <n v="239.75999999999996"/>
    <s v="ASME"/>
    <n v="0.12"/>
    <s v="WBC"/>
    <e v="#N/A"/>
    <n v="268.53119999999996"/>
    <n v="0"/>
    <n v="268.53119999999996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268.53119999999996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Sealing Plate "/>
    <m/>
    <m/>
    <x v="11"/>
    <m/>
    <m/>
    <m/>
    <m/>
    <m/>
    <n v="13.728"/>
    <s v="ASME"/>
    <n v="0.12"/>
    <s v="WBC"/>
    <e v="#N/A"/>
    <n v="15.375360000000001"/>
    <n v="0"/>
    <n v="15.375360000000001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15.375360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bolt"/>
    <m/>
    <m/>
    <x v="11"/>
    <m/>
    <m/>
    <m/>
    <m/>
    <m/>
    <n v="22.5"/>
    <s v="ASME"/>
    <n v="0"/>
    <s v="OUT"/>
    <n v="0"/>
    <n v="22.5"/>
    <n v="0"/>
    <n v="22.5"/>
    <s v="bolt"/>
    <x v="1"/>
    <s v="Various"/>
    <s v="Various"/>
    <s v="Sprial"/>
    <m/>
    <m/>
    <n v="0"/>
    <x v="0"/>
    <x v="0"/>
    <x v="0"/>
    <x v="0"/>
    <n v="0"/>
    <x v="0"/>
    <s v="KG"/>
    <n v="0"/>
    <n v="0"/>
    <e v="#N/A"/>
    <e v="#N/A"/>
    <n v="22.5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08"/>
    <m/>
    <s v="Furn Inclined Left&amp;Right Side Wall"/>
    <s v="gasket"/>
    <m/>
    <m/>
    <x v="11"/>
    <m/>
    <m/>
    <m/>
    <m/>
    <m/>
    <n v="2"/>
    <s v="ASME"/>
    <n v="0"/>
    <s v="OUT"/>
    <n v="0"/>
    <n v="2"/>
    <n v="0"/>
    <n v="2"/>
    <s v="gasket"/>
    <x v="1"/>
    <s v="Various"/>
    <s v="Various"/>
    <s v="Sprial"/>
    <m/>
    <m/>
    <n v="0"/>
    <x v="0"/>
    <x v="0"/>
    <x v="0"/>
    <x v="0"/>
    <n v="0"/>
    <x v="0"/>
    <s v="KG"/>
    <n v="0"/>
    <n v="0"/>
    <e v="#N/A"/>
    <e v="#N/A"/>
    <n v="2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08"/>
    <m/>
    <s v="Furn Inclined Left&amp;Right Side Wall"/>
    <s v="nut"/>
    <m/>
    <m/>
    <x v="11"/>
    <m/>
    <m/>
    <m/>
    <m/>
    <m/>
    <n v="10"/>
    <s v="ASME"/>
    <n v="0"/>
    <s v="OUT"/>
    <n v="0"/>
    <n v="10"/>
    <n v="0"/>
    <n v="10"/>
    <s v="nut"/>
    <x v="1"/>
    <s v="Various"/>
    <s v="Various"/>
    <s v="Sprial"/>
    <m/>
    <m/>
    <n v="0"/>
    <x v="0"/>
    <x v="0"/>
    <x v="0"/>
    <x v="0"/>
    <n v="0"/>
    <x v="0"/>
    <s v="KG"/>
    <n v="0"/>
    <n v="0"/>
    <e v="#N/A"/>
    <e v="#N/A"/>
    <n v="10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08"/>
    <m/>
    <s v="Furn Inclined Left&amp;Right Side Wall"/>
    <s v="Plate "/>
    <m/>
    <m/>
    <x v="11"/>
    <m/>
    <m/>
    <m/>
    <m/>
    <m/>
    <n v="107.92"/>
    <s v="ASME"/>
    <n v="0.12"/>
    <s v="WBC"/>
    <e v="#N/A"/>
    <n v="120.87040000000002"/>
    <n v="0"/>
    <n v="120.87040000000002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120.8704000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Plate "/>
    <m/>
    <m/>
    <x v="11"/>
    <m/>
    <m/>
    <m/>
    <m/>
    <m/>
    <n v="2.1"/>
    <s v="ASME"/>
    <n v="0.12"/>
    <s v="WBC"/>
    <e v="#N/A"/>
    <n v="2.3520000000000003"/>
    <n v="0"/>
    <n v="2.3520000000000003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2.352000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Plate "/>
    <m/>
    <m/>
    <x v="11"/>
    <m/>
    <m/>
    <m/>
    <m/>
    <m/>
    <n v="207.84959999999998"/>
    <s v="ASME"/>
    <n v="0.12"/>
    <s v="WBC"/>
    <e v="#N/A"/>
    <n v="232.791552"/>
    <n v="0"/>
    <n v="232.791552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232.79155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Plate "/>
    <m/>
    <m/>
    <x v="11"/>
    <m/>
    <m/>
    <m/>
    <m/>
    <m/>
    <n v="399.25209999999998"/>
    <s v="ASME"/>
    <n v="0.12"/>
    <s v="WBC"/>
    <e v="#N/A"/>
    <n v="447.162352"/>
    <n v="0"/>
    <n v="447.162352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447.16235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Sealing Plate "/>
    <m/>
    <m/>
    <x v="11"/>
    <m/>
    <m/>
    <m/>
    <m/>
    <m/>
    <n v="14.78"/>
    <s v="ASME"/>
    <n v="0.12"/>
    <s v="WBC"/>
    <e v="#N/A"/>
    <n v="16.553599999999999"/>
    <n v="0"/>
    <n v="16.553599999999999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16.553599999999999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Plate "/>
    <m/>
    <m/>
    <x v="11"/>
    <m/>
    <m/>
    <m/>
    <m/>
    <m/>
    <n v="2.16"/>
    <s v="ASME"/>
    <n v="0.12"/>
    <s v="WBC"/>
    <e v="#N/A"/>
    <n v="2.4192000000000005"/>
    <n v="0"/>
    <n v="2.4192000000000005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2.419200000000000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Plate "/>
    <m/>
    <m/>
    <x v="11"/>
    <m/>
    <m/>
    <m/>
    <m/>
    <m/>
    <n v="8.76"/>
    <s v="ASME"/>
    <n v="0.12"/>
    <s v="WBC"/>
    <e v="#N/A"/>
    <n v="9.8112000000000013"/>
    <n v="0"/>
    <n v="9.8112000000000013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9.811200000000001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Rod "/>
    <m/>
    <m/>
    <x v="11"/>
    <m/>
    <m/>
    <m/>
    <m/>
    <m/>
    <n v="25.971999999999998"/>
    <s v="ASME"/>
    <n v="0.12"/>
    <s v="WBC"/>
    <e v="#N/A"/>
    <n v="29.088640000000002"/>
    <n v="0"/>
    <n v="29.088640000000002"/>
    <s v=""/>
    <x v="1"/>
    <s v="Rod"/>
    <s v="Rod"/>
    <s v="Sprial"/>
    <m/>
    <m/>
    <n v="0"/>
    <x v="2"/>
    <x v="0"/>
    <x v="0"/>
    <x v="0"/>
    <n v="0"/>
    <x v="0"/>
    <s v="KG"/>
    <n v="0"/>
    <n v="0"/>
    <n v="0"/>
    <n v="0"/>
    <n v="29.08864000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Plate "/>
    <m/>
    <m/>
    <x v="11"/>
    <m/>
    <m/>
    <m/>
    <m/>
    <m/>
    <n v="267.75"/>
    <s v="ASME"/>
    <n v="0.12"/>
    <s v="WBC"/>
    <e v="#N/A"/>
    <n v="299.88000000000005"/>
    <n v="0"/>
    <n v="299.88000000000005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299.8800000000000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Plate "/>
    <m/>
    <m/>
    <x v="11"/>
    <m/>
    <m/>
    <m/>
    <m/>
    <m/>
    <n v="69.300000000000011"/>
    <s v="ASME"/>
    <n v="0.12"/>
    <s v="WBC"/>
    <e v="#N/A"/>
    <n v="77.616000000000014"/>
    <n v="0"/>
    <n v="77.616000000000014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77.61600000000001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Plate "/>
    <m/>
    <m/>
    <x v="11"/>
    <m/>
    <m/>
    <m/>
    <m/>
    <m/>
    <n v="88.75"/>
    <s v="ASME"/>
    <n v="0.12"/>
    <s v="WBC"/>
    <e v="#N/A"/>
    <n v="99.4"/>
    <n v="0"/>
    <n v="99.4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99.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Channel Steel"/>
    <m/>
    <m/>
    <x v="11"/>
    <m/>
    <m/>
    <m/>
    <m/>
    <m/>
    <n v="96.39"/>
    <s v="ASME"/>
    <n v="0.12"/>
    <s v="WBC"/>
    <e v="#N/A"/>
    <n v="107.95680000000002"/>
    <n v="0"/>
    <n v="107.95680000000002"/>
    <s v=""/>
    <x v="1"/>
    <s v="Profiled Bar"/>
    <s v="Profiled Bar"/>
    <s v="Sprial"/>
    <m/>
    <m/>
    <n v="0"/>
    <x v="2"/>
    <x v="0"/>
    <x v="0"/>
    <x v="0"/>
    <n v="0"/>
    <x v="0"/>
    <s v="KG"/>
    <n v="0"/>
    <n v="0"/>
    <n v="0"/>
    <n v="0"/>
    <n v="107.9568000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Pads"/>
    <m/>
    <m/>
    <x v="11"/>
    <m/>
    <m/>
    <m/>
    <m/>
    <m/>
    <n v="50.120000000000005"/>
    <s v="ASME"/>
    <n v="0.12"/>
    <s v="WBC"/>
    <e v="#N/A"/>
    <n v="56.134400000000014"/>
    <n v="0"/>
    <n v="56.134400000000014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56.13440000000001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Plate "/>
    <m/>
    <m/>
    <x v="11"/>
    <m/>
    <m/>
    <m/>
    <m/>
    <m/>
    <n v="693.32"/>
    <s v="ASME"/>
    <n v="0.12"/>
    <s v="WBC"/>
    <e v="#N/A"/>
    <n v="776.51840000000016"/>
    <n v="0"/>
    <n v="776.51840000000016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776.51840000000016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Plate "/>
    <m/>
    <m/>
    <x v="11"/>
    <m/>
    <m/>
    <m/>
    <m/>
    <m/>
    <n v="371.1232"/>
    <s v="ASME"/>
    <n v="0.12"/>
    <s v="WBC"/>
    <e v="#N/A"/>
    <n v="415.65798400000006"/>
    <n v="0"/>
    <n v="415.65798400000006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415.65798400000006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Tube "/>
    <m/>
    <m/>
    <x v="11"/>
    <m/>
    <m/>
    <m/>
    <m/>
    <m/>
    <n v="258.17521399429546"/>
    <s v="ASME"/>
    <e v="#N/A"/>
    <e v="#N/A"/>
    <e v="#N/A"/>
    <e v="#N/A"/>
    <e v="#N/A"/>
    <e v="#N/A"/>
    <s v=" 0-0"/>
    <x v="1"/>
    <e v="#N/A"/>
    <s v="Tubing"/>
    <s v="Spri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08"/>
    <m/>
    <s v="Furn Inclined Left&amp;Right Side Wall"/>
    <s v="Plate "/>
    <m/>
    <m/>
    <x v="11"/>
    <m/>
    <m/>
    <m/>
    <m/>
    <m/>
    <n v="85.12"/>
    <s v="ASME"/>
    <n v="0.12"/>
    <s v="WBC"/>
    <e v="#N/A"/>
    <n v="95.334400000000016"/>
    <n v="0"/>
    <n v="95.334400000000016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95.334400000000016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Plate "/>
    <m/>
    <m/>
    <x v="11"/>
    <m/>
    <m/>
    <m/>
    <m/>
    <m/>
    <n v="2896.11"/>
    <s v="ASME"/>
    <n v="0.12"/>
    <s v="WBC"/>
    <e v="#N/A"/>
    <n v="3243.6432000000004"/>
    <n v="0"/>
    <n v="3243.6432000000004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3243.643200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Pads"/>
    <m/>
    <m/>
    <x v="11"/>
    <m/>
    <m/>
    <m/>
    <m/>
    <m/>
    <n v="4108.5644000000002"/>
    <s v="ASME"/>
    <n v="0.12"/>
    <s v="WBC"/>
    <e v="#N/A"/>
    <n v="4601.5921280000002"/>
    <n v="0"/>
    <n v="4601.5921280000002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4601.592128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Chuck Plate "/>
    <m/>
    <m/>
    <x v="11"/>
    <m/>
    <m/>
    <m/>
    <m/>
    <m/>
    <n v="1433.52"/>
    <s v="ASME"/>
    <n v="0.12"/>
    <s v="WBC"/>
    <e v="#N/A"/>
    <n v="1605.5424"/>
    <n v="0"/>
    <n v="1605.5424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1605.542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Half-round bar"/>
    <m/>
    <m/>
    <x v="11"/>
    <m/>
    <m/>
    <m/>
    <m/>
    <m/>
    <n v="976.03"/>
    <s v="ASME"/>
    <n v="0.12"/>
    <s v="WBC"/>
    <e v="#N/A"/>
    <n v="1093.1536000000001"/>
    <n v="0"/>
    <n v="1093.1536000000001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1093.1536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8"/>
    <m/>
    <s v="Furn Inclined Left&amp;Right Side Wall"/>
    <s v="Fin "/>
    <m/>
    <m/>
    <x v="11"/>
    <m/>
    <m/>
    <m/>
    <m/>
    <m/>
    <n v="319.27500000000003"/>
    <s v="ASME"/>
    <n v="7.0000000000000007E-2"/>
    <s v="WBC"/>
    <n v="0"/>
    <n v="341.62425000000007"/>
    <n v="0"/>
    <n v="341.62425000000007"/>
    <s v=""/>
    <x v="1"/>
    <s v="Finning"/>
    <s v="Finning"/>
    <s v="Sprial"/>
    <m/>
    <m/>
    <n v="0"/>
    <x v="0"/>
    <x v="0"/>
    <x v="0"/>
    <x v="0"/>
    <n v="0"/>
    <x v="0"/>
    <s v="KG"/>
    <n v="0"/>
    <n v="0"/>
    <n v="0"/>
    <n v="0"/>
    <n v="341.62425000000007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08"/>
    <m/>
    <s v="Furn Inclined Left&amp;Right Side Wall"/>
    <s v="Fin "/>
    <m/>
    <m/>
    <x v="11"/>
    <m/>
    <m/>
    <m/>
    <m/>
    <m/>
    <n v="11108.720000000001"/>
    <s v="ASME"/>
    <n v="7.0000000000000007E-2"/>
    <s v="WBC"/>
    <n v="0"/>
    <n v="11886.330400000003"/>
    <n v="0"/>
    <n v="11886.330400000003"/>
    <s v=""/>
    <x v="1"/>
    <s v="Finning"/>
    <s v="Finning"/>
    <s v="Sprial"/>
    <m/>
    <m/>
    <n v="0"/>
    <x v="0"/>
    <x v="0"/>
    <x v="0"/>
    <x v="0"/>
    <n v="0"/>
    <x v="0"/>
    <s v="KG"/>
    <n v="0"/>
    <n v="0"/>
    <n v="0"/>
    <n v="0"/>
    <n v="11886.330400000003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08"/>
    <m/>
    <s v="Furn Inclined Left&amp;Right Side Wall"/>
    <s v="Fin "/>
    <m/>
    <m/>
    <x v="11"/>
    <m/>
    <m/>
    <m/>
    <m/>
    <m/>
    <n v="197.75"/>
    <s v="ASME"/>
    <n v="7.0000000000000007E-2"/>
    <s v="WBC"/>
    <n v="0"/>
    <n v="211.5925"/>
    <n v="0"/>
    <n v="211.5925"/>
    <s v=""/>
    <x v="1"/>
    <s v="Finning"/>
    <s v="Finning"/>
    <s v="Sprial"/>
    <m/>
    <m/>
    <n v="0"/>
    <x v="0"/>
    <x v="0"/>
    <x v="0"/>
    <x v="0"/>
    <n v="0"/>
    <x v="0"/>
    <s v="KG"/>
    <n v="0"/>
    <n v="0"/>
    <n v="0"/>
    <n v="0"/>
    <n v="211.5925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08"/>
    <m/>
    <s v="Furn Inclined Left&amp;Right Side Wall"/>
    <s v="Fin "/>
    <m/>
    <m/>
    <x v="11"/>
    <m/>
    <m/>
    <m/>
    <m/>
    <m/>
    <n v="10943.348"/>
    <s v="ASME"/>
    <n v="7.0000000000000007E-2"/>
    <s v="WBC"/>
    <n v="0"/>
    <n v="11709.382360000001"/>
    <n v="0"/>
    <n v="11709.382360000001"/>
    <s v=""/>
    <x v="1"/>
    <s v="Finning"/>
    <s v="Finning"/>
    <s v="Sprial"/>
    <m/>
    <m/>
    <n v="0"/>
    <x v="0"/>
    <x v="0"/>
    <x v="0"/>
    <x v="0"/>
    <n v="0"/>
    <x v="0"/>
    <s v="KG"/>
    <n v="0"/>
    <n v="0"/>
    <n v="0"/>
    <n v="0"/>
    <n v="11709.382360000001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08"/>
    <m/>
    <s v="Furn Inclined Left&amp;Right Side Wall"/>
    <s v="Plate "/>
    <m/>
    <m/>
    <x v="11"/>
    <m/>
    <m/>
    <m/>
    <m/>
    <m/>
    <n v="4.7299999999999995"/>
    <s v="ASME"/>
    <n v="0.12"/>
    <s v="WBC"/>
    <e v="#N/A"/>
    <n v="5.2976000000000001"/>
    <n v="0"/>
    <n v="5.2976000000000001"/>
    <s v=""/>
    <x v="1"/>
    <s v="Plate"/>
    <s v="Plate"/>
    <s v="Sprial"/>
    <m/>
    <m/>
    <n v="0"/>
    <x v="2"/>
    <x v="0"/>
    <x v="0"/>
    <x v="0"/>
    <n v="0"/>
    <x v="0"/>
    <s v="KG"/>
    <n v="0"/>
    <n v="0"/>
    <n v="0"/>
    <n v="0"/>
    <n v="5.2976000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09"/>
    <m/>
    <s v="Furn Front INTER HDR"/>
    <s v="Header"/>
    <m/>
    <m/>
    <x v="11"/>
    <m/>
    <m/>
    <m/>
    <m/>
    <m/>
    <n v="4077.0910655999996"/>
    <s v="ASME"/>
    <n v="0"/>
    <s v="OUT"/>
    <n v="0"/>
    <n v="4077.0910655999996"/>
    <n v="0"/>
    <n v="4077.0910655999996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4077.0910655999996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533"/>
    <n v="36"/>
    <m/>
    <x v="2"/>
    <m/>
  </r>
  <r>
    <x v="1"/>
    <x v="1"/>
    <s v="02"/>
    <s v="0209"/>
    <m/>
    <s v="Furn Front INTER HDR"/>
    <s v="Nozzles"/>
    <m/>
    <m/>
    <x v="11"/>
    <m/>
    <m/>
    <m/>
    <m/>
    <m/>
    <n v="11.745039374999999"/>
    <s v="ASME"/>
    <n v="0"/>
    <s v="OUT"/>
    <n v="0"/>
    <n v="11.745039374999999"/>
    <n v="0"/>
    <n v="11.745039374999999"/>
    <s v="Nozzles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1.745039374999999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0"/>
    <m/>
    <m/>
    <x v="0"/>
    <m/>
  </r>
  <r>
    <x v="1"/>
    <x v="1"/>
    <s v="02"/>
    <s v="0209"/>
    <m/>
    <s v="Furn Front INTER HDR"/>
    <s v="Nozzles"/>
    <m/>
    <m/>
    <x v="11"/>
    <m/>
    <m/>
    <m/>
    <m/>
    <m/>
    <n v="141.91151906250002"/>
    <s v="ASME"/>
    <n v="0"/>
    <s v="OUT"/>
    <n v="0"/>
    <n v="141.91151906250002"/>
    <n v="0"/>
    <n v="141.91151906250002"/>
    <s v="Nozzles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41.91151906250002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0"/>
    <m/>
    <m/>
    <x v="0"/>
    <m/>
  </r>
  <r>
    <x v="1"/>
    <x v="1"/>
    <s v="02"/>
    <s v="0209"/>
    <m/>
    <s v="Furn Front INTER HDR"/>
    <s v="Nozzles"/>
    <m/>
    <m/>
    <x v="11"/>
    <m/>
    <m/>
    <m/>
    <m/>
    <m/>
    <n v="8.261424148031999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1"/>
    <x v="1"/>
    <s v="02"/>
    <s v="0209"/>
    <m/>
    <s v="Furn Front INTER HDR"/>
    <s v="Nozzles"/>
    <m/>
    <m/>
    <x v="11"/>
    <m/>
    <m/>
    <m/>
    <m/>
    <m/>
    <n v="2.9948925600000007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1"/>
    <x v="1"/>
    <s v="02"/>
    <s v="0209"/>
    <m/>
    <s v="Furn Front INTER HDR"/>
    <s v="Nozzles"/>
    <m/>
    <m/>
    <x v="11"/>
    <m/>
    <m/>
    <m/>
    <m/>
    <m/>
    <n v="85.505492160000003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1"/>
    <x v="1"/>
    <s v="02"/>
    <s v="0209"/>
    <m/>
    <s v="Furn Front INTER HDR"/>
    <s v="Nozzles"/>
    <m/>
    <m/>
    <x v="11"/>
    <m/>
    <m/>
    <m/>
    <m/>
    <m/>
    <n v="123.52789785599998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1"/>
    <x v="1"/>
    <s v="02"/>
    <s v="0209"/>
    <m/>
    <s v="Furn Front INTER HDR"/>
    <s v="End Cap"/>
    <m/>
    <m/>
    <x v="11"/>
    <m/>
    <m/>
    <m/>
    <m/>
    <m/>
    <n v="32.526730541249997"/>
    <s v="ASME"/>
    <n v="0"/>
    <s v="OUT"/>
    <n v="0"/>
    <n v="32.526730541249997"/>
    <n v="0"/>
    <n v="32.526730541249997"/>
    <s v="End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32.526730541249997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0"/>
    <m/>
    <m/>
    <x v="0"/>
    <m/>
  </r>
  <r>
    <x v="1"/>
    <x v="1"/>
    <s v="02"/>
    <s v="0209"/>
    <m/>
    <s v="Furn Front INTER HDR"/>
    <s v="End Cap"/>
    <m/>
    <m/>
    <x v="11"/>
    <m/>
    <m/>
    <m/>
    <m/>
    <m/>
    <n v="2.1366723599999995"/>
    <s v="ASME"/>
    <n v="0"/>
    <s v="OUT"/>
    <n v="0"/>
    <n v="2.1366723599999995"/>
    <n v="0"/>
    <n v="2.1366723599999995"/>
    <s v="End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2.1366723599999995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0"/>
    <m/>
    <m/>
    <x v="0"/>
    <m/>
  </r>
  <r>
    <x v="1"/>
    <x v="1"/>
    <s v="02"/>
    <s v="0209"/>
    <m/>
    <s v="Furn Front INTER HDR"/>
    <s v="End Cap"/>
    <m/>
    <m/>
    <x v="11"/>
    <m/>
    <m/>
    <m/>
    <m/>
    <m/>
    <n v="16.480047374999998"/>
    <s v="ASME"/>
    <n v="0"/>
    <s v="OUT"/>
    <n v="0"/>
    <n v="16.480047374999998"/>
    <n v="0"/>
    <n v="16.480047374999998"/>
    <s v="End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6.480047374999998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0"/>
    <m/>
    <m/>
    <x v="0"/>
    <m/>
  </r>
  <r>
    <x v="1"/>
    <x v="1"/>
    <s v="02"/>
    <s v="0209"/>
    <m/>
    <s v="Furn Front INTER HDR"/>
    <s v="Plate"/>
    <m/>
    <m/>
    <x v="11"/>
    <m/>
    <m/>
    <m/>
    <m/>
    <m/>
    <n v="25.434000000000001"/>
    <s v="ASME"/>
    <n v="0.12"/>
    <s v="WBC"/>
    <e v="#N/A"/>
    <n v="28.486080000000005"/>
    <n v="0"/>
    <n v="28.486080000000005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8.486080000000005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0"/>
    <m/>
    <s v="Furn Rear INTER HDR"/>
    <s v="Header"/>
    <m/>
    <m/>
    <x v="11"/>
    <m/>
    <m/>
    <m/>
    <m/>
    <m/>
    <n v="4077.0910655999996"/>
    <s v="ASME"/>
    <n v="0"/>
    <s v="OUT"/>
    <n v="0"/>
    <n v="4077.0910655999996"/>
    <n v="0"/>
    <n v="4077.0910655999996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4077.0910655999996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533"/>
    <n v="36"/>
    <m/>
    <x v="2"/>
    <m/>
  </r>
  <r>
    <x v="1"/>
    <x v="1"/>
    <s v="02"/>
    <s v="0210"/>
    <m/>
    <s v="Furn Rear INTER HDR"/>
    <s v="Nozzles"/>
    <m/>
    <m/>
    <x v="11"/>
    <m/>
    <m/>
    <m/>
    <m/>
    <m/>
    <n v="11.745039374999999"/>
    <s v="ASME"/>
    <n v="0"/>
    <s v="OUT"/>
    <n v="0"/>
    <n v="11.745039374999999"/>
    <n v="0"/>
    <n v="11.745039374999999"/>
    <s v="Nozzles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1.745039374999999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0"/>
    <m/>
    <s v="Furn Rear INTER HDR"/>
    <s v="Nozzles"/>
    <m/>
    <m/>
    <x v="11"/>
    <m/>
    <m/>
    <m/>
    <m/>
    <m/>
    <n v="141.91151906250002"/>
    <s v="ASME"/>
    <n v="0"/>
    <s v="OUT"/>
    <n v="0"/>
    <n v="141.91151906250002"/>
    <n v="0"/>
    <n v="141.91151906250002"/>
    <s v="Nozzles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41.91151906250002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0"/>
    <m/>
    <s v="Furn Rear INTER HDR"/>
    <s v="Nozzles"/>
    <m/>
    <m/>
    <x v="11"/>
    <m/>
    <m/>
    <m/>
    <m/>
    <m/>
    <n v="8.261424148031999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0"/>
    <m/>
    <s v="Furn Rear INTER HDR"/>
    <s v="Nozzles"/>
    <m/>
    <m/>
    <x v="11"/>
    <m/>
    <m/>
    <m/>
    <m/>
    <m/>
    <n v="2.9948925600000003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0"/>
    <m/>
    <s v="Furn Rear INTER HDR"/>
    <s v="Nozzles"/>
    <m/>
    <m/>
    <x v="11"/>
    <m/>
    <m/>
    <m/>
    <m/>
    <m/>
    <n v="85.505492160000017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0"/>
    <m/>
    <s v="Furn Rear INTER HDR"/>
    <s v="Nozzles"/>
    <m/>
    <m/>
    <x v="11"/>
    <m/>
    <m/>
    <m/>
    <m/>
    <m/>
    <n v="123.527897856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0"/>
    <m/>
    <s v="Furn Rear INTER HDR"/>
    <s v="End Cap"/>
    <m/>
    <m/>
    <x v="11"/>
    <m/>
    <m/>
    <m/>
    <m/>
    <m/>
    <n v="32.526730541249997"/>
    <s v="ASME"/>
    <n v="0"/>
    <s v="OUT"/>
    <n v="0"/>
    <n v="32.526730541249997"/>
    <n v="0"/>
    <n v="32.526730541249997"/>
    <s v="End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32.526730541249997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0"/>
    <m/>
    <s v="Furn Rear INTER HDR"/>
    <s v="End Cap"/>
    <m/>
    <m/>
    <x v="11"/>
    <m/>
    <m/>
    <m/>
    <m/>
    <m/>
    <n v="2.1366723599999995"/>
    <s v="ASME"/>
    <n v="0"/>
    <s v="OUT"/>
    <n v="0"/>
    <n v="2.1366723599999995"/>
    <n v="0"/>
    <n v="2.1366723599999995"/>
    <s v="End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2.1366723599999995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0"/>
    <m/>
    <s v="Furn Rear INTER HDR"/>
    <s v="End Cap"/>
    <m/>
    <m/>
    <x v="11"/>
    <m/>
    <m/>
    <m/>
    <m/>
    <m/>
    <n v="16.480047374999998"/>
    <s v="ASME"/>
    <n v="0"/>
    <s v="OUT"/>
    <n v="0"/>
    <n v="16.480047374999998"/>
    <n v="0"/>
    <n v="16.480047374999998"/>
    <s v="End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6.480047374999998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0"/>
    <m/>
    <s v="Furn Rear INTER HDR"/>
    <s v="Plate"/>
    <m/>
    <m/>
    <x v="11"/>
    <m/>
    <m/>
    <m/>
    <m/>
    <m/>
    <n v="25.434000000000001"/>
    <s v="ASME"/>
    <n v="0.12"/>
    <s v="WBC"/>
    <e v="#N/A"/>
    <n v="28.486080000000005"/>
    <n v="0"/>
    <n v="28.486080000000005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8.48608000000000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1"/>
    <m/>
    <s v="Furn Left Side INTER HDR"/>
    <s v="Header"/>
    <m/>
    <m/>
    <x v="11"/>
    <m/>
    <m/>
    <m/>
    <m/>
    <m/>
    <n v="4077.0910655999996"/>
    <s v="ASME"/>
    <n v="0"/>
    <s v="OUT"/>
    <n v="0"/>
    <n v="4077.0910655999996"/>
    <n v="0"/>
    <n v="4077.0910655999996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4077.0910655999996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533"/>
    <n v="36"/>
    <m/>
    <x v="2"/>
    <m/>
  </r>
  <r>
    <x v="1"/>
    <x v="1"/>
    <s v="02"/>
    <s v="0211"/>
    <m/>
    <s v="Furn Left Side INTER HDR"/>
    <s v="Nozzles"/>
    <m/>
    <m/>
    <x v="11"/>
    <m/>
    <m/>
    <m/>
    <m/>
    <m/>
    <n v="11.745039374999999"/>
    <s v="ASME"/>
    <n v="0"/>
    <s v="OUT"/>
    <n v="0"/>
    <n v="11.745039374999999"/>
    <n v="0"/>
    <n v="11.745039374999999"/>
    <s v="Nozzles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1.745039374999999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1"/>
    <m/>
    <s v="Furn Left Side INTER HDR"/>
    <s v="Nozzles"/>
    <m/>
    <m/>
    <x v="11"/>
    <m/>
    <m/>
    <m/>
    <m/>
    <m/>
    <n v="141.91151906250002"/>
    <s v="ASME"/>
    <n v="0"/>
    <s v="OUT"/>
    <n v="0"/>
    <n v="141.91151906250002"/>
    <n v="0"/>
    <n v="141.91151906250002"/>
    <s v="Nozzles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41.91151906250002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1"/>
    <m/>
    <s v="Furn Left Side INTER HDR"/>
    <s v="Nozzles"/>
    <m/>
    <m/>
    <x v="11"/>
    <m/>
    <m/>
    <m/>
    <m/>
    <m/>
    <n v="8.261424148031999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1"/>
    <m/>
    <s v="Furn Left Side INTER HDR"/>
    <s v="Nozzles"/>
    <m/>
    <m/>
    <x v="11"/>
    <m/>
    <m/>
    <m/>
    <m/>
    <m/>
    <n v="2.9948925600000003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1"/>
    <m/>
    <s v="Furn Left Side INTER HDR"/>
    <s v="Nozzles"/>
    <m/>
    <m/>
    <x v="11"/>
    <m/>
    <m/>
    <m/>
    <m/>
    <m/>
    <n v="85.505492160000017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1"/>
    <m/>
    <s v="Furn Left Side INTER HDR"/>
    <s v="Nozzles"/>
    <m/>
    <m/>
    <x v="11"/>
    <m/>
    <m/>
    <m/>
    <m/>
    <m/>
    <n v="123.527897856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1"/>
    <m/>
    <s v="Furn Left Side INTER HDR"/>
    <s v="End Cap"/>
    <m/>
    <m/>
    <x v="11"/>
    <m/>
    <m/>
    <m/>
    <m/>
    <m/>
    <n v="32.526730541249997"/>
    <s v="ASME"/>
    <n v="0"/>
    <s v="OUT"/>
    <n v="0"/>
    <n v="32.526730541249997"/>
    <n v="0"/>
    <n v="32.526730541249997"/>
    <s v="End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32.526730541249997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1"/>
    <m/>
    <s v="Furn Left Side INTER HDR"/>
    <s v="End Cap"/>
    <m/>
    <m/>
    <x v="11"/>
    <m/>
    <m/>
    <m/>
    <m/>
    <m/>
    <n v="2.1366723599999995"/>
    <s v="ASME"/>
    <n v="0"/>
    <s v="OUT"/>
    <n v="0"/>
    <n v="2.1366723599999995"/>
    <n v="0"/>
    <n v="2.1366723599999995"/>
    <s v="End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2.1366723599999995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1"/>
    <m/>
    <s v="Furn Left Side INTER HDR"/>
    <s v="End Cap"/>
    <m/>
    <m/>
    <x v="11"/>
    <m/>
    <m/>
    <m/>
    <m/>
    <m/>
    <n v="16.480047374999998"/>
    <s v="ASME"/>
    <n v="0"/>
    <s v="OUT"/>
    <n v="0"/>
    <n v="16.480047374999998"/>
    <n v="0"/>
    <n v="16.480047374999998"/>
    <s v="End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6.480047374999998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1"/>
    <m/>
    <s v="Furn Left Side INTER HDR"/>
    <s v="Plate"/>
    <m/>
    <m/>
    <x v="11"/>
    <m/>
    <m/>
    <m/>
    <m/>
    <m/>
    <n v="25.434000000000001"/>
    <s v="ASME"/>
    <n v="0.12"/>
    <s v="WBC"/>
    <e v="#N/A"/>
    <n v="28.486080000000005"/>
    <n v="0"/>
    <n v="28.486080000000005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8.48608000000000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2"/>
    <m/>
    <s v="Furn Right Side INTER HDR"/>
    <s v="Header"/>
    <m/>
    <m/>
    <x v="11"/>
    <m/>
    <m/>
    <m/>
    <m/>
    <m/>
    <n v="4077.0910655999996"/>
    <s v="ASME"/>
    <n v="0"/>
    <s v="OUT"/>
    <n v="0"/>
    <n v="4077.0910655999996"/>
    <n v="0"/>
    <n v="4077.0910655999996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4077.0910655999996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533"/>
    <n v="36"/>
    <m/>
    <x v="2"/>
    <m/>
  </r>
  <r>
    <x v="1"/>
    <x v="1"/>
    <s v="02"/>
    <s v="0212"/>
    <m/>
    <s v="Furn Right Side INTER HDR"/>
    <s v="Nozzles"/>
    <m/>
    <m/>
    <x v="11"/>
    <m/>
    <m/>
    <m/>
    <m/>
    <m/>
    <n v="11.745039374999999"/>
    <s v="ASME"/>
    <n v="0"/>
    <s v="OUT"/>
    <n v="0"/>
    <n v="11.745039374999999"/>
    <n v="0"/>
    <n v="11.745039374999999"/>
    <s v="Nozzles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1.745039374999999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2"/>
    <m/>
    <s v="Furn Right Side INTER HDR"/>
    <s v="Nozzles"/>
    <m/>
    <m/>
    <x v="11"/>
    <m/>
    <m/>
    <m/>
    <m/>
    <m/>
    <n v="141.91151906250002"/>
    <s v="ASME"/>
    <n v="0"/>
    <s v="OUT"/>
    <n v="0"/>
    <n v="141.91151906250002"/>
    <n v="0"/>
    <n v="141.91151906250002"/>
    <s v="Nozzles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41.91151906250002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2"/>
    <m/>
    <s v="Furn Right Side INTER HDR"/>
    <s v="Nozzles"/>
    <m/>
    <m/>
    <x v="11"/>
    <m/>
    <m/>
    <m/>
    <m/>
    <m/>
    <n v="8.261424148031999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2"/>
    <m/>
    <s v="Furn Right Side INTER HDR"/>
    <s v="Nozzles"/>
    <m/>
    <m/>
    <x v="11"/>
    <m/>
    <m/>
    <m/>
    <m/>
    <m/>
    <n v="2.9948925600000003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2"/>
    <m/>
    <s v="Furn Right Side INTER HDR"/>
    <s v="Nozzles"/>
    <m/>
    <m/>
    <x v="11"/>
    <m/>
    <m/>
    <m/>
    <m/>
    <m/>
    <n v="85.505492160000017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2"/>
    <m/>
    <s v="Furn Right Side INTER HDR"/>
    <s v="Nozzles"/>
    <m/>
    <m/>
    <x v="11"/>
    <m/>
    <m/>
    <m/>
    <m/>
    <m/>
    <n v="123.527897856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2"/>
    <m/>
    <s v="Furn Right Side INTER HDR"/>
    <s v="End Cap"/>
    <m/>
    <m/>
    <x v="11"/>
    <m/>
    <m/>
    <m/>
    <m/>
    <m/>
    <n v="32.526730541249997"/>
    <s v="ASME"/>
    <n v="0"/>
    <s v="OUT"/>
    <n v="0"/>
    <n v="32.526730541249997"/>
    <n v="0"/>
    <n v="32.526730541249997"/>
    <s v="End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32.526730541249997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2"/>
    <m/>
    <s v="Furn Right Side INTER HDR"/>
    <s v="End Cap"/>
    <m/>
    <m/>
    <x v="11"/>
    <m/>
    <m/>
    <m/>
    <m/>
    <m/>
    <n v="2.1366723599999995"/>
    <s v="ASME"/>
    <n v="0"/>
    <s v="OUT"/>
    <n v="0"/>
    <n v="2.1366723599999995"/>
    <n v="0"/>
    <n v="2.1366723599999995"/>
    <s v="End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2.1366723599999995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2"/>
    <m/>
    <s v="Furn Right Side INTER HDR"/>
    <s v="End Cap"/>
    <m/>
    <m/>
    <x v="11"/>
    <m/>
    <m/>
    <m/>
    <m/>
    <m/>
    <n v="16.480047374999998"/>
    <s v="ASME"/>
    <n v="0"/>
    <s v="OUT"/>
    <n v="0"/>
    <n v="16.480047374999998"/>
    <n v="0"/>
    <n v="16.480047374999998"/>
    <s v="End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6.480047374999998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2"/>
    <m/>
    <s v="Furn Right Side INTER HDR"/>
    <s v="Plate"/>
    <m/>
    <m/>
    <x v="11"/>
    <m/>
    <m/>
    <m/>
    <m/>
    <m/>
    <n v="25.434000000000001"/>
    <s v="ASME"/>
    <n v="0.12"/>
    <s v="WBC"/>
    <e v="#N/A"/>
    <n v="28.486080000000005"/>
    <n v="0"/>
    <n v="28.486080000000005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8.48608000000000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3"/>
    <m/>
    <s v="Furn INTER HDR Terminal Tubes"/>
    <s v="Tube"/>
    <m/>
    <m/>
    <x v="11"/>
    <m/>
    <m/>
    <m/>
    <m/>
    <m/>
    <n v="8978.0766768000012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1558"/>
    <n v="121"/>
    <m/>
    <x v="1"/>
    <m/>
  </r>
  <r>
    <x v="1"/>
    <x v="1"/>
    <s v="02"/>
    <s v="0213"/>
    <m/>
    <s v="Furn INTER HDR Terminal Tubes"/>
    <s v="Tube"/>
    <m/>
    <m/>
    <x v="11"/>
    <m/>
    <m/>
    <m/>
    <m/>
    <m/>
    <n v="7720.4936159999997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3"/>
    <m/>
    <s v="Furn INTER HDR Terminal Tubes"/>
    <s v="Tube"/>
    <m/>
    <m/>
    <x v="11"/>
    <m/>
    <m/>
    <m/>
    <m/>
    <m/>
    <n v="6176.3948928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4"/>
    <m/>
    <s v="Furn INTER HDR Suspension"/>
    <s v="suspender"/>
    <m/>
    <m/>
    <x v="11"/>
    <m/>
    <m/>
    <m/>
    <m/>
    <m/>
    <n v="119.3175"/>
    <s v="ASME"/>
    <n v="0"/>
    <s v="OUT"/>
    <n v="0"/>
    <n v="119.3175"/>
    <n v="0"/>
    <n v="119.3175"/>
    <s v="suspender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119.3175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14"/>
    <m/>
    <s v="Furn INTER HDR Suspension"/>
    <s v="U type suspender"/>
    <m/>
    <m/>
    <x v="11"/>
    <m/>
    <m/>
    <m/>
    <m/>
    <m/>
    <n v="330.23842916177995"/>
    <s v="ASME"/>
    <n v="0"/>
    <s v="OUT"/>
    <n v="0"/>
    <n v="330.23842916177995"/>
    <n v="0"/>
    <n v="330.23842916177995"/>
    <s v="U type suspender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330.23842916177995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14"/>
    <m/>
    <s v="Furn INTER HDR Suspension"/>
    <s v="Plate "/>
    <m/>
    <m/>
    <x v="11"/>
    <m/>
    <m/>
    <m/>
    <m/>
    <m/>
    <n v="43.199999999999996"/>
    <s v="ASME"/>
    <n v="0.12"/>
    <s v="WBC"/>
    <e v="#N/A"/>
    <n v="48.384"/>
    <n v="0"/>
    <n v="48.38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8.38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4"/>
    <m/>
    <s v="Furn INTER HDR Suspension"/>
    <s v="Plate "/>
    <m/>
    <m/>
    <x v="11"/>
    <m/>
    <m/>
    <m/>
    <m/>
    <m/>
    <n v="188.64000000000001"/>
    <s v="ASME"/>
    <n v="0.12"/>
    <s v="WBC"/>
    <e v="#N/A"/>
    <n v="211.27680000000004"/>
    <n v="0"/>
    <n v="211.276800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11.2768000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4"/>
    <m/>
    <s v="Furn INTER HDR Suspension"/>
    <s v="Plate "/>
    <m/>
    <m/>
    <x v="11"/>
    <m/>
    <m/>
    <m/>
    <m/>
    <m/>
    <n v="56.52"/>
    <s v="ASME"/>
    <n v="0.12"/>
    <s v="WBC"/>
    <e v="#N/A"/>
    <n v="63.302400000000013"/>
    <n v="0"/>
    <n v="63.30240000000001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63.30240000000001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4"/>
    <m/>
    <s v="Furn INTER HDR Suspension"/>
    <s v="Plate "/>
    <m/>
    <m/>
    <x v="11"/>
    <m/>
    <m/>
    <m/>
    <m/>
    <m/>
    <n v="16.956"/>
    <s v="ASME"/>
    <n v="0.12"/>
    <s v="WBC"/>
    <e v="#N/A"/>
    <n v="18.99072"/>
    <n v="0"/>
    <n v="18.9907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8.9907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4"/>
    <m/>
    <s v="Furn INTER HDR Suspension"/>
    <s v="gasket"/>
    <m/>
    <m/>
    <x v="11"/>
    <m/>
    <m/>
    <m/>
    <m/>
    <m/>
    <n v="7.2"/>
    <s v="ASME"/>
    <n v="0"/>
    <s v="OUT"/>
    <n v="0"/>
    <n v="7.2"/>
    <n v="0"/>
    <n v="7.2"/>
    <s v="gaske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7.2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14"/>
    <m/>
    <s v="Furn INTER HDR Suspension"/>
    <s v="nut"/>
    <m/>
    <m/>
    <x v="11"/>
    <m/>
    <m/>
    <m/>
    <m/>
    <m/>
    <n v="447.5"/>
    <s v="ASME"/>
    <n v="0"/>
    <s v="OUT"/>
    <n v="0"/>
    <n v="447.5"/>
    <n v="0"/>
    <n v="447.5"/>
    <s v="nu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447.5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14"/>
    <m/>
    <s v="Furn INTER HDR Suspension"/>
    <s v="Tube "/>
    <m/>
    <m/>
    <x v="11"/>
    <m/>
    <m/>
    <m/>
    <m/>
    <m/>
    <n v="130.50867033395789"/>
    <s v="ASME"/>
    <n v="0"/>
    <s v="OUT"/>
    <n v="0"/>
    <n v="130.50867033395789"/>
    <n v="1369.491329666042"/>
    <n v="1500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1500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2"/>
    <m/>
  </r>
  <r>
    <x v="1"/>
    <x v="1"/>
    <s v="02"/>
    <s v="0214"/>
    <m/>
    <s v="Furn INTER HDR Suspension"/>
    <s v="Plate "/>
    <m/>
    <m/>
    <x v="11"/>
    <m/>
    <m/>
    <m/>
    <m/>
    <m/>
    <n v="46.800000000000004"/>
    <s v="ASME"/>
    <n v="0.12"/>
    <s v="WBC"/>
    <e v="#N/A"/>
    <n v="52.416000000000011"/>
    <n v="0"/>
    <n v="52.41600000000001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2.41600000000001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4"/>
    <m/>
    <s v="Furn INTER HDR Suspension"/>
    <s v="unequal angle steel"/>
    <m/>
    <m/>
    <x v="11"/>
    <m/>
    <m/>
    <m/>
    <m/>
    <m/>
    <n v="366.48"/>
    <s v="ASME"/>
    <n v="0.12"/>
    <s v="WBC"/>
    <e v="#N/A"/>
    <n v="410.45760000000007"/>
    <n v="0"/>
    <n v="410.45760000000007"/>
    <s v=""/>
    <x v="1"/>
    <s v="Profiled Bar"/>
    <s v="Profiled Bar"/>
    <m/>
    <m/>
    <m/>
    <n v="0"/>
    <x v="2"/>
    <x v="0"/>
    <x v="0"/>
    <x v="0"/>
    <n v="0"/>
    <x v="0"/>
    <s v="KG"/>
    <n v="0"/>
    <n v="0"/>
    <n v="0"/>
    <n v="0"/>
    <n v="410.45760000000007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4"/>
    <m/>
    <s v="Furn INTER HDR Suspension"/>
    <s v="variable spring hanger"/>
    <m/>
    <m/>
    <x v="11"/>
    <m/>
    <m/>
    <m/>
    <m/>
    <m/>
    <n v="1116"/>
    <s v="ASME"/>
    <n v="0"/>
    <s v="OUT"/>
    <n v="0"/>
    <n v="1116"/>
    <n v="0"/>
    <n v="1116"/>
    <s v="variable spring hanger"/>
    <x v="1"/>
    <s v="Various"/>
    <s v="Various"/>
    <m/>
    <m/>
    <m/>
    <n v="0"/>
    <x v="0"/>
    <x v="0"/>
    <x v="1"/>
    <x v="0"/>
    <n v="90"/>
    <x v="0"/>
    <s v="KG"/>
    <n v="60"/>
    <n v="51.282051282051285"/>
    <n v="0.1"/>
    <n v="46.15384615384616"/>
    <n v="1116"/>
    <n v="0"/>
    <n v="57230.769230769234"/>
    <n v="0"/>
    <n v="51507.692307692312"/>
    <d v="2016-11-07T00:00:00"/>
    <n v="7"/>
    <d v="2016-11-14T00:00:00"/>
    <d v="2018-07-18T00:00:00"/>
    <d v="2018-11-04T00:00:00"/>
    <n v="4"/>
    <n v="7"/>
    <n v="0"/>
    <n v="0"/>
    <n v="0"/>
    <n v="0"/>
    <n v="0"/>
    <m/>
    <n v="0"/>
    <n v="51507.692307692312"/>
    <n v="0"/>
    <m/>
    <m/>
    <x v="2"/>
    <m/>
  </r>
  <r>
    <x v="1"/>
    <x v="1"/>
    <s v="02"/>
    <s v="0215"/>
    <m/>
    <s v="Furn Front Tube Pan.s"/>
    <s v="Tube"/>
    <m/>
    <m/>
    <x v="11"/>
    <m/>
    <m/>
    <m/>
    <m/>
    <m/>
    <n v="31848.023582564118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6125"/>
    <n v="225"/>
    <m/>
    <x v="1"/>
    <m/>
  </r>
  <r>
    <x v="1"/>
    <x v="1"/>
    <s v="02"/>
    <s v="0215"/>
    <m/>
    <s v="Furn Front Tube Pan.s"/>
    <s v="Tube"/>
    <m/>
    <m/>
    <x v="11"/>
    <m/>
    <m/>
    <m/>
    <m/>
    <m/>
    <n v="20619.663887116803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1"/>
    <x v="1"/>
    <s v="02"/>
    <s v="0215"/>
    <m/>
    <s v="Furn Front Tube Pan.s"/>
    <s v="Fin "/>
    <m/>
    <m/>
    <x v="11"/>
    <m/>
    <m/>
    <m/>
    <m/>
    <m/>
    <n v="6421.6"/>
    <s v="ASME"/>
    <n v="7.0000000000000007E-2"/>
    <s v="WBC"/>
    <n v="0"/>
    <n v="6871.112000000001"/>
    <n v="0"/>
    <n v="6871.11200000000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6871.112000000001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0215"/>
    <m/>
    <s v="Furn Front Tube Pan.s"/>
    <s v="Fin "/>
    <m/>
    <m/>
    <x v="11"/>
    <m/>
    <m/>
    <m/>
    <m/>
    <m/>
    <n v="132.54999999999998"/>
    <s v="ASME"/>
    <n v="7.0000000000000007E-2"/>
    <s v="WBC"/>
    <n v="0"/>
    <n v="141.82849999999999"/>
    <n v="0"/>
    <n v="141.82849999999999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41.82849999999999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0215"/>
    <m/>
    <s v="Furn Front Tube Pan.s"/>
    <s v="Fin "/>
    <m/>
    <m/>
    <x v="11"/>
    <m/>
    <m/>
    <m/>
    <m/>
    <m/>
    <n v="539.81900000000007"/>
    <s v="ASME"/>
    <n v="7.0000000000000007E-2"/>
    <s v="WBC"/>
    <n v="0"/>
    <n v="577.60633000000007"/>
    <n v="0"/>
    <n v="577.60633000000007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577.60633000000007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0215"/>
    <m/>
    <s v="Furn Front Tube Pan.s"/>
    <s v="Y type Forging"/>
    <m/>
    <m/>
    <x v="11"/>
    <m/>
    <m/>
    <m/>
    <m/>
    <m/>
    <n v="594"/>
    <s v="ASME"/>
    <n v="0"/>
    <s v="OUT"/>
    <n v="0"/>
    <n v="594"/>
    <n v="0"/>
    <n v="594"/>
    <s v="Y type Forging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594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0"/>
    <m/>
    <m/>
    <x v="0"/>
    <m/>
  </r>
  <r>
    <x v="1"/>
    <x v="1"/>
    <s v="02"/>
    <s v="0215"/>
    <m/>
    <s v="Furn Front Tube Pan.s"/>
    <s v="filler"/>
    <m/>
    <m/>
    <x v="11"/>
    <m/>
    <m/>
    <m/>
    <m/>
    <m/>
    <n v="42.179999999999993"/>
    <s v="ASME"/>
    <n v="0.12"/>
    <s v="WBC"/>
    <e v="#N/A"/>
    <n v="47.241599999999998"/>
    <n v="0"/>
    <n v="47.241599999999998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7.241599999999998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filler"/>
    <m/>
    <m/>
    <x v="11"/>
    <m/>
    <m/>
    <m/>
    <m/>
    <m/>
    <n v="21.180000000000003"/>
    <s v="ASME"/>
    <n v="0.12"/>
    <s v="WBC"/>
    <e v="#N/A"/>
    <n v="23.721600000000006"/>
    <n v="0"/>
    <n v="23.72160000000000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3.721600000000006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filler"/>
    <m/>
    <m/>
    <x v="11"/>
    <m/>
    <m/>
    <m/>
    <m/>
    <m/>
    <n v="2.0799999999999996"/>
    <s v="ASME"/>
    <n v="0.12"/>
    <s v="WBC"/>
    <e v="#N/A"/>
    <n v="2.3295999999999997"/>
    <n v="0"/>
    <n v="2.3295999999999997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.3295999999999997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filler"/>
    <m/>
    <m/>
    <x v="11"/>
    <m/>
    <m/>
    <m/>
    <m/>
    <m/>
    <n v="1.1000000000000001"/>
    <s v="ASME"/>
    <n v="0.12"/>
    <s v="WBC"/>
    <e v="#N/A"/>
    <n v="1.2320000000000002"/>
    <n v="0"/>
    <n v="1.23200000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.2320000000000002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Plate "/>
    <m/>
    <m/>
    <x v="11"/>
    <m/>
    <m/>
    <m/>
    <m/>
    <m/>
    <n v="172.70000000000002"/>
    <s v="ASME"/>
    <n v="0.12"/>
    <s v="WBC"/>
    <e v="#N/A"/>
    <n v="193.42400000000004"/>
    <n v="0"/>
    <n v="193.424000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93.42400000000004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V type Plate "/>
    <m/>
    <m/>
    <x v="11"/>
    <m/>
    <m/>
    <m/>
    <m/>
    <m/>
    <n v="125.02000000000001"/>
    <s v="ASME"/>
    <n v="0.12"/>
    <s v="WBC"/>
    <e v="#N/A"/>
    <n v="140.02240000000003"/>
    <n v="0"/>
    <n v="140.0224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40.02240000000003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Plate "/>
    <m/>
    <m/>
    <x v="11"/>
    <m/>
    <m/>
    <m/>
    <m/>
    <m/>
    <n v="131.75"/>
    <s v="ASME"/>
    <n v="0.12"/>
    <s v="WBC"/>
    <e v="#N/A"/>
    <n v="147.56"/>
    <n v="0"/>
    <n v="147.5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47.56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Plate "/>
    <m/>
    <m/>
    <x v="11"/>
    <m/>
    <m/>
    <m/>
    <m/>
    <m/>
    <n v="44.73"/>
    <s v="ASME"/>
    <n v="0.12"/>
    <s v="WBC"/>
    <e v="#N/A"/>
    <n v="50.0976"/>
    <n v="0"/>
    <n v="50.097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0.0976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Channel Steel"/>
    <m/>
    <m/>
    <x v="11"/>
    <m/>
    <m/>
    <m/>
    <m/>
    <m/>
    <n v="47.43"/>
    <s v="ASME"/>
    <n v="0.12"/>
    <s v="WBC"/>
    <e v="#N/A"/>
    <n v="53.121600000000008"/>
    <n v="0"/>
    <n v="53.121600000000008"/>
    <s v=""/>
    <x v="1"/>
    <s v="Profiled Bar"/>
    <s v="Profiled Bar"/>
    <m/>
    <m/>
    <m/>
    <n v="0"/>
    <x v="2"/>
    <x v="0"/>
    <x v="0"/>
    <x v="0"/>
    <n v="0"/>
    <x v="0"/>
    <s v="KG"/>
    <n v="0"/>
    <n v="0"/>
    <n v="0"/>
    <n v="0"/>
    <n v="53.121600000000008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bolt"/>
    <m/>
    <m/>
    <x v="11"/>
    <m/>
    <m/>
    <m/>
    <m/>
    <m/>
    <n v="11.34"/>
    <s v="ASME"/>
    <n v="0"/>
    <s v="OUT"/>
    <n v="0"/>
    <n v="11.34"/>
    <n v="0"/>
    <n v="11.34"/>
    <s v="bol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11.34"/>
    <n v="0"/>
    <n v="0"/>
    <n v="0"/>
    <e v="#N/A"/>
    <d v="1899-12-30T00:00:00"/>
    <n v="0"/>
    <d v="1899-12-30T00:00:00"/>
    <d v="2018-05-19T00:00:00"/>
    <d v="2018-09-05T00:00:00"/>
    <n v="4"/>
    <n v="5"/>
    <n v="0"/>
    <n v="0"/>
    <n v="0"/>
    <n v="0"/>
    <n v="0"/>
    <m/>
    <e v="#N/A"/>
    <e v="#N/A"/>
    <n v="0"/>
    <m/>
    <m/>
    <x v="2"/>
    <m/>
  </r>
  <r>
    <x v="1"/>
    <x v="1"/>
    <s v="02"/>
    <s v="0215"/>
    <m/>
    <s v="Furn Front Tube Pan.s"/>
    <s v="gasket"/>
    <m/>
    <m/>
    <x v="11"/>
    <m/>
    <m/>
    <m/>
    <m/>
    <m/>
    <n v="1"/>
    <s v="ASME"/>
    <n v="0"/>
    <s v="OUT"/>
    <n v="0"/>
    <n v="1"/>
    <n v="0"/>
    <n v="1"/>
    <s v="gaske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1"/>
    <n v="0"/>
    <n v="0"/>
    <n v="0"/>
    <e v="#N/A"/>
    <d v="1899-12-30T00:00:00"/>
    <n v="0"/>
    <d v="1899-12-30T00:00:00"/>
    <d v="2018-05-19T00:00:00"/>
    <d v="2018-09-05T00:00:00"/>
    <n v="4"/>
    <n v="5"/>
    <n v="0"/>
    <n v="0"/>
    <n v="0"/>
    <n v="0"/>
    <n v="0"/>
    <m/>
    <e v="#N/A"/>
    <e v="#N/A"/>
    <n v="0"/>
    <m/>
    <m/>
    <x v="2"/>
    <m/>
  </r>
  <r>
    <x v="1"/>
    <x v="1"/>
    <s v="02"/>
    <s v="0215"/>
    <m/>
    <s v="Furn Front Tube Pan.s"/>
    <s v="nut"/>
    <m/>
    <m/>
    <x v="11"/>
    <m/>
    <m/>
    <m/>
    <m/>
    <m/>
    <n v="5.04"/>
    <s v="ASME"/>
    <n v="0"/>
    <s v="OUT"/>
    <n v="0"/>
    <n v="5.04"/>
    <n v="0"/>
    <n v="5.04"/>
    <s v="nu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5.04"/>
    <n v="0"/>
    <n v="0"/>
    <n v="0"/>
    <e v="#N/A"/>
    <d v="1899-12-30T00:00:00"/>
    <n v="0"/>
    <d v="1899-12-30T00:00:00"/>
    <d v="2018-05-19T00:00:00"/>
    <d v="2018-09-05T00:00:00"/>
    <n v="4"/>
    <n v="5"/>
    <n v="0"/>
    <n v="0"/>
    <n v="0"/>
    <n v="0"/>
    <n v="0"/>
    <m/>
    <e v="#N/A"/>
    <e v="#N/A"/>
    <n v="0"/>
    <m/>
    <m/>
    <x v="2"/>
    <m/>
  </r>
  <r>
    <x v="1"/>
    <x v="1"/>
    <s v="02"/>
    <s v="0215"/>
    <m/>
    <s v="Furn Front Tube Pan.s"/>
    <s v="filler"/>
    <m/>
    <m/>
    <x v="11"/>
    <m/>
    <m/>
    <m/>
    <m/>
    <m/>
    <n v="18.719999999999995"/>
    <s v="ASME"/>
    <n v="0.12"/>
    <s v="WBC"/>
    <e v="#N/A"/>
    <n v="20.966399999999997"/>
    <n v="0"/>
    <n v="20.966399999999997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0.966399999999997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Rod "/>
    <m/>
    <m/>
    <x v="11"/>
    <m/>
    <m/>
    <m/>
    <m/>
    <m/>
    <n v="7.75"/>
    <s v="ASME"/>
    <n v="0.12"/>
    <s v="WBC"/>
    <e v="#N/A"/>
    <n v="8.6800000000000015"/>
    <n v="0"/>
    <n v="8.6800000000000015"/>
    <s v=""/>
    <x v="1"/>
    <s v="Rod"/>
    <s v="Rod"/>
    <m/>
    <m/>
    <m/>
    <n v="0"/>
    <x v="2"/>
    <x v="0"/>
    <x v="0"/>
    <x v="0"/>
    <n v="0"/>
    <x v="0"/>
    <s v="KG"/>
    <n v="0"/>
    <n v="0"/>
    <n v="0"/>
    <n v="0"/>
    <n v="8.6800000000000015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Plate "/>
    <m/>
    <m/>
    <x v="11"/>
    <m/>
    <m/>
    <m/>
    <m/>
    <m/>
    <n v="1125.1648"/>
    <s v="ASME"/>
    <n v="0.12"/>
    <s v="WBC"/>
    <e v="#N/A"/>
    <n v="1260.1845760000001"/>
    <n v="0"/>
    <n v="1260.184576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260.1845760000001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Plate "/>
    <m/>
    <m/>
    <x v="11"/>
    <m/>
    <m/>
    <m/>
    <m/>
    <m/>
    <n v="67.320000000000007"/>
    <s v="ASME"/>
    <n v="0.12"/>
    <s v="WBC"/>
    <e v="#N/A"/>
    <n v="75.398400000000009"/>
    <n v="0"/>
    <n v="75.398400000000009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75.398400000000009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Plate "/>
    <m/>
    <m/>
    <x v="11"/>
    <m/>
    <m/>
    <m/>
    <m/>
    <m/>
    <n v="147.744"/>
    <s v="ASME"/>
    <n v="0.12"/>
    <s v="WBC"/>
    <e v="#N/A"/>
    <n v="165.47328000000002"/>
    <n v="0"/>
    <n v="165.473280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65.47328000000002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Plate "/>
    <m/>
    <m/>
    <x v="11"/>
    <m/>
    <m/>
    <m/>
    <m/>
    <m/>
    <n v="2152.6999999999998"/>
    <s v="ASME"/>
    <n v="0.12"/>
    <s v="WBC"/>
    <e v="#N/A"/>
    <n v="2411.0239999999999"/>
    <n v="0"/>
    <n v="2411.0239999999999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411.0239999999999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Plate "/>
    <m/>
    <m/>
    <x v="11"/>
    <m/>
    <m/>
    <m/>
    <m/>
    <m/>
    <n v="272.52965499999999"/>
    <s v="ASME"/>
    <n v="0.12"/>
    <s v="WBC"/>
    <e v="#N/A"/>
    <n v="305.2332136"/>
    <n v="0"/>
    <n v="305.233213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305.2332136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Plate "/>
    <m/>
    <m/>
    <x v="11"/>
    <m/>
    <m/>
    <m/>
    <m/>
    <m/>
    <n v="10.18"/>
    <s v="ASME"/>
    <n v="0.12"/>
    <s v="WBC"/>
    <e v="#N/A"/>
    <n v="11.4016"/>
    <n v="0"/>
    <n v="11.401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1.4016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Tube "/>
    <m/>
    <m/>
    <x v="11"/>
    <m/>
    <m/>
    <m/>
    <m/>
    <m/>
    <n v="20410.771652386185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1"/>
    <x v="1"/>
    <s v="02"/>
    <s v="0215"/>
    <m/>
    <s v="Furn Front Tube Pan.s"/>
    <s v="Fin "/>
    <m/>
    <m/>
    <x v="11"/>
    <m/>
    <m/>
    <m/>
    <m/>
    <m/>
    <n v="9331.1200000000008"/>
    <s v="ASME"/>
    <n v="7.0000000000000007E-2"/>
    <s v="WBC"/>
    <n v="0"/>
    <n v="9984.2984000000015"/>
    <n v="0"/>
    <n v="9984.2984000000015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9984.2984000000015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0215"/>
    <m/>
    <s v="Furn Front Tube Pan.s"/>
    <s v="Fin "/>
    <m/>
    <m/>
    <x v="11"/>
    <m/>
    <m/>
    <m/>
    <m/>
    <m/>
    <n v="389.68"/>
    <s v="ASME"/>
    <n v="7.0000000000000007E-2"/>
    <s v="WBC"/>
    <n v="0"/>
    <n v="416.95760000000001"/>
    <n v="0"/>
    <n v="416.9576000000000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416.95760000000001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0215"/>
    <m/>
    <s v="Furn Front Tube Pan.s"/>
    <s v="Fin "/>
    <m/>
    <m/>
    <x v="11"/>
    <m/>
    <m/>
    <m/>
    <m/>
    <m/>
    <n v="40.559999999999995"/>
    <s v="ASME"/>
    <n v="7.0000000000000007E-2"/>
    <s v="WBC"/>
    <n v="0"/>
    <n v="43.3992"/>
    <n v="0"/>
    <n v="43.3992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43.3992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0215"/>
    <m/>
    <s v="Furn Front Tube Pan.s"/>
    <s v="Plate "/>
    <m/>
    <m/>
    <x v="11"/>
    <m/>
    <m/>
    <m/>
    <m/>
    <m/>
    <n v="7.0299999999999994"/>
    <s v="ASME"/>
    <n v="0.12"/>
    <s v="WBC"/>
    <e v="#N/A"/>
    <n v="7.8735999999999997"/>
    <n v="0"/>
    <n v="7.8735999999999997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7.8735999999999997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Plate "/>
    <m/>
    <m/>
    <x v="11"/>
    <m/>
    <m/>
    <m/>
    <m/>
    <m/>
    <n v="29.240000000000002"/>
    <s v="ASME"/>
    <n v="0.12"/>
    <s v="WBC"/>
    <e v="#N/A"/>
    <n v="32.748800000000003"/>
    <n v="0"/>
    <n v="32.74880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32.748800000000003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filler"/>
    <m/>
    <m/>
    <x v="11"/>
    <m/>
    <m/>
    <m/>
    <m/>
    <m/>
    <n v="8.07"/>
    <s v="ASME"/>
    <n v="0.12"/>
    <s v="WBC"/>
    <e v="#N/A"/>
    <n v="9.0384000000000011"/>
    <n v="0"/>
    <n v="9.038400000000001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9.0384000000000011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15"/>
    <m/>
    <s v="Furn Front Tube Pan.s"/>
    <s v="T type Forging"/>
    <m/>
    <m/>
    <x v="11"/>
    <m/>
    <m/>
    <m/>
    <m/>
    <m/>
    <n v="540"/>
    <s v="ASME"/>
    <n v="0"/>
    <s v="OUT"/>
    <n v="0"/>
    <n v="540"/>
    <n v="0"/>
    <n v="540"/>
    <s v="T type Forging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540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0"/>
    <m/>
    <m/>
    <x v="0"/>
    <m/>
  </r>
  <r>
    <x v="1"/>
    <x v="1"/>
    <s v="02"/>
    <s v="0216"/>
    <m/>
    <s v="Furn Rear Tube Pan.s"/>
    <s v="Tube"/>
    <m/>
    <m/>
    <x v="11"/>
    <m/>
    <m/>
    <m/>
    <m/>
    <m/>
    <n v="31848.023582564118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6128"/>
    <n v="225"/>
    <m/>
    <x v="1"/>
    <m/>
  </r>
  <r>
    <x v="1"/>
    <x v="1"/>
    <s v="02"/>
    <s v="0216"/>
    <m/>
    <s v="Furn Rear Tube Pan.s"/>
    <s v="Tube"/>
    <m/>
    <m/>
    <x v="11"/>
    <m/>
    <m/>
    <m/>
    <m/>
    <m/>
    <n v="20619.663887116803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6"/>
    <m/>
    <s v="Furn Rear Tube Pan.s"/>
    <s v="Fin "/>
    <m/>
    <m/>
    <x v="11"/>
    <m/>
    <m/>
    <m/>
    <m/>
    <m/>
    <n v="6682.2800000000007"/>
    <s v="ASME"/>
    <n v="7.0000000000000007E-2"/>
    <s v="WBC"/>
    <n v="0"/>
    <n v="7150.039600000001"/>
    <n v="0"/>
    <n v="7150.03960000000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7150.039600000001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6"/>
    <m/>
    <s v="Furn Rear Tube Pan.s"/>
    <s v="Fin "/>
    <m/>
    <m/>
    <x v="11"/>
    <m/>
    <m/>
    <m/>
    <m/>
    <m/>
    <n v="137.94"/>
    <s v="ASME"/>
    <n v="7.0000000000000007E-2"/>
    <s v="WBC"/>
    <n v="0"/>
    <n v="147.5958"/>
    <n v="0"/>
    <n v="147.5958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47.5958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6"/>
    <m/>
    <s v="Furn Rear Tube Pan.s"/>
    <s v="Fin "/>
    <m/>
    <m/>
    <x v="11"/>
    <m/>
    <m/>
    <m/>
    <m/>
    <m/>
    <n v="938.78399999999999"/>
    <s v="ASME"/>
    <n v="7.0000000000000007E-2"/>
    <s v="WBC"/>
    <n v="0"/>
    <n v="1004.4988800000001"/>
    <n v="0"/>
    <n v="1004.498880000000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004.4988800000001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6"/>
    <m/>
    <s v="Furn Rear Tube Pan.s"/>
    <s v="Y type Forging"/>
    <m/>
    <m/>
    <x v="11"/>
    <m/>
    <m/>
    <m/>
    <m/>
    <m/>
    <n v="594"/>
    <s v="ASME"/>
    <n v="0"/>
    <s v="OUT"/>
    <n v="0"/>
    <n v="594"/>
    <n v="0"/>
    <n v="594"/>
    <s v="Y type Forging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594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6"/>
    <m/>
    <s v="Furn Rear Tube Pan.s"/>
    <s v="filler"/>
    <m/>
    <m/>
    <x v="11"/>
    <m/>
    <m/>
    <m/>
    <m/>
    <m/>
    <n v="42.179999999999993"/>
    <s v="ASME"/>
    <n v="0.12"/>
    <s v="WBC"/>
    <e v="#N/A"/>
    <n v="47.241599999999998"/>
    <n v="0"/>
    <n v="47.241599999999998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7.24159999999999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filler"/>
    <m/>
    <m/>
    <x v="11"/>
    <m/>
    <m/>
    <m/>
    <m/>
    <m/>
    <n v="21.180000000000003"/>
    <s v="ASME"/>
    <n v="0.12"/>
    <s v="WBC"/>
    <e v="#N/A"/>
    <n v="23.721600000000006"/>
    <n v="0"/>
    <n v="23.72160000000000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3.721600000000006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filler"/>
    <m/>
    <m/>
    <x v="11"/>
    <m/>
    <m/>
    <m/>
    <m/>
    <m/>
    <n v="2.0799999999999996"/>
    <s v="ASME"/>
    <n v="0.12"/>
    <s v="WBC"/>
    <e v="#N/A"/>
    <n v="2.3295999999999997"/>
    <n v="0"/>
    <n v="2.3295999999999997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.3295999999999997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filler"/>
    <m/>
    <m/>
    <x v="11"/>
    <m/>
    <m/>
    <m/>
    <m/>
    <m/>
    <n v="2.2199999999999998"/>
    <s v="ASME"/>
    <n v="0.12"/>
    <s v="WBC"/>
    <e v="#N/A"/>
    <n v="2.4864000000000002"/>
    <n v="0"/>
    <n v="2.48640000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.486400000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Plate "/>
    <m/>
    <m/>
    <x v="11"/>
    <m/>
    <m/>
    <m/>
    <m/>
    <m/>
    <n v="172.70000000000002"/>
    <s v="ASME"/>
    <n v="0.12"/>
    <s v="WBC"/>
    <e v="#N/A"/>
    <n v="193.42400000000004"/>
    <n v="0"/>
    <n v="193.424000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93.4240000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V type Plate "/>
    <m/>
    <m/>
    <x v="11"/>
    <m/>
    <m/>
    <m/>
    <m/>
    <m/>
    <n v="125.02000000000001"/>
    <s v="ASME"/>
    <n v="0.12"/>
    <s v="WBC"/>
    <e v="#N/A"/>
    <n v="140.02240000000003"/>
    <n v="0"/>
    <n v="140.0224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40.0224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Plate "/>
    <m/>
    <m/>
    <x v="11"/>
    <m/>
    <m/>
    <m/>
    <m/>
    <m/>
    <n v="131.75"/>
    <s v="ASME"/>
    <n v="0.12"/>
    <s v="WBC"/>
    <e v="#N/A"/>
    <n v="147.56"/>
    <n v="0"/>
    <n v="147.5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47.56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Plate "/>
    <m/>
    <m/>
    <x v="11"/>
    <m/>
    <m/>
    <m/>
    <m/>
    <m/>
    <n v="44.73"/>
    <s v="ASME"/>
    <n v="0.12"/>
    <s v="WBC"/>
    <e v="#N/A"/>
    <n v="50.0976"/>
    <n v="0"/>
    <n v="50.097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0.0976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Channel Steel"/>
    <m/>
    <m/>
    <x v="11"/>
    <m/>
    <m/>
    <m/>
    <m/>
    <m/>
    <n v="47.43"/>
    <s v="ASME"/>
    <n v="0.12"/>
    <s v="WBC"/>
    <e v="#N/A"/>
    <n v="53.121600000000008"/>
    <n v="0"/>
    <n v="53.121600000000008"/>
    <s v=""/>
    <x v="1"/>
    <s v="Profiled Bar"/>
    <s v="Profiled Bar"/>
    <m/>
    <m/>
    <m/>
    <n v="0"/>
    <x v="2"/>
    <x v="0"/>
    <x v="0"/>
    <x v="0"/>
    <n v="0"/>
    <x v="0"/>
    <s v="KG"/>
    <n v="0"/>
    <n v="0"/>
    <n v="0"/>
    <n v="0"/>
    <n v="53.12160000000000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bolt"/>
    <m/>
    <m/>
    <x v="11"/>
    <m/>
    <m/>
    <m/>
    <m/>
    <m/>
    <n v="11.34"/>
    <s v="ASME"/>
    <n v="0"/>
    <s v="OUT"/>
    <n v="0"/>
    <n v="11.34"/>
    <n v="0"/>
    <n v="11.34"/>
    <s v="bol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11.34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16"/>
    <m/>
    <s v="Furn Rear Tube Pan.s"/>
    <s v="gasket"/>
    <m/>
    <m/>
    <x v="11"/>
    <m/>
    <m/>
    <m/>
    <m/>
    <m/>
    <n v="1"/>
    <s v="ASME"/>
    <n v="0"/>
    <s v="OUT"/>
    <n v="0"/>
    <n v="1"/>
    <n v="0"/>
    <n v="1"/>
    <s v="gaske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1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16"/>
    <m/>
    <s v="Furn Rear Tube Pan.s"/>
    <s v="nut"/>
    <m/>
    <m/>
    <x v="11"/>
    <m/>
    <m/>
    <m/>
    <m/>
    <m/>
    <n v="5.04"/>
    <s v="ASME"/>
    <n v="0"/>
    <s v="OUT"/>
    <n v="0"/>
    <n v="5.04"/>
    <n v="0"/>
    <n v="5.04"/>
    <s v="nu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5.04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16"/>
    <m/>
    <s v="Furn Rear Tube Pan.s"/>
    <s v="filler"/>
    <m/>
    <m/>
    <x v="11"/>
    <m/>
    <m/>
    <m/>
    <m/>
    <m/>
    <n v="18.719999999999995"/>
    <s v="ASME"/>
    <n v="0.12"/>
    <s v="WBC"/>
    <e v="#N/A"/>
    <n v="20.966399999999997"/>
    <n v="0"/>
    <n v="20.966399999999997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0.966399999999997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Rod "/>
    <m/>
    <m/>
    <x v="11"/>
    <m/>
    <m/>
    <m/>
    <m/>
    <m/>
    <n v="7.75"/>
    <s v="ASME"/>
    <n v="0.12"/>
    <s v="WBC"/>
    <e v="#N/A"/>
    <n v="8.6800000000000015"/>
    <n v="0"/>
    <n v="8.6800000000000015"/>
    <s v=""/>
    <x v="1"/>
    <s v="Rod"/>
    <s v="Rod"/>
    <m/>
    <m/>
    <m/>
    <n v="0"/>
    <x v="2"/>
    <x v="0"/>
    <x v="0"/>
    <x v="0"/>
    <n v="0"/>
    <x v="0"/>
    <s v="KG"/>
    <n v="0"/>
    <n v="0"/>
    <n v="0"/>
    <n v="0"/>
    <n v="8.680000000000001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Plate "/>
    <m/>
    <m/>
    <x v="11"/>
    <m/>
    <m/>
    <m/>
    <m/>
    <m/>
    <n v="394.732125"/>
    <s v="ASME"/>
    <n v="0.12"/>
    <s v="WBC"/>
    <e v="#N/A"/>
    <n v="442.09998000000002"/>
    <n v="0"/>
    <n v="442.099980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42.0999800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Plate "/>
    <m/>
    <m/>
    <x v="11"/>
    <m/>
    <m/>
    <m/>
    <m/>
    <m/>
    <n v="1343.06935"/>
    <s v="ASME"/>
    <n v="0.12"/>
    <s v="WBC"/>
    <e v="#N/A"/>
    <n v="1504.2376720000002"/>
    <n v="0"/>
    <n v="1504.237672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504.237672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Plate "/>
    <m/>
    <m/>
    <x v="11"/>
    <m/>
    <m/>
    <m/>
    <m/>
    <m/>
    <n v="1435.6999999999998"/>
    <s v="ASME"/>
    <n v="0.12"/>
    <s v="WBC"/>
    <e v="#N/A"/>
    <n v="1607.9839999999999"/>
    <n v="0"/>
    <n v="1607.9839999999999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607.9839999999999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Plate "/>
    <m/>
    <m/>
    <x v="11"/>
    <m/>
    <m/>
    <m/>
    <m/>
    <m/>
    <n v="104.39100000000001"/>
    <s v="ASME"/>
    <n v="0.12"/>
    <s v="WBC"/>
    <e v="#N/A"/>
    <n v="116.91792000000002"/>
    <n v="0"/>
    <n v="116.917920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16.9179200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Plate "/>
    <m/>
    <m/>
    <x v="11"/>
    <m/>
    <m/>
    <m/>
    <m/>
    <m/>
    <n v="403"/>
    <s v="ASME"/>
    <n v="0.12"/>
    <s v="WBC"/>
    <e v="#N/A"/>
    <n v="451.36000000000007"/>
    <n v="0"/>
    <n v="451.36000000000007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51.36000000000007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Plate "/>
    <m/>
    <m/>
    <x v="11"/>
    <m/>
    <m/>
    <m/>
    <m/>
    <m/>
    <n v="67.320000000000007"/>
    <s v="ASME"/>
    <n v="0.12"/>
    <s v="WBC"/>
    <e v="#N/A"/>
    <n v="75.398400000000009"/>
    <n v="0"/>
    <n v="75.398400000000009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75.398400000000009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Plate "/>
    <m/>
    <m/>
    <x v="11"/>
    <m/>
    <m/>
    <m/>
    <m/>
    <m/>
    <n v="10.6"/>
    <s v="ASME"/>
    <n v="0.12"/>
    <s v="WBC"/>
    <e v="#N/A"/>
    <n v="11.872"/>
    <n v="0"/>
    <n v="11.87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1.87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Tube "/>
    <m/>
    <m/>
    <x v="11"/>
    <m/>
    <m/>
    <m/>
    <m/>
    <m/>
    <n v="20023.732441150652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6"/>
    <m/>
    <s v="Furn Rear Tube Pan.s"/>
    <s v="Fin "/>
    <m/>
    <m/>
    <x v="11"/>
    <m/>
    <m/>
    <m/>
    <m/>
    <m/>
    <n v="9154.9500000000007"/>
    <s v="ASME"/>
    <n v="7.0000000000000007E-2"/>
    <s v="WBC"/>
    <n v="0"/>
    <n v="9795.7965000000022"/>
    <n v="0"/>
    <n v="9795.7965000000022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9795.7965000000022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6"/>
    <m/>
    <s v="Furn Rear Tube Pan.s"/>
    <s v="Fin "/>
    <m/>
    <m/>
    <x v="11"/>
    <m/>
    <m/>
    <m/>
    <m/>
    <m/>
    <n v="382.23"/>
    <s v="ASME"/>
    <n v="7.0000000000000007E-2"/>
    <s v="WBC"/>
    <n v="0"/>
    <n v="408.98610000000002"/>
    <n v="0"/>
    <n v="408.98610000000002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408.98610000000002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6"/>
    <m/>
    <s v="Furn Rear Tube Pan.s"/>
    <s v="Fin "/>
    <m/>
    <m/>
    <x v="11"/>
    <m/>
    <m/>
    <m/>
    <m/>
    <m/>
    <n v="39.79"/>
    <s v="ASME"/>
    <n v="7.0000000000000007E-2"/>
    <s v="WBC"/>
    <n v="0"/>
    <n v="42.575299999999999"/>
    <n v="0"/>
    <n v="42.575299999999999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42.575299999999999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6"/>
    <m/>
    <s v="Furn Rear Tube Pan.s"/>
    <s v="Plate "/>
    <m/>
    <m/>
    <x v="11"/>
    <m/>
    <m/>
    <m/>
    <m/>
    <m/>
    <n v="7.0299999999999994"/>
    <s v="ASME"/>
    <n v="0.12"/>
    <s v="WBC"/>
    <e v="#N/A"/>
    <n v="7.8735999999999997"/>
    <n v="0"/>
    <n v="7.8735999999999997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7.8735999999999997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Plate "/>
    <m/>
    <m/>
    <x v="11"/>
    <m/>
    <m/>
    <m/>
    <m/>
    <m/>
    <n v="29.240000000000002"/>
    <s v="ASME"/>
    <n v="0.12"/>
    <s v="WBC"/>
    <e v="#N/A"/>
    <n v="32.748800000000003"/>
    <n v="0"/>
    <n v="32.74880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32.74880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filler"/>
    <m/>
    <m/>
    <x v="11"/>
    <m/>
    <m/>
    <m/>
    <m/>
    <m/>
    <n v="13.44"/>
    <s v="ASME"/>
    <n v="0.12"/>
    <s v="WBC"/>
    <e v="#N/A"/>
    <n v="15.052800000000001"/>
    <n v="0"/>
    <n v="15.052800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5.052800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6"/>
    <m/>
    <s v="Furn Rear Tube Pan.s"/>
    <s v="T type Forging"/>
    <m/>
    <m/>
    <x v="11"/>
    <m/>
    <m/>
    <m/>
    <m/>
    <m/>
    <n v="540"/>
    <s v="ASME"/>
    <n v="0"/>
    <s v="OUT"/>
    <n v="0"/>
    <n v="540"/>
    <n v="0"/>
    <n v="540"/>
    <s v="T type Forging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540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7"/>
    <m/>
    <s v="Furn Left Side Tube Pan.s"/>
    <s v="Tube"/>
    <m/>
    <m/>
    <x v="11"/>
    <m/>
    <m/>
    <m/>
    <m/>
    <m/>
    <n v="31848.023582564118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5623"/>
    <n v="228"/>
    <m/>
    <x v="1"/>
    <m/>
  </r>
  <r>
    <x v="1"/>
    <x v="1"/>
    <s v="02"/>
    <s v="0217"/>
    <m/>
    <s v="Furn Left Side Tube Pan.s"/>
    <s v="Tube"/>
    <m/>
    <m/>
    <x v="11"/>
    <m/>
    <m/>
    <m/>
    <m/>
    <m/>
    <n v="20619.663887116803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7"/>
    <m/>
    <s v="Furn Left Side Tube Pan.s"/>
    <s v="Fin "/>
    <m/>
    <m/>
    <x v="11"/>
    <m/>
    <m/>
    <m/>
    <m/>
    <m/>
    <n v="6370.11"/>
    <s v="ASME"/>
    <n v="7.0000000000000007E-2"/>
    <s v="WBC"/>
    <n v="0"/>
    <n v="6816.0177000000003"/>
    <n v="0"/>
    <n v="6816.0177000000003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6816.0177000000003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7"/>
    <m/>
    <s v="Furn Left Side Tube Pan.s"/>
    <s v="Fin "/>
    <m/>
    <m/>
    <x v="11"/>
    <m/>
    <m/>
    <m/>
    <m/>
    <m/>
    <n v="128.75"/>
    <s v="ASME"/>
    <n v="7.0000000000000007E-2"/>
    <s v="WBC"/>
    <n v="0"/>
    <n v="137.76250000000002"/>
    <n v="0"/>
    <n v="137.76250000000002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37.76250000000002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7"/>
    <m/>
    <s v="Furn Left Side Tube Pan.s"/>
    <s v="Sealing Plate "/>
    <m/>
    <m/>
    <x v="11"/>
    <m/>
    <m/>
    <m/>
    <m/>
    <m/>
    <n v="18.809999999999999"/>
    <s v="ASME"/>
    <n v="0.12"/>
    <s v="WBC"/>
    <e v="#N/A"/>
    <n v="21.0672"/>
    <n v="0"/>
    <n v="21.067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1.067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T type Forging"/>
    <m/>
    <m/>
    <x v="11"/>
    <m/>
    <m/>
    <m/>
    <m/>
    <m/>
    <n v="1191.3"/>
    <s v="ASME"/>
    <n v="0"/>
    <s v="OUT"/>
    <n v="0"/>
    <n v="1191.3"/>
    <n v="0"/>
    <n v="1191.3"/>
    <s v="T type Forging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191.3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7"/>
    <m/>
    <s v="Furn Left Side Tube Pan.s"/>
    <s v="Sealing Plate "/>
    <m/>
    <m/>
    <x v="11"/>
    <m/>
    <m/>
    <m/>
    <m/>
    <m/>
    <n v="29.240000000000002"/>
    <s v="ASME"/>
    <n v="0.12"/>
    <s v="WBC"/>
    <e v="#N/A"/>
    <n v="32.748800000000003"/>
    <n v="0"/>
    <n v="32.74880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32.74880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Sealing Plate "/>
    <m/>
    <m/>
    <x v="11"/>
    <m/>
    <m/>
    <m/>
    <m/>
    <m/>
    <n v="591.50840000000005"/>
    <s v="ASME"/>
    <n v="0.12"/>
    <s v="WBC"/>
    <e v="#N/A"/>
    <n v="662.48940800000014"/>
    <n v="0"/>
    <n v="662.4894080000001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662.4894080000001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Sealing Plate "/>
    <m/>
    <m/>
    <x v="11"/>
    <m/>
    <m/>
    <m/>
    <m/>
    <m/>
    <n v="42.300000000000004"/>
    <s v="ASME"/>
    <n v="0.12"/>
    <s v="WBC"/>
    <e v="#N/A"/>
    <n v="47.376000000000012"/>
    <n v="0"/>
    <n v="47.37600000000001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7.37600000000001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bolt"/>
    <m/>
    <m/>
    <x v="11"/>
    <m/>
    <m/>
    <m/>
    <m/>
    <m/>
    <n v="11.34"/>
    <s v="ASME"/>
    <n v="0"/>
    <s v="OUT"/>
    <n v="0"/>
    <n v="11.34"/>
    <n v="0"/>
    <n v="11.34"/>
    <s v="bol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11.34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17"/>
    <m/>
    <s v="Furn Left Side Tube Pan.s"/>
    <s v="nut"/>
    <m/>
    <m/>
    <x v="11"/>
    <m/>
    <m/>
    <m/>
    <m/>
    <m/>
    <n v="5.04"/>
    <s v="ASME"/>
    <n v="0"/>
    <s v="OUT"/>
    <n v="0"/>
    <n v="5.04"/>
    <n v="0"/>
    <n v="5.04"/>
    <s v="nu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5.04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17"/>
    <m/>
    <s v="Furn Left Side Tube Pan.s"/>
    <s v="gasket"/>
    <m/>
    <m/>
    <x v="11"/>
    <m/>
    <m/>
    <m/>
    <m/>
    <m/>
    <n v="1"/>
    <s v="ASME"/>
    <n v="0"/>
    <s v="OUT"/>
    <n v="0"/>
    <n v="1"/>
    <n v="0"/>
    <n v="1"/>
    <s v="gaske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1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17"/>
    <m/>
    <s v="Furn Left Side Tube Pan.s"/>
    <s v="V type Plate "/>
    <m/>
    <m/>
    <x v="11"/>
    <m/>
    <m/>
    <m/>
    <m/>
    <m/>
    <n v="125.02000000000001"/>
    <s v="ASME"/>
    <n v="0.12"/>
    <s v="WBC"/>
    <e v="#N/A"/>
    <n v="140.02240000000003"/>
    <n v="0"/>
    <n v="140.0224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40.0224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Plate "/>
    <m/>
    <m/>
    <x v="11"/>
    <m/>
    <m/>
    <m/>
    <m/>
    <m/>
    <n v="131.75"/>
    <s v="ASME"/>
    <n v="0.12"/>
    <s v="WBC"/>
    <e v="#N/A"/>
    <n v="147.56"/>
    <n v="0"/>
    <n v="147.5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47.56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Plate "/>
    <m/>
    <m/>
    <x v="11"/>
    <m/>
    <m/>
    <m/>
    <m/>
    <m/>
    <n v="34.1"/>
    <s v="ASME"/>
    <n v="0.12"/>
    <s v="WBC"/>
    <e v="#N/A"/>
    <n v="38.192000000000007"/>
    <n v="0"/>
    <n v="38.192000000000007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38.192000000000007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Plate "/>
    <m/>
    <m/>
    <x v="11"/>
    <m/>
    <m/>
    <m/>
    <m/>
    <m/>
    <n v="44.73"/>
    <s v="ASME"/>
    <n v="0.12"/>
    <s v="WBC"/>
    <e v="#N/A"/>
    <n v="50.0976"/>
    <n v="0"/>
    <n v="50.097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0.0976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Channel Steel"/>
    <m/>
    <m/>
    <x v="11"/>
    <m/>
    <m/>
    <m/>
    <m/>
    <m/>
    <n v="47.43"/>
    <s v="ASME"/>
    <n v="0.12"/>
    <s v="WBC"/>
    <e v="#N/A"/>
    <n v="53.121600000000008"/>
    <n v="0"/>
    <n v="53.121600000000008"/>
    <s v=""/>
    <x v="1"/>
    <s v="Profiled Bar"/>
    <s v="Profiled Bar"/>
    <m/>
    <m/>
    <m/>
    <n v="0"/>
    <x v="2"/>
    <x v="0"/>
    <x v="0"/>
    <x v="0"/>
    <n v="0"/>
    <x v="0"/>
    <s v="KG"/>
    <n v="0"/>
    <n v="0"/>
    <n v="0"/>
    <n v="0"/>
    <n v="53.12160000000000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Sealing Plate "/>
    <m/>
    <m/>
    <x v="11"/>
    <m/>
    <m/>
    <m/>
    <m/>
    <m/>
    <n v="9.89"/>
    <s v="ASME"/>
    <n v="0.12"/>
    <s v="WBC"/>
    <e v="#N/A"/>
    <n v="11.076800000000002"/>
    <n v="0"/>
    <n v="11.0768000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1.07680000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Rod "/>
    <m/>
    <m/>
    <x v="11"/>
    <m/>
    <m/>
    <m/>
    <m/>
    <m/>
    <n v="6.048"/>
    <s v="ASME"/>
    <n v="0.12"/>
    <s v="WBC"/>
    <e v="#N/A"/>
    <n v="6.7737600000000011"/>
    <n v="0"/>
    <n v="6.7737600000000011"/>
    <s v=""/>
    <x v="1"/>
    <s v="Rod"/>
    <s v="Rod"/>
    <m/>
    <m/>
    <m/>
    <n v="0"/>
    <x v="2"/>
    <x v="0"/>
    <x v="0"/>
    <x v="0"/>
    <n v="0"/>
    <x v="0"/>
    <s v="KG"/>
    <n v="0"/>
    <n v="0"/>
    <n v="0"/>
    <n v="0"/>
    <n v="6.773760000000001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Comb Plate "/>
    <m/>
    <m/>
    <x v="11"/>
    <m/>
    <m/>
    <m/>
    <m/>
    <m/>
    <n v="526.67370000000005"/>
    <s v="ASME"/>
    <n v="0.12"/>
    <s v="WBC"/>
    <e v="#N/A"/>
    <n v="589.87454400000013"/>
    <n v="0"/>
    <n v="589.8745440000001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89.8745440000001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Comb Plate "/>
    <m/>
    <m/>
    <x v="11"/>
    <m/>
    <m/>
    <m/>
    <m/>
    <m/>
    <n v="57.13214"/>
    <s v="ASME"/>
    <n v="0.12"/>
    <s v="WBC"/>
    <e v="#N/A"/>
    <n v="63.987996800000005"/>
    <n v="0"/>
    <n v="63.987996800000005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63.98799680000000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Comb Plate "/>
    <m/>
    <m/>
    <x v="11"/>
    <m/>
    <m/>
    <m/>
    <m/>
    <m/>
    <n v="479.31099999999998"/>
    <s v="ASME"/>
    <n v="0.12"/>
    <s v="WBC"/>
    <e v="#N/A"/>
    <n v="536.82832000000008"/>
    <n v="0"/>
    <n v="536.82832000000008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36.8283200000000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Tube "/>
    <m/>
    <m/>
    <x v="11"/>
    <m/>
    <m/>
    <m/>
    <m/>
    <m/>
    <n v="22338.2628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7"/>
    <m/>
    <s v="Furn Left Side Tube Pan.s"/>
    <s v="Fin "/>
    <m/>
    <m/>
    <x v="11"/>
    <m/>
    <m/>
    <m/>
    <m/>
    <m/>
    <n v="10115.879999999999"/>
    <s v="ASME"/>
    <n v="7.0000000000000007E-2"/>
    <s v="WBC"/>
    <n v="0"/>
    <n v="10823.991599999999"/>
    <n v="0"/>
    <n v="10823.991599999999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0823.991599999999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7"/>
    <m/>
    <s v="Furn Left Side Tube Pan.s"/>
    <s v="Fin "/>
    <m/>
    <m/>
    <x v="11"/>
    <m/>
    <m/>
    <m/>
    <m/>
    <m/>
    <n v="386.3"/>
    <s v="ASME"/>
    <n v="7.0000000000000007E-2"/>
    <s v="WBC"/>
    <n v="0"/>
    <n v="413.34100000000001"/>
    <n v="0"/>
    <n v="413.3410000000000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413.34100000000001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7"/>
    <m/>
    <s v="Furn Left Side Tube Pan.s"/>
    <s v="Fin "/>
    <m/>
    <m/>
    <x v="11"/>
    <m/>
    <m/>
    <m/>
    <m/>
    <m/>
    <n v="28.05"/>
    <s v="ASME"/>
    <n v="7.0000000000000007E-2"/>
    <s v="WBC"/>
    <n v="0"/>
    <n v="30.013500000000004"/>
    <n v="0"/>
    <n v="30.013500000000004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30.013500000000004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7"/>
    <m/>
    <s v="Furn Left Side Tube Pan.s"/>
    <s v="Fin "/>
    <m/>
    <m/>
    <x v="11"/>
    <m/>
    <m/>
    <m/>
    <m/>
    <m/>
    <n v="42.98"/>
    <s v="ASME"/>
    <n v="7.0000000000000007E-2"/>
    <s v="WBC"/>
    <n v="0"/>
    <n v="45.988599999999998"/>
    <n v="0"/>
    <n v="45.988599999999998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45.988599999999998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7"/>
    <m/>
    <s v="Furn Left Side Tube Pan.s"/>
    <s v="Sealing Plate "/>
    <m/>
    <m/>
    <x v="11"/>
    <m/>
    <m/>
    <m/>
    <m/>
    <m/>
    <n v="6.0000000000000005E-2"/>
    <s v="ASME"/>
    <n v="0.12"/>
    <s v="WBC"/>
    <e v="#N/A"/>
    <n v="6.720000000000001E-2"/>
    <n v="0"/>
    <n v="6.720000000000001E-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6.720000000000001E-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Plate "/>
    <m/>
    <m/>
    <x v="11"/>
    <m/>
    <m/>
    <m/>
    <m/>
    <m/>
    <n v="92.943439999999995"/>
    <s v="ASME"/>
    <n v="0.12"/>
    <s v="WBC"/>
    <e v="#N/A"/>
    <n v="104.0966528"/>
    <n v="0"/>
    <n v="104.0966528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04.096652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Plate "/>
    <m/>
    <m/>
    <x v="11"/>
    <m/>
    <m/>
    <m/>
    <m/>
    <m/>
    <n v="576.72"/>
    <s v="ASME"/>
    <n v="0.12"/>
    <s v="WBC"/>
    <e v="#N/A"/>
    <n v="645.92640000000006"/>
    <n v="0"/>
    <n v="645.9264000000000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645.92640000000006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Plate "/>
    <m/>
    <m/>
    <x v="11"/>
    <m/>
    <m/>
    <m/>
    <m/>
    <m/>
    <n v="73.611999999999995"/>
    <s v="ASME"/>
    <n v="0.12"/>
    <s v="WBC"/>
    <e v="#N/A"/>
    <n v="82.445440000000005"/>
    <n v="0"/>
    <n v="82.445440000000005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82.44544000000000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7"/>
    <m/>
    <s v="Furn Left Side Tube Pan.s"/>
    <s v="Plate "/>
    <m/>
    <m/>
    <x v="11"/>
    <m/>
    <m/>
    <m/>
    <m/>
    <m/>
    <n v="1671.48"/>
    <s v="ASME"/>
    <n v="0.12"/>
    <s v="WBC"/>
    <e v="#N/A"/>
    <n v="1872.0576000000001"/>
    <n v="0"/>
    <n v="1872.0576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872.0576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Tube"/>
    <m/>
    <m/>
    <x v="11"/>
    <m/>
    <m/>
    <m/>
    <m/>
    <m/>
    <n v="31848.023582564118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5623"/>
    <n v="228"/>
    <m/>
    <x v="1"/>
    <m/>
  </r>
  <r>
    <x v="1"/>
    <x v="1"/>
    <s v="02"/>
    <s v="0218"/>
    <m/>
    <s v="Furn Right Side Tube Pan.s"/>
    <s v="Tube"/>
    <m/>
    <m/>
    <x v="11"/>
    <m/>
    <m/>
    <m/>
    <m/>
    <m/>
    <n v="20619.663887116803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8"/>
    <m/>
    <s v="Furn Right Side Tube Pan.s"/>
    <s v="Fin "/>
    <m/>
    <m/>
    <x v="11"/>
    <m/>
    <m/>
    <m/>
    <m/>
    <m/>
    <n v="6370.11"/>
    <s v="ASME"/>
    <n v="7.0000000000000007E-2"/>
    <s v="WBC"/>
    <n v="0"/>
    <n v="6816.0177000000003"/>
    <n v="0"/>
    <n v="6816.0177000000003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6816.0177000000003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8"/>
    <m/>
    <s v="Furn Right Side Tube Pan.s"/>
    <s v="Fin "/>
    <m/>
    <m/>
    <x v="11"/>
    <m/>
    <m/>
    <m/>
    <m/>
    <m/>
    <n v="128.75"/>
    <s v="ASME"/>
    <n v="7.0000000000000007E-2"/>
    <s v="WBC"/>
    <n v="0"/>
    <n v="137.76250000000002"/>
    <n v="0"/>
    <n v="137.76250000000002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37.76250000000002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8"/>
    <m/>
    <s v="Furn Right Side Tube Pan.s"/>
    <s v="Sealing Plate "/>
    <m/>
    <m/>
    <x v="11"/>
    <m/>
    <m/>
    <m/>
    <m/>
    <m/>
    <n v="18.809999999999999"/>
    <s v="ASME"/>
    <n v="0.12"/>
    <s v="WBC"/>
    <e v="#N/A"/>
    <n v="21.0672"/>
    <n v="0"/>
    <n v="21.067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1.067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T type Forging"/>
    <m/>
    <m/>
    <x v="11"/>
    <m/>
    <m/>
    <m/>
    <m/>
    <m/>
    <n v="1191.3"/>
    <s v="ASME"/>
    <n v="0"/>
    <s v="OUT"/>
    <n v="0"/>
    <n v="1191.3"/>
    <n v="0"/>
    <n v="1191.3"/>
    <s v="T type Forging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191.3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18"/>
    <m/>
    <s v="Furn Right Side Tube Pan.s"/>
    <s v="Sealing Plate "/>
    <m/>
    <m/>
    <x v="11"/>
    <m/>
    <m/>
    <m/>
    <m/>
    <m/>
    <n v="29.240000000000002"/>
    <s v="ASME"/>
    <n v="0.12"/>
    <s v="WBC"/>
    <e v="#N/A"/>
    <n v="32.748800000000003"/>
    <n v="0"/>
    <n v="32.74880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32.74880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Sealing Plate "/>
    <m/>
    <m/>
    <x v="11"/>
    <m/>
    <m/>
    <m/>
    <m/>
    <m/>
    <n v="591.27399999999989"/>
    <s v="ASME"/>
    <n v="0.12"/>
    <s v="WBC"/>
    <e v="#N/A"/>
    <n v="662.22687999999994"/>
    <n v="0"/>
    <n v="662.2268799999999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662.2268799999999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Sealing Plate "/>
    <m/>
    <m/>
    <x v="11"/>
    <m/>
    <m/>
    <m/>
    <m/>
    <m/>
    <n v="42.300000000000004"/>
    <s v="ASME"/>
    <n v="0.12"/>
    <s v="WBC"/>
    <e v="#N/A"/>
    <n v="47.376000000000012"/>
    <n v="0"/>
    <n v="47.37600000000001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7.37600000000001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bolt"/>
    <m/>
    <m/>
    <x v="11"/>
    <m/>
    <m/>
    <m/>
    <m/>
    <m/>
    <n v="11.34"/>
    <s v="ASME"/>
    <n v="0"/>
    <s v="OUT"/>
    <n v="0"/>
    <n v="11.34"/>
    <n v="0"/>
    <n v="11.34"/>
    <s v="bol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11.34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18"/>
    <m/>
    <s v="Furn Right Side Tube Pan.s"/>
    <s v="nut"/>
    <m/>
    <m/>
    <x v="11"/>
    <m/>
    <m/>
    <m/>
    <m/>
    <m/>
    <n v="5.04"/>
    <s v="ASME"/>
    <n v="0"/>
    <s v="OUT"/>
    <n v="0"/>
    <n v="5.04"/>
    <n v="0"/>
    <n v="5.04"/>
    <s v="nu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5.04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18"/>
    <m/>
    <s v="Furn Right Side Tube Pan.s"/>
    <s v="gasket"/>
    <m/>
    <m/>
    <x v="11"/>
    <m/>
    <m/>
    <m/>
    <m/>
    <m/>
    <n v="1"/>
    <s v="ASME"/>
    <n v="0"/>
    <s v="OUT"/>
    <n v="0"/>
    <n v="1"/>
    <n v="0"/>
    <n v="1"/>
    <s v="gaske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1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18"/>
    <m/>
    <s v="Furn Right Side Tube Pan.s"/>
    <s v="V type Plate "/>
    <m/>
    <m/>
    <x v="11"/>
    <m/>
    <m/>
    <m/>
    <m/>
    <m/>
    <n v="125.02000000000001"/>
    <s v="ASME"/>
    <n v="0.12"/>
    <s v="WBC"/>
    <e v="#N/A"/>
    <n v="140.02240000000003"/>
    <n v="0"/>
    <n v="140.0224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40.0224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Plate "/>
    <m/>
    <m/>
    <x v="11"/>
    <m/>
    <m/>
    <m/>
    <m/>
    <m/>
    <n v="131.75"/>
    <s v="ASME"/>
    <n v="0.12"/>
    <s v="WBC"/>
    <e v="#N/A"/>
    <n v="147.56"/>
    <n v="0"/>
    <n v="147.5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47.56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Plate "/>
    <m/>
    <m/>
    <x v="11"/>
    <m/>
    <m/>
    <m/>
    <m/>
    <m/>
    <n v="34.1"/>
    <s v="ASME"/>
    <n v="0.12"/>
    <s v="WBC"/>
    <e v="#N/A"/>
    <n v="38.192000000000007"/>
    <n v="0"/>
    <n v="38.192000000000007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38.192000000000007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Plate "/>
    <m/>
    <m/>
    <x v="11"/>
    <m/>
    <m/>
    <m/>
    <m/>
    <m/>
    <n v="44.73"/>
    <s v="ASME"/>
    <n v="0.12"/>
    <s v="WBC"/>
    <e v="#N/A"/>
    <n v="50.0976"/>
    <n v="0"/>
    <n v="50.097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0.0976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Channel Steel"/>
    <m/>
    <m/>
    <x v="11"/>
    <m/>
    <m/>
    <m/>
    <m/>
    <m/>
    <n v="47.43"/>
    <s v="ASME"/>
    <n v="0.12"/>
    <s v="WBC"/>
    <e v="#N/A"/>
    <n v="53.121600000000008"/>
    <n v="0"/>
    <n v="53.121600000000008"/>
    <s v=""/>
    <x v="1"/>
    <s v="Profiled Bar"/>
    <s v="Profiled Bar"/>
    <m/>
    <m/>
    <m/>
    <n v="0"/>
    <x v="2"/>
    <x v="0"/>
    <x v="0"/>
    <x v="0"/>
    <n v="0"/>
    <x v="0"/>
    <s v="KG"/>
    <n v="0"/>
    <n v="0"/>
    <n v="0"/>
    <n v="0"/>
    <n v="53.12160000000000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Sealing Plate "/>
    <m/>
    <m/>
    <x v="11"/>
    <m/>
    <m/>
    <m/>
    <m/>
    <m/>
    <n v="9.89"/>
    <s v="ASME"/>
    <n v="0.12"/>
    <s v="WBC"/>
    <e v="#N/A"/>
    <n v="11.076800000000002"/>
    <n v="0"/>
    <n v="11.0768000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1.07680000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Rod "/>
    <m/>
    <m/>
    <x v="11"/>
    <m/>
    <m/>
    <m/>
    <m/>
    <m/>
    <n v="6.048"/>
    <s v="ASME"/>
    <n v="0.12"/>
    <s v="WBC"/>
    <e v="#N/A"/>
    <n v="6.7737600000000011"/>
    <n v="0"/>
    <n v="6.7737600000000011"/>
    <s v=""/>
    <x v="1"/>
    <s v="Rod"/>
    <s v="Rod"/>
    <m/>
    <m/>
    <m/>
    <n v="0"/>
    <x v="2"/>
    <x v="0"/>
    <x v="0"/>
    <x v="0"/>
    <n v="0"/>
    <x v="0"/>
    <s v="KG"/>
    <n v="0"/>
    <n v="0"/>
    <n v="0"/>
    <n v="0"/>
    <n v="6.773760000000001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Comb Plate "/>
    <m/>
    <m/>
    <x v="11"/>
    <m/>
    <m/>
    <m/>
    <m/>
    <m/>
    <n v="526.91970000000003"/>
    <s v="ASME"/>
    <n v="0.12"/>
    <s v="WBC"/>
    <e v="#N/A"/>
    <n v="590.15006400000004"/>
    <n v="0"/>
    <n v="590.150064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90.1500640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Comb Plate "/>
    <m/>
    <m/>
    <x v="11"/>
    <m/>
    <m/>
    <m/>
    <m/>
    <m/>
    <n v="57.13214"/>
    <s v="ASME"/>
    <n v="0.12"/>
    <s v="WBC"/>
    <e v="#N/A"/>
    <n v="63.987996800000005"/>
    <n v="0"/>
    <n v="63.987996800000005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63.98799680000000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Plate "/>
    <m/>
    <m/>
    <x v="11"/>
    <m/>
    <m/>
    <m/>
    <m/>
    <m/>
    <n v="1671.48"/>
    <s v="ASME"/>
    <n v="0.12"/>
    <s v="WBC"/>
    <e v="#N/A"/>
    <n v="1872.0576000000001"/>
    <n v="0"/>
    <n v="1872.0576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872.0576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Comb Plate "/>
    <m/>
    <m/>
    <x v="11"/>
    <m/>
    <m/>
    <m/>
    <m/>
    <m/>
    <n v="479.31099999999998"/>
    <s v="ASME"/>
    <n v="0.12"/>
    <s v="WBC"/>
    <e v="#N/A"/>
    <n v="536.82832000000008"/>
    <n v="0"/>
    <n v="536.82832000000008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36.8283200000000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Tube "/>
    <m/>
    <m/>
    <x v="11"/>
    <m/>
    <m/>
    <m/>
    <m/>
    <m/>
    <n v="22338.2628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18"/>
    <m/>
    <s v="Furn Right Side Tube Pan.s"/>
    <s v="Fin "/>
    <m/>
    <m/>
    <x v="11"/>
    <m/>
    <m/>
    <m/>
    <m/>
    <m/>
    <n v="10115.879999999999"/>
    <s v="ASME"/>
    <n v="7.0000000000000007E-2"/>
    <s v="WBC"/>
    <n v="0"/>
    <n v="10823.991599999999"/>
    <n v="0"/>
    <n v="10823.991599999999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0823.991599999999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8"/>
    <m/>
    <s v="Furn Right Side Tube Pan.s"/>
    <s v="Fin "/>
    <m/>
    <m/>
    <x v="11"/>
    <m/>
    <m/>
    <m/>
    <m/>
    <m/>
    <n v="386.3"/>
    <s v="ASME"/>
    <n v="7.0000000000000007E-2"/>
    <s v="WBC"/>
    <n v="0"/>
    <n v="413.34100000000001"/>
    <n v="0"/>
    <n v="413.3410000000000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413.34100000000001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8"/>
    <m/>
    <s v="Furn Right Side Tube Pan.s"/>
    <s v="Fin "/>
    <m/>
    <m/>
    <x v="11"/>
    <m/>
    <m/>
    <m/>
    <m/>
    <m/>
    <n v="28.05"/>
    <s v="ASME"/>
    <n v="7.0000000000000007E-2"/>
    <s v="WBC"/>
    <n v="0"/>
    <n v="30.013500000000004"/>
    <n v="0"/>
    <n v="30.013500000000004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30.013500000000004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8"/>
    <m/>
    <s v="Furn Right Side Tube Pan.s"/>
    <s v="Fin "/>
    <m/>
    <m/>
    <x v="11"/>
    <m/>
    <m/>
    <m/>
    <m/>
    <m/>
    <n v="42.98"/>
    <s v="ASME"/>
    <n v="7.0000000000000007E-2"/>
    <s v="WBC"/>
    <n v="0"/>
    <n v="45.988599999999998"/>
    <n v="0"/>
    <n v="45.988599999999998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45.988599999999998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18"/>
    <m/>
    <s v="Furn Right Side Tube Pan.s"/>
    <s v="Sealing Plate "/>
    <m/>
    <m/>
    <x v="11"/>
    <m/>
    <m/>
    <m/>
    <m/>
    <m/>
    <n v="6.0000000000000005E-2"/>
    <s v="ASME"/>
    <n v="0.12"/>
    <s v="WBC"/>
    <e v="#N/A"/>
    <n v="6.720000000000001E-2"/>
    <n v="0"/>
    <n v="6.720000000000001E-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6.720000000000001E-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Plate "/>
    <m/>
    <m/>
    <x v="11"/>
    <m/>
    <m/>
    <m/>
    <m/>
    <m/>
    <n v="92.943439999999995"/>
    <s v="ASME"/>
    <n v="0.12"/>
    <s v="WBC"/>
    <e v="#N/A"/>
    <n v="104.0966528"/>
    <n v="0"/>
    <n v="104.0966528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04.096652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Plate "/>
    <m/>
    <m/>
    <x v="11"/>
    <m/>
    <m/>
    <m/>
    <m/>
    <m/>
    <n v="576.74135999999999"/>
    <s v="ASME"/>
    <n v="0.12"/>
    <s v="WBC"/>
    <e v="#N/A"/>
    <n v="645.95032320000007"/>
    <n v="0"/>
    <n v="645.95032320000007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645.95032320000007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8"/>
    <m/>
    <s v="Furn Right Side Tube Pan.s"/>
    <s v="Plate "/>
    <m/>
    <m/>
    <x v="11"/>
    <m/>
    <m/>
    <m/>
    <m/>
    <m/>
    <n v="73.611999999999995"/>
    <s v="ASME"/>
    <n v="0.12"/>
    <s v="WBC"/>
    <e v="#N/A"/>
    <n v="82.445440000000005"/>
    <n v="0"/>
    <n v="82.445440000000005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82.44544000000000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19"/>
    <m/>
    <s v="Furn Front Outlet HDR"/>
    <s v="Header"/>
    <m/>
    <m/>
    <x v="11"/>
    <m/>
    <m/>
    <m/>
    <m/>
    <m/>
    <n v="6115.0881600000002"/>
    <s v="ASME"/>
    <n v="0"/>
    <s v="OUT"/>
    <n v="0"/>
    <n v="6115.0881600000002"/>
    <n v="0"/>
    <n v="6115.0881600000002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6115.0881600000002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222"/>
    <n v="11"/>
    <m/>
    <x v="2"/>
    <m/>
  </r>
  <r>
    <x v="1"/>
    <x v="1"/>
    <s v="02"/>
    <s v="0219"/>
    <m/>
    <s v="Furn Front Outlet HDR"/>
    <s v="Nozzles"/>
    <m/>
    <m/>
    <x v="11"/>
    <m/>
    <m/>
    <m/>
    <m/>
    <m/>
    <n v="94.803052354560009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0"/>
    <m/>
    <m/>
    <x v="1"/>
    <m/>
  </r>
  <r>
    <x v="1"/>
    <x v="1"/>
    <s v="02"/>
    <s v="0219"/>
    <m/>
    <s v="Furn Front Outlet HDR"/>
    <s v="Hand hole Cap"/>
    <m/>
    <m/>
    <x v="11"/>
    <m/>
    <m/>
    <m/>
    <m/>
    <m/>
    <n v="10"/>
    <s v="ASME"/>
    <n v="0"/>
    <s v="OUT"/>
    <n v="0"/>
    <n v="10"/>
    <n v="0"/>
    <n v="10"/>
    <s v="Hand hole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0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0"/>
    <m/>
    <m/>
    <x v="0"/>
    <m/>
  </r>
  <r>
    <x v="1"/>
    <x v="1"/>
    <s v="02"/>
    <s v="0219"/>
    <m/>
    <s v="Furn Front Outlet HDR"/>
    <s v="Piping"/>
    <m/>
    <m/>
    <x v="11"/>
    <m/>
    <m/>
    <m/>
    <m/>
    <m/>
    <n v="19.354347029117566"/>
    <s v="ASME"/>
    <n v="0"/>
    <s v="OUT"/>
    <n v="0"/>
    <n v="19.354347029117566"/>
    <n v="0"/>
    <n v="19.354347029117566"/>
    <s v="Piping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9.354347029117566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0"/>
    <m/>
    <m/>
    <x v="0"/>
    <m/>
  </r>
  <r>
    <x v="1"/>
    <x v="1"/>
    <s v="02"/>
    <s v="0219"/>
    <m/>
    <s v="Furn Front Outlet HDR"/>
    <s v="Chuck Plates "/>
    <m/>
    <m/>
    <x v="11"/>
    <m/>
    <m/>
    <m/>
    <m/>
    <m/>
    <n v="4.24"/>
    <s v="ASME"/>
    <n v="0.12"/>
    <s v="WBC"/>
    <e v="#N/A"/>
    <n v="4.748800000000001"/>
    <n v="0"/>
    <n v="4.748800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.748800000000001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0"/>
    <m/>
    <s v="Furn Rear Outlet HDR"/>
    <s v="Header"/>
    <m/>
    <m/>
    <x v="11"/>
    <m/>
    <m/>
    <m/>
    <m/>
    <m/>
    <n v="6115.0881600000002"/>
    <s v="ASME"/>
    <n v="0"/>
    <s v="OUT"/>
    <n v="0"/>
    <n v="6115.0881600000002"/>
    <n v="0"/>
    <n v="6115.0881600000002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6115.0881600000002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222"/>
    <n v="11"/>
    <m/>
    <x v="2"/>
    <m/>
  </r>
  <r>
    <x v="1"/>
    <x v="1"/>
    <s v="02"/>
    <s v="0220"/>
    <m/>
    <s v="Furn Rear Outlet HDR"/>
    <s v="Nozzles"/>
    <m/>
    <m/>
    <x v="11"/>
    <m/>
    <m/>
    <m/>
    <m/>
    <m/>
    <n v="94.803052354560009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20"/>
    <m/>
    <s v="Furn Rear Outlet HDR"/>
    <s v="Hand hole Cap"/>
    <m/>
    <m/>
    <x v="11"/>
    <m/>
    <m/>
    <m/>
    <m/>
    <m/>
    <n v="10"/>
    <s v="ASME"/>
    <n v="0"/>
    <s v="OUT"/>
    <n v="0"/>
    <n v="10"/>
    <n v="0"/>
    <n v="10"/>
    <s v="Hand hole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0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20"/>
    <m/>
    <s v="Furn Rear Outlet HDR"/>
    <s v="Piping"/>
    <m/>
    <m/>
    <x v="11"/>
    <m/>
    <m/>
    <m/>
    <m/>
    <m/>
    <n v="19.354347029117566"/>
    <s v="ASME"/>
    <n v="0"/>
    <s v="OUT"/>
    <n v="0"/>
    <n v="19.354347029117566"/>
    <n v="0"/>
    <n v="19.354347029117566"/>
    <s v="Piping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9.354347029117566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20"/>
    <m/>
    <s v="Furn Rear Outlet HDR"/>
    <s v="Chuck Plates "/>
    <m/>
    <m/>
    <x v="11"/>
    <m/>
    <m/>
    <m/>
    <m/>
    <m/>
    <n v="4.24"/>
    <s v="ASME"/>
    <n v="0.12"/>
    <s v="WBC"/>
    <e v="#N/A"/>
    <n v="4.748800000000001"/>
    <n v="0"/>
    <n v="4.748800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.748800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1"/>
    <m/>
    <s v="Furn Left Side Outlet HDR "/>
    <s v="Header"/>
    <m/>
    <m/>
    <x v="11"/>
    <m/>
    <m/>
    <m/>
    <m/>
    <m/>
    <n v="6115.0881600000002"/>
    <s v="ASME"/>
    <n v="0"/>
    <s v="OUT"/>
    <n v="0"/>
    <n v="6115.0881600000002"/>
    <n v="0"/>
    <n v="6115.0881600000002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6115.0881600000002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222"/>
    <n v="11"/>
    <m/>
    <x v="2"/>
    <m/>
  </r>
  <r>
    <x v="1"/>
    <x v="1"/>
    <s v="02"/>
    <s v="0221"/>
    <m/>
    <s v="Furn Left Side Outlet HDR "/>
    <s v="Nozzles"/>
    <m/>
    <m/>
    <x v="11"/>
    <m/>
    <m/>
    <m/>
    <m/>
    <m/>
    <n v="94.803052354560009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21"/>
    <m/>
    <s v="Furn Left Side Outlet HDR "/>
    <s v="Hand hole Cap"/>
    <m/>
    <m/>
    <x v="11"/>
    <m/>
    <m/>
    <m/>
    <m/>
    <m/>
    <n v="10"/>
    <s v="ASME"/>
    <n v="0"/>
    <s v="OUT"/>
    <n v="0"/>
    <n v="10"/>
    <n v="0"/>
    <n v="10"/>
    <s v="Hand hole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0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21"/>
    <m/>
    <s v="Furn Left Side Outlet HDR "/>
    <s v="Piping"/>
    <m/>
    <m/>
    <x v="11"/>
    <m/>
    <m/>
    <m/>
    <m/>
    <m/>
    <n v="19.354347029117566"/>
    <s v="ASME"/>
    <n v="0"/>
    <s v="OUT"/>
    <n v="0"/>
    <n v="19.354347029117566"/>
    <n v="0"/>
    <n v="19.354347029117566"/>
    <s v="Piping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9.354347029117566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21"/>
    <m/>
    <s v="Furn Left Side Outlet HDR "/>
    <s v="Chuck Plates "/>
    <m/>
    <m/>
    <x v="11"/>
    <m/>
    <m/>
    <m/>
    <m/>
    <m/>
    <n v="4.24"/>
    <s v="ASME"/>
    <n v="0.12"/>
    <s v="WBC"/>
    <e v="#N/A"/>
    <n v="4.748800000000001"/>
    <n v="0"/>
    <n v="4.748800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.748800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2"/>
    <m/>
    <s v="Furn Right Side Outlet HDR"/>
    <s v="Header"/>
    <m/>
    <m/>
    <x v="11"/>
    <m/>
    <m/>
    <m/>
    <m/>
    <m/>
    <n v="6115.0881600000002"/>
    <s v="ASME"/>
    <n v="0"/>
    <s v="OUT"/>
    <n v="0"/>
    <n v="6115.0881600000002"/>
    <n v="0"/>
    <n v="6115.0881600000002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6115.0881600000002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222"/>
    <n v="11"/>
    <m/>
    <x v="2"/>
    <m/>
  </r>
  <r>
    <x v="1"/>
    <x v="1"/>
    <s v="02"/>
    <s v="0222"/>
    <m/>
    <s v="Furn Right Side Outlet HDR"/>
    <s v="Nozzles"/>
    <m/>
    <m/>
    <x v="11"/>
    <m/>
    <m/>
    <m/>
    <m/>
    <m/>
    <n v="94.803052354560009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22"/>
    <m/>
    <s v="Furn Right Side Outlet HDR"/>
    <s v="Hand hole Cap"/>
    <m/>
    <m/>
    <x v="11"/>
    <m/>
    <m/>
    <m/>
    <m/>
    <m/>
    <n v="10"/>
    <s v="ASME"/>
    <n v="0"/>
    <s v="OUT"/>
    <n v="0"/>
    <n v="10"/>
    <n v="0"/>
    <n v="10"/>
    <s v="Hand hole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0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22"/>
    <m/>
    <s v="Furn Right Side Outlet HDR"/>
    <s v="Piping"/>
    <m/>
    <m/>
    <x v="11"/>
    <m/>
    <m/>
    <m/>
    <m/>
    <m/>
    <n v="19.354347029117566"/>
    <s v="ASME"/>
    <n v="0"/>
    <s v="OUT"/>
    <n v="0"/>
    <n v="19.354347029117566"/>
    <n v="0"/>
    <n v="19.354347029117566"/>
    <s v="Piping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9.354347029117566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22"/>
    <m/>
    <s v="Furn Right Side Outlet HDR"/>
    <s v="Chuck Plates "/>
    <m/>
    <m/>
    <x v="11"/>
    <m/>
    <m/>
    <m/>
    <m/>
    <m/>
    <n v="4.24"/>
    <s v="ASME"/>
    <n v="0.12"/>
    <s v="WBC"/>
    <e v="#N/A"/>
    <n v="4.748800000000001"/>
    <n v="0"/>
    <n v="4.748800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.748800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3"/>
    <m/>
    <s v="Furn Outlet HDR Terminal Tubes"/>
    <s v="Tube"/>
    <m/>
    <m/>
    <x v="11"/>
    <m/>
    <m/>
    <m/>
    <m/>
    <m/>
    <n v="5925.190772160001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299"/>
    <n v="39"/>
    <m/>
    <x v="1"/>
    <m/>
  </r>
  <r>
    <x v="1"/>
    <x v="1"/>
    <s v="02"/>
    <s v="0223"/>
    <m/>
    <s v="Furn Outlet HDR Terminal Tubes"/>
    <s v="Tube"/>
    <m/>
    <m/>
    <x v="11"/>
    <m/>
    <m/>
    <m/>
    <m/>
    <m/>
    <n v="5925.190772160001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24"/>
    <m/>
    <s v="Furn Front/Rear Outlet HDR Susp"/>
    <s v="Plate "/>
    <m/>
    <m/>
    <x v="11"/>
    <m/>
    <m/>
    <m/>
    <m/>
    <m/>
    <n v="1447.1160000000002"/>
    <s v="ASME"/>
    <n v="0.12"/>
    <s v="WBC"/>
    <e v="#N/A"/>
    <n v="1620.7699200000004"/>
    <n v="0"/>
    <n v="1620.76992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620.7699200000004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4"/>
    <m/>
    <s v="Furn Front/Rear Outlet HDR Susp"/>
    <s v="Plate "/>
    <m/>
    <m/>
    <x v="11"/>
    <m/>
    <m/>
    <m/>
    <m/>
    <m/>
    <n v="1720.5663999999999"/>
    <s v="ASME"/>
    <n v="0.12"/>
    <s v="WBC"/>
    <e v="#N/A"/>
    <n v="1927.0343680000001"/>
    <n v="0"/>
    <n v="1927.034368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927.0343680000001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4"/>
    <m/>
    <s v="Furn Front/Rear Outlet HDR Susp"/>
    <s v="U type suspender"/>
    <m/>
    <m/>
    <x v="11"/>
    <m/>
    <m/>
    <m/>
    <m/>
    <m/>
    <n v="111.51"/>
    <s v="ASME"/>
    <n v="0"/>
    <s v="OUT"/>
    <n v="0"/>
    <n v="111.51"/>
    <n v="0"/>
    <n v="111.51"/>
    <s v="U type suspender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111.51"/>
    <n v="0"/>
    <n v="0"/>
    <n v="0"/>
    <e v="#N/A"/>
    <d v="1899-12-30T00:00:00"/>
    <n v="0"/>
    <d v="1899-12-30T00:00:00"/>
    <d v="2018-05-19T00:00:00"/>
    <d v="2018-09-05T00:00:00"/>
    <n v="4"/>
    <n v="5"/>
    <n v="0"/>
    <n v="0"/>
    <n v="0"/>
    <n v="0"/>
    <n v="0"/>
    <m/>
    <e v="#N/A"/>
    <e v="#N/A"/>
    <n v="0"/>
    <m/>
    <m/>
    <x v="2"/>
    <m/>
  </r>
  <r>
    <x v="1"/>
    <x v="1"/>
    <s v="02"/>
    <s v="0224"/>
    <m/>
    <s v="Furn Front/Rear Outlet HDR Susp"/>
    <s v="Plate "/>
    <m/>
    <m/>
    <x v="11"/>
    <m/>
    <m/>
    <m/>
    <m/>
    <m/>
    <n v="140.4"/>
    <s v="ASME"/>
    <n v="0.12"/>
    <s v="WBC"/>
    <e v="#N/A"/>
    <n v="157.24800000000002"/>
    <n v="0"/>
    <n v="157.248000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57.24800000000002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4"/>
    <m/>
    <s v="Furn Front/Rear Outlet HDR Susp"/>
    <s v="Plate "/>
    <m/>
    <m/>
    <x v="11"/>
    <m/>
    <m/>
    <m/>
    <m/>
    <m/>
    <n v="77.13"/>
    <s v="ASME"/>
    <n v="0.12"/>
    <s v="WBC"/>
    <e v="#N/A"/>
    <n v="86.385599999999997"/>
    <n v="0"/>
    <n v="86.385599999999997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86.385599999999997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4"/>
    <m/>
    <s v="Furn Front/Rear Outlet HDR Susp"/>
    <s v="Plate "/>
    <m/>
    <m/>
    <x v="11"/>
    <m/>
    <m/>
    <m/>
    <m/>
    <m/>
    <n v="52.8309"/>
    <s v="ASME"/>
    <n v="0.12"/>
    <s v="WBC"/>
    <e v="#N/A"/>
    <n v="59.170608000000009"/>
    <n v="0"/>
    <n v="59.170608000000009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9.170608000000009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4"/>
    <m/>
    <s v="Furn Front/Rear Outlet HDR Susp"/>
    <s v="Plate "/>
    <m/>
    <m/>
    <x v="11"/>
    <m/>
    <m/>
    <m/>
    <m/>
    <m/>
    <n v="42.28"/>
    <s v="ASME"/>
    <n v="0.12"/>
    <s v="WBC"/>
    <e v="#N/A"/>
    <n v="47.353600000000007"/>
    <n v="0"/>
    <n v="47.353600000000007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7.353600000000007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4"/>
    <m/>
    <s v="Furn Front/Rear Outlet HDR Susp"/>
    <s v="cotter"/>
    <m/>
    <m/>
    <x v="11"/>
    <m/>
    <m/>
    <m/>
    <m/>
    <m/>
    <n v="0.18"/>
    <s v="ASME"/>
    <n v="0"/>
    <s v="OUT"/>
    <n v="0"/>
    <n v="0.18"/>
    <n v="0"/>
    <n v="0.18"/>
    <s v="cotter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0.18"/>
    <n v="0"/>
    <n v="0"/>
    <n v="0"/>
    <e v="#N/A"/>
    <d v="1899-12-30T00:00:00"/>
    <n v="0"/>
    <d v="1899-12-30T00:00:00"/>
    <d v="2018-05-19T00:00:00"/>
    <d v="2018-09-05T00:00:00"/>
    <n v="4"/>
    <n v="5"/>
    <n v="0"/>
    <n v="0"/>
    <n v="0"/>
    <n v="0"/>
    <n v="0"/>
    <m/>
    <e v="#N/A"/>
    <e v="#N/A"/>
    <n v="0"/>
    <m/>
    <m/>
    <x v="2"/>
    <m/>
  </r>
  <r>
    <x v="1"/>
    <x v="1"/>
    <s v="02"/>
    <s v="0224"/>
    <m/>
    <s v="Furn Front/Rear Outlet HDR Susp"/>
    <s v="gasket"/>
    <m/>
    <m/>
    <x v="11"/>
    <m/>
    <m/>
    <m/>
    <m/>
    <m/>
    <n v="2.7"/>
    <s v="ASME"/>
    <n v="0"/>
    <s v="OUT"/>
    <n v="0"/>
    <n v="2.7"/>
    <n v="0"/>
    <n v="2.7"/>
    <s v="gaske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2.7"/>
    <n v="0"/>
    <n v="0"/>
    <n v="0"/>
    <e v="#N/A"/>
    <d v="1899-12-30T00:00:00"/>
    <n v="0"/>
    <d v="1899-12-30T00:00:00"/>
    <d v="2018-05-19T00:00:00"/>
    <d v="2018-09-05T00:00:00"/>
    <n v="4"/>
    <n v="5"/>
    <n v="0"/>
    <n v="0"/>
    <n v="0"/>
    <n v="0"/>
    <n v="0"/>
    <m/>
    <e v="#N/A"/>
    <e v="#N/A"/>
    <n v="0"/>
    <m/>
    <m/>
    <x v="2"/>
    <m/>
  </r>
  <r>
    <x v="1"/>
    <x v="1"/>
    <s v="02"/>
    <s v="0224"/>
    <m/>
    <s v="Furn Front/Rear Outlet HDR Susp"/>
    <s v="nut"/>
    <m/>
    <m/>
    <x v="11"/>
    <m/>
    <m/>
    <m/>
    <m/>
    <m/>
    <n v="15.659999999999998"/>
    <s v="ASME"/>
    <n v="0"/>
    <s v="OUT"/>
    <n v="0"/>
    <n v="15.659999999999998"/>
    <n v="0"/>
    <n v="15.659999999999998"/>
    <s v="nu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15.659999999999998"/>
    <n v="0"/>
    <n v="0"/>
    <n v="0"/>
    <e v="#N/A"/>
    <d v="1899-12-30T00:00:00"/>
    <n v="0"/>
    <d v="1899-12-30T00:00:00"/>
    <d v="2018-05-19T00:00:00"/>
    <d v="2018-09-05T00:00:00"/>
    <n v="4"/>
    <n v="5"/>
    <n v="0"/>
    <n v="0"/>
    <n v="0"/>
    <n v="0"/>
    <n v="0"/>
    <m/>
    <e v="#N/A"/>
    <e v="#N/A"/>
    <n v="0"/>
    <m/>
    <m/>
    <x v="2"/>
    <m/>
  </r>
  <r>
    <x v="1"/>
    <x v="1"/>
    <s v="02"/>
    <s v="0224"/>
    <m/>
    <s v="Furn Front/Rear Outlet HDR Susp"/>
    <s v="Plate "/>
    <m/>
    <m/>
    <x v="11"/>
    <m/>
    <m/>
    <m/>
    <m/>
    <m/>
    <n v="4.5215999999999994"/>
    <s v="ASME"/>
    <n v="0.12"/>
    <s v="WBC"/>
    <e v="#N/A"/>
    <n v="5.0641920000000002"/>
    <n v="0"/>
    <n v="5.06419200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.0641920000000002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4"/>
    <m/>
    <s v="Furn Front/Rear Outlet HDR Susp"/>
    <s v="bolt"/>
    <m/>
    <m/>
    <x v="11"/>
    <m/>
    <m/>
    <m/>
    <m/>
    <m/>
    <n v="40"/>
    <s v="ASME"/>
    <n v="0"/>
    <s v="OUT"/>
    <n v="0"/>
    <n v="40"/>
    <n v="0"/>
    <n v="40"/>
    <s v="bol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40"/>
    <n v="0"/>
    <n v="0"/>
    <n v="0"/>
    <e v="#N/A"/>
    <d v="1899-12-30T00:00:00"/>
    <n v="0"/>
    <d v="1899-12-30T00:00:00"/>
    <d v="2018-05-19T00:00:00"/>
    <d v="2018-09-05T00:00:00"/>
    <n v="4"/>
    <n v="5"/>
    <n v="0"/>
    <n v="0"/>
    <n v="0"/>
    <n v="0"/>
    <n v="0"/>
    <m/>
    <e v="#N/A"/>
    <e v="#N/A"/>
    <n v="0"/>
    <m/>
    <m/>
    <x v="2"/>
    <m/>
  </r>
  <r>
    <x v="1"/>
    <x v="1"/>
    <s v="02"/>
    <s v="0224"/>
    <m/>
    <s v="Furn Front/Rear Outlet HDR Susp"/>
    <s v="gasket"/>
    <m/>
    <m/>
    <x v="11"/>
    <m/>
    <m/>
    <m/>
    <m/>
    <m/>
    <n v="4"/>
    <s v="ASME"/>
    <n v="0"/>
    <s v="OUT"/>
    <n v="0"/>
    <n v="4"/>
    <n v="0"/>
    <n v="4"/>
    <s v="gaske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4"/>
    <n v="0"/>
    <n v="0"/>
    <n v="0"/>
    <e v="#N/A"/>
    <d v="1899-12-30T00:00:00"/>
    <n v="0"/>
    <d v="1899-12-30T00:00:00"/>
    <d v="2018-05-19T00:00:00"/>
    <d v="2018-09-05T00:00:00"/>
    <n v="4"/>
    <n v="5"/>
    <n v="0"/>
    <n v="0"/>
    <n v="0"/>
    <n v="0"/>
    <n v="0"/>
    <m/>
    <e v="#N/A"/>
    <e v="#N/A"/>
    <n v="0"/>
    <m/>
    <m/>
    <x v="2"/>
    <m/>
  </r>
  <r>
    <x v="1"/>
    <x v="1"/>
    <s v="02"/>
    <s v="0224"/>
    <m/>
    <s v="Furn Front/Rear Outlet HDR Susp"/>
    <s v="nut"/>
    <m/>
    <m/>
    <x v="11"/>
    <m/>
    <m/>
    <m/>
    <m/>
    <m/>
    <n v="4.8"/>
    <s v="ASME"/>
    <n v="0"/>
    <s v="OUT"/>
    <n v="0"/>
    <n v="4.8"/>
    <n v="0"/>
    <n v="4.8"/>
    <s v="nu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4.8"/>
    <n v="0"/>
    <n v="0"/>
    <n v="0"/>
    <e v="#N/A"/>
    <d v="1899-12-30T00:00:00"/>
    <n v="0"/>
    <d v="1899-12-30T00:00:00"/>
    <d v="2018-05-19T00:00:00"/>
    <d v="2018-09-05T00:00:00"/>
    <n v="4"/>
    <n v="5"/>
    <n v="0"/>
    <n v="0"/>
    <n v="0"/>
    <n v="0"/>
    <n v="0"/>
    <m/>
    <e v="#N/A"/>
    <e v="#N/A"/>
    <n v="0"/>
    <m/>
    <m/>
    <x v="2"/>
    <m/>
  </r>
  <r>
    <x v="1"/>
    <x v="1"/>
    <s v="02"/>
    <s v="0224"/>
    <m/>
    <s v="Furn Front/Rear Outlet HDR Susp"/>
    <s v="Suspender"/>
    <m/>
    <m/>
    <x v="11"/>
    <m/>
    <m/>
    <m/>
    <m/>
    <m/>
    <n v="40.582179067292216"/>
    <s v="ASME"/>
    <n v="0"/>
    <s v="OUT"/>
    <n v="0"/>
    <n v="40.582179067292216"/>
    <n v="0"/>
    <n v="40.582179067292216"/>
    <s v="Suspender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40.582179067292216"/>
    <n v="0"/>
    <n v="0"/>
    <n v="0"/>
    <e v="#N/A"/>
    <d v="1899-12-30T00:00:00"/>
    <n v="0"/>
    <d v="1899-12-30T00:00:00"/>
    <d v="2018-05-19T00:00:00"/>
    <d v="2018-09-05T00:00:00"/>
    <n v="4"/>
    <n v="5"/>
    <n v="0"/>
    <n v="0"/>
    <n v="0"/>
    <n v="0"/>
    <n v="0"/>
    <m/>
    <e v="#N/A"/>
    <e v="#N/A"/>
    <n v="0"/>
    <m/>
    <m/>
    <x v="2"/>
    <m/>
  </r>
  <r>
    <x v="1"/>
    <x v="1"/>
    <s v="02"/>
    <s v="0224"/>
    <m/>
    <s v="Furn Front/Rear Outlet HDR Susp"/>
    <s v="Plate "/>
    <m/>
    <m/>
    <x v="11"/>
    <m/>
    <m/>
    <m/>
    <m/>
    <m/>
    <n v="4.2389999999999999"/>
    <s v="ASME"/>
    <n v="0.12"/>
    <s v="WBC"/>
    <e v="#N/A"/>
    <n v="4.7476799999999999"/>
    <n v="0"/>
    <n v="4.7476799999999999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.7476799999999999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4"/>
    <m/>
    <s v="Furn Front/Rear Outlet HDR Susp"/>
    <s v="Plate "/>
    <m/>
    <m/>
    <x v="11"/>
    <m/>
    <m/>
    <m/>
    <m/>
    <m/>
    <n v="16.214175000000001"/>
    <s v="ASME"/>
    <n v="0.12"/>
    <s v="WBC"/>
    <e v="#N/A"/>
    <n v="18.159876000000004"/>
    <n v="0"/>
    <n v="18.1598760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8.159876000000004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4"/>
    <m/>
    <s v="Furn Front/Rear Outlet HDR Susp"/>
    <s v="Plate "/>
    <m/>
    <m/>
    <x v="11"/>
    <m/>
    <m/>
    <m/>
    <m/>
    <m/>
    <n v="10.4"/>
    <s v="ASME"/>
    <n v="0.12"/>
    <s v="WBC"/>
    <e v="#N/A"/>
    <n v="11.648000000000001"/>
    <n v="0"/>
    <n v="11.648000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1.648000000000001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4"/>
    <m/>
    <s v="Furn Front/Rear Outlet HDR Susp"/>
    <s v="Pipe"/>
    <m/>
    <m/>
    <x v="11"/>
    <m/>
    <m/>
    <m/>
    <m/>
    <m/>
    <n v="29.001926740879533"/>
    <s v="ASME"/>
    <n v="0"/>
    <s v="OUT"/>
    <n v="0"/>
    <n v="29.001926740879533"/>
    <n v="720.99807325912047"/>
    <n v="750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750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0"/>
    <m/>
    <m/>
    <x v="2"/>
    <m/>
  </r>
  <r>
    <x v="1"/>
    <x v="1"/>
    <s v="02"/>
    <s v="0224"/>
    <m/>
    <s v="Furn Front/Rear Outlet HDR Susp"/>
    <s v="Angle steel"/>
    <m/>
    <m/>
    <x v="11"/>
    <m/>
    <m/>
    <m/>
    <m/>
    <m/>
    <n v="184.77"/>
    <s v="ASME"/>
    <n v="0.12"/>
    <s v="WBC"/>
    <e v="#N/A"/>
    <n v="206.94240000000002"/>
    <n v="0"/>
    <n v="206.94240000000002"/>
    <s v=""/>
    <x v="1"/>
    <s v="Profiled Bar"/>
    <s v="Profiled Bar"/>
    <m/>
    <m/>
    <m/>
    <n v="0"/>
    <x v="2"/>
    <x v="0"/>
    <x v="0"/>
    <x v="0"/>
    <n v="0"/>
    <x v="0"/>
    <s v="KG"/>
    <n v="0"/>
    <n v="0"/>
    <n v="0"/>
    <n v="0"/>
    <n v="206.94240000000002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4"/>
    <m/>
    <s v="Furn Front/Rear Outlet HDR Susp"/>
    <s v="HW steel"/>
    <m/>
    <m/>
    <x v="11"/>
    <m/>
    <m/>
    <m/>
    <m/>
    <m/>
    <n v="772.44900000000007"/>
    <s v="ASME"/>
    <n v="0.12"/>
    <s v="WBC"/>
    <e v="#N/A"/>
    <n v="865.1428800000001"/>
    <n v="0"/>
    <n v="865.1428800000001"/>
    <s v=""/>
    <x v="1"/>
    <s v="Profiled Bar"/>
    <s v="Profiled Bar"/>
    <m/>
    <m/>
    <m/>
    <n v="0"/>
    <x v="2"/>
    <x v="0"/>
    <x v="0"/>
    <x v="0"/>
    <n v="0"/>
    <x v="0"/>
    <s v="KG"/>
    <n v="0"/>
    <n v="0"/>
    <n v="0"/>
    <n v="0"/>
    <n v="865.1428800000001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5"/>
    <m/>
    <s v="Furn Side Outlet HDR Susp"/>
    <s v="U type suspender"/>
    <m/>
    <m/>
    <x v="11"/>
    <m/>
    <m/>
    <m/>
    <m/>
    <m/>
    <n v="80.173163032909756"/>
    <s v="ASME"/>
    <n v="0"/>
    <s v="OUT"/>
    <n v="0"/>
    <n v="80.173163032909756"/>
    <n v="0"/>
    <n v="80.173163032909756"/>
    <s v="U type suspender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80.173163032909756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25"/>
    <m/>
    <s v="Furn Side Outlet HDR Susp"/>
    <s v="Suspender"/>
    <m/>
    <m/>
    <x v="11"/>
    <m/>
    <m/>
    <m/>
    <m/>
    <m/>
    <n v="56.251900356187562"/>
    <s v="ASME"/>
    <n v="0"/>
    <s v="OUT"/>
    <n v="0"/>
    <n v="56.251900356187562"/>
    <n v="0"/>
    <n v="56.251900356187562"/>
    <s v="Suspender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56.251900356187562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25"/>
    <m/>
    <s v="Furn Side Outlet HDR Susp"/>
    <s v="Plate "/>
    <m/>
    <m/>
    <x v="11"/>
    <m/>
    <m/>
    <m/>
    <m/>
    <m/>
    <n v="25.29"/>
    <s v="ASME"/>
    <n v="0.12"/>
    <s v="WBC"/>
    <e v="#N/A"/>
    <n v="28.324800000000003"/>
    <n v="0"/>
    <n v="28.32480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8.32480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5"/>
    <m/>
    <s v="Furn Side Outlet HDR Susp"/>
    <s v="Plate "/>
    <m/>
    <m/>
    <x v="11"/>
    <m/>
    <m/>
    <m/>
    <m/>
    <m/>
    <n v="108.17999999999999"/>
    <s v="ASME"/>
    <n v="0.12"/>
    <s v="WBC"/>
    <e v="#N/A"/>
    <n v="121.16160000000001"/>
    <n v="0"/>
    <n v="121.16160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21.16160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5"/>
    <m/>
    <s v="Furn Side Outlet HDR Susp"/>
    <s v="Plate "/>
    <m/>
    <m/>
    <x v="11"/>
    <m/>
    <m/>
    <m/>
    <m/>
    <m/>
    <n v="8.4779999999999998"/>
    <s v="ASME"/>
    <n v="0.12"/>
    <s v="WBC"/>
    <e v="#N/A"/>
    <n v="9.4953599999999998"/>
    <n v="0"/>
    <n v="9.4953599999999998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9.495359999999999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5"/>
    <m/>
    <s v="Furn Side Outlet HDR Susp"/>
    <s v="Plate "/>
    <m/>
    <m/>
    <x v="11"/>
    <m/>
    <m/>
    <m/>
    <m/>
    <m/>
    <n v="32.428350000000002"/>
    <s v="ASME"/>
    <n v="0.12"/>
    <s v="WBC"/>
    <e v="#N/A"/>
    <n v="36.319752000000008"/>
    <n v="0"/>
    <n v="36.319752000000008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36.31975200000000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5"/>
    <m/>
    <s v="Furn Side Outlet HDR Susp"/>
    <s v="Plate "/>
    <m/>
    <m/>
    <x v="11"/>
    <m/>
    <m/>
    <m/>
    <m/>
    <m/>
    <n v="23.400000000000002"/>
    <s v="ASME"/>
    <n v="0.12"/>
    <s v="WBC"/>
    <e v="#N/A"/>
    <n v="26.208000000000006"/>
    <n v="0"/>
    <n v="26.20800000000000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6.208000000000006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5"/>
    <m/>
    <s v="Furn Side Outlet HDR Susp"/>
    <s v="Pipe"/>
    <m/>
    <m/>
    <x v="11"/>
    <m/>
    <m/>
    <m/>
    <m/>
    <m/>
    <n v="65.254335166978947"/>
    <s v="ASME"/>
    <n v="0"/>
    <s v="OUT"/>
    <n v="0"/>
    <n v="65.254335166978947"/>
    <n v="684.74566483302101"/>
    <n v="750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750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2"/>
    <m/>
  </r>
  <r>
    <x v="1"/>
    <x v="1"/>
    <s v="02"/>
    <s v="0225"/>
    <m/>
    <s v="Furn Side Outlet HDR Susp"/>
    <s v="Unequal angle steel"/>
    <m/>
    <m/>
    <x v="11"/>
    <m/>
    <m/>
    <m/>
    <m/>
    <m/>
    <n v="369.54"/>
    <s v="ASME"/>
    <n v="0.12"/>
    <s v="WBC"/>
    <e v="#N/A"/>
    <n v="413.88480000000004"/>
    <n v="0"/>
    <n v="413.88480000000004"/>
    <s v=""/>
    <x v="1"/>
    <s v="Profiled Bar"/>
    <s v="Profiled Bar"/>
    <m/>
    <m/>
    <m/>
    <n v="0"/>
    <x v="2"/>
    <x v="0"/>
    <x v="0"/>
    <x v="0"/>
    <n v="0"/>
    <x v="0"/>
    <s v="KG"/>
    <n v="0"/>
    <n v="0"/>
    <n v="0"/>
    <n v="0"/>
    <n v="413.8848000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5"/>
    <m/>
    <s v="Furn Side Outlet HDR Susp"/>
    <s v="gasket"/>
    <m/>
    <m/>
    <x v="11"/>
    <m/>
    <m/>
    <m/>
    <m/>
    <m/>
    <n v="1.8"/>
    <s v="ASME"/>
    <n v="0"/>
    <s v="OUT"/>
    <n v="0"/>
    <n v="1.8"/>
    <n v="0"/>
    <n v="1.8"/>
    <s v="gaske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1.8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25"/>
    <m/>
    <s v="Furn Side Outlet HDR Susp"/>
    <s v="nut"/>
    <m/>
    <m/>
    <x v="11"/>
    <m/>
    <m/>
    <m/>
    <m/>
    <m/>
    <n v="20.88"/>
    <s v="ASME"/>
    <n v="0"/>
    <s v="OUT"/>
    <n v="0"/>
    <n v="20.88"/>
    <n v="0"/>
    <n v="20.88"/>
    <s v="nu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20.88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26"/>
    <m/>
    <s v="Furn Front Vert Wall Non Flowed"/>
    <s v="Nonflow tube"/>
    <m/>
    <m/>
    <x v="11"/>
    <m/>
    <m/>
    <m/>
    <m/>
    <m/>
    <n v="3871.7699327999994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04T00:00:00"/>
    <d v="2018-08-01T00:00:00"/>
    <n v="4"/>
    <n v="4"/>
    <n v="0"/>
    <n v="0"/>
    <n v="0"/>
    <n v="0"/>
    <e v="#N/A"/>
    <m/>
    <e v="#N/A"/>
    <e v="#N/A"/>
    <n v="1131"/>
    <n v="51"/>
    <m/>
    <x v="1"/>
    <m/>
  </r>
  <r>
    <x v="1"/>
    <x v="1"/>
    <s v="02"/>
    <s v="0226"/>
    <m/>
    <s v="Furn Front Vert Wall Non Flowed"/>
    <s v="Fin "/>
    <m/>
    <m/>
    <x v="11"/>
    <m/>
    <m/>
    <m/>
    <m/>
    <m/>
    <n v="4623.5300000000007"/>
    <s v="ASME"/>
    <n v="7.0000000000000007E-2"/>
    <s v="WBC"/>
    <n v="0"/>
    <n v="4947.1771000000008"/>
    <n v="0"/>
    <n v="4947.1771000000008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4947.1771000000008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0226"/>
    <m/>
    <s v="Furn Front Vert Wall Non Flowed"/>
    <s v="Fin "/>
    <m/>
    <m/>
    <x v="11"/>
    <m/>
    <m/>
    <m/>
    <m/>
    <m/>
    <n v="180.92999999999998"/>
    <s v="ASME"/>
    <n v="7.0000000000000007E-2"/>
    <s v="WBC"/>
    <n v="0"/>
    <n v="193.5951"/>
    <n v="0"/>
    <n v="193.595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93.5951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0226"/>
    <m/>
    <s v="Furn Front Vert Wall Non Flowed"/>
    <s v="Fin "/>
    <m/>
    <m/>
    <x v="11"/>
    <m/>
    <m/>
    <m/>
    <m/>
    <m/>
    <n v="13.08"/>
    <s v="ASME"/>
    <n v="7.0000000000000007E-2"/>
    <s v="WBC"/>
    <n v="0"/>
    <n v="13.995600000000001"/>
    <n v="0"/>
    <n v="13.99560000000000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3.995600000000001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0226"/>
    <m/>
    <s v="Furn Front Vert Wall Non Flowed"/>
    <s v="Fin "/>
    <m/>
    <m/>
    <x v="11"/>
    <m/>
    <m/>
    <m/>
    <m/>
    <m/>
    <n v="20.040000000000003"/>
    <s v="ASME"/>
    <n v="7.0000000000000007E-2"/>
    <s v="WBC"/>
    <n v="0"/>
    <n v="21.442800000000005"/>
    <n v="0"/>
    <n v="21.442800000000005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21.442800000000005"/>
    <n v="0"/>
    <n v="0"/>
    <n v="0"/>
    <n v="0"/>
    <d v="1899-12-30T00:00:00"/>
    <n v="0"/>
    <d v="1899-12-30T00:00:00"/>
    <d v="2018-04-04T00:00:00"/>
    <d v="2018-08-01T00:00:00"/>
    <n v="4"/>
    <n v="4"/>
    <n v="0"/>
    <n v="0"/>
    <n v="0"/>
    <n v="0"/>
    <n v="0"/>
    <m/>
    <n v="0"/>
    <n v="0"/>
    <n v="0"/>
    <m/>
    <m/>
    <x v="0"/>
    <m/>
  </r>
  <r>
    <x v="1"/>
    <x v="1"/>
    <s v="02"/>
    <s v="0226"/>
    <m/>
    <s v="Furn Front Vert Wall Non Flowed"/>
    <s v="Plate "/>
    <m/>
    <m/>
    <x v="11"/>
    <m/>
    <m/>
    <m/>
    <m/>
    <m/>
    <n v="606.92039999999997"/>
    <s v="ASME"/>
    <n v="0.12"/>
    <s v="WBC"/>
    <e v="#N/A"/>
    <n v="679.75084800000002"/>
    <n v="0"/>
    <n v="679.750848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679.75084800000002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6"/>
    <m/>
    <s v="Furn Front Vert Wall Non Flowed"/>
    <s v="Plate "/>
    <m/>
    <m/>
    <x v="11"/>
    <m/>
    <m/>
    <m/>
    <m/>
    <m/>
    <n v="1195.1849999999999"/>
    <s v="ASME"/>
    <n v="0.12"/>
    <s v="WBC"/>
    <e v="#N/A"/>
    <n v="1338.6072000000001"/>
    <n v="0"/>
    <n v="1338.6072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338.6072000000001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6"/>
    <m/>
    <s v="Furn Front Vert Wall Non Flowed"/>
    <s v="Pipe"/>
    <m/>
    <m/>
    <x v="11"/>
    <m/>
    <m/>
    <m/>
    <m/>
    <m/>
    <n v="754.64197131880405"/>
    <s v="ASME"/>
    <n v="0"/>
    <s v="OUT"/>
    <n v="0"/>
    <n v="754.64197131880405"/>
    <n v="0"/>
    <n v="754.64197131880405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754.64197131880405"/>
    <n v="0"/>
    <n v="0"/>
    <n v="0"/>
    <e v="#N/A"/>
    <d v="1899-12-30T00:00:00"/>
    <n v="0"/>
    <d v="1899-12-30T00:00:00"/>
    <d v="2018-04-04T00:00:00"/>
    <d v="2018-08-01T00:00:00"/>
    <n v="4"/>
    <n v="4"/>
    <n v="0"/>
    <n v="0"/>
    <n v="0"/>
    <n v="0"/>
    <n v="0"/>
    <m/>
    <e v="#N/A"/>
    <e v="#N/A"/>
    <n v="0"/>
    <m/>
    <m/>
    <x v="2"/>
    <m/>
  </r>
  <r>
    <x v="1"/>
    <x v="1"/>
    <s v="02"/>
    <s v="0226"/>
    <m/>
    <s v="Furn Front Vert Wall Non Flowed"/>
    <s v="Plate "/>
    <m/>
    <m/>
    <x v="11"/>
    <m/>
    <m/>
    <m/>
    <m/>
    <m/>
    <n v="71.045000000000002"/>
    <s v="ASME"/>
    <n v="0.12"/>
    <s v="WBC"/>
    <e v="#N/A"/>
    <n v="79.570400000000006"/>
    <n v="0"/>
    <n v="79.57040000000000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79.570400000000006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6"/>
    <m/>
    <s v="Furn Front Vert Wall Non Flowed"/>
    <s v="Plate "/>
    <m/>
    <m/>
    <x v="11"/>
    <m/>
    <m/>
    <m/>
    <m/>
    <m/>
    <n v="213.2064"/>
    <s v="ASME"/>
    <n v="0.12"/>
    <s v="WBC"/>
    <e v="#N/A"/>
    <n v="238.79116800000003"/>
    <n v="0"/>
    <n v="238.791168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38.79116800000003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6"/>
    <m/>
    <s v="Furn Front Vert Wall Non Flowed"/>
    <s v="Plate "/>
    <m/>
    <m/>
    <x v="11"/>
    <m/>
    <m/>
    <m/>
    <m/>
    <m/>
    <n v="283.04352"/>
    <s v="ASME"/>
    <n v="0.12"/>
    <s v="WBC"/>
    <e v="#N/A"/>
    <n v="317.00874240000002"/>
    <n v="0"/>
    <n v="317.0087424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317.00874240000002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6"/>
    <m/>
    <s v="Furn Front Vert Wall Non Flowed"/>
    <s v="Plate "/>
    <m/>
    <m/>
    <x v="11"/>
    <m/>
    <m/>
    <m/>
    <m/>
    <m/>
    <n v="40.92"/>
    <s v="ASME"/>
    <n v="0.12"/>
    <s v="WBC"/>
    <e v="#N/A"/>
    <n v="45.830400000000004"/>
    <n v="0"/>
    <n v="45.8304000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5.830400000000004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6"/>
    <m/>
    <s v="Furn Front Vert Wall Non Flowed"/>
    <s v="Plate "/>
    <m/>
    <m/>
    <x v="11"/>
    <m/>
    <m/>
    <m/>
    <m/>
    <m/>
    <n v="45.88"/>
    <s v="ASME"/>
    <n v="0.12"/>
    <s v="WBC"/>
    <e v="#N/A"/>
    <n v="51.385600000000011"/>
    <n v="0"/>
    <n v="51.38560000000001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1.385600000000011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6"/>
    <m/>
    <s v="Furn Front Vert Wall Non Flowed"/>
    <s v="Sealing Plate "/>
    <m/>
    <m/>
    <x v="11"/>
    <m/>
    <m/>
    <m/>
    <m/>
    <m/>
    <n v="42.179999999999993"/>
    <s v="ASME"/>
    <n v="0.12"/>
    <s v="WBC"/>
    <e v="#N/A"/>
    <n v="47.241599999999998"/>
    <n v="0"/>
    <n v="47.241599999999998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7.241599999999998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6"/>
    <m/>
    <s v="Furn Front Vert Wall Non Flowed"/>
    <s v="Rod "/>
    <m/>
    <m/>
    <x v="11"/>
    <m/>
    <m/>
    <m/>
    <m/>
    <m/>
    <n v="1.89"/>
    <s v="ASME"/>
    <n v="0.12"/>
    <s v="WBC"/>
    <e v="#N/A"/>
    <n v="2.1168"/>
    <n v="0"/>
    <n v="2.1168"/>
    <s v=""/>
    <x v="1"/>
    <s v="Rod"/>
    <s v="Rod"/>
    <m/>
    <m/>
    <m/>
    <n v="0"/>
    <x v="2"/>
    <x v="0"/>
    <x v="0"/>
    <x v="0"/>
    <n v="0"/>
    <x v="0"/>
    <s v="KG"/>
    <n v="0"/>
    <n v="0"/>
    <n v="0"/>
    <n v="0"/>
    <n v="2.1168"/>
    <n v="0"/>
    <n v="0"/>
    <n v="0"/>
    <n v="0"/>
    <d v="1899-12-30T00:00:00"/>
    <n v="0"/>
    <d v="1899-12-30T00:00:00"/>
    <d v="2018-05-19T00:00:00"/>
    <d v="2018-09-05T00:00:00"/>
    <n v="4"/>
    <n v="5"/>
    <n v="0"/>
    <n v="0"/>
    <n v="0"/>
    <n v="0"/>
    <e v="#N/A"/>
    <m/>
    <n v="0"/>
    <n v="0"/>
    <n v="0"/>
    <m/>
    <m/>
    <x v="2"/>
    <m/>
  </r>
  <r>
    <x v="1"/>
    <x v="1"/>
    <s v="02"/>
    <s v="0227"/>
    <m/>
    <s v="Furn Rear Vert Wall Non Flowed"/>
    <s v="Nonflow tube"/>
    <m/>
    <m/>
    <x v="11"/>
    <m/>
    <m/>
    <m/>
    <m/>
    <m/>
    <n v="3871.7699327999994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1627"/>
    <n v="73"/>
    <m/>
    <x v="1"/>
    <m/>
  </r>
  <r>
    <x v="1"/>
    <x v="1"/>
    <s v="02"/>
    <s v="0227"/>
    <m/>
    <s v="Furn Rear Vert Wall Non Flowed"/>
    <s v="Fin "/>
    <m/>
    <m/>
    <x v="11"/>
    <m/>
    <m/>
    <m/>
    <m/>
    <m/>
    <n v="1440.06"/>
    <s v="ASME"/>
    <n v="7.0000000000000007E-2"/>
    <s v="WBC"/>
    <n v="0"/>
    <n v="1540.8642"/>
    <n v="0"/>
    <n v="1540.8642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540.8642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27"/>
    <m/>
    <s v="Furn Rear Vert Wall Non Flowed"/>
    <s v="Fin "/>
    <m/>
    <m/>
    <x v="11"/>
    <m/>
    <m/>
    <m/>
    <m/>
    <m/>
    <n v="56.66"/>
    <s v="ASME"/>
    <n v="7.0000000000000007E-2"/>
    <s v="WBC"/>
    <n v="0"/>
    <n v="60.626199999999997"/>
    <n v="0"/>
    <n v="60.626199999999997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60.626199999999997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27"/>
    <m/>
    <s v="Furn Rear Vert Wall Non Flowed"/>
    <s v="Fin "/>
    <m/>
    <m/>
    <x v="11"/>
    <m/>
    <m/>
    <m/>
    <m/>
    <m/>
    <n v="4.0699999999999994"/>
    <s v="ASME"/>
    <n v="7.0000000000000007E-2"/>
    <s v="WBC"/>
    <n v="0"/>
    <n v="4.3548999999999998"/>
    <n v="0"/>
    <n v="4.3548999999999998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4.3548999999999998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27"/>
    <m/>
    <s v="Furn Rear Vert Wall Non Flowed"/>
    <s v="Fin "/>
    <m/>
    <m/>
    <x v="11"/>
    <m/>
    <m/>
    <m/>
    <m/>
    <m/>
    <n v="6.24"/>
    <s v="ASME"/>
    <n v="7.0000000000000007E-2"/>
    <s v="WBC"/>
    <n v="0"/>
    <n v="6.676800000000001"/>
    <n v="0"/>
    <n v="6.67680000000000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6.676800000000001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27"/>
    <m/>
    <s v="Furn Rear Vert Wall Non Flowed"/>
    <s v="Plate "/>
    <m/>
    <m/>
    <x v="11"/>
    <m/>
    <m/>
    <m/>
    <m/>
    <m/>
    <n v="43.872500000000002"/>
    <s v="ASME"/>
    <n v="0.12"/>
    <s v="WBC"/>
    <e v="#N/A"/>
    <n v="49.137200000000007"/>
    <n v="0"/>
    <n v="49.137200000000007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9.137200000000007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7"/>
    <m/>
    <s v="Furn Rear Vert Wall Non Flowed"/>
    <s v="Plate "/>
    <m/>
    <m/>
    <x v="11"/>
    <m/>
    <m/>
    <m/>
    <m/>
    <m/>
    <n v="85.076250000000002"/>
    <s v="ASME"/>
    <n v="0.12"/>
    <s v="WBC"/>
    <e v="#N/A"/>
    <n v="95.28540000000001"/>
    <n v="0"/>
    <n v="95.28540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95.28540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7"/>
    <m/>
    <s v="Furn Rear Vert Wall Non Flowed"/>
    <s v="Plate "/>
    <m/>
    <m/>
    <x v="11"/>
    <m/>
    <m/>
    <m/>
    <m/>
    <m/>
    <n v="92.784000000000006"/>
    <s v="ASME"/>
    <n v="0.12"/>
    <s v="WBC"/>
    <e v="#N/A"/>
    <n v="103.91808000000002"/>
    <n v="0"/>
    <n v="103.918080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03.9180800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7"/>
    <m/>
    <s v="Furn Rear Vert Wall Non Flowed"/>
    <s v="Plate "/>
    <m/>
    <m/>
    <x v="11"/>
    <m/>
    <m/>
    <m/>
    <m/>
    <m/>
    <n v="23.32"/>
    <s v="ASME"/>
    <n v="0.12"/>
    <s v="WBC"/>
    <e v="#N/A"/>
    <n v="26.118400000000001"/>
    <n v="0"/>
    <n v="26.118400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6.118400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7"/>
    <m/>
    <s v="Furn Rear Vert Wall Non Flowed"/>
    <s v="Plate "/>
    <m/>
    <m/>
    <x v="11"/>
    <m/>
    <m/>
    <m/>
    <m/>
    <m/>
    <n v="87.12"/>
    <s v="ASME"/>
    <n v="0.12"/>
    <s v="WBC"/>
    <e v="#N/A"/>
    <n v="97.574400000000011"/>
    <n v="0"/>
    <n v="97.57440000000001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97.57440000000001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7"/>
    <m/>
    <s v="Furn Rear Vert Wall Non Flowed"/>
    <s v="Plate "/>
    <m/>
    <m/>
    <x v="11"/>
    <m/>
    <m/>
    <m/>
    <m/>
    <m/>
    <n v="40.92"/>
    <s v="ASME"/>
    <n v="0.12"/>
    <s v="WBC"/>
    <e v="#N/A"/>
    <n v="45.830400000000004"/>
    <n v="0"/>
    <n v="45.8304000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5.83040000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7"/>
    <m/>
    <s v="Furn Rear Vert Wall Non Flowed"/>
    <s v="Plate "/>
    <m/>
    <m/>
    <x v="11"/>
    <m/>
    <m/>
    <m/>
    <m/>
    <m/>
    <n v="45.88"/>
    <s v="ASME"/>
    <n v="0.12"/>
    <s v="WBC"/>
    <e v="#N/A"/>
    <n v="51.385600000000011"/>
    <n v="0"/>
    <n v="51.38560000000001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1.38560000000001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7"/>
    <m/>
    <s v="Furn Rear Vert Wall Non Flowed"/>
    <s v="Sealing Plate "/>
    <m/>
    <m/>
    <x v="11"/>
    <m/>
    <m/>
    <m/>
    <m/>
    <m/>
    <n v="42.179999999999993"/>
    <s v="ASME"/>
    <n v="0.12"/>
    <s v="WBC"/>
    <e v="#N/A"/>
    <n v="47.241599999999998"/>
    <n v="0"/>
    <n v="47.241599999999998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7.24159999999999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7"/>
    <m/>
    <s v="Furn Rear Vert Wall Non Flowed"/>
    <s v="Plate "/>
    <m/>
    <m/>
    <x v="11"/>
    <m/>
    <m/>
    <m/>
    <m/>
    <m/>
    <n v="11163.18"/>
    <s v="ASME"/>
    <n v="0.12"/>
    <s v="WBC"/>
    <e v="#N/A"/>
    <n v="12502.761600000002"/>
    <n v="0"/>
    <n v="12502.7616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2502.76160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7"/>
    <m/>
    <s v="Furn Rear Vert Wall Non Flowed"/>
    <s v="Plate "/>
    <m/>
    <m/>
    <x v="11"/>
    <m/>
    <m/>
    <m/>
    <m/>
    <m/>
    <n v="1375.1999999999998"/>
    <s v="ASME"/>
    <n v="0.12"/>
    <s v="WBC"/>
    <e v="#N/A"/>
    <n v="1540.2239999999999"/>
    <n v="0"/>
    <n v="1540.2239999999999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540.2239999999999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7"/>
    <m/>
    <s v="Furn Rear Vert Wall Non Flowed"/>
    <s v="Plate "/>
    <m/>
    <m/>
    <x v="11"/>
    <m/>
    <m/>
    <m/>
    <m/>
    <m/>
    <n v="2669.2000000000003"/>
    <s v="ASME"/>
    <n v="0.12"/>
    <s v="WBC"/>
    <e v="#N/A"/>
    <n v="2989.5040000000008"/>
    <n v="0"/>
    <n v="2989.5040000000008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989.504000000000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7"/>
    <m/>
    <s v="Furn Rear Vert Wall Non Flowed"/>
    <s v="Pipe"/>
    <m/>
    <m/>
    <x v="11"/>
    <m/>
    <m/>
    <m/>
    <m/>
    <m/>
    <n v="754.64197131880405"/>
    <s v="ASME"/>
    <n v="0"/>
    <s v="OUT"/>
    <n v="0"/>
    <n v="754.64197131880405"/>
    <n v="0"/>
    <n v="754.64197131880405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754.64197131880405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2"/>
    <m/>
  </r>
  <r>
    <x v="1"/>
    <x v="1"/>
    <s v="02"/>
    <s v="0227"/>
    <m/>
    <s v="Furn Rear Vert Wall Non Flowed"/>
    <s v="Rod "/>
    <m/>
    <m/>
    <x v="11"/>
    <m/>
    <m/>
    <m/>
    <m/>
    <m/>
    <n v="1.89"/>
    <s v="ASME"/>
    <n v="0.12"/>
    <s v="WBC"/>
    <e v="#N/A"/>
    <n v="2.1168"/>
    <n v="0"/>
    <n v="2.1168"/>
    <s v=""/>
    <x v="1"/>
    <s v="Rod"/>
    <s v="Rod"/>
    <m/>
    <m/>
    <m/>
    <n v="0"/>
    <x v="2"/>
    <x v="0"/>
    <x v="0"/>
    <x v="0"/>
    <n v="0"/>
    <x v="0"/>
    <s v="KG"/>
    <n v="0"/>
    <n v="0"/>
    <n v="0"/>
    <n v="0"/>
    <n v="2.116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8"/>
    <m/>
    <s v="Furn Left Vert Wall Non Flowed"/>
    <s v="Nonflow tube"/>
    <m/>
    <m/>
    <x v="11"/>
    <m/>
    <m/>
    <m/>
    <m/>
    <m/>
    <n v="3871.7699327999994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1054"/>
    <n v="48"/>
    <m/>
    <x v="1"/>
    <m/>
  </r>
  <r>
    <x v="1"/>
    <x v="1"/>
    <s v="02"/>
    <s v="0228"/>
    <m/>
    <s v="Furn Left Vert Wall Non Flowed"/>
    <s v="Fin "/>
    <m/>
    <m/>
    <x v="11"/>
    <m/>
    <m/>
    <m/>
    <m/>
    <m/>
    <n v="4309.2"/>
    <s v="ASME"/>
    <n v="7.0000000000000007E-2"/>
    <s v="WBC"/>
    <n v="0"/>
    <n v="4610.8440000000001"/>
    <n v="0"/>
    <n v="4610.844000000000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4610.8440000000001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28"/>
    <m/>
    <s v="Furn Left Vert Wall Non Flowed"/>
    <s v="Fin "/>
    <m/>
    <m/>
    <x v="11"/>
    <m/>
    <m/>
    <m/>
    <m/>
    <m/>
    <n v="168.13"/>
    <s v="ASME"/>
    <n v="7.0000000000000007E-2"/>
    <s v="WBC"/>
    <n v="0"/>
    <n v="179.8991"/>
    <n v="0"/>
    <n v="179.899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79.8991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28"/>
    <m/>
    <s v="Furn Left Vert Wall Non Flowed"/>
    <s v="Fin "/>
    <m/>
    <m/>
    <x v="11"/>
    <m/>
    <m/>
    <m/>
    <m/>
    <m/>
    <n v="12.19"/>
    <s v="ASME"/>
    <n v="7.0000000000000007E-2"/>
    <s v="WBC"/>
    <n v="0"/>
    <n v="13.0433"/>
    <n v="0"/>
    <n v="13.0433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3.0433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28"/>
    <m/>
    <s v="Furn Left Vert Wall Non Flowed"/>
    <s v="Fin "/>
    <m/>
    <m/>
    <x v="11"/>
    <m/>
    <m/>
    <m/>
    <m/>
    <m/>
    <n v="18.680000000000003"/>
    <s v="ASME"/>
    <n v="7.0000000000000007E-2"/>
    <s v="WBC"/>
    <n v="0"/>
    <n v="19.987600000000004"/>
    <n v="0"/>
    <n v="19.987600000000004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9.987600000000004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28"/>
    <m/>
    <s v="Furn Left Vert Wall Non Flowed"/>
    <s v="Plate "/>
    <m/>
    <m/>
    <x v="11"/>
    <m/>
    <m/>
    <m/>
    <m/>
    <m/>
    <n v="18"/>
    <s v="ASME"/>
    <n v="0.12"/>
    <s v="WBC"/>
    <e v="#N/A"/>
    <n v="20.160000000000004"/>
    <n v="0"/>
    <n v="20.1600000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0.16000000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8"/>
    <m/>
    <s v="Furn Left Vert Wall Non Flowed"/>
    <s v="Plate "/>
    <m/>
    <m/>
    <x v="11"/>
    <m/>
    <m/>
    <m/>
    <m/>
    <m/>
    <n v="964.25636999999995"/>
    <s v="ASME"/>
    <n v="0.12"/>
    <s v="WBC"/>
    <e v="#N/A"/>
    <n v="1079.9671344000001"/>
    <n v="0"/>
    <n v="1079.9671344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079.9671344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8"/>
    <m/>
    <s v="Furn Left Vert Wall Non Flowed"/>
    <s v="Pipe"/>
    <m/>
    <m/>
    <x v="11"/>
    <m/>
    <m/>
    <m/>
    <m/>
    <m/>
    <n v="716.90987275286386"/>
    <s v="ASME"/>
    <n v="0"/>
    <s v="OUT"/>
    <n v="0"/>
    <n v="716.90987275286386"/>
    <n v="0"/>
    <n v="716.90987275286386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716.90987275286386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2"/>
    <m/>
  </r>
  <r>
    <x v="1"/>
    <x v="1"/>
    <s v="02"/>
    <s v="0228"/>
    <m/>
    <s v="Furn Left Vert Wall Non Flowed"/>
    <s v="Plate "/>
    <m/>
    <m/>
    <x v="11"/>
    <m/>
    <m/>
    <m/>
    <m/>
    <m/>
    <n v="531.90089999999998"/>
    <s v="ASME"/>
    <n v="0.12"/>
    <s v="WBC"/>
    <e v="#N/A"/>
    <n v="595.72900800000002"/>
    <n v="0"/>
    <n v="595.729008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95.7290080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8"/>
    <m/>
    <s v="Furn Left Vert Wall Non Flowed"/>
    <s v="Plate "/>
    <m/>
    <m/>
    <x v="11"/>
    <m/>
    <m/>
    <m/>
    <m/>
    <m/>
    <n v="24.739000000000001"/>
    <s v="ASME"/>
    <n v="0.12"/>
    <s v="WBC"/>
    <e v="#N/A"/>
    <n v="27.707680000000003"/>
    <n v="0"/>
    <n v="27.70768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7.70768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8"/>
    <m/>
    <s v="Furn Left Vert Wall Non Flowed"/>
    <s v="Plate "/>
    <m/>
    <m/>
    <x v="11"/>
    <m/>
    <m/>
    <m/>
    <m/>
    <m/>
    <n v="40.92"/>
    <s v="ASME"/>
    <n v="0.12"/>
    <s v="WBC"/>
    <e v="#N/A"/>
    <n v="45.830400000000004"/>
    <n v="0"/>
    <n v="45.8304000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5.83040000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8"/>
    <m/>
    <s v="Furn Left Vert Wall Non Flowed"/>
    <s v="Plate "/>
    <m/>
    <m/>
    <x v="11"/>
    <m/>
    <m/>
    <m/>
    <m/>
    <m/>
    <n v="45.88"/>
    <s v="ASME"/>
    <n v="0.12"/>
    <s v="WBC"/>
    <e v="#N/A"/>
    <n v="51.385600000000011"/>
    <n v="0"/>
    <n v="51.38560000000001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1.38560000000001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8"/>
    <m/>
    <s v="Furn Left Vert Wall Non Flowed"/>
    <s v="Sealing Plate "/>
    <m/>
    <m/>
    <x v="11"/>
    <m/>
    <m/>
    <m/>
    <m/>
    <m/>
    <n v="92.135999999999996"/>
    <s v="ASME"/>
    <n v="0.12"/>
    <s v="WBC"/>
    <e v="#N/A"/>
    <n v="103.19232000000001"/>
    <n v="0"/>
    <n v="103.19232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03.19232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8"/>
    <m/>
    <s v="Furn Left Vert Wall Non Flowed"/>
    <s v="Sealing Plate "/>
    <m/>
    <m/>
    <x v="11"/>
    <m/>
    <m/>
    <m/>
    <m/>
    <m/>
    <n v="42.179999999999993"/>
    <s v="ASME"/>
    <n v="0.12"/>
    <s v="WBC"/>
    <e v="#N/A"/>
    <n v="47.241599999999998"/>
    <n v="0"/>
    <n v="47.241599999999998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7.24159999999999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8"/>
    <m/>
    <s v="Furn Left Vert Wall Non Flowed"/>
    <s v="Rod "/>
    <m/>
    <m/>
    <x v="11"/>
    <m/>
    <m/>
    <m/>
    <m/>
    <m/>
    <n v="1.89"/>
    <s v="ASME"/>
    <n v="0.12"/>
    <s v="WBC"/>
    <e v="#N/A"/>
    <n v="2.1168"/>
    <n v="0"/>
    <n v="2.1168"/>
    <s v=""/>
    <x v="1"/>
    <s v="Rod"/>
    <s v="Rod"/>
    <m/>
    <m/>
    <m/>
    <n v="0"/>
    <x v="2"/>
    <x v="0"/>
    <x v="0"/>
    <x v="0"/>
    <n v="0"/>
    <x v="0"/>
    <s v="KG"/>
    <n v="0"/>
    <n v="0"/>
    <n v="0"/>
    <n v="0"/>
    <n v="2.116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9"/>
    <m/>
    <s v="Furn Right Vert Wall Non Flowed"/>
    <s v="Nonflow tube"/>
    <m/>
    <m/>
    <x v="11"/>
    <m/>
    <m/>
    <m/>
    <m/>
    <m/>
    <n v="3871.7699327999994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1054"/>
    <n v="48"/>
    <m/>
    <x v="1"/>
    <m/>
  </r>
  <r>
    <x v="1"/>
    <x v="1"/>
    <s v="02"/>
    <s v="0229"/>
    <m/>
    <s v="Furn Right Vert Wall Non Flowed"/>
    <s v="Fin "/>
    <m/>
    <m/>
    <x v="11"/>
    <m/>
    <m/>
    <m/>
    <m/>
    <m/>
    <n v="4309.2"/>
    <s v="ASME"/>
    <n v="7.0000000000000007E-2"/>
    <s v="WBC"/>
    <n v="0"/>
    <n v="4610.8440000000001"/>
    <n v="0"/>
    <n v="4610.844000000000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4610.8440000000001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29"/>
    <m/>
    <s v="Furn Right Vert Wall Non Flowed"/>
    <s v="Fin "/>
    <m/>
    <m/>
    <x v="11"/>
    <m/>
    <m/>
    <m/>
    <m/>
    <m/>
    <n v="168.13"/>
    <s v="ASME"/>
    <n v="7.0000000000000007E-2"/>
    <s v="WBC"/>
    <n v="0"/>
    <n v="179.8991"/>
    <n v="0"/>
    <n v="179.899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79.8991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29"/>
    <m/>
    <s v="Furn Right Vert Wall Non Flowed"/>
    <s v="Fin "/>
    <m/>
    <m/>
    <x v="11"/>
    <m/>
    <m/>
    <m/>
    <m/>
    <m/>
    <n v="12.19"/>
    <s v="ASME"/>
    <n v="7.0000000000000007E-2"/>
    <s v="WBC"/>
    <n v="0"/>
    <n v="13.0433"/>
    <n v="0"/>
    <n v="13.0433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3.0433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29"/>
    <m/>
    <s v="Furn Right Vert Wall Non Flowed"/>
    <s v="Fin "/>
    <m/>
    <m/>
    <x v="11"/>
    <m/>
    <m/>
    <m/>
    <m/>
    <m/>
    <n v="18.680000000000003"/>
    <s v="ASME"/>
    <n v="7.0000000000000007E-2"/>
    <s v="WBC"/>
    <n v="0"/>
    <n v="19.987600000000004"/>
    <n v="0"/>
    <n v="19.987600000000004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9.987600000000004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29"/>
    <m/>
    <s v="Furn Right Vert Wall Non Flowed"/>
    <s v="Plate "/>
    <m/>
    <m/>
    <x v="11"/>
    <m/>
    <m/>
    <m/>
    <m/>
    <m/>
    <n v="18"/>
    <s v="ASME"/>
    <n v="0.12"/>
    <s v="WBC"/>
    <e v="#N/A"/>
    <n v="20.160000000000004"/>
    <n v="0"/>
    <n v="20.1600000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0.16000000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9"/>
    <m/>
    <s v="Furn Right Vert Wall Non Flowed"/>
    <s v="Plate "/>
    <m/>
    <m/>
    <x v="11"/>
    <m/>
    <m/>
    <m/>
    <m/>
    <m/>
    <n v="964.26120000000003"/>
    <s v="ASME"/>
    <n v="0.12"/>
    <s v="WBC"/>
    <e v="#N/A"/>
    <n v="1079.9725440000002"/>
    <n v="0"/>
    <n v="1079.972544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079.972544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9"/>
    <m/>
    <s v="Furn Right Vert Wall Non Flowed"/>
    <s v="Pipe"/>
    <m/>
    <m/>
    <x v="11"/>
    <m/>
    <m/>
    <m/>
    <m/>
    <m/>
    <n v="716.90987275286386"/>
    <s v="ASME"/>
    <n v="0"/>
    <s v="OUT"/>
    <n v="0"/>
    <n v="716.90987275286386"/>
    <n v="0"/>
    <n v="716.90987275286386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716.90987275286386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2"/>
    <m/>
  </r>
  <r>
    <x v="1"/>
    <x v="1"/>
    <s v="02"/>
    <s v="0229"/>
    <m/>
    <s v="Furn Right Vert Wall Non Flowed"/>
    <s v="Plate "/>
    <m/>
    <m/>
    <x v="11"/>
    <m/>
    <m/>
    <m/>
    <m/>
    <m/>
    <n v="529.01045999999997"/>
    <s v="ASME"/>
    <n v="0.12"/>
    <s v="WBC"/>
    <e v="#N/A"/>
    <n v="592.49171520000004"/>
    <n v="0"/>
    <n v="592.4917152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92.4917152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9"/>
    <m/>
    <s v="Furn Right Vert Wall Non Flowed"/>
    <s v="Plate "/>
    <m/>
    <m/>
    <x v="11"/>
    <m/>
    <m/>
    <m/>
    <m/>
    <m/>
    <n v="24.739000000000001"/>
    <s v="ASME"/>
    <n v="0.12"/>
    <s v="WBC"/>
    <e v="#N/A"/>
    <n v="27.707680000000003"/>
    <n v="0"/>
    <n v="27.70768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7.70768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9"/>
    <m/>
    <s v="Furn Right Vert Wall Non Flowed"/>
    <s v="Plate "/>
    <m/>
    <m/>
    <x v="11"/>
    <m/>
    <m/>
    <m/>
    <m/>
    <m/>
    <n v="40.92"/>
    <s v="ASME"/>
    <n v="0.12"/>
    <s v="WBC"/>
    <e v="#N/A"/>
    <n v="45.830400000000004"/>
    <n v="0"/>
    <n v="45.8304000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5.83040000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9"/>
    <m/>
    <s v="Furn Right Vert Wall Non Flowed"/>
    <s v="Plate "/>
    <m/>
    <m/>
    <x v="11"/>
    <m/>
    <m/>
    <m/>
    <m/>
    <m/>
    <n v="45.88"/>
    <s v="ASME"/>
    <n v="0.12"/>
    <s v="WBC"/>
    <e v="#N/A"/>
    <n v="51.385600000000011"/>
    <n v="0"/>
    <n v="51.38560000000001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1.38560000000001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9"/>
    <m/>
    <s v="Furn Right Vert Wall Non Flowed"/>
    <s v="Sealing Plate "/>
    <m/>
    <m/>
    <x v="11"/>
    <m/>
    <m/>
    <m/>
    <m/>
    <m/>
    <n v="92.135999999999996"/>
    <s v="ASME"/>
    <n v="0.12"/>
    <s v="WBC"/>
    <e v="#N/A"/>
    <n v="103.19232000000001"/>
    <n v="0"/>
    <n v="103.19232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03.19232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9"/>
    <m/>
    <s v="Furn Right Vert Wall Non Flowed"/>
    <s v="Sealing Plate "/>
    <m/>
    <m/>
    <x v="11"/>
    <m/>
    <m/>
    <m/>
    <m/>
    <m/>
    <n v="42.179999999999993"/>
    <s v="ASME"/>
    <n v="0.12"/>
    <s v="WBC"/>
    <e v="#N/A"/>
    <n v="47.241599999999998"/>
    <n v="0"/>
    <n v="47.241599999999998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7.24159999999999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29"/>
    <m/>
    <s v="Furn Right Vert Wall Non Flowed"/>
    <s v="Rod "/>
    <m/>
    <m/>
    <x v="11"/>
    <m/>
    <m/>
    <m/>
    <m/>
    <m/>
    <n v="1.89"/>
    <s v="ASME"/>
    <n v="0.12"/>
    <s v="WBC"/>
    <e v="#N/A"/>
    <n v="2.1168"/>
    <n v="0"/>
    <n v="2.1168"/>
    <s v=""/>
    <x v="1"/>
    <s v="Rod"/>
    <s v="Rod"/>
    <m/>
    <m/>
    <m/>
    <n v="0"/>
    <x v="2"/>
    <x v="0"/>
    <x v="0"/>
    <x v="0"/>
    <n v="0"/>
    <x v="0"/>
    <s v="KG"/>
    <n v="0"/>
    <n v="0"/>
    <n v="0"/>
    <n v="0"/>
    <n v="2.116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0"/>
    <m/>
    <s v="Boiler Roof Tube Pan.s"/>
    <s v="Tube"/>
    <m/>
    <m/>
    <x v="11"/>
    <m/>
    <m/>
    <m/>
    <m/>
    <m/>
    <n v="20503.044102578402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1500"/>
    <n v="67"/>
    <m/>
    <x v="1"/>
    <m/>
  </r>
  <r>
    <x v="1"/>
    <x v="1"/>
    <s v="02"/>
    <s v="0230"/>
    <m/>
    <s v="Boiler Roof Tube Pan.s"/>
    <s v="Fin "/>
    <m/>
    <m/>
    <x v="11"/>
    <m/>
    <m/>
    <m/>
    <m/>
    <m/>
    <n v="12152.909999999998"/>
    <s v="ASME"/>
    <n v="7.0000000000000007E-2"/>
    <s v="WBC"/>
    <n v="0"/>
    <n v="13003.613699999998"/>
    <n v="0"/>
    <n v="13003.613699999998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3003.613699999998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30"/>
    <m/>
    <s v="Boiler Roof Tube Pan.s"/>
    <s v="Fin "/>
    <m/>
    <m/>
    <x v="11"/>
    <m/>
    <m/>
    <m/>
    <m/>
    <m/>
    <n v="1263.0999999999999"/>
    <s v="ASME"/>
    <n v="7.0000000000000007E-2"/>
    <s v="WBC"/>
    <n v="0"/>
    <n v="1351.5170000000001"/>
    <n v="0"/>
    <n v="1351.517000000000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351.5170000000001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30"/>
    <m/>
    <s v="Boiler Roof Tube Pan.s"/>
    <s v="Fin "/>
    <m/>
    <m/>
    <x v="11"/>
    <m/>
    <m/>
    <m/>
    <m/>
    <m/>
    <n v="252.70000000000005"/>
    <s v="ASME"/>
    <n v="7.0000000000000007E-2"/>
    <s v="WBC"/>
    <n v="0"/>
    <n v="270.38900000000007"/>
    <n v="0"/>
    <n v="270.38900000000007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270.38900000000007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30"/>
    <m/>
    <s v="Boiler Roof Tube Pan.s"/>
    <s v="Fin "/>
    <m/>
    <m/>
    <x v="11"/>
    <m/>
    <m/>
    <m/>
    <m/>
    <m/>
    <n v="291.95999999999998"/>
    <s v="ASME"/>
    <n v="7.0000000000000007E-2"/>
    <s v="WBC"/>
    <n v="0"/>
    <n v="312.3972"/>
    <n v="0"/>
    <n v="312.3972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312.3972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30"/>
    <m/>
    <s v="Boiler Roof Tube Pan.s"/>
    <s v="Plate "/>
    <m/>
    <m/>
    <x v="11"/>
    <m/>
    <m/>
    <m/>
    <m/>
    <m/>
    <n v="268.3"/>
    <s v="ASME"/>
    <n v="0.12"/>
    <s v="WBC"/>
    <e v="#N/A"/>
    <n v="300.49600000000004"/>
    <n v="0"/>
    <n v="300.496000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300.4960000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0"/>
    <m/>
    <s v="Boiler Roof Tube Pan.s"/>
    <s v="Plate "/>
    <m/>
    <m/>
    <x v="11"/>
    <m/>
    <m/>
    <m/>
    <m/>
    <m/>
    <n v="380.77600000000001"/>
    <s v="ASME"/>
    <n v="0.12"/>
    <s v="WBC"/>
    <e v="#N/A"/>
    <n v="426.46912000000003"/>
    <n v="0"/>
    <n v="426.46912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26.46912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0"/>
    <m/>
    <s v="Boiler Roof Tube Pan.s"/>
    <s v="Tube "/>
    <m/>
    <m/>
    <x v="11"/>
    <m/>
    <m/>
    <m/>
    <m/>
    <m/>
    <n v="214.4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30"/>
    <m/>
    <s v="Boiler Roof Tube Pan.s"/>
    <s v="Plate "/>
    <m/>
    <m/>
    <x v="11"/>
    <m/>
    <m/>
    <m/>
    <m/>
    <m/>
    <n v="306.60660000000001"/>
    <s v="ASME"/>
    <n v="0.12"/>
    <s v="WBC"/>
    <e v="#N/A"/>
    <n v="343.39939200000003"/>
    <n v="0"/>
    <n v="343.399392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343.399392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Tube"/>
    <m/>
    <m/>
    <x v="11"/>
    <m/>
    <m/>
    <m/>
    <m/>
    <m/>
    <n v="31529.449081152008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24159"/>
    <n v="363"/>
    <m/>
    <x v="1"/>
    <m/>
  </r>
  <r>
    <x v="1"/>
    <x v="1"/>
    <s v="02"/>
    <s v="0231"/>
    <m/>
    <s v="Burner opening Tube Pan.s"/>
    <s v="Tube"/>
    <m/>
    <m/>
    <x v="11"/>
    <m/>
    <m/>
    <m/>
    <m/>
    <m/>
    <n v="10509.816360384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31"/>
    <m/>
    <s v="Burner opening Tube Pan.s"/>
    <s v="Fin "/>
    <m/>
    <m/>
    <x v="11"/>
    <m/>
    <m/>
    <m/>
    <m/>
    <m/>
    <n v="254.34"/>
    <s v="ASME"/>
    <n v="7.0000000000000007E-2"/>
    <s v="WBC"/>
    <n v="0"/>
    <n v="272.1438"/>
    <n v="0"/>
    <n v="272.1438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272.1438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31"/>
    <m/>
    <s v="Burner opening Tube Pan.s"/>
    <s v="Plate "/>
    <m/>
    <m/>
    <x v="11"/>
    <m/>
    <m/>
    <m/>
    <m/>
    <m/>
    <n v="558.78"/>
    <s v="ASME"/>
    <n v="0.12"/>
    <s v="WBC"/>
    <e v="#N/A"/>
    <n v="625.83360000000005"/>
    <n v="0"/>
    <n v="625.83360000000005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625.8336000000000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Fin "/>
    <m/>
    <m/>
    <x v="11"/>
    <m/>
    <m/>
    <m/>
    <m/>
    <m/>
    <n v="119.88000000000001"/>
    <s v="ASME"/>
    <n v="7.0000000000000007E-2"/>
    <s v="WBC"/>
    <n v="0"/>
    <n v="128.27160000000001"/>
    <n v="0"/>
    <n v="128.2716000000000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28.27160000000001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31"/>
    <m/>
    <s v="Burner opening Tube Pan.s"/>
    <s v="Fin "/>
    <m/>
    <m/>
    <x v="11"/>
    <m/>
    <m/>
    <m/>
    <m/>
    <m/>
    <n v="1878.77"/>
    <s v="ASME"/>
    <n v="7.0000000000000007E-2"/>
    <s v="WBC"/>
    <n v="0"/>
    <n v="2010.2839000000001"/>
    <n v="0"/>
    <n v="2010.2839000000001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2010.2839000000001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31"/>
    <m/>
    <s v="Burner opening Tube Pan.s"/>
    <s v="Fin "/>
    <m/>
    <m/>
    <x v="11"/>
    <m/>
    <m/>
    <m/>
    <m/>
    <m/>
    <n v="44.04"/>
    <s v="ASME"/>
    <n v="7.0000000000000007E-2"/>
    <s v="WBC"/>
    <n v="0"/>
    <n v="47.122800000000005"/>
    <n v="0"/>
    <n v="47.122800000000005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47.122800000000005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31"/>
    <m/>
    <s v="Burner opening Tube Pan.s"/>
    <s v="Fin "/>
    <m/>
    <m/>
    <x v="11"/>
    <m/>
    <m/>
    <m/>
    <m/>
    <m/>
    <n v="101.74000000000001"/>
    <s v="ASME"/>
    <n v="7.0000000000000007E-2"/>
    <s v="WBC"/>
    <n v="0"/>
    <n v="108.86180000000002"/>
    <n v="0"/>
    <n v="108.86180000000002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08.86180000000002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31"/>
    <m/>
    <s v="Burner opening Tube Pan.s"/>
    <s v="Plate "/>
    <m/>
    <m/>
    <x v="11"/>
    <m/>
    <m/>
    <m/>
    <m/>
    <m/>
    <n v="188.4"/>
    <s v="ASME"/>
    <n v="0.12"/>
    <s v="WBC"/>
    <e v="#N/A"/>
    <n v="211.00800000000004"/>
    <n v="0"/>
    <n v="211.008000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11.0080000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Fin "/>
    <m/>
    <m/>
    <x v="11"/>
    <m/>
    <m/>
    <m/>
    <m/>
    <m/>
    <n v="753.44"/>
    <s v="ASME"/>
    <n v="7.0000000000000007E-2"/>
    <s v="WBC"/>
    <n v="0"/>
    <n v="806.18080000000009"/>
    <n v="0"/>
    <n v="806.18080000000009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806.18080000000009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31"/>
    <m/>
    <s v="Burner opening Tube Pan.s"/>
    <s v="Half-round bar"/>
    <m/>
    <m/>
    <x v="11"/>
    <m/>
    <m/>
    <m/>
    <m/>
    <m/>
    <n v="64.599999999999994"/>
    <s v="ASME"/>
    <n v="0.12"/>
    <s v="WBC"/>
    <e v="#N/A"/>
    <n v="72.352000000000004"/>
    <n v="0"/>
    <n v="72.3520000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72.35200000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Plate "/>
    <m/>
    <m/>
    <x v="11"/>
    <m/>
    <m/>
    <m/>
    <m/>
    <m/>
    <n v="251.2"/>
    <s v="ASME"/>
    <n v="0.12"/>
    <s v="WBC"/>
    <e v="#N/A"/>
    <n v="281.34399999999999"/>
    <n v="0"/>
    <n v="281.34399999999999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81.34399999999999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Fin "/>
    <m/>
    <m/>
    <x v="11"/>
    <m/>
    <m/>
    <m/>
    <m/>
    <m/>
    <n v="181.76999999999998"/>
    <s v="ASME"/>
    <n v="7.0000000000000007E-2"/>
    <s v="WBC"/>
    <n v="0"/>
    <n v="194.4939"/>
    <n v="0"/>
    <n v="194.4939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194.4939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31"/>
    <m/>
    <s v="Burner opening Tube Pan.s"/>
    <s v="Fin "/>
    <m/>
    <m/>
    <x v="11"/>
    <m/>
    <m/>
    <m/>
    <m/>
    <m/>
    <n v="91.36"/>
    <s v="ASME"/>
    <n v="7.0000000000000007E-2"/>
    <s v="WBC"/>
    <n v="0"/>
    <n v="97.755200000000002"/>
    <n v="0"/>
    <n v="97.755200000000002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97.755200000000002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31"/>
    <m/>
    <s v="Burner opening Tube Pan.s"/>
    <s v="Fin "/>
    <m/>
    <m/>
    <x v="11"/>
    <m/>
    <m/>
    <m/>
    <m/>
    <m/>
    <n v="53.28"/>
    <s v="ASME"/>
    <n v="7.0000000000000007E-2"/>
    <s v="WBC"/>
    <n v="0"/>
    <n v="57.009600000000006"/>
    <n v="0"/>
    <n v="57.009600000000006"/>
    <s v=""/>
    <x v="1"/>
    <s v="Finning"/>
    <s v="Finning"/>
    <m/>
    <m/>
    <m/>
    <n v="0"/>
    <x v="0"/>
    <x v="0"/>
    <x v="0"/>
    <x v="0"/>
    <n v="0"/>
    <x v="0"/>
    <s v="KG"/>
    <n v="0"/>
    <n v="0"/>
    <n v="0"/>
    <n v="0"/>
    <n v="57.009600000000006"/>
    <n v="0"/>
    <n v="0"/>
    <n v="0"/>
    <n v="0"/>
    <d v="1899-12-30T00:00:00"/>
    <n v="0"/>
    <d v="1899-12-30T00:00:00"/>
    <d v="2018-06-03T00:00:00"/>
    <d v="2018-09-30T00:00:00"/>
    <n v="3"/>
    <n v="6"/>
    <n v="0"/>
    <n v="0"/>
    <n v="0"/>
    <n v="0"/>
    <n v="0"/>
    <m/>
    <n v="0"/>
    <n v="0"/>
    <n v="0"/>
    <m/>
    <m/>
    <x v="0"/>
    <m/>
  </r>
  <r>
    <x v="1"/>
    <x v="1"/>
    <s v="02"/>
    <s v="0231"/>
    <m/>
    <s v="Burner opening Tube Pan.s"/>
    <s v="flange plate"/>
    <m/>
    <m/>
    <x v="11"/>
    <m/>
    <m/>
    <m/>
    <m/>
    <m/>
    <n v="1456.72"/>
    <s v="ASME"/>
    <n v="0.12"/>
    <s v="WBC"/>
    <e v="#N/A"/>
    <n v="1631.5264000000002"/>
    <n v="0"/>
    <n v="1631.52640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631.526400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Plate "/>
    <m/>
    <m/>
    <x v="11"/>
    <m/>
    <m/>
    <m/>
    <m/>
    <m/>
    <n v="73.44"/>
    <s v="ASME"/>
    <n v="0.12"/>
    <s v="WBC"/>
    <e v="#N/A"/>
    <n v="82.252800000000008"/>
    <n v="0"/>
    <n v="82.252800000000008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82.25280000000000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U type plate "/>
    <m/>
    <m/>
    <x v="11"/>
    <m/>
    <m/>
    <m/>
    <m/>
    <m/>
    <n v="406.08"/>
    <s v="ASME"/>
    <n v="0.12"/>
    <s v="WBC"/>
    <e v="#N/A"/>
    <n v="454.80960000000005"/>
    <n v="0"/>
    <n v="454.80960000000005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54.8096000000000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Plate "/>
    <m/>
    <m/>
    <x v="11"/>
    <m/>
    <m/>
    <m/>
    <m/>
    <m/>
    <n v="16.8"/>
    <s v="ASME"/>
    <n v="0.12"/>
    <s v="WBC"/>
    <e v="#N/A"/>
    <n v="18.816000000000003"/>
    <n v="0"/>
    <n v="18.81600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8.81600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Rib plate "/>
    <m/>
    <m/>
    <x v="11"/>
    <m/>
    <m/>
    <m/>
    <m/>
    <m/>
    <n v="8.48"/>
    <s v="ASME"/>
    <n v="0.12"/>
    <s v="WBC"/>
    <e v="#N/A"/>
    <n v="9.497600000000002"/>
    <n v="0"/>
    <n v="9.4976000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9.49760000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Plate "/>
    <m/>
    <m/>
    <x v="11"/>
    <m/>
    <m/>
    <m/>
    <m/>
    <m/>
    <n v="24"/>
    <s v="ASME"/>
    <n v="0.12"/>
    <s v="WBC"/>
    <e v="#N/A"/>
    <n v="26.880000000000003"/>
    <n v="0"/>
    <n v="26.88000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6.88000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nut"/>
    <m/>
    <m/>
    <x v="11"/>
    <m/>
    <m/>
    <m/>
    <m/>
    <m/>
    <n v="8.16"/>
    <s v="ASME"/>
    <n v="0"/>
    <s v="OUT"/>
    <n v="0"/>
    <n v="8.16"/>
    <n v="0"/>
    <n v="8.16"/>
    <s v="nu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8.16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31"/>
    <m/>
    <s v="Burner opening Tube Pan.s"/>
    <s v="Sealing Plate "/>
    <m/>
    <m/>
    <x v="11"/>
    <m/>
    <m/>
    <m/>
    <m/>
    <m/>
    <n v="3.01"/>
    <s v="ASME"/>
    <n v="0.12"/>
    <s v="WBC"/>
    <e v="#N/A"/>
    <n v="3.3712"/>
    <n v="0"/>
    <n v="3.3712"/>
    <s v=""/>
    <x v="1"/>
    <s v="Plate"/>
    <s v="Plate"/>
    <m/>
    <m/>
    <m/>
    <m/>
    <x v="2"/>
    <x v="0"/>
    <x v="0"/>
    <x v="0"/>
    <n v="0"/>
    <x v="0"/>
    <s v="KG"/>
    <n v="0"/>
    <n v="0"/>
    <n v="0"/>
    <n v="0"/>
    <n v="3.371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Plate "/>
    <m/>
    <m/>
    <x v="11"/>
    <m/>
    <m/>
    <m/>
    <m/>
    <m/>
    <n v="0.16"/>
    <s v="ASME"/>
    <n v="0.12"/>
    <s v="WBC"/>
    <e v="#N/A"/>
    <n v="0.17920000000000003"/>
    <n v="0"/>
    <n v="0.1792000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0.1792000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Plate "/>
    <m/>
    <m/>
    <x v="11"/>
    <m/>
    <m/>
    <m/>
    <m/>
    <m/>
    <n v="1.28"/>
    <s v="ASME"/>
    <n v="0.12"/>
    <s v="WBC"/>
    <e v="#N/A"/>
    <n v="1.4336000000000002"/>
    <n v="0"/>
    <n v="1.43360000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.433600000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lug"/>
    <m/>
    <m/>
    <x v="11"/>
    <m/>
    <m/>
    <m/>
    <m/>
    <m/>
    <n v="48.16"/>
    <s v="ASME"/>
    <n v="0.12"/>
    <s v="WBC"/>
    <e v="#N/A"/>
    <n v="53.9392"/>
    <n v="0"/>
    <n v="53.939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3.939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lug"/>
    <m/>
    <m/>
    <x v="11"/>
    <m/>
    <m/>
    <m/>
    <m/>
    <m/>
    <n v="48.8"/>
    <s v="ASME"/>
    <n v="0.12"/>
    <s v="WBC"/>
    <e v="#N/A"/>
    <n v="54.655999999999999"/>
    <n v="0"/>
    <n v="54.655999999999999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4.655999999999999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flange plate"/>
    <m/>
    <m/>
    <x v="11"/>
    <m/>
    <m/>
    <m/>
    <m/>
    <m/>
    <n v="464.66"/>
    <s v="ASME"/>
    <n v="0.12"/>
    <s v="WBC"/>
    <e v="#N/A"/>
    <n v="520.41920000000005"/>
    <n v="0"/>
    <n v="520.41920000000005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20.4192000000000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Plate "/>
    <m/>
    <m/>
    <x v="11"/>
    <m/>
    <m/>
    <m/>
    <m/>
    <m/>
    <n v="29.520000000000003"/>
    <s v="ASME"/>
    <n v="0.12"/>
    <s v="WBC"/>
    <e v="#N/A"/>
    <n v="33.062400000000004"/>
    <n v="0"/>
    <n v="33.0624000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33.06240000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nut"/>
    <m/>
    <m/>
    <x v="11"/>
    <m/>
    <m/>
    <m/>
    <m/>
    <m/>
    <n v="1.52"/>
    <s v="ASME"/>
    <n v="0"/>
    <s v="OUT"/>
    <n v="0"/>
    <n v="1.52"/>
    <n v="0"/>
    <n v="1.52"/>
    <s v="nu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1.52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31"/>
    <m/>
    <s v="Burner opening Tube Pan.s"/>
    <s v="bolt"/>
    <m/>
    <m/>
    <x v="11"/>
    <m/>
    <m/>
    <m/>
    <m/>
    <m/>
    <n v="3.04"/>
    <s v="ASME"/>
    <n v="0"/>
    <s v="OUT"/>
    <n v="0"/>
    <n v="3.04"/>
    <n v="0"/>
    <n v="3.04"/>
    <s v="bol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3.04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31"/>
    <m/>
    <s v="Burner opening Tube Pan.s"/>
    <s v="flange plate"/>
    <m/>
    <m/>
    <x v="11"/>
    <m/>
    <m/>
    <m/>
    <m/>
    <m/>
    <n v="112.07"/>
    <s v="ASME"/>
    <n v="0.12"/>
    <s v="WBC"/>
    <e v="#N/A"/>
    <n v="125.5184"/>
    <n v="0"/>
    <n v="125.518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25.518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1"/>
    <m/>
    <s v="Burner opening Tube Pan.s"/>
    <s v="Sealing Plate "/>
    <m/>
    <m/>
    <x v="11"/>
    <m/>
    <m/>
    <m/>
    <m/>
    <m/>
    <n v="47.1"/>
    <s v="ASME"/>
    <n v="0.12"/>
    <s v="WBC"/>
    <e v="#N/A"/>
    <n v="52.75200000000001"/>
    <n v="0"/>
    <n v="52.75200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52.75200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2"/>
    <m/>
    <s v="SOFA opening Tube Pan.s"/>
    <s v="Tube"/>
    <m/>
    <m/>
    <x v="11"/>
    <m/>
    <m/>
    <m/>
    <m/>
    <m/>
    <n v="7462.7514086399997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400"/>
    <n v="26"/>
    <m/>
    <x v="1"/>
    <m/>
  </r>
  <r>
    <x v="1"/>
    <x v="1"/>
    <s v="02"/>
    <s v="0233"/>
    <m/>
    <s v="Baffle Plates"/>
    <s v="Plate "/>
    <m/>
    <m/>
    <x v="11"/>
    <m/>
    <m/>
    <m/>
    <m/>
    <m/>
    <n v="1244.5830000000001"/>
    <s v="ASME"/>
    <n v="0.12"/>
    <s v="WBC"/>
    <e v="#N/A"/>
    <n v="1393.9329600000003"/>
    <n v="0"/>
    <n v="1393.93296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393.93296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3"/>
    <m/>
    <s v="Baffle Plates"/>
    <s v="Plate "/>
    <m/>
    <m/>
    <x v="11"/>
    <m/>
    <m/>
    <m/>
    <m/>
    <m/>
    <n v="6442.9595999999992"/>
    <s v="ASME"/>
    <n v="0.12"/>
    <s v="WBC"/>
    <e v="#N/A"/>
    <n v="7216.1147519999995"/>
    <n v="0"/>
    <n v="7216.1147519999995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7216.114751999999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3"/>
    <m/>
    <s v="Baffle Plates"/>
    <s v="Plate "/>
    <m/>
    <m/>
    <x v="11"/>
    <m/>
    <m/>
    <m/>
    <m/>
    <m/>
    <n v="38.380000000000003"/>
    <s v="ASME"/>
    <n v="0.12"/>
    <s v="WBC"/>
    <e v="#N/A"/>
    <n v="42.985600000000005"/>
    <n v="0"/>
    <n v="42.985600000000005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2.98560000000000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3"/>
    <m/>
    <s v="Baffle Plates"/>
    <s v="Plate "/>
    <m/>
    <m/>
    <x v="11"/>
    <m/>
    <m/>
    <m/>
    <m/>
    <m/>
    <n v="11.78"/>
    <s v="ASME"/>
    <n v="0.12"/>
    <s v="WBC"/>
    <e v="#N/A"/>
    <n v="13.1936"/>
    <n v="0"/>
    <n v="13.193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3.1936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3"/>
    <m/>
    <s v="Baffle Plates"/>
    <s v="Plate "/>
    <m/>
    <m/>
    <x v="11"/>
    <m/>
    <m/>
    <m/>
    <m/>
    <m/>
    <n v="934.07400999999993"/>
    <s v="ASME"/>
    <n v="0.12"/>
    <s v="WBC"/>
    <e v="#N/A"/>
    <n v="1046.1628912000001"/>
    <n v="0"/>
    <n v="1046.1628912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046.1628912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3"/>
    <m/>
    <s v="Baffle Plates"/>
    <s v="Plate "/>
    <m/>
    <m/>
    <x v="11"/>
    <m/>
    <m/>
    <m/>
    <m/>
    <m/>
    <n v="151.07399999999998"/>
    <s v="ASME"/>
    <n v="0.12"/>
    <s v="WBC"/>
    <e v="#N/A"/>
    <n v="169.20287999999999"/>
    <n v="0"/>
    <n v="169.20287999999999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69.20287999999999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3"/>
    <m/>
    <s v="Baffle Plates"/>
    <s v="Plate "/>
    <m/>
    <m/>
    <x v="11"/>
    <m/>
    <m/>
    <m/>
    <m/>
    <m/>
    <n v="855.23962499999993"/>
    <s v="ASME"/>
    <n v="0.12"/>
    <s v="WBC"/>
    <e v="#N/A"/>
    <n v="957.86838"/>
    <n v="0"/>
    <n v="957.86838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957.86838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3"/>
    <m/>
    <s v="Baffle Plates"/>
    <s v="Plate "/>
    <m/>
    <m/>
    <x v="11"/>
    <m/>
    <m/>
    <m/>
    <m/>
    <m/>
    <n v="66.38163268000001"/>
    <s v="ASME"/>
    <n v="0.12"/>
    <s v="WBC"/>
    <e v="#N/A"/>
    <n v="74.347428601600015"/>
    <n v="0"/>
    <n v="74.347428601600015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74.347428601600015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4"/>
    <m/>
    <s v="External hanger Tubes"/>
    <s v="Exten hanger"/>
    <m/>
    <m/>
    <x v="11"/>
    <m/>
    <m/>
    <m/>
    <m/>
    <m/>
    <n v="14887.735200000001"/>
    <s v="ASME"/>
    <n v="0"/>
    <s v="OUT"/>
    <n v="0"/>
    <n v="14887.735200000001"/>
    <n v="0"/>
    <n v="14887.735200000001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14887.735200000001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1404"/>
    <n v="70"/>
    <m/>
    <x v="2"/>
    <m/>
  </r>
  <r>
    <x v="1"/>
    <x v="1"/>
    <s v="02"/>
    <s v="0234"/>
    <m/>
    <s v="External hanger Tubes"/>
    <s v="Exten hanger"/>
    <m/>
    <m/>
    <x v="11"/>
    <m/>
    <m/>
    <m/>
    <m/>
    <m/>
    <n v="27080.231040000002"/>
    <s v="ASME"/>
    <n v="0"/>
    <s v="OUT"/>
    <n v="0"/>
    <n v="27080.231040000002"/>
    <n v="0"/>
    <n v="27080.231040000002"/>
    <s v=" 0-0"/>
    <x v="1"/>
    <s v="Various"/>
    <s v="Piping"/>
    <m/>
    <m/>
    <m/>
    <n v="0"/>
    <x v="0"/>
    <x v="0"/>
    <x v="0"/>
    <x v="0"/>
    <n v="0"/>
    <x v="0"/>
    <s v="KG"/>
    <n v="0"/>
    <n v="0"/>
    <e v="#N/A"/>
    <e v="#N/A"/>
    <n v="27080.231040000002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2"/>
    <m/>
  </r>
  <r>
    <x v="1"/>
    <x v="1"/>
    <s v="02"/>
    <s v="0234"/>
    <m/>
    <s v="External hanger Tubes"/>
    <s v="Exten hanger"/>
    <m/>
    <m/>
    <x v="11"/>
    <m/>
    <m/>
    <m/>
    <m/>
    <m/>
    <n v="3434.2818047999999"/>
    <s v="ASME"/>
    <e v="#N/A"/>
    <e v="#N/A"/>
    <e v="#N/A"/>
    <e v="#N/A"/>
    <n v="0"/>
    <e v="#N/A"/>
    <s v=" 0-0"/>
    <x v="1"/>
    <e v="#N/A"/>
    <s v="Tubing"/>
    <s v="Vertical"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09-30T00:00:00"/>
    <n v="3"/>
    <n v="6"/>
    <n v="0"/>
    <n v="0"/>
    <n v="0"/>
    <n v="0"/>
    <e v="#N/A"/>
    <m/>
    <e v="#N/A"/>
    <e v="#N/A"/>
    <n v="0"/>
    <m/>
    <m/>
    <x v="1"/>
    <m/>
  </r>
  <r>
    <x v="1"/>
    <x v="1"/>
    <s v="02"/>
    <s v="0234"/>
    <m/>
    <s v="External hanger Tubes"/>
    <s v="Plate "/>
    <m/>
    <m/>
    <x v="11"/>
    <m/>
    <m/>
    <m/>
    <m/>
    <m/>
    <n v="1394.24"/>
    <s v="ASME"/>
    <n v="0.12"/>
    <s v="WBC"/>
    <e v="#N/A"/>
    <n v="1561.5488000000003"/>
    <n v="0"/>
    <n v="1561.5488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561.5488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4"/>
    <m/>
    <s v="External hanger Tubes"/>
    <s v="End Cap"/>
    <m/>
    <m/>
    <x v="11"/>
    <m/>
    <m/>
    <m/>
    <m/>
    <m/>
    <n v="70.56"/>
    <s v="ASME"/>
    <n v="0"/>
    <s v="OUT"/>
    <n v="0"/>
    <n v="70.56"/>
    <n v="0"/>
    <n v="70.56"/>
    <s v="End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70.56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34"/>
    <m/>
    <s v="External hanger Tubes"/>
    <s v="Plate "/>
    <m/>
    <m/>
    <x v="11"/>
    <m/>
    <m/>
    <m/>
    <m/>
    <m/>
    <n v="113.04"/>
    <s v="ASME"/>
    <n v="0.12"/>
    <s v="WBC"/>
    <e v="#N/A"/>
    <n v="126.60480000000003"/>
    <n v="0"/>
    <n v="126.6048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26.6048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4"/>
    <m/>
    <s v="External hanger Tubes"/>
    <s v="End Cap"/>
    <m/>
    <m/>
    <x v="11"/>
    <m/>
    <m/>
    <m/>
    <m/>
    <m/>
    <n v="524.16"/>
    <s v="ASME"/>
    <n v="0"/>
    <s v="OUT"/>
    <n v="0"/>
    <n v="524.16"/>
    <n v="0"/>
    <n v="524.16"/>
    <s v="End Cap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524.16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34"/>
    <m/>
    <s v="External hanger Tubes"/>
    <s v="Tube "/>
    <m/>
    <m/>
    <x v="11"/>
    <m/>
    <m/>
    <m/>
    <m/>
    <m/>
    <n v="22.56"/>
    <s v="ASME"/>
    <n v="0"/>
    <s v="OUT"/>
    <n v="0"/>
    <n v="22.56"/>
    <n v="0"/>
    <n v="22.56"/>
    <s v="Tube 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22.56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34"/>
    <m/>
    <s v="External hanger Tubes"/>
    <s v="Tube "/>
    <m/>
    <m/>
    <x v="11"/>
    <m/>
    <m/>
    <m/>
    <m/>
    <m/>
    <n v="6"/>
    <s v="ASME"/>
    <n v="0"/>
    <s v="OUT"/>
    <n v="0"/>
    <n v="6"/>
    <n v="0"/>
    <n v="6"/>
    <s v="Tube 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6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34"/>
    <m/>
    <s v="External hanger Tubes"/>
    <s v="Plate "/>
    <m/>
    <m/>
    <x v="11"/>
    <m/>
    <m/>
    <m/>
    <m/>
    <m/>
    <n v="85.92"/>
    <s v="ASME"/>
    <n v="0.12"/>
    <s v="WBC"/>
    <e v="#N/A"/>
    <n v="96.230400000000017"/>
    <n v="0"/>
    <n v="96.230400000000017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96.230400000000017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4"/>
    <m/>
    <s v="External hanger Tubes"/>
    <s v="Plate "/>
    <m/>
    <m/>
    <x v="11"/>
    <m/>
    <m/>
    <m/>
    <m/>
    <m/>
    <n v="20.48"/>
    <s v="ASME"/>
    <n v="0.12"/>
    <s v="WBC"/>
    <e v="#N/A"/>
    <n v="22.937600000000003"/>
    <n v="0"/>
    <n v="22.93760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22.93760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4"/>
    <m/>
    <s v="External hanger Tubes"/>
    <s v="Plate "/>
    <m/>
    <m/>
    <x v="11"/>
    <m/>
    <m/>
    <m/>
    <m/>
    <m/>
    <n v="103.2"/>
    <s v="ASME"/>
    <n v="0.12"/>
    <s v="WBC"/>
    <e v="#N/A"/>
    <n v="115.58400000000002"/>
    <n v="0"/>
    <n v="115.58400000000002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15.58400000000002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4"/>
    <m/>
    <s v="External hanger Tubes"/>
    <s v="Plate "/>
    <m/>
    <m/>
    <x v="11"/>
    <m/>
    <m/>
    <m/>
    <m/>
    <m/>
    <n v="9.92"/>
    <s v="ASME"/>
    <n v="0.12"/>
    <s v="WBC"/>
    <e v="#N/A"/>
    <n v="11.1104"/>
    <n v="0"/>
    <n v="11.11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1.11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4"/>
    <m/>
    <s v="External hanger Tubes"/>
    <s v="Plate "/>
    <m/>
    <m/>
    <x v="11"/>
    <m/>
    <m/>
    <m/>
    <m/>
    <m/>
    <n v="16.64"/>
    <s v="ASME"/>
    <n v="0.12"/>
    <s v="WBC"/>
    <e v="#N/A"/>
    <n v="18.636800000000001"/>
    <n v="0"/>
    <n v="18.636800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18.636800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4"/>
    <m/>
    <s v="External hanger Tubes"/>
    <s v="Plate "/>
    <m/>
    <m/>
    <x v="11"/>
    <m/>
    <m/>
    <m/>
    <m/>
    <m/>
    <n v="40"/>
    <s v="ASME"/>
    <n v="0.12"/>
    <s v="WBC"/>
    <e v="#N/A"/>
    <n v="44.800000000000004"/>
    <n v="0"/>
    <n v="44.800000000000004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44.800000000000004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4"/>
    <m/>
    <s v="External hanger Tubes"/>
    <s v="Plate "/>
    <m/>
    <m/>
    <x v="11"/>
    <m/>
    <m/>
    <m/>
    <m/>
    <m/>
    <n v="83.52"/>
    <s v="ASME"/>
    <n v="0.12"/>
    <s v="WBC"/>
    <e v="#N/A"/>
    <n v="93.542400000000001"/>
    <n v="0"/>
    <n v="93.542400000000001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93.542400000000001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4"/>
    <m/>
    <s v="External hanger Tubes"/>
    <s v="bolt"/>
    <m/>
    <m/>
    <x v="11"/>
    <m/>
    <m/>
    <m/>
    <m/>
    <m/>
    <n v="16"/>
    <s v="ASME"/>
    <n v="0"/>
    <s v="OUT"/>
    <n v="0"/>
    <n v="16"/>
    <n v="0"/>
    <n v="16"/>
    <s v="bol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16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34"/>
    <m/>
    <s v="External hanger Tubes"/>
    <s v="nut"/>
    <m/>
    <m/>
    <x v="11"/>
    <m/>
    <m/>
    <m/>
    <m/>
    <m/>
    <n v="2.88"/>
    <s v="ASME"/>
    <n v="0"/>
    <s v="OUT"/>
    <n v="0"/>
    <n v="2.88"/>
    <n v="0"/>
    <n v="2.88"/>
    <s v="nu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2.88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34"/>
    <m/>
    <s v="External hanger Tubes"/>
    <s v="gasket"/>
    <m/>
    <m/>
    <x v="11"/>
    <m/>
    <m/>
    <m/>
    <m/>
    <m/>
    <n v="0.96"/>
    <s v="ASME"/>
    <n v="0"/>
    <s v="OUT"/>
    <n v="0"/>
    <n v="0.96"/>
    <n v="0"/>
    <n v="0.96"/>
    <s v="gasket"/>
    <x v="1"/>
    <s v="Various"/>
    <s v="Various"/>
    <m/>
    <m/>
    <m/>
    <n v="0"/>
    <x v="0"/>
    <x v="0"/>
    <x v="0"/>
    <x v="0"/>
    <n v="0"/>
    <x v="0"/>
    <s v="KG"/>
    <n v="0"/>
    <n v="0"/>
    <e v="#N/A"/>
    <e v="#N/A"/>
    <n v="0.96"/>
    <n v="0"/>
    <n v="0"/>
    <n v="0"/>
    <e v="#N/A"/>
    <d v="1899-12-30T00:00:00"/>
    <n v="0"/>
    <d v="1899-12-30T00:00:00"/>
    <d v="2018-07-18T00:00:00"/>
    <d v="2018-11-04T00:00:00"/>
    <n v="4"/>
    <n v="7"/>
    <n v="0"/>
    <n v="0"/>
    <n v="0"/>
    <n v="0"/>
    <n v="0"/>
    <m/>
    <e v="#N/A"/>
    <e v="#N/A"/>
    <n v="0"/>
    <m/>
    <m/>
    <x v="2"/>
    <m/>
  </r>
  <r>
    <x v="1"/>
    <x v="1"/>
    <s v="02"/>
    <s v="0234"/>
    <m/>
    <s v="External hanger Tubes"/>
    <s v="Plate "/>
    <m/>
    <m/>
    <x v="11"/>
    <m/>
    <m/>
    <m/>
    <m/>
    <m/>
    <n v="29.759999999999998"/>
    <s v="ASME"/>
    <n v="0.12"/>
    <s v="WBC"/>
    <e v="#N/A"/>
    <n v="33.331200000000003"/>
    <n v="0"/>
    <n v="33.331200000000003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33.331200000000003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1"/>
    <x v="1"/>
    <s v="02"/>
    <s v="0234"/>
    <m/>
    <s v="External hanger Tubes"/>
    <s v="Tube "/>
    <m/>
    <m/>
    <x v="11"/>
    <m/>
    <m/>
    <m/>
    <m/>
    <m/>
    <n v="190.08"/>
    <s v="ASME"/>
    <n v="0"/>
    <s v="OUT"/>
    <n v="0"/>
    <n v="190.08"/>
    <n v="0"/>
    <n v="190.08"/>
    <s v="Tube "/>
    <x v="1"/>
    <s v="Forgings"/>
    <s v="Forgings"/>
    <m/>
    <m/>
    <m/>
    <n v="0"/>
    <x v="0"/>
    <x v="0"/>
    <x v="0"/>
    <x v="0"/>
    <n v="0"/>
    <x v="0"/>
    <s v="KG"/>
    <n v="0"/>
    <n v="0"/>
    <e v="#N/A"/>
    <e v="#N/A"/>
    <n v="190.08"/>
    <n v="0"/>
    <n v="0"/>
    <n v="0"/>
    <e v="#N/A"/>
    <d v="1899-12-30T00:00:00"/>
    <n v="0"/>
    <d v="1899-12-30T00:00:00"/>
    <d v="2018-06-03T00:00:00"/>
    <d v="2018-09-30T00:00:00"/>
    <n v="3"/>
    <n v="6"/>
    <n v="0"/>
    <n v="0"/>
    <n v="0"/>
    <n v="0"/>
    <n v="0"/>
    <m/>
    <e v="#N/A"/>
    <e v="#N/A"/>
    <n v="0"/>
    <m/>
    <m/>
    <x v="0"/>
    <m/>
  </r>
  <r>
    <x v="1"/>
    <x v="1"/>
    <s v="02"/>
    <s v="0234"/>
    <m/>
    <s v="External hanger Tubes"/>
    <s v="Plate "/>
    <m/>
    <m/>
    <x v="11"/>
    <m/>
    <m/>
    <m/>
    <m/>
    <m/>
    <n v="57.04"/>
    <s v="ASME"/>
    <n v="0.12"/>
    <s v="WBC"/>
    <e v="#N/A"/>
    <n v="63.884800000000006"/>
    <n v="0"/>
    <n v="63.884800000000006"/>
    <s v=""/>
    <x v="1"/>
    <s v="Plate"/>
    <s v="Plate"/>
    <m/>
    <m/>
    <m/>
    <n v="0"/>
    <x v="2"/>
    <x v="0"/>
    <x v="0"/>
    <x v="0"/>
    <n v="0"/>
    <x v="0"/>
    <s v="KG"/>
    <n v="0"/>
    <n v="0"/>
    <n v="0"/>
    <n v="0"/>
    <n v="63.884800000000006"/>
    <n v="0"/>
    <n v="0"/>
    <n v="0"/>
    <n v="0"/>
    <d v="1899-12-30T00:00:00"/>
    <n v="0"/>
    <d v="1899-12-30T00:00:00"/>
    <d v="2018-07-18T00:00:00"/>
    <d v="2018-11-04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01"/>
    <m/>
    <s v="SH1 Inlet HDR"/>
    <s v="Header"/>
    <m/>
    <m/>
    <x v="11"/>
    <m/>
    <m/>
    <m/>
    <m/>
    <m/>
    <n v="15712.76016"/>
    <s v="ASME"/>
    <n v="0"/>
    <s v="OUT"/>
    <n v="0"/>
    <n v="15712.76016"/>
    <n v="0"/>
    <n v="15712.76016"/>
    <s v=" 0-0"/>
    <x v="2"/>
    <s v="Various"/>
    <s v="Piping"/>
    <m/>
    <m/>
    <m/>
    <n v="0"/>
    <x v="0"/>
    <x v="0"/>
    <x v="0"/>
    <x v="0"/>
    <n v="0"/>
    <x v="0"/>
    <s v="KG"/>
    <n v="0"/>
    <n v="0"/>
    <e v="#N/A"/>
    <e v="#N/A"/>
    <n v="15712.76016"/>
    <n v="0"/>
    <n v="0"/>
    <n v="0"/>
    <e v="#N/A"/>
    <d v="1899-12-30T00:00:00"/>
    <n v="0"/>
    <d v="1899-12-30T00:00:00"/>
    <d v="2018-06-03T00:00:00"/>
    <d v="2018-11-29T00:00:00"/>
    <n v="5"/>
    <n v="6"/>
    <n v="0"/>
    <n v="0"/>
    <n v="0"/>
    <n v="0"/>
    <n v="0"/>
    <m/>
    <e v="#N/A"/>
    <e v="#N/A"/>
    <n v="702"/>
    <n v="18"/>
    <m/>
    <x v="2"/>
    <m/>
  </r>
  <r>
    <x v="2"/>
    <x v="2"/>
    <s v="03"/>
    <s v="0301"/>
    <m/>
    <s v="SH1 Inlet HDR"/>
    <s v="End Cap"/>
    <m/>
    <m/>
    <x v="11"/>
    <m/>
    <m/>
    <m/>
    <m/>
    <m/>
    <n v="23.329393664062501"/>
    <s v="ASME"/>
    <n v="0"/>
    <s v="OUT"/>
    <n v="0"/>
    <n v="23.329393664062501"/>
    <n v="0"/>
    <n v="23.329393664062501"/>
    <s v="End Cap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23.329393664062501"/>
    <n v="0"/>
    <n v="0"/>
    <n v="0"/>
    <e v="#N/A"/>
    <d v="1899-12-30T00:00:00"/>
    <n v="0"/>
    <d v="1899-12-30T00:00:00"/>
    <d v="2018-06-03T00:00:00"/>
    <d v="2018-11-29T00:00:00"/>
    <n v="5"/>
    <n v="6"/>
    <n v="0"/>
    <n v="0"/>
    <n v="0"/>
    <n v="0"/>
    <n v="0"/>
    <m/>
    <e v="#N/A"/>
    <e v="#N/A"/>
    <n v="0"/>
    <m/>
    <m/>
    <x v="0"/>
    <m/>
  </r>
  <r>
    <x v="2"/>
    <x v="2"/>
    <s v="03"/>
    <s v="0301"/>
    <m/>
    <s v="SH1 Inlet HDR"/>
    <s v="Nozzles"/>
    <m/>
    <m/>
    <x v="11"/>
    <m/>
    <m/>
    <m/>
    <m/>
    <m/>
    <n v="515.82584592000001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0"/>
    <m/>
    <m/>
    <x v="1"/>
    <m/>
  </r>
  <r>
    <x v="2"/>
    <x v="2"/>
    <s v="03"/>
    <s v="0301"/>
    <m/>
    <s v="SH1 Inlet HDR"/>
    <s v="Nozzles"/>
    <m/>
    <m/>
    <x v="11"/>
    <m/>
    <m/>
    <m/>
    <m/>
    <m/>
    <n v="97.224418659375004"/>
    <s v="ASME"/>
    <n v="0"/>
    <s v="OUT"/>
    <n v="0"/>
    <n v="97.224418659375004"/>
    <n v="0"/>
    <n v="97.224418659375004"/>
    <s v="Nozzles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97.224418659375004"/>
    <n v="0"/>
    <n v="0"/>
    <n v="0"/>
    <e v="#N/A"/>
    <d v="1899-12-30T00:00:00"/>
    <n v="0"/>
    <d v="1899-12-30T00:00:00"/>
    <d v="2018-06-03T00:00:00"/>
    <d v="2018-11-29T00:00:00"/>
    <n v="5"/>
    <n v="6"/>
    <n v="0"/>
    <n v="0"/>
    <n v="0"/>
    <n v="0"/>
    <n v="0"/>
    <m/>
    <e v="#N/A"/>
    <e v="#N/A"/>
    <n v="0"/>
    <m/>
    <m/>
    <x v="0"/>
    <m/>
  </r>
  <r>
    <x v="2"/>
    <x v="2"/>
    <s v="03"/>
    <s v="0301"/>
    <m/>
    <s v="SH1 Inlet HDR"/>
    <s v="Nozzles"/>
    <m/>
    <m/>
    <x v="11"/>
    <m/>
    <m/>
    <m/>
    <m/>
    <m/>
    <n v="11.249694719999999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0"/>
    <m/>
    <m/>
    <x v="1"/>
    <m/>
  </r>
  <r>
    <x v="2"/>
    <x v="2"/>
    <s v="03"/>
    <s v="0301"/>
    <m/>
    <s v="SH1 Inlet HDR"/>
    <s v="Nozzles"/>
    <m/>
    <m/>
    <x v="11"/>
    <m/>
    <m/>
    <m/>
    <m/>
    <m/>
    <n v="51.911471040000002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0"/>
    <m/>
    <m/>
    <x v="1"/>
    <m/>
  </r>
  <r>
    <x v="2"/>
    <x v="2"/>
    <s v="03"/>
    <s v="0301"/>
    <m/>
    <s v="SH1 Inlet HDR"/>
    <s v="Plate"/>
    <m/>
    <m/>
    <x v="11"/>
    <m/>
    <m/>
    <m/>
    <m/>
    <m/>
    <n v="22.608000000000001"/>
    <s v="ASME"/>
    <n v="0.12"/>
    <s v="WBC"/>
    <e v="#N/A"/>
    <n v="25.320960000000003"/>
    <n v="0"/>
    <n v="25.320960000000003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5.320960000000003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2"/>
    <m/>
    <s v="SH1 Inlet HDR Terminal Tubes"/>
    <s v="Tube"/>
    <m/>
    <m/>
    <x v="11"/>
    <m/>
    <m/>
    <m/>
    <m/>
    <m/>
    <n v="20203.178965200001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927"/>
    <n v="54"/>
    <m/>
    <x v="1"/>
    <m/>
  </r>
  <r>
    <x v="2"/>
    <x v="2"/>
    <s v="03"/>
    <s v="0302"/>
    <m/>
    <s v="SH1 Inlet HDR Terminal Tubes"/>
    <s v="Sleeve"/>
    <m/>
    <m/>
    <x v="11"/>
    <m/>
    <m/>
    <m/>
    <m/>
    <m/>
    <n v="369.17129098079994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0"/>
    <m/>
    <m/>
    <x v="1"/>
    <m/>
  </r>
  <r>
    <x v="2"/>
    <x v="2"/>
    <s v="03"/>
    <s v="0303"/>
    <m/>
    <s v="SH1 Tube Assy"/>
    <s v="Tube"/>
    <m/>
    <m/>
    <x v="11"/>
    <m/>
    <m/>
    <m/>
    <m/>
    <m/>
    <n v="68776.779456000004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15418"/>
    <n v="817"/>
    <m/>
    <x v="1"/>
    <m/>
  </r>
  <r>
    <x v="2"/>
    <x v="2"/>
    <s v="03"/>
    <s v="0303"/>
    <m/>
    <s v="SH1 Tube Assy"/>
    <s v="Tube"/>
    <m/>
    <m/>
    <x v="11"/>
    <m/>
    <m/>
    <m/>
    <m/>
    <m/>
    <n v="128779.00535808002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0"/>
    <m/>
    <m/>
    <x v="1"/>
    <m/>
  </r>
  <r>
    <x v="2"/>
    <x v="2"/>
    <s v="03"/>
    <s v="0303"/>
    <m/>
    <s v="SH1 Tube Assy"/>
    <s v="Tube"/>
    <m/>
    <m/>
    <x v="11"/>
    <m/>
    <m/>
    <m/>
    <m/>
    <m/>
    <n v="64100.76051456001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0"/>
    <m/>
    <m/>
    <x v="1"/>
    <m/>
  </r>
  <r>
    <x v="2"/>
    <x v="2"/>
    <s v="03"/>
    <s v="0303"/>
    <m/>
    <s v="SH1 Tube Assy"/>
    <s v="Tube"/>
    <m/>
    <m/>
    <x v="11"/>
    <m/>
    <m/>
    <m/>
    <m/>
    <m/>
    <n v="76215.900499200012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0"/>
    <m/>
    <m/>
    <x v="1"/>
    <m/>
  </r>
  <r>
    <x v="2"/>
    <x v="2"/>
    <s v="03"/>
    <s v="0303"/>
    <m/>
    <s v="SH1 Tube Assy"/>
    <s v="Forging"/>
    <m/>
    <m/>
    <x v="11"/>
    <m/>
    <m/>
    <m/>
    <m/>
    <m/>
    <n v="1584"/>
    <s v="ASME"/>
    <n v="0"/>
    <s v="OUT"/>
    <n v="0"/>
    <n v="1584"/>
    <n v="0"/>
    <n v="1584"/>
    <s v="Forging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1584"/>
    <n v="0"/>
    <n v="0"/>
    <n v="0"/>
    <e v="#N/A"/>
    <d v="1899-12-30T00:00:00"/>
    <n v="0"/>
    <d v="1899-12-30T00:00:00"/>
    <d v="2018-06-03T00:00:00"/>
    <d v="2018-11-29T00:00:00"/>
    <n v="5"/>
    <n v="6"/>
    <n v="0"/>
    <n v="0"/>
    <n v="0"/>
    <n v="0"/>
    <n v="0"/>
    <m/>
    <e v="#N/A"/>
    <e v="#N/A"/>
    <n v="0"/>
    <m/>
    <m/>
    <x v="0"/>
    <m/>
  </r>
  <r>
    <x v="2"/>
    <x v="2"/>
    <s v="03"/>
    <s v="0303"/>
    <m/>
    <s v="SH1 Tube Assy"/>
    <s v="Plate"/>
    <m/>
    <m/>
    <x v="11"/>
    <m/>
    <m/>
    <m/>
    <m/>
    <m/>
    <n v="503.59320000000002"/>
    <s v="ASME"/>
    <n v="0.12"/>
    <s v="WBC"/>
    <e v="#N/A"/>
    <n v="564.02438400000005"/>
    <n v="0"/>
    <n v="564.02438400000005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564.02438400000005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3"/>
    <m/>
    <s v="SH1 Tube Assy"/>
    <s v="Plate"/>
    <m/>
    <m/>
    <x v="11"/>
    <m/>
    <m/>
    <m/>
    <m/>
    <m/>
    <n v="134.29151999999999"/>
    <s v="ASME"/>
    <n v="0.12"/>
    <s v="WBC"/>
    <e v="#N/A"/>
    <n v="150.40650239999999"/>
    <n v="0"/>
    <n v="150.40650239999999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50.40650239999999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3"/>
    <m/>
    <s v="SH1 Tube Assy"/>
    <s v="Plate"/>
    <m/>
    <m/>
    <x v="11"/>
    <m/>
    <m/>
    <m/>
    <m/>
    <m/>
    <n v="3.357288"/>
    <s v="ASME"/>
    <n v="0.12"/>
    <s v="WBC"/>
    <e v="#N/A"/>
    <n v="3.7601625600000004"/>
    <n v="0"/>
    <n v="3.7601625600000004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3.7601625600000004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3"/>
    <m/>
    <s v="SH1 Tube Assy"/>
    <s v="Plate"/>
    <m/>
    <m/>
    <x v="11"/>
    <m/>
    <m/>
    <m/>
    <m/>
    <m/>
    <n v="196.40134799999998"/>
    <s v="ASME"/>
    <n v="0.12"/>
    <s v="WBC"/>
    <e v="#N/A"/>
    <n v="219.96950975999999"/>
    <n v="0"/>
    <n v="219.96950975999999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19.96950975999999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3"/>
    <m/>
    <s v="SH1 Tube Assy"/>
    <s v="Plate"/>
    <m/>
    <m/>
    <x v="11"/>
    <m/>
    <m/>
    <m/>
    <m/>
    <m/>
    <n v="67.14576000000001"/>
    <s v="ASME"/>
    <n v="0.12"/>
    <s v="WBC"/>
    <e v="#N/A"/>
    <n v="75.203251200000025"/>
    <n v="0"/>
    <n v="75.203251200000025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75.203251200000025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3"/>
    <m/>
    <s v="SH1 Tube Assy"/>
    <s v="Tube"/>
    <m/>
    <m/>
    <x v="11"/>
    <m/>
    <m/>
    <m/>
    <m/>
    <m/>
    <n v="0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0"/>
    <m/>
    <m/>
    <x v="1"/>
    <m/>
  </r>
  <r>
    <x v="2"/>
    <x v="2"/>
    <s v="03"/>
    <s v="0303"/>
    <m/>
    <s v="SH1 Tube Assy"/>
    <s v="Tube"/>
    <m/>
    <m/>
    <x v="11"/>
    <m/>
    <m/>
    <m/>
    <m/>
    <m/>
    <n v="0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0"/>
    <m/>
    <m/>
    <x v="1"/>
    <m/>
  </r>
  <r>
    <x v="2"/>
    <x v="2"/>
    <s v="03"/>
    <s v="0303"/>
    <m/>
    <s v="SH1 Tube Assy"/>
    <s v="Plate"/>
    <m/>
    <m/>
    <x v="11"/>
    <m/>
    <m/>
    <m/>
    <m/>
    <m/>
    <n v="4770"/>
    <s v="ASME"/>
    <n v="0.12"/>
    <s v="WBC"/>
    <e v="#N/A"/>
    <n v="5342.4000000000005"/>
    <n v="0"/>
    <n v="5342.4000000000005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5342.4000000000005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3"/>
    <m/>
    <s v="SH1 Tube Assy"/>
    <s v="Plate"/>
    <m/>
    <m/>
    <x v="11"/>
    <m/>
    <m/>
    <m/>
    <m/>
    <m/>
    <n v="7900"/>
    <s v="ASME"/>
    <n v="0.12"/>
    <s v="WBC"/>
    <e v="#N/A"/>
    <n v="8848"/>
    <n v="0"/>
    <n v="8848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8848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3"/>
    <m/>
    <s v="SH1 Tube Assy"/>
    <s v="Plate"/>
    <m/>
    <m/>
    <x v="11"/>
    <m/>
    <m/>
    <m/>
    <m/>
    <m/>
    <n v="4500"/>
    <s v="ASME"/>
    <n v="0.12"/>
    <s v="WBC"/>
    <e v="#N/A"/>
    <n v="5040.0000000000009"/>
    <n v="0"/>
    <n v="5040.0000000000009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5040.0000000000009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4"/>
    <m/>
    <s v="SH1 Outlet Terminal Tubes"/>
    <s v="Tube"/>
    <m/>
    <m/>
    <x v="11"/>
    <m/>
    <m/>
    <m/>
    <m/>
    <m/>
    <n v="19053.975124800003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973"/>
    <n v="54"/>
    <m/>
    <x v="1"/>
    <m/>
  </r>
  <r>
    <x v="2"/>
    <x v="2"/>
    <s v="03"/>
    <s v="0304"/>
    <m/>
    <s v="SH1 Outlet Terminal Tubes"/>
    <s v="Sleeve"/>
    <m/>
    <m/>
    <x v="11"/>
    <m/>
    <m/>
    <m/>
    <m/>
    <m/>
    <n v="369.14883667200002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0"/>
    <m/>
    <m/>
    <x v="1"/>
    <m/>
  </r>
  <r>
    <x v="2"/>
    <x v="2"/>
    <s v="03"/>
    <s v="0305"/>
    <m/>
    <s v="SH1 Outlet HDR"/>
    <s v="Header"/>
    <m/>
    <m/>
    <x v="11"/>
    <m/>
    <m/>
    <m/>
    <m/>
    <m/>
    <n v="19480.531968000003"/>
    <s v="ASME"/>
    <n v="0"/>
    <s v="OUT"/>
    <n v="0"/>
    <n v="19480.531968000003"/>
    <n v="0"/>
    <n v="19480.531968000003"/>
    <s v=" 0-0"/>
    <x v="2"/>
    <s v="Various"/>
    <s v="Piping"/>
    <m/>
    <m/>
    <m/>
    <n v="0"/>
    <x v="0"/>
    <x v="0"/>
    <x v="0"/>
    <x v="0"/>
    <n v="0"/>
    <x v="0"/>
    <s v="KG"/>
    <n v="0"/>
    <n v="0"/>
    <e v="#N/A"/>
    <e v="#N/A"/>
    <n v="19480.531968000003"/>
    <n v="0"/>
    <n v="0"/>
    <n v="0"/>
    <e v="#N/A"/>
    <d v="1899-12-30T00:00:00"/>
    <n v="0"/>
    <d v="1899-12-30T00:00:00"/>
    <d v="2018-06-03T00:00:00"/>
    <d v="2018-11-29T00:00:00"/>
    <n v="5"/>
    <n v="6"/>
    <n v="0"/>
    <n v="0"/>
    <n v="0"/>
    <n v="0"/>
    <n v="0"/>
    <m/>
    <e v="#N/A"/>
    <e v="#N/A"/>
    <n v="720"/>
    <n v="18"/>
    <m/>
    <x v="2"/>
    <m/>
  </r>
  <r>
    <x v="2"/>
    <x v="2"/>
    <s v="03"/>
    <s v="0305"/>
    <m/>
    <s v="SH1 Outlet HDR"/>
    <s v="End cap"/>
    <m/>
    <m/>
    <x v="11"/>
    <m/>
    <m/>
    <m/>
    <m/>
    <m/>
    <n v="24.033402421875003"/>
    <s v="ASME"/>
    <n v="0"/>
    <s v="OUT"/>
    <n v="0"/>
    <n v="24.033402421875003"/>
    <n v="0"/>
    <n v="24.033402421875003"/>
    <s v="End cap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24.033402421875003"/>
    <n v="0"/>
    <n v="0"/>
    <n v="0"/>
    <e v="#N/A"/>
    <d v="1899-12-30T00:00:00"/>
    <n v="0"/>
    <d v="1899-12-30T00:00:00"/>
    <d v="2018-06-03T00:00:00"/>
    <d v="2018-11-29T00:00:00"/>
    <n v="5"/>
    <n v="6"/>
    <n v="0"/>
    <n v="0"/>
    <n v="0"/>
    <n v="0"/>
    <n v="0"/>
    <m/>
    <e v="#N/A"/>
    <e v="#N/A"/>
    <n v="0"/>
    <m/>
    <m/>
    <x v="0"/>
    <m/>
  </r>
  <r>
    <x v="2"/>
    <x v="2"/>
    <s v="03"/>
    <s v="0305"/>
    <m/>
    <s v="SH1 Outlet HDR"/>
    <s v="Nozzles"/>
    <m/>
    <m/>
    <x v="11"/>
    <m/>
    <m/>
    <m/>
    <m/>
    <m/>
    <n v="544.39928928000018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0"/>
    <m/>
    <m/>
    <x v="1"/>
    <m/>
  </r>
  <r>
    <x v="2"/>
    <x v="2"/>
    <s v="03"/>
    <s v="0305"/>
    <m/>
    <s v="SH1 Outlet HDR"/>
    <s v="Nozzles"/>
    <m/>
    <m/>
    <x v="11"/>
    <m/>
    <m/>
    <m/>
    <m/>
    <m/>
    <n v="263.72796011100002"/>
    <s v="ASME"/>
    <n v="0"/>
    <s v="OUT"/>
    <n v="0"/>
    <n v="263.72796011100002"/>
    <n v="0"/>
    <n v="263.72796011100002"/>
    <s v="Nozzles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263.72796011100002"/>
    <n v="0"/>
    <n v="0"/>
    <n v="0"/>
    <e v="#N/A"/>
    <d v="1899-12-30T00:00:00"/>
    <n v="0"/>
    <d v="1899-12-30T00:00:00"/>
    <d v="2018-06-03T00:00:00"/>
    <d v="2018-11-29T00:00:00"/>
    <n v="5"/>
    <n v="6"/>
    <n v="0"/>
    <n v="0"/>
    <n v="0"/>
    <n v="0"/>
    <n v="0"/>
    <m/>
    <e v="#N/A"/>
    <e v="#N/A"/>
    <n v="0"/>
    <m/>
    <m/>
    <x v="0"/>
    <m/>
  </r>
  <r>
    <x v="2"/>
    <x v="2"/>
    <s v="03"/>
    <s v="0305"/>
    <m/>
    <s v="SH1 Outlet HDR"/>
    <s v="Nozzles"/>
    <m/>
    <m/>
    <x v="11"/>
    <m/>
    <m/>
    <m/>
    <m/>
    <m/>
    <n v="18.447416064000002"/>
    <s v="ASME"/>
    <e v="#N/A"/>
    <e v="#N/A"/>
    <e v="#N/A"/>
    <e v="#N/A"/>
    <e v="#N/A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0"/>
    <m/>
    <m/>
    <x v="1"/>
    <m/>
  </r>
  <r>
    <x v="2"/>
    <x v="2"/>
    <s v="03"/>
    <s v="0305"/>
    <m/>
    <s v="SH1 Outlet HDR"/>
    <s v="Nozzles"/>
    <m/>
    <m/>
    <x v="11"/>
    <m/>
    <m/>
    <m/>
    <m/>
    <m/>
    <n v="10.335657024000001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0"/>
    <m/>
    <m/>
    <x v="1"/>
    <m/>
  </r>
  <r>
    <x v="2"/>
    <x v="2"/>
    <s v="03"/>
    <s v="0305"/>
    <m/>
    <s v="SH1 Outlet HDR"/>
    <s v="Plate"/>
    <m/>
    <m/>
    <x v="11"/>
    <m/>
    <m/>
    <m/>
    <m/>
    <m/>
    <n v="1.6956000000000002"/>
    <s v="ASME"/>
    <n v="0.12"/>
    <s v="WBC"/>
    <e v="#N/A"/>
    <n v="1.8990720000000003"/>
    <n v="0"/>
    <n v="1.8990720000000003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.8990720000000003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5"/>
    <m/>
    <s v="SH1 Outlet HDR"/>
    <s v="Plate"/>
    <m/>
    <m/>
    <x v="11"/>
    <m/>
    <m/>
    <m/>
    <m/>
    <m/>
    <n v="22.608000000000001"/>
    <s v="ASME"/>
    <n v="0.12"/>
    <s v="WBC"/>
    <e v="#N/A"/>
    <n v="25.320960000000003"/>
    <n v="0"/>
    <n v="25.320960000000003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5.320960000000003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6"/>
    <m/>
    <s v="SH1 Inlet HDR Susp"/>
    <s v="Hanger"/>
    <m/>
    <m/>
    <x v="11"/>
    <m/>
    <m/>
    <m/>
    <m/>
    <m/>
    <n v="270.64516559999993"/>
    <s v="ASME"/>
    <n v="0"/>
    <s v="OUT"/>
    <n v="0"/>
    <n v="270.64516559999993"/>
    <n v="0"/>
    <n v="270.64516559999993"/>
    <s v="Hanger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270.64516559999993"/>
    <n v="0"/>
    <n v="0"/>
    <n v="0"/>
    <e v="#N/A"/>
    <d v="1899-12-30T00:00:00"/>
    <n v="0"/>
    <d v="1899-12-30T00:00:00"/>
    <d v="2018-06-03T00:00:00"/>
    <d v="2018-11-29T00:00:00"/>
    <n v="5"/>
    <n v="6"/>
    <n v="0"/>
    <n v="0"/>
    <n v="0"/>
    <n v="0"/>
    <n v="0"/>
    <m/>
    <e v="#N/A"/>
    <e v="#N/A"/>
    <n v="0"/>
    <m/>
    <m/>
    <x v="0"/>
    <m/>
  </r>
  <r>
    <x v="2"/>
    <x v="2"/>
    <s v="03"/>
    <s v="0306"/>
    <m/>
    <s v="SH1 Inlet HDR Susp"/>
    <s v="Nut "/>
    <m/>
    <m/>
    <x v="11"/>
    <m/>
    <m/>
    <m/>
    <m/>
    <m/>
    <n v="24"/>
    <s v="ASME"/>
    <n v="0"/>
    <s v="OUT"/>
    <n v="0"/>
    <n v="24"/>
    <n v="0"/>
    <n v="24"/>
    <s v="Nut 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24"/>
    <n v="0"/>
    <n v="0"/>
    <n v="0"/>
    <e v="#N/A"/>
    <d v="1899-12-30T00:00:00"/>
    <n v="0"/>
    <d v="1899-12-30T00:00:00"/>
    <d v="2018-07-08T00:00:00"/>
    <d v="2018-12-14T00:00:00"/>
    <n v="5"/>
    <n v="7"/>
    <n v="0"/>
    <n v="0"/>
    <n v="0"/>
    <n v="0"/>
    <n v="0"/>
    <m/>
    <e v="#N/A"/>
    <e v="#N/A"/>
    <n v="0"/>
    <m/>
    <m/>
    <x v="2"/>
    <m/>
  </r>
  <r>
    <x v="2"/>
    <x v="2"/>
    <s v="03"/>
    <s v="0306"/>
    <m/>
    <s v="SH1 Inlet HDR Susp"/>
    <s v="Stud"/>
    <m/>
    <m/>
    <x v="11"/>
    <m/>
    <m/>
    <m/>
    <m/>
    <m/>
    <n v="53.6"/>
    <s v="ASME"/>
    <n v="0"/>
    <s v="OUT"/>
    <n v="0"/>
    <n v="53.6"/>
    <n v="0"/>
    <n v="53.6"/>
    <s v="Stud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53.6"/>
    <n v="0"/>
    <n v="0"/>
    <n v="0"/>
    <e v="#N/A"/>
    <d v="1899-12-30T00:00:00"/>
    <n v="0"/>
    <d v="1899-12-30T00:00:00"/>
    <d v="2018-07-08T00:00:00"/>
    <d v="2018-12-14T00:00:00"/>
    <n v="5"/>
    <n v="7"/>
    <n v="0"/>
    <n v="0"/>
    <n v="0"/>
    <n v="0"/>
    <n v="0"/>
    <m/>
    <e v="#N/A"/>
    <e v="#N/A"/>
    <n v="0"/>
    <m/>
    <m/>
    <x v="2"/>
    <m/>
  </r>
  <r>
    <x v="2"/>
    <x v="2"/>
    <s v="03"/>
    <s v="0306"/>
    <m/>
    <s v="SH1 Inlet HDR Susp"/>
    <s v="Pin"/>
    <m/>
    <m/>
    <x v="11"/>
    <m/>
    <m/>
    <m/>
    <m/>
    <m/>
    <n v="0.8"/>
    <s v="ASME"/>
    <n v="0"/>
    <s v="OUT"/>
    <n v="0"/>
    <n v="0.8"/>
    <n v="0"/>
    <n v="0.8"/>
    <s v="Pin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0.8"/>
    <n v="0"/>
    <n v="0"/>
    <n v="0"/>
    <e v="#N/A"/>
    <d v="1899-12-30T00:00:00"/>
    <n v="0"/>
    <d v="1899-12-30T00:00:00"/>
    <d v="2018-07-08T00:00:00"/>
    <d v="2018-12-14T00:00:00"/>
    <n v="5"/>
    <n v="7"/>
    <n v="0"/>
    <n v="0"/>
    <n v="0"/>
    <n v="0"/>
    <n v="0"/>
    <m/>
    <e v="#N/A"/>
    <e v="#N/A"/>
    <n v="0"/>
    <m/>
    <m/>
    <x v="2"/>
    <m/>
  </r>
  <r>
    <x v="2"/>
    <x v="2"/>
    <s v="03"/>
    <s v="0306"/>
    <m/>
    <s v="SH1 Inlet HDR Susp"/>
    <s v="Washer"/>
    <m/>
    <m/>
    <x v="11"/>
    <m/>
    <m/>
    <m/>
    <m/>
    <m/>
    <n v="5.76"/>
    <s v="ASME"/>
    <n v="0"/>
    <s v="OUT"/>
    <n v="0"/>
    <n v="5.76"/>
    <n v="0"/>
    <n v="5.76"/>
    <s v="Washer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5.76"/>
    <n v="0"/>
    <n v="0"/>
    <n v="0"/>
    <e v="#N/A"/>
    <d v="1899-12-30T00:00:00"/>
    <n v="0"/>
    <d v="1899-12-30T00:00:00"/>
    <d v="2018-07-08T00:00:00"/>
    <d v="2018-12-14T00:00:00"/>
    <n v="5"/>
    <n v="7"/>
    <n v="0"/>
    <n v="0"/>
    <n v="0"/>
    <n v="0"/>
    <n v="0"/>
    <m/>
    <e v="#N/A"/>
    <e v="#N/A"/>
    <n v="0"/>
    <m/>
    <m/>
    <x v="2"/>
    <m/>
  </r>
  <r>
    <x v="2"/>
    <x v="2"/>
    <s v="03"/>
    <s v="0306"/>
    <m/>
    <s v="SH1 Inlet HDR Susp"/>
    <s v="Plate"/>
    <m/>
    <m/>
    <x v="11"/>
    <m/>
    <m/>
    <m/>
    <m/>
    <m/>
    <n v="400"/>
    <s v="ASME"/>
    <n v="0.12"/>
    <s v="WBC"/>
    <e v="#N/A"/>
    <n v="448.00000000000006"/>
    <n v="0"/>
    <n v="448.00000000000006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448.00000000000006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6"/>
    <m/>
    <s v="SH1 Inlet HDR Susp"/>
    <s v="Plate"/>
    <m/>
    <m/>
    <x v="11"/>
    <m/>
    <m/>
    <m/>
    <m/>
    <m/>
    <n v="32.103360000000002"/>
    <s v="ASME"/>
    <n v="0.12"/>
    <s v="WBC"/>
    <e v="#N/A"/>
    <n v="35.955763200000007"/>
    <n v="0"/>
    <n v="35.955763200000007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35.955763200000007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6"/>
    <m/>
    <s v="SH1 Inlet HDR Susp"/>
    <s v="Plate"/>
    <m/>
    <m/>
    <x v="11"/>
    <m/>
    <m/>
    <m/>
    <m/>
    <m/>
    <n v="212.28912"/>
    <s v="ASME"/>
    <n v="0.12"/>
    <s v="WBC"/>
    <e v="#N/A"/>
    <n v="237.76381440000003"/>
    <n v="0"/>
    <n v="237.76381440000003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37.76381440000003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6"/>
    <m/>
    <s v="SH1 Inlet HDR Susp"/>
    <s v="Plate"/>
    <m/>
    <m/>
    <x v="11"/>
    <m/>
    <m/>
    <m/>
    <m/>
    <m/>
    <n v="11.077920000000001"/>
    <s v="ASME"/>
    <n v="0.12"/>
    <s v="WBC"/>
    <e v="#N/A"/>
    <n v="12.407270400000002"/>
    <n v="0"/>
    <n v="12.407270400000002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2.407270400000002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6"/>
    <m/>
    <s v="SH1 Inlet HDR Susp"/>
    <s v="Plate"/>
    <m/>
    <m/>
    <x v="11"/>
    <m/>
    <m/>
    <m/>
    <m/>
    <m/>
    <n v="28.26"/>
    <s v="ASME"/>
    <n v="0.12"/>
    <s v="WBC"/>
    <e v="#N/A"/>
    <n v="31.651200000000006"/>
    <n v="0"/>
    <n v="31.651200000000006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31.651200000000006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6"/>
    <m/>
    <s v="SH1 Inlet HDR Susp"/>
    <s v="Plate"/>
    <m/>
    <m/>
    <x v="11"/>
    <m/>
    <m/>
    <m/>
    <m/>
    <m/>
    <n v="98.470400000000012"/>
    <s v="ASME"/>
    <n v="0.12"/>
    <s v="WBC"/>
    <e v="#N/A"/>
    <n v="110.28684800000002"/>
    <n v="0"/>
    <n v="110.28684800000002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10.28684800000002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6"/>
    <m/>
    <s v="SH1 Inlet HDR Susp"/>
    <s v="Plate"/>
    <m/>
    <m/>
    <x v="11"/>
    <m/>
    <m/>
    <m/>
    <m/>
    <m/>
    <n v="30.42032"/>
    <s v="ASME"/>
    <n v="0.12"/>
    <s v="WBC"/>
    <e v="#N/A"/>
    <n v="34.070758400000003"/>
    <n v="0"/>
    <n v="34.070758400000003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34.070758400000003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6"/>
    <m/>
    <s v="SH1 Inlet HDR Susp"/>
    <s v="Crosstie"/>
    <m/>
    <m/>
    <x v="11"/>
    <m/>
    <m/>
    <m/>
    <m/>
    <m/>
    <n v="2192"/>
    <s v="ASME"/>
    <n v="0.12"/>
    <s v="WBC"/>
    <e v="#N/A"/>
    <n v="2455.0400000000004"/>
    <n v="0"/>
    <n v="2455.0400000000004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455.0400000000004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7"/>
    <m/>
    <s v="SH1 Outlet HDR Susp"/>
    <s v="Hanger"/>
    <m/>
    <m/>
    <x v="11"/>
    <m/>
    <m/>
    <m/>
    <m/>
    <m/>
    <n v="693.2051712"/>
    <s v="ASME"/>
    <n v="0"/>
    <s v="OUT"/>
    <n v="0"/>
    <n v="693.2051712"/>
    <n v="0"/>
    <n v="693.2051712"/>
    <s v="Hanger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693.2051712"/>
    <n v="0"/>
    <n v="0"/>
    <n v="0"/>
    <e v="#N/A"/>
    <d v="1899-12-30T00:00:00"/>
    <n v="0"/>
    <d v="1899-12-30T00:00:00"/>
    <d v="2018-06-03T00:00:00"/>
    <d v="2018-11-29T00:00:00"/>
    <n v="5"/>
    <n v="6"/>
    <n v="0"/>
    <n v="0"/>
    <n v="0"/>
    <n v="0"/>
    <n v="0"/>
    <m/>
    <e v="#N/A"/>
    <e v="#N/A"/>
    <n v="0"/>
    <m/>
    <m/>
    <x v="0"/>
    <m/>
  </r>
  <r>
    <x v="2"/>
    <x v="2"/>
    <s v="03"/>
    <s v="0307"/>
    <m/>
    <s v="SH1 Outlet HDR Susp"/>
    <s v="Nut "/>
    <m/>
    <m/>
    <x v="11"/>
    <m/>
    <m/>
    <m/>
    <m/>
    <m/>
    <n v="32"/>
    <s v="ASME"/>
    <n v="0"/>
    <s v="OUT"/>
    <n v="0"/>
    <n v="32"/>
    <n v="0"/>
    <n v="32"/>
    <s v="Nut 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32"/>
    <n v="0"/>
    <n v="0"/>
    <n v="0"/>
    <e v="#N/A"/>
    <d v="1899-12-30T00:00:00"/>
    <n v="0"/>
    <d v="1899-12-30T00:00:00"/>
    <d v="2018-07-08T00:00:00"/>
    <d v="2018-12-14T00:00:00"/>
    <n v="5"/>
    <n v="7"/>
    <n v="0"/>
    <n v="0"/>
    <n v="0"/>
    <n v="0"/>
    <n v="0"/>
    <m/>
    <e v="#N/A"/>
    <e v="#N/A"/>
    <n v="0"/>
    <m/>
    <m/>
    <x v="2"/>
    <m/>
  </r>
  <r>
    <x v="2"/>
    <x v="2"/>
    <s v="03"/>
    <s v="0307"/>
    <m/>
    <s v="SH1 Outlet HDR Susp"/>
    <s v="Stud"/>
    <m/>
    <m/>
    <x v="11"/>
    <m/>
    <m/>
    <m/>
    <m/>
    <m/>
    <n v="53.6"/>
    <s v="ASME"/>
    <n v="0"/>
    <s v="OUT"/>
    <n v="0"/>
    <n v="53.6"/>
    <n v="0"/>
    <n v="53.6"/>
    <s v="Stud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53.6"/>
    <n v="0"/>
    <n v="0"/>
    <n v="0"/>
    <e v="#N/A"/>
    <d v="1899-12-30T00:00:00"/>
    <n v="0"/>
    <d v="1899-12-30T00:00:00"/>
    <d v="2018-07-08T00:00:00"/>
    <d v="2018-12-14T00:00:00"/>
    <n v="5"/>
    <n v="7"/>
    <n v="0"/>
    <n v="0"/>
    <n v="0"/>
    <n v="0"/>
    <n v="0"/>
    <m/>
    <e v="#N/A"/>
    <e v="#N/A"/>
    <n v="0"/>
    <m/>
    <m/>
    <x v="2"/>
    <m/>
  </r>
  <r>
    <x v="2"/>
    <x v="2"/>
    <s v="03"/>
    <s v="0307"/>
    <m/>
    <s v="SH1 Outlet HDR Susp"/>
    <s v="Pin"/>
    <m/>
    <m/>
    <x v="11"/>
    <m/>
    <m/>
    <m/>
    <m/>
    <m/>
    <n v="0.8"/>
    <s v="ASME"/>
    <n v="0"/>
    <s v="OUT"/>
    <n v="0"/>
    <n v="0.8"/>
    <n v="0"/>
    <n v="0.8"/>
    <s v="Pin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0.8"/>
    <n v="0"/>
    <n v="0"/>
    <n v="0"/>
    <e v="#N/A"/>
    <d v="1899-12-30T00:00:00"/>
    <n v="0"/>
    <d v="1899-12-30T00:00:00"/>
    <d v="2018-07-08T00:00:00"/>
    <d v="2018-12-14T00:00:00"/>
    <n v="5"/>
    <n v="7"/>
    <n v="0"/>
    <n v="0"/>
    <n v="0"/>
    <n v="0"/>
    <n v="0"/>
    <m/>
    <e v="#N/A"/>
    <e v="#N/A"/>
    <n v="0"/>
    <m/>
    <m/>
    <x v="2"/>
    <m/>
  </r>
  <r>
    <x v="2"/>
    <x v="2"/>
    <s v="03"/>
    <s v="0307"/>
    <m/>
    <s v="SH1 Outlet HDR Susp"/>
    <s v="Washer"/>
    <m/>
    <m/>
    <x v="11"/>
    <m/>
    <m/>
    <m/>
    <m/>
    <m/>
    <n v="5.92"/>
    <s v="ASME"/>
    <n v="0"/>
    <s v="OUT"/>
    <n v="0"/>
    <n v="5.92"/>
    <n v="0"/>
    <n v="5.92"/>
    <s v="Washer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5.92"/>
    <n v="0"/>
    <n v="0"/>
    <n v="0"/>
    <e v="#N/A"/>
    <d v="1899-12-30T00:00:00"/>
    <n v="0"/>
    <d v="1899-12-30T00:00:00"/>
    <d v="2018-07-08T00:00:00"/>
    <d v="2018-12-14T00:00:00"/>
    <n v="5"/>
    <n v="7"/>
    <n v="0"/>
    <n v="0"/>
    <n v="0"/>
    <n v="0"/>
    <n v="0"/>
    <m/>
    <e v="#N/A"/>
    <e v="#N/A"/>
    <n v="0"/>
    <m/>
    <m/>
    <x v="2"/>
    <m/>
  </r>
  <r>
    <x v="2"/>
    <x v="2"/>
    <s v="03"/>
    <s v="0307"/>
    <m/>
    <s v="SH1 Outlet HDR Susp"/>
    <s v="Plate"/>
    <m/>
    <m/>
    <x v="11"/>
    <m/>
    <m/>
    <m/>
    <m/>
    <m/>
    <n v="328"/>
    <s v="ASME"/>
    <n v="0.12"/>
    <s v="WBC"/>
    <e v="#N/A"/>
    <n v="367.36"/>
    <n v="0"/>
    <n v="367.36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367.36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7"/>
    <m/>
    <s v="SH1 Outlet HDR Susp"/>
    <s v="Plate"/>
    <m/>
    <m/>
    <x v="11"/>
    <m/>
    <m/>
    <m/>
    <m/>
    <m/>
    <n v="34.376719999999999"/>
    <s v="ASME"/>
    <n v="0.12"/>
    <s v="WBC"/>
    <e v="#N/A"/>
    <n v="38.501926400000002"/>
    <n v="0"/>
    <n v="38.501926400000002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38.501926400000002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7"/>
    <m/>
    <s v="SH1 Outlet HDR Susp"/>
    <s v="Plate"/>
    <m/>
    <m/>
    <x v="11"/>
    <m/>
    <m/>
    <m/>
    <m/>
    <m/>
    <n v="194.31576000000001"/>
    <s v="ASME"/>
    <n v="0.12"/>
    <s v="WBC"/>
    <e v="#N/A"/>
    <n v="217.63365120000003"/>
    <n v="0"/>
    <n v="217.63365120000003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17.63365120000003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7"/>
    <m/>
    <s v="SH1 Outlet HDR Susp"/>
    <s v="Plate"/>
    <m/>
    <m/>
    <x v="11"/>
    <m/>
    <m/>
    <m/>
    <m/>
    <m/>
    <n v="6.4181599999999994"/>
    <s v="ASME"/>
    <n v="0.12"/>
    <s v="WBC"/>
    <e v="#N/A"/>
    <n v="7.1883391999999997"/>
    <n v="0"/>
    <n v="7.1883391999999997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7.1883391999999997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7"/>
    <m/>
    <s v="SH1 Outlet HDR Susp"/>
    <s v="Plate"/>
    <m/>
    <m/>
    <x v="11"/>
    <m/>
    <m/>
    <m/>
    <m/>
    <m/>
    <n v="28.26"/>
    <s v="ASME"/>
    <n v="0.12"/>
    <s v="WBC"/>
    <e v="#N/A"/>
    <n v="31.651200000000006"/>
    <n v="0"/>
    <n v="31.651200000000006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31.651200000000006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7"/>
    <m/>
    <s v="SH1 Outlet HDR Susp"/>
    <s v="Plate"/>
    <m/>
    <m/>
    <x v="11"/>
    <m/>
    <m/>
    <m/>
    <m/>
    <m/>
    <n v="98.470400000000012"/>
    <s v="ASME"/>
    <n v="0.12"/>
    <s v="WBC"/>
    <e v="#N/A"/>
    <n v="110.28684800000002"/>
    <n v="0"/>
    <n v="110.28684800000002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10.28684800000002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7"/>
    <m/>
    <s v="SH1 Outlet HDR Susp"/>
    <s v="Plate"/>
    <m/>
    <m/>
    <x v="11"/>
    <m/>
    <m/>
    <m/>
    <m/>
    <m/>
    <n v="25.760560000000002"/>
    <s v="ASME"/>
    <n v="0.12"/>
    <s v="WBC"/>
    <e v="#N/A"/>
    <n v="28.851827200000006"/>
    <n v="0"/>
    <n v="28.851827200000006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8.851827200000006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7"/>
    <m/>
    <s v="SH1 Outlet HDR Susp"/>
    <s v="Crosstie"/>
    <m/>
    <m/>
    <x v="11"/>
    <m/>
    <m/>
    <m/>
    <m/>
    <m/>
    <n v="2192"/>
    <s v="ASME"/>
    <n v="0.12"/>
    <s v="WBC"/>
    <e v="#N/A"/>
    <n v="2455.0400000000004"/>
    <n v="0"/>
    <n v="2455.0400000000004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455.0400000000004"/>
    <n v="0"/>
    <n v="0"/>
    <n v="0"/>
    <n v="0"/>
    <d v="1899-12-30T00:00:00"/>
    <n v="0"/>
    <d v="1899-12-30T00:00:00"/>
    <d v="2018-07-08T00:00:00"/>
    <d v="2018-12-14T00:00:00"/>
    <n v="5"/>
    <n v="7"/>
    <n v="0"/>
    <n v="0"/>
    <n v="0"/>
    <n v="0"/>
    <e v="#N/A"/>
    <m/>
    <n v="0"/>
    <n v="0"/>
    <n v="0"/>
    <m/>
    <m/>
    <x v="2"/>
    <m/>
  </r>
  <r>
    <x v="2"/>
    <x v="2"/>
    <s v="03"/>
    <s v="0308"/>
    <m/>
    <s v="SH2 Inlet HDR"/>
    <s v="Header"/>
    <m/>
    <m/>
    <x v="11"/>
    <m/>
    <m/>
    <m/>
    <m/>
    <m/>
    <n v="10178.227584"/>
    <s v="ASME"/>
    <n v="0"/>
    <s v="OUT"/>
    <n v="0"/>
    <n v="10178.227584"/>
    <n v="0"/>
    <n v="10178.227584"/>
    <s v=" 0-0"/>
    <x v="2"/>
    <s v="Various"/>
    <s v="Piping"/>
    <m/>
    <m/>
    <m/>
    <n v="0"/>
    <x v="0"/>
    <x v="0"/>
    <x v="0"/>
    <x v="0"/>
    <n v="0"/>
    <x v="0"/>
    <s v="KG"/>
    <n v="0"/>
    <n v="0"/>
    <e v="#N/A"/>
    <e v="#N/A"/>
    <n v="10178.227584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1171"/>
    <n v="24"/>
    <m/>
    <x v="2"/>
    <m/>
  </r>
  <r>
    <x v="2"/>
    <x v="2"/>
    <s v="03"/>
    <s v="0308"/>
    <m/>
    <s v="SH2 Inlet HDR"/>
    <s v="Header"/>
    <m/>
    <m/>
    <x v="11"/>
    <m/>
    <m/>
    <m/>
    <m/>
    <m/>
    <n v="10149.572664000001"/>
    <s v="ASME"/>
    <n v="0"/>
    <s v="OUT"/>
    <n v="0"/>
    <n v="10149.572664000001"/>
    <n v="0"/>
    <n v="10149.572664000001"/>
    <s v=" 0-0"/>
    <x v="2"/>
    <s v="Various"/>
    <s v="Piping"/>
    <m/>
    <m/>
    <m/>
    <n v="0"/>
    <x v="0"/>
    <x v="0"/>
    <x v="0"/>
    <x v="0"/>
    <n v="0"/>
    <x v="0"/>
    <s v="KG"/>
    <n v="0"/>
    <n v="0"/>
    <e v="#N/A"/>
    <e v="#N/A"/>
    <n v="10149.572664000001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0"/>
    <m/>
    <m/>
    <x v="2"/>
    <m/>
  </r>
  <r>
    <x v="2"/>
    <x v="2"/>
    <s v="03"/>
    <s v="0308"/>
    <m/>
    <s v="SH2 Inlet HDR"/>
    <s v="End cap"/>
    <m/>
    <m/>
    <x v="11"/>
    <m/>
    <m/>
    <m/>
    <m/>
    <m/>
    <n v="13.109128593750002"/>
    <s v="ASME"/>
    <n v="0"/>
    <s v="OUT"/>
    <n v="0"/>
    <n v="13.109128593750002"/>
    <n v="0"/>
    <n v="13.109128593750002"/>
    <s v="End cap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13.109128593750002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0"/>
    <m/>
    <m/>
    <x v="0"/>
    <m/>
  </r>
  <r>
    <x v="2"/>
    <x v="2"/>
    <s v="03"/>
    <s v="0308"/>
    <m/>
    <s v="SH2 Inlet HDR"/>
    <s v="Nozzles"/>
    <m/>
    <m/>
    <x v="11"/>
    <m/>
    <m/>
    <m/>
    <m/>
    <m/>
    <n v="614.07838800000002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9T00:00:00"/>
    <d v="2018-10-25T00:00:00"/>
    <n v="6"/>
    <n v="4"/>
    <n v="0"/>
    <n v="0"/>
    <n v="0"/>
    <n v="0"/>
    <e v="#N/A"/>
    <m/>
    <e v="#N/A"/>
    <e v="#N/A"/>
    <n v="0"/>
    <m/>
    <m/>
    <x v="1"/>
    <m/>
  </r>
  <r>
    <x v="2"/>
    <x v="2"/>
    <s v="03"/>
    <s v="0308"/>
    <m/>
    <s v="SH2 Inlet HDR"/>
    <s v="Nozzles"/>
    <m/>
    <m/>
    <x v="11"/>
    <m/>
    <m/>
    <m/>
    <m/>
    <m/>
    <n v="129.84279749999999"/>
    <s v="ASME"/>
    <n v="0"/>
    <s v="OUT"/>
    <n v="0"/>
    <n v="129.84279749999999"/>
    <n v="0"/>
    <n v="129.84279749999999"/>
    <s v="Nozzles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129.84279749999999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0"/>
    <m/>
    <m/>
    <x v="0"/>
    <m/>
  </r>
  <r>
    <x v="2"/>
    <x v="2"/>
    <s v="03"/>
    <s v="0308"/>
    <m/>
    <s v="SH2 Inlet HDR"/>
    <s v="Nozzles"/>
    <m/>
    <m/>
    <x v="11"/>
    <m/>
    <m/>
    <m/>
    <m/>
    <m/>
    <n v="10.28680488"/>
    <s v="ASME"/>
    <e v="#N/A"/>
    <e v="#N/A"/>
    <e v="#N/A"/>
    <e v="#N/A"/>
    <e v="#N/A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9T00:00:00"/>
    <d v="2018-10-25T00:00:00"/>
    <n v="6"/>
    <n v="4"/>
    <n v="0"/>
    <n v="0"/>
    <n v="0"/>
    <n v="0"/>
    <e v="#N/A"/>
    <m/>
    <e v="#N/A"/>
    <e v="#N/A"/>
    <n v="0"/>
    <m/>
    <m/>
    <x v="1"/>
    <m/>
  </r>
  <r>
    <x v="2"/>
    <x v="2"/>
    <s v="03"/>
    <s v="0308"/>
    <m/>
    <s v="SH2 Inlet HDR"/>
    <s v="Nozzles"/>
    <m/>
    <m/>
    <x v="11"/>
    <m/>
    <m/>
    <m/>
    <m/>
    <m/>
    <n v="3.4289349599999999"/>
    <s v="ASME"/>
    <e v="#N/A"/>
    <e v="#N/A"/>
    <e v="#N/A"/>
    <e v="#N/A"/>
    <e v="#N/A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9T00:00:00"/>
    <d v="2018-10-25T00:00:00"/>
    <n v="6"/>
    <n v="4"/>
    <n v="0"/>
    <n v="0"/>
    <n v="0"/>
    <n v="0"/>
    <e v="#N/A"/>
    <m/>
    <e v="#N/A"/>
    <e v="#N/A"/>
    <n v="0"/>
    <m/>
    <m/>
    <x v="1"/>
    <m/>
  </r>
  <r>
    <x v="2"/>
    <x v="2"/>
    <s v="03"/>
    <s v="0308"/>
    <m/>
    <s v="SH2 Inlet HDR"/>
    <s v="Plate"/>
    <m/>
    <m/>
    <x v="11"/>
    <m/>
    <m/>
    <m/>
    <m/>
    <m/>
    <n v="11.304"/>
    <s v="ASME"/>
    <n v="0.12"/>
    <s v="WBC"/>
    <e v="#N/A"/>
    <n v="12.660480000000002"/>
    <n v="0"/>
    <n v="12.660480000000002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2.660480000000002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09"/>
    <m/>
    <s v="SH2 Inlet Terminal Tubes"/>
    <s v="Tube"/>
    <m/>
    <m/>
    <x v="11"/>
    <m/>
    <m/>
    <m/>
    <m/>
    <m/>
    <n v="25791.292296000003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9T00:00:00"/>
    <d v="2018-10-25T00:00:00"/>
    <n v="6"/>
    <n v="4"/>
    <n v="0"/>
    <n v="0"/>
    <n v="0"/>
    <n v="0"/>
    <e v="#N/A"/>
    <m/>
    <e v="#N/A"/>
    <e v="#N/A"/>
    <n v="1069"/>
    <n v="61"/>
    <m/>
    <x v="1"/>
    <m/>
  </r>
  <r>
    <x v="2"/>
    <x v="2"/>
    <s v="03"/>
    <s v="0309"/>
    <m/>
    <s v="SH2 Inlet Terminal Tubes"/>
    <s v="Sleeve"/>
    <m/>
    <m/>
    <x v="11"/>
    <m/>
    <m/>
    <m/>
    <m/>
    <m/>
    <n v="368.80509600000011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9T00:00:00"/>
    <d v="2018-10-25T00:00:00"/>
    <n v="6"/>
    <n v="4"/>
    <n v="0"/>
    <n v="0"/>
    <n v="0"/>
    <n v="0"/>
    <e v="#N/A"/>
    <m/>
    <e v="#N/A"/>
    <e v="#N/A"/>
    <n v="0"/>
    <m/>
    <m/>
    <x v="1"/>
    <m/>
  </r>
  <r>
    <x v="2"/>
    <x v="2"/>
    <s v="03"/>
    <s v="0310"/>
    <m/>
    <s v="SH2 Tube Assy"/>
    <s v="Tube"/>
    <m/>
    <m/>
    <x v="11"/>
    <m/>
    <m/>
    <m/>
    <m/>
    <m/>
    <n v="507320.86024620006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9T00:00:00"/>
    <d v="2018-10-25T00:00:00"/>
    <n v="6"/>
    <n v="4"/>
    <n v="0"/>
    <n v="0"/>
    <n v="0"/>
    <n v="0"/>
    <e v="#N/A"/>
    <m/>
    <e v="#N/A"/>
    <e v="#N/A"/>
    <n v="27162"/>
    <n v="1571"/>
    <m/>
    <x v="1"/>
    <m/>
  </r>
  <r>
    <x v="2"/>
    <x v="2"/>
    <s v="03"/>
    <s v="0310"/>
    <m/>
    <s v="SH2 Tube Assy"/>
    <s v="Tube"/>
    <m/>
    <m/>
    <x v="11"/>
    <m/>
    <m/>
    <m/>
    <m/>
    <m/>
    <n v="217188.01768435206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9T00:00:00"/>
    <d v="2018-10-25T00:00:00"/>
    <n v="6"/>
    <n v="4"/>
    <n v="0"/>
    <n v="0"/>
    <n v="0"/>
    <n v="0"/>
    <e v="#N/A"/>
    <m/>
    <e v="#N/A"/>
    <e v="#N/A"/>
    <n v="0"/>
    <m/>
    <m/>
    <x v="1"/>
    <m/>
  </r>
  <r>
    <x v="2"/>
    <x v="2"/>
    <s v="03"/>
    <s v="0310"/>
    <m/>
    <s v="SH2 Tube Assy"/>
    <s v="Tube"/>
    <m/>
    <m/>
    <x v="11"/>
    <m/>
    <m/>
    <m/>
    <m/>
    <m/>
    <n v="93399.206661288044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9T00:00:00"/>
    <d v="2018-10-25T00:00:00"/>
    <n v="6"/>
    <n v="4"/>
    <n v="0"/>
    <n v="0"/>
    <n v="0"/>
    <n v="0"/>
    <e v="#N/A"/>
    <m/>
    <e v="#N/A"/>
    <e v="#N/A"/>
    <n v="0"/>
    <m/>
    <m/>
    <x v="1"/>
    <m/>
  </r>
  <r>
    <x v="2"/>
    <x v="2"/>
    <s v="03"/>
    <s v="0310"/>
    <m/>
    <s v="SH2 Tube Assy"/>
    <s v="Plate"/>
    <m/>
    <m/>
    <x v="11"/>
    <m/>
    <m/>
    <m/>
    <m/>
    <m/>
    <n v="7658.6013000000012"/>
    <s v="ASME"/>
    <n v="0.12"/>
    <s v="WBC"/>
    <e v="#N/A"/>
    <n v="8577.6334560000014"/>
    <n v="0"/>
    <n v="8577.6334560000014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8577.6334560000014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0"/>
    <m/>
    <s v="SH2 Tube Assy"/>
    <s v="Plate"/>
    <m/>
    <m/>
    <x v="11"/>
    <m/>
    <m/>
    <m/>
    <m/>
    <m/>
    <n v="1433.539368"/>
    <s v="ASME"/>
    <n v="0.12"/>
    <s v="WBC"/>
    <e v="#N/A"/>
    <n v="1605.5640921600002"/>
    <n v="0"/>
    <n v="1605.5640921600002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605.5640921600002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0"/>
    <m/>
    <s v="SH2 Tube Assy"/>
    <s v="Plate"/>
    <m/>
    <m/>
    <x v="11"/>
    <m/>
    <m/>
    <m/>
    <m/>
    <m/>
    <n v="52.81794"/>
    <s v="ASME"/>
    <n v="0.12"/>
    <s v="WBC"/>
    <e v="#N/A"/>
    <n v="59.156092800000003"/>
    <n v="0"/>
    <n v="59.156092800000003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59.156092800000003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0"/>
    <m/>
    <s v="SH2 Tube Assy"/>
    <s v="Plate"/>
    <m/>
    <m/>
    <x v="11"/>
    <m/>
    <m/>
    <m/>
    <m/>
    <m/>
    <n v="19.177236000000001"/>
    <s v="ASME"/>
    <n v="0.12"/>
    <s v="WBC"/>
    <e v="#N/A"/>
    <n v="21.478504320000003"/>
    <n v="0"/>
    <n v="21.478504320000003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1.478504320000003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0"/>
    <m/>
    <s v="SH2 Tube Assy"/>
    <s v="Plate"/>
    <m/>
    <m/>
    <x v="11"/>
    <m/>
    <m/>
    <m/>
    <m/>
    <m/>
    <n v="3.0520800000000006"/>
    <s v="ASME"/>
    <n v="0.12"/>
    <s v="WBC"/>
    <e v="#N/A"/>
    <n v="3.4183296000000007"/>
    <n v="0"/>
    <n v="3.4183296000000007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3.4183296000000007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1"/>
    <m/>
    <s v="SH2 Outlet Terminal Tubes"/>
    <s v="Tube"/>
    <m/>
    <m/>
    <x v="11"/>
    <m/>
    <m/>
    <m/>
    <m/>
    <m/>
    <n v="14845.300272000006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9T00:00:00"/>
    <d v="2018-10-25T00:00:00"/>
    <n v="6"/>
    <n v="4"/>
    <n v="0"/>
    <n v="0"/>
    <n v="0"/>
    <n v="0"/>
    <e v="#N/A"/>
    <m/>
    <e v="#N/A"/>
    <e v="#N/A"/>
    <n v="1747"/>
    <n v="70"/>
    <m/>
    <x v="1"/>
    <m/>
  </r>
  <r>
    <x v="2"/>
    <x v="2"/>
    <s v="03"/>
    <s v="0311"/>
    <m/>
    <s v="SH2 Outlet Terminal Tubes"/>
    <s v="Tube"/>
    <m/>
    <m/>
    <x v="11"/>
    <m/>
    <m/>
    <m/>
    <m/>
    <m/>
    <n v="22267.950408000008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9T00:00:00"/>
    <d v="2018-10-25T00:00:00"/>
    <n v="6"/>
    <n v="4"/>
    <n v="0"/>
    <n v="0"/>
    <n v="0"/>
    <n v="0"/>
    <e v="#N/A"/>
    <m/>
    <e v="#N/A"/>
    <e v="#N/A"/>
    <n v="0"/>
    <m/>
    <m/>
    <x v="1"/>
    <m/>
  </r>
  <r>
    <x v="2"/>
    <x v="2"/>
    <s v="03"/>
    <s v="0311"/>
    <m/>
    <s v="SH2 Outlet Terminal Tubes"/>
    <s v="Sleeve"/>
    <m/>
    <m/>
    <x v="11"/>
    <m/>
    <m/>
    <m/>
    <m/>
    <m/>
    <n v="862.99782307199985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9T00:00:00"/>
    <d v="2018-10-25T00:00:00"/>
    <n v="6"/>
    <n v="4"/>
    <n v="0"/>
    <n v="0"/>
    <n v="0"/>
    <n v="0"/>
    <e v="#N/A"/>
    <m/>
    <e v="#N/A"/>
    <e v="#N/A"/>
    <n v="0"/>
    <m/>
    <m/>
    <x v="1"/>
    <m/>
  </r>
  <r>
    <x v="2"/>
    <x v="2"/>
    <s v="03"/>
    <s v="0311"/>
    <m/>
    <s v="SH2 Outlet Terminal Tubes"/>
    <s v="Nozzles"/>
    <m/>
    <m/>
    <x v="11"/>
    <m/>
    <m/>
    <m/>
    <m/>
    <m/>
    <n v="678.71427109199988"/>
    <s v="ASME"/>
    <n v="0"/>
    <s v="OUT"/>
    <n v="0"/>
    <n v="678.71427109199988"/>
    <n v="0"/>
    <n v="678.71427109199988"/>
    <s v="Nozzles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678.71427109199988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0"/>
    <m/>
    <m/>
    <x v="0"/>
    <m/>
  </r>
  <r>
    <x v="2"/>
    <x v="2"/>
    <s v="03"/>
    <s v="0312"/>
    <m/>
    <s v="SH2 Outlet HDR"/>
    <s v="Header"/>
    <m/>
    <m/>
    <x v="11"/>
    <m/>
    <m/>
    <m/>
    <m/>
    <m/>
    <n v="16932.192228000004"/>
    <s v="ASME"/>
    <n v="0"/>
    <s v="OUT"/>
    <n v="0"/>
    <n v="16932.192228000004"/>
    <n v="0"/>
    <n v="16932.192228000004"/>
    <s v=" 0-0"/>
    <x v="2"/>
    <s v="Various"/>
    <s v="Piping"/>
    <m/>
    <m/>
    <m/>
    <n v="0"/>
    <x v="0"/>
    <x v="0"/>
    <x v="0"/>
    <x v="0"/>
    <n v="0"/>
    <x v="0"/>
    <s v="KG"/>
    <n v="0"/>
    <n v="0"/>
    <e v="#N/A"/>
    <e v="#N/A"/>
    <n v="16932.192228000004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1708"/>
    <n v="60"/>
    <m/>
    <x v="2"/>
    <m/>
  </r>
  <r>
    <x v="2"/>
    <x v="2"/>
    <s v="03"/>
    <s v="0312"/>
    <m/>
    <s v="SH2 Outlet HDR"/>
    <s v="Header"/>
    <m/>
    <m/>
    <x v="11"/>
    <m/>
    <m/>
    <m/>
    <m/>
    <m/>
    <n v="10178.227584"/>
    <s v="ASME"/>
    <n v="0"/>
    <s v="OUT"/>
    <n v="0"/>
    <n v="10178.227584"/>
    <n v="0"/>
    <n v="10178.227584"/>
    <s v=" 0-0"/>
    <x v="2"/>
    <s v="Various"/>
    <s v="Piping"/>
    <m/>
    <m/>
    <m/>
    <n v="0"/>
    <x v="0"/>
    <x v="0"/>
    <x v="0"/>
    <x v="0"/>
    <n v="0"/>
    <x v="0"/>
    <s v="KG"/>
    <n v="0"/>
    <n v="0"/>
    <e v="#N/A"/>
    <e v="#N/A"/>
    <n v="10178.227584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0"/>
    <m/>
    <m/>
    <x v="2"/>
    <m/>
  </r>
  <r>
    <x v="2"/>
    <x v="2"/>
    <s v="03"/>
    <s v="0312"/>
    <m/>
    <s v="SH2 Outlet HDR"/>
    <s v="End cap"/>
    <m/>
    <m/>
    <x v="11"/>
    <m/>
    <m/>
    <m/>
    <m/>
    <m/>
    <n v="13.109128593750002"/>
    <s v="ASME"/>
    <n v="0"/>
    <s v="OUT"/>
    <n v="0"/>
    <n v="13.109128593750002"/>
    <n v="0"/>
    <n v="13.109128593750002"/>
    <s v="End cap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13.109128593750002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0"/>
    <m/>
    <m/>
    <x v="0"/>
    <m/>
  </r>
  <r>
    <x v="2"/>
    <x v="2"/>
    <s v="03"/>
    <s v="0312"/>
    <m/>
    <s v="SH2 Outlet HDR"/>
    <s v="Nozzles"/>
    <m/>
    <m/>
    <x v="11"/>
    <m/>
    <m/>
    <m/>
    <m/>
    <m/>
    <n v="742.26501360000032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9T00:00:00"/>
    <d v="2018-10-25T00:00:00"/>
    <n v="6"/>
    <n v="4"/>
    <n v="0"/>
    <n v="0"/>
    <n v="0"/>
    <n v="0"/>
    <e v="#N/A"/>
    <m/>
    <e v="#N/A"/>
    <e v="#N/A"/>
    <n v="0"/>
    <m/>
    <m/>
    <x v="1"/>
    <m/>
  </r>
  <r>
    <x v="2"/>
    <x v="2"/>
    <s v="03"/>
    <s v="0312"/>
    <m/>
    <s v="SH2 Outlet HDR"/>
    <s v="Nozzles"/>
    <m/>
    <m/>
    <x v="11"/>
    <m/>
    <m/>
    <m/>
    <m/>
    <m/>
    <n v="97.548563249999987"/>
    <s v="ASME"/>
    <n v="0"/>
    <s v="OUT"/>
    <n v="0"/>
    <n v="97.548563249999987"/>
    <n v="0"/>
    <n v="97.548563249999987"/>
    <s v="Nozzles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97.548563249999987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0"/>
    <m/>
    <m/>
    <x v="0"/>
    <m/>
  </r>
  <r>
    <x v="2"/>
    <x v="2"/>
    <s v="03"/>
    <s v="0312"/>
    <m/>
    <s v="SH2 Outlet HDR"/>
    <s v="Nozzles"/>
    <m/>
    <m/>
    <x v="11"/>
    <m/>
    <m/>
    <m/>
    <m/>
    <m/>
    <n v="7.9880644800000011"/>
    <s v="ASME"/>
    <e v="#N/A"/>
    <e v="#N/A"/>
    <e v="#N/A"/>
    <e v="#N/A"/>
    <e v="#N/A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9T00:00:00"/>
    <d v="2018-10-25T00:00:00"/>
    <n v="6"/>
    <n v="4"/>
    <n v="0"/>
    <n v="0"/>
    <n v="0"/>
    <n v="0"/>
    <e v="#N/A"/>
    <m/>
    <e v="#N/A"/>
    <e v="#N/A"/>
    <n v="0"/>
    <m/>
    <m/>
    <x v="1"/>
    <m/>
  </r>
  <r>
    <x v="2"/>
    <x v="2"/>
    <s v="03"/>
    <s v="0312"/>
    <m/>
    <s v="SH2 Outlet HDR"/>
    <s v="Plate"/>
    <m/>
    <m/>
    <x v="11"/>
    <m/>
    <m/>
    <m/>
    <m/>
    <m/>
    <n v="1.6956000000000002"/>
    <s v="ASME"/>
    <n v="0.12"/>
    <s v="WBC"/>
    <e v="#N/A"/>
    <n v="1.8990720000000003"/>
    <n v="0"/>
    <n v="1.8990720000000003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.8990720000000003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2"/>
    <m/>
    <s v="SH2 Outlet HDR"/>
    <s v="Plate"/>
    <m/>
    <m/>
    <x v="11"/>
    <m/>
    <m/>
    <m/>
    <m/>
    <m/>
    <n v="11.304"/>
    <s v="ASME"/>
    <n v="0.12"/>
    <s v="WBC"/>
    <e v="#N/A"/>
    <n v="12.660480000000002"/>
    <n v="0"/>
    <n v="12.660480000000002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2.660480000000002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3"/>
    <m/>
    <s v="SH2 Inlet HDRs Susp"/>
    <s v="Hanger"/>
    <m/>
    <m/>
    <x v="11"/>
    <m/>
    <m/>
    <m/>
    <m/>
    <m/>
    <n v="480.89924999999994"/>
    <s v="ASME"/>
    <n v="0"/>
    <s v="OUT"/>
    <n v="0"/>
    <n v="480.89924999999994"/>
    <n v="0"/>
    <n v="480.89924999999994"/>
    <s v="Hanger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480.89924999999994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0"/>
    <m/>
    <m/>
    <x v="0"/>
    <m/>
  </r>
  <r>
    <x v="2"/>
    <x v="2"/>
    <s v="03"/>
    <s v="0313"/>
    <m/>
    <s v="SH2 Inlet HDRs Susp"/>
    <s v="Nut "/>
    <m/>
    <m/>
    <x v="11"/>
    <m/>
    <m/>
    <m/>
    <m/>
    <m/>
    <n v="16"/>
    <s v="ASME"/>
    <n v="0"/>
    <s v="OUT"/>
    <n v="0"/>
    <n v="16"/>
    <n v="0"/>
    <n v="16"/>
    <s v="Nut 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16"/>
    <n v="0"/>
    <n v="0"/>
    <n v="0"/>
    <e v="#N/A"/>
    <d v="1899-12-30T00:00:00"/>
    <n v="0"/>
    <d v="1899-12-30T00:00:00"/>
    <d v="2018-06-08T00:00:00"/>
    <d v="2018-10-05T00:00:00"/>
    <n v="4"/>
    <n v="6"/>
    <n v="0"/>
    <n v="0"/>
    <n v="0"/>
    <n v="0"/>
    <n v="0"/>
    <m/>
    <e v="#N/A"/>
    <e v="#N/A"/>
    <n v="0"/>
    <m/>
    <m/>
    <x v="2"/>
    <m/>
  </r>
  <r>
    <x v="2"/>
    <x v="2"/>
    <s v="03"/>
    <s v="0313"/>
    <m/>
    <s v="SH2 Inlet HDRs Susp"/>
    <s v="Stud"/>
    <m/>
    <m/>
    <x v="11"/>
    <m/>
    <m/>
    <m/>
    <m/>
    <m/>
    <n v="53.6"/>
    <s v="ASME"/>
    <n v="0"/>
    <s v="OUT"/>
    <n v="0"/>
    <n v="53.6"/>
    <n v="0"/>
    <n v="53.6"/>
    <s v="Stud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53.6"/>
    <n v="0"/>
    <n v="0"/>
    <n v="0"/>
    <e v="#N/A"/>
    <d v="1899-12-30T00:00:00"/>
    <n v="0"/>
    <d v="1899-12-30T00:00:00"/>
    <d v="2018-06-08T00:00:00"/>
    <d v="2018-10-05T00:00:00"/>
    <n v="4"/>
    <n v="6"/>
    <n v="0"/>
    <n v="0"/>
    <n v="0"/>
    <n v="0"/>
    <n v="0"/>
    <m/>
    <e v="#N/A"/>
    <e v="#N/A"/>
    <n v="0"/>
    <m/>
    <m/>
    <x v="2"/>
    <m/>
  </r>
  <r>
    <x v="2"/>
    <x v="2"/>
    <s v="03"/>
    <s v="0313"/>
    <m/>
    <s v="SH2 Inlet HDRs Susp"/>
    <s v="Pin"/>
    <m/>
    <m/>
    <x v="11"/>
    <m/>
    <m/>
    <m/>
    <m/>
    <m/>
    <n v="0.8"/>
    <s v="ASME"/>
    <n v="0"/>
    <s v="OUT"/>
    <n v="0"/>
    <n v="0.8"/>
    <n v="0"/>
    <n v="0.8"/>
    <s v="Pin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0.8"/>
    <n v="0"/>
    <n v="0"/>
    <n v="0"/>
    <e v="#N/A"/>
    <d v="1899-12-30T00:00:00"/>
    <n v="0"/>
    <d v="1899-12-30T00:00:00"/>
    <d v="2018-06-08T00:00:00"/>
    <d v="2018-10-05T00:00:00"/>
    <n v="4"/>
    <n v="6"/>
    <n v="0"/>
    <n v="0"/>
    <n v="0"/>
    <n v="0"/>
    <n v="0"/>
    <m/>
    <e v="#N/A"/>
    <e v="#N/A"/>
    <n v="0"/>
    <m/>
    <m/>
    <x v="2"/>
    <m/>
  </r>
  <r>
    <x v="2"/>
    <x v="2"/>
    <s v="03"/>
    <s v="0313"/>
    <m/>
    <s v="SH2 Inlet HDRs Susp"/>
    <s v="Washer"/>
    <m/>
    <m/>
    <x v="11"/>
    <m/>
    <m/>
    <m/>
    <m/>
    <m/>
    <n v="5.92"/>
    <s v="ASME"/>
    <n v="0"/>
    <s v="OUT"/>
    <n v="0"/>
    <n v="5.92"/>
    <n v="0"/>
    <n v="5.92"/>
    <s v="Washer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5.92"/>
    <n v="0"/>
    <n v="0"/>
    <n v="0"/>
    <e v="#N/A"/>
    <d v="1899-12-30T00:00:00"/>
    <n v="0"/>
    <d v="1899-12-30T00:00:00"/>
    <d v="2018-06-08T00:00:00"/>
    <d v="2018-10-05T00:00:00"/>
    <n v="4"/>
    <n v="6"/>
    <n v="0"/>
    <n v="0"/>
    <n v="0"/>
    <n v="0"/>
    <n v="0"/>
    <m/>
    <e v="#N/A"/>
    <e v="#N/A"/>
    <n v="0"/>
    <m/>
    <m/>
    <x v="2"/>
    <m/>
  </r>
  <r>
    <x v="2"/>
    <x v="2"/>
    <s v="03"/>
    <s v="0313"/>
    <m/>
    <s v="SH2 Inlet HDRs Susp"/>
    <s v="Plate"/>
    <m/>
    <m/>
    <x v="11"/>
    <m/>
    <m/>
    <m/>
    <m/>
    <m/>
    <n v="328"/>
    <s v="ASME"/>
    <n v="0.12"/>
    <s v="WBC"/>
    <e v="#N/A"/>
    <n v="367.36"/>
    <n v="0"/>
    <n v="367.36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367.36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3"/>
    <m/>
    <s v="SH2 Inlet HDRs Susp"/>
    <s v="Plate"/>
    <m/>
    <m/>
    <x v="11"/>
    <m/>
    <m/>
    <m/>
    <m/>
    <m/>
    <n v="35.080080000000002"/>
    <s v="ASME"/>
    <n v="0.12"/>
    <s v="WBC"/>
    <e v="#N/A"/>
    <n v="39.28968960000001"/>
    <n v="0"/>
    <n v="39.28968960000001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39.28968960000001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3"/>
    <m/>
    <s v="SH2 Inlet HDRs Susp"/>
    <s v="Plate"/>
    <m/>
    <m/>
    <x v="11"/>
    <m/>
    <m/>
    <m/>
    <m/>
    <m/>
    <n v="197.70695999999998"/>
    <s v="ASME"/>
    <n v="0.12"/>
    <s v="WBC"/>
    <e v="#N/A"/>
    <n v="221.43179520000001"/>
    <n v="0"/>
    <n v="221.43179520000001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21.43179520000001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3"/>
    <m/>
    <s v="SH2 Inlet HDRs Susp"/>
    <s v="Plate"/>
    <m/>
    <m/>
    <x v="11"/>
    <m/>
    <m/>
    <m/>
    <m/>
    <m/>
    <n v="7.2973600000000003"/>
    <s v="ASME"/>
    <n v="0.12"/>
    <s v="WBC"/>
    <e v="#N/A"/>
    <n v="8.1730432000000004"/>
    <n v="0"/>
    <n v="8.1730432000000004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8.1730432000000004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3"/>
    <m/>
    <s v="SH2 Inlet HDRs Susp"/>
    <s v="Plate"/>
    <m/>
    <m/>
    <x v="11"/>
    <m/>
    <m/>
    <m/>
    <m/>
    <m/>
    <n v="28.26"/>
    <s v="ASME"/>
    <n v="0.12"/>
    <s v="WBC"/>
    <e v="#N/A"/>
    <n v="31.651200000000006"/>
    <n v="0"/>
    <n v="31.651200000000006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31.651200000000006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3"/>
    <m/>
    <s v="SH2 Inlet HDRs Susp"/>
    <s v="Plate"/>
    <m/>
    <m/>
    <x v="11"/>
    <m/>
    <m/>
    <m/>
    <m/>
    <m/>
    <n v="98.470400000000012"/>
    <s v="ASME"/>
    <n v="0.12"/>
    <s v="WBC"/>
    <e v="#N/A"/>
    <n v="110.28684800000002"/>
    <n v="0"/>
    <n v="110.28684800000002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10.28684800000002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3"/>
    <m/>
    <s v="SH2 Inlet HDRs Susp"/>
    <s v="Plate"/>
    <m/>
    <m/>
    <x v="11"/>
    <m/>
    <m/>
    <m/>
    <m/>
    <m/>
    <n v="26.639760000000003"/>
    <s v="ASME"/>
    <n v="0.12"/>
    <s v="WBC"/>
    <e v="#N/A"/>
    <n v="29.836531200000007"/>
    <n v="0"/>
    <n v="29.836531200000007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9.836531200000007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3"/>
    <m/>
    <s v="SH2 Inlet HDRs Susp"/>
    <s v="Crosstie"/>
    <m/>
    <m/>
    <x v="11"/>
    <m/>
    <m/>
    <m/>
    <m/>
    <m/>
    <n v="2324"/>
    <s v="ASME"/>
    <n v="0.12"/>
    <s v="WBC"/>
    <e v="#N/A"/>
    <n v="2602.88"/>
    <n v="0"/>
    <n v="2602.88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602.88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4"/>
    <m/>
    <s v="SH2 Outlet HDRs Susp"/>
    <s v="Hanger"/>
    <m/>
    <m/>
    <x v="11"/>
    <m/>
    <m/>
    <m/>
    <m/>
    <m/>
    <n v="727.51424999999995"/>
    <s v="ASME"/>
    <n v="0"/>
    <s v="OUT"/>
    <n v="0"/>
    <n v="727.51424999999995"/>
    <n v="0"/>
    <n v="727.51424999999995"/>
    <s v="Hanger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727.51424999999995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0"/>
    <m/>
    <m/>
    <x v="0"/>
    <m/>
  </r>
  <r>
    <x v="2"/>
    <x v="2"/>
    <s v="03"/>
    <s v="0314"/>
    <m/>
    <s v="SH2 Outlet HDRs Susp"/>
    <s v="Nut "/>
    <m/>
    <m/>
    <x v="11"/>
    <m/>
    <m/>
    <m/>
    <m/>
    <m/>
    <n v="16"/>
    <s v="ASME"/>
    <n v="0"/>
    <s v="OUT"/>
    <n v="0"/>
    <n v="16"/>
    <n v="0"/>
    <n v="16"/>
    <s v="Nut 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16"/>
    <n v="0"/>
    <n v="0"/>
    <n v="0"/>
    <e v="#N/A"/>
    <d v="1899-12-30T00:00:00"/>
    <n v="0"/>
    <d v="1899-12-30T00:00:00"/>
    <d v="2018-06-08T00:00:00"/>
    <d v="2018-10-05T00:00:00"/>
    <n v="4"/>
    <n v="6"/>
    <n v="0"/>
    <n v="0"/>
    <n v="0"/>
    <n v="0"/>
    <n v="0"/>
    <m/>
    <e v="#N/A"/>
    <e v="#N/A"/>
    <n v="0"/>
    <m/>
    <m/>
    <x v="2"/>
    <m/>
  </r>
  <r>
    <x v="2"/>
    <x v="2"/>
    <s v="03"/>
    <s v="0314"/>
    <m/>
    <s v="SH2 Outlet HDRs Susp"/>
    <s v="Stud"/>
    <m/>
    <m/>
    <x v="11"/>
    <m/>
    <m/>
    <m/>
    <m/>
    <m/>
    <n v="53.6"/>
    <s v="ASME"/>
    <n v="0"/>
    <s v="OUT"/>
    <n v="0"/>
    <n v="53.6"/>
    <n v="0"/>
    <n v="53.6"/>
    <s v="Stud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53.6"/>
    <n v="0"/>
    <n v="0"/>
    <n v="0"/>
    <e v="#N/A"/>
    <d v="1899-12-30T00:00:00"/>
    <n v="0"/>
    <d v="1899-12-30T00:00:00"/>
    <d v="2018-06-08T00:00:00"/>
    <d v="2018-10-05T00:00:00"/>
    <n v="4"/>
    <n v="6"/>
    <n v="0"/>
    <n v="0"/>
    <n v="0"/>
    <n v="0"/>
    <n v="0"/>
    <m/>
    <e v="#N/A"/>
    <e v="#N/A"/>
    <n v="0"/>
    <m/>
    <m/>
    <x v="2"/>
    <m/>
  </r>
  <r>
    <x v="2"/>
    <x v="2"/>
    <s v="03"/>
    <s v="0314"/>
    <m/>
    <s v="SH2 Outlet HDRs Susp"/>
    <s v="Pin"/>
    <m/>
    <m/>
    <x v="11"/>
    <m/>
    <m/>
    <m/>
    <m/>
    <m/>
    <n v="0.8"/>
    <s v="ASME"/>
    <n v="0"/>
    <s v="OUT"/>
    <n v="0"/>
    <n v="0.8"/>
    <n v="0"/>
    <n v="0.8"/>
    <s v="Pin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0.8"/>
    <n v="0"/>
    <n v="0"/>
    <n v="0"/>
    <e v="#N/A"/>
    <d v="1899-12-30T00:00:00"/>
    <n v="0"/>
    <d v="1899-12-30T00:00:00"/>
    <d v="2018-06-08T00:00:00"/>
    <d v="2018-10-05T00:00:00"/>
    <n v="4"/>
    <n v="6"/>
    <n v="0"/>
    <n v="0"/>
    <n v="0"/>
    <n v="0"/>
    <n v="0"/>
    <m/>
    <e v="#N/A"/>
    <e v="#N/A"/>
    <n v="0"/>
    <m/>
    <m/>
    <x v="2"/>
    <m/>
  </r>
  <r>
    <x v="2"/>
    <x v="2"/>
    <s v="03"/>
    <s v="0314"/>
    <m/>
    <s v="SH2 Outlet HDRs Susp"/>
    <s v="Washer"/>
    <m/>
    <m/>
    <x v="11"/>
    <m/>
    <m/>
    <m/>
    <m/>
    <m/>
    <n v="5.92"/>
    <s v="ASME"/>
    <n v="0"/>
    <s v="OUT"/>
    <n v="0"/>
    <n v="5.92"/>
    <n v="0"/>
    <n v="5.92"/>
    <s v="Washer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5.92"/>
    <n v="0"/>
    <n v="0"/>
    <n v="0"/>
    <e v="#N/A"/>
    <d v="1899-12-30T00:00:00"/>
    <n v="0"/>
    <d v="1899-12-30T00:00:00"/>
    <d v="2018-06-08T00:00:00"/>
    <d v="2018-10-05T00:00:00"/>
    <n v="4"/>
    <n v="6"/>
    <n v="0"/>
    <n v="0"/>
    <n v="0"/>
    <n v="0"/>
    <n v="0"/>
    <m/>
    <e v="#N/A"/>
    <e v="#N/A"/>
    <n v="0"/>
    <m/>
    <m/>
    <x v="2"/>
    <m/>
  </r>
  <r>
    <x v="2"/>
    <x v="2"/>
    <s v="03"/>
    <s v="0314"/>
    <m/>
    <s v="SH2 Outlet HDRs Susp"/>
    <s v="Plate"/>
    <m/>
    <m/>
    <x v="11"/>
    <m/>
    <m/>
    <m/>
    <m/>
    <m/>
    <n v="328"/>
    <s v="ASME"/>
    <n v="0.12"/>
    <s v="WBC"/>
    <e v="#N/A"/>
    <n v="367.36"/>
    <n v="0"/>
    <n v="367.36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367.36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4"/>
    <m/>
    <s v="SH2 Outlet HDRs Susp"/>
    <s v="Plate"/>
    <m/>
    <m/>
    <x v="11"/>
    <m/>
    <m/>
    <m/>
    <m/>
    <m/>
    <n v="32.5304"/>
    <s v="ASME"/>
    <n v="0.12"/>
    <s v="WBC"/>
    <e v="#N/A"/>
    <n v="36.434048000000004"/>
    <n v="0"/>
    <n v="36.434048000000004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36.434048000000004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4"/>
    <m/>
    <s v="SH2 Outlet HDRs Susp"/>
    <s v="Plate"/>
    <m/>
    <m/>
    <x v="11"/>
    <m/>
    <m/>
    <m/>
    <m/>
    <m/>
    <n v="201.09816000000001"/>
    <s v="ASME"/>
    <n v="0.12"/>
    <s v="WBC"/>
    <e v="#N/A"/>
    <n v="225.22993920000002"/>
    <n v="0"/>
    <n v="225.22993920000002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25.22993920000002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4"/>
    <m/>
    <s v="SH2 Outlet HDRs Susp"/>
    <s v="Plate"/>
    <m/>
    <m/>
    <x v="11"/>
    <m/>
    <m/>
    <m/>
    <m/>
    <m/>
    <n v="8.1765600000000003"/>
    <s v="ASME"/>
    <n v="0.12"/>
    <s v="WBC"/>
    <e v="#N/A"/>
    <n v="9.1577472000000011"/>
    <n v="0"/>
    <n v="9.1577472000000011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9.1577472000000011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4"/>
    <m/>
    <s v="SH2 Outlet HDRs Susp"/>
    <s v="Plate"/>
    <m/>
    <m/>
    <x v="11"/>
    <m/>
    <m/>
    <m/>
    <m/>
    <m/>
    <n v="28.26"/>
    <s v="ASME"/>
    <n v="0.12"/>
    <s v="WBC"/>
    <e v="#N/A"/>
    <n v="31.651200000000006"/>
    <n v="0"/>
    <n v="31.651200000000006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31.651200000000006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4"/>
    <m/>
    <s v="SH2 Outlet HDRs Susp"/>
    <s v="Plate"/>
    <m/>
    <m/>
    <x v="11"/>
    <m/>
    <m/>
    <m/>
    <m/>
    <m/>
    <n v="98.470400000000012"/>
    <s v="ASME"/>
    <n v="0.12"/>
    <s v="WBC"/>
    <e v="#N/A"/>
    <n v="110.28684800000002"/>
    <n v="0"/>
    <n v="110.28684800000002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10.28684800000002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4"/>
    <m/>
    <s v="SH2 Outlet HDRs Susp"/>
    <s v="Plate"/>
    <m/>
    <m/>
    <x v="11"/>
    <m/>
    <m/>
    <m/>
    <m/>
    <m/>
    <n v="27.51896"/>
    <s v="ASME"/>
    <n v="0.12"/>
    <s v="WBC"/>
    <e v="#N/A"/>
    <n v="30.821235200000004"/>
    <n v="0"/>
    <n v="30.821235200000004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30.821235200000004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4"/>
    <m/>
    <s v="SH2 Outlet HDRs Susp"/>
    <s v="Crosstie"/>
    <m/>
    <m/>
    <x v="11"/>
    <m/>
    <m/>
    <m/>
    <m/>
    <m/>
    <n v="2324"/>
    <s v="ASME"/>
    <n v="0.12"/>
    <s v="WBC"/>
    <e v="#N/A"/>
    <n v="2602.88"/>
    <n v="0"/>
    <n v="2602.88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602.88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2"/>
    <x v="2"/>
    <s v="03"/>
    <s v="0315"/>
    <m/>
    <s v="SH3 Inlet HDR"/>
    <s v="Header"/>
    <m/>
    <m/>
    <x v="11"/>
    <m/>
    <m/>
    <m/>
    <m/>
    <m/>
    <n v="10840.156235999999"/>
    <s v="ASME"/>
    <n v="0"/>
    <s v="OUT"/>
    <n v="0"/>
    <n v="10840.156235999999"/>
    <n v="0"/>
    <n v="10840.156235999999"/>
    <s v=" 0-0"/>
    <x v="2"/>
    <s v="Various"/>
    <s v="Piping"/>
    <m/>
    <m/>
    <m/>
    <n v="0"/>
    <x v="0"/>
    <x v="0"/>
    <x v="0"/>
    <x v="0"/>
    <n v="0"/>
    <x v="0"/>
    <s v="KG"/>
    <n v="0"/>
    <n v="0"/>
    <e v="#N/A"/>
    <e v="#N/A"/>
    <n v="10840.156235999999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1211"/>
    <n v="26"/>
    <m/>
    <x v="2"/>
    <m/>
  </r>
  <r>
    <x v="2"/>
    <x v="2"/>
    <s v="03"/>
    <s v="0315"/>
    <m/>
    <s v="SH3 Inlet HDR"/>
    <s v="Header"/>
    <m/>
    <m/>
    <x v="11"/>
    <m/>
    <m/>
    <m/>
    <m/>
    <m/>
    <n v="8478.990828"/>
    <s v="ASME"/>
    <n v="0"/>
    <s v="OUT"/>
    <n v="0"/>
    <n v="8478.990828"/>
    <n v="0"/>
    <n v="8478.990828"/>
    <s v=" 0-0"/>
    <x v="2"/>
    <s v="Various"/>
    <s v="Piping"/>
    <m/>
    <m/>
    <m/>
    <n v="0"/>
    <x v="0"/>
    <x v="0"/>
    <x v="0"/>
    <x v="0"/>
    <n v="0"/>
    <x v="0"/>
    <s v="KG"/>
    <n v="0"/>
    <n v="0"/>
    <e v="#N/A"/>
    <e v="#N/A"/>
    <n v="8478.990828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2"/>
    <m/>
  </r>
  <r>
    <x v="2"/>
    <x v="2"/>
    <s v="03"/>
    <s v="0315"/>
    <m/>
    <s v="SH3 Inlet HDR"/>
    <s v="End cap"/>
    <m/>
    <m/>
    <x v="11"/>
    <m/>
    <m/>
    <m/>
    <m/>
    <m/>
    <n v="13.109128593750002"/>
    <s v="ASME"/>
    <n v="0"/>
    <s v="OUT"/>
    <n v="0"/>
    <n v="13.109128593750002"/>
    <n v="0"/>
    <n v="13.109128593750002"/>
    <s v="End cap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13.109128593750002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0"/>
    <m/>
  </r>
  <r>
    <x v="2"/>
    <x v="2"/>
    <s v="03"/>
    <s v="0315"/>
    <m/>
    <s v="SH3 Inlet HDR"/>
    <s v="Nozzles"/>
    <m/>
    <m/>
    <x v="11"/>
    <m/>
    <m/>
    <m/>
    <m/>
    <m/>
    <n v="714.83737248000023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12T00:00:00"/>
    <d v="2018-12-08T00:00:00"/>
    <n v="6"/>
    <n v="6"/>
    <n v="0"/>
    <n v="0"/>
    <n v="0"/>
    <n v="0"/>
    <e v="#N/A"/>
    <m/>
    <e v="#N/A"/>
    <e v="#N/A"/>
    <n v="0"/>
    <m/>
    <m/>
    <x v="1"/>
    <m/>
  </r>
  <r>
    <x v="2"/>
    <x v="2"/>
    <s v="03"/>
    <s v="0315"/>
    <m/>
    <s v="SH3 Inlet HDR"/>
    <s v="Nozzles"/>
    <m/>
    <m/>
    <x v="11"/>
    <m/>
    <m/>
    <m/>
    <m/>
    <m/>
    <n v="63.256747499999996"/>
    <s v="ASME"/>
    <n v="0"/>
    <s v="OUT"/>
    <n v="0"/>
    <n v="63.256747499999996"/>
    <n v="0"/>
    <n v="63.256747499999996"/>
    <s v="Nozzles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63.256747499999996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0"/>
    <m/>
  </r>
  <r>
    <x v="2"/>
    <x v="2"/>
    <s v="03"/>
    <s v="0315"/>
    <m/>
    <s v="SH3 Inlet HDR"/>
    <s v="Nozzles"/>
    <m/>
    <m/>
    <x v="11"/>
    <m/>
    <m/>
    <m/>
    <m/>
    <m/>
    <n v="9.2380305600000021"/>
    <s v="ASME"/>
    <e v="#N/A"/>
    <e v="#N/A"/>
    <e v="#N/A"/>
    <e v="#N/A"/>
    <e v="#N/A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12T00:00:00"/>
    <d v="2018-12-08T00:00:00"/>
    <n v="6"/>
    <n v="6"/>
    <n v="0"/>
    <n v="0"/>
    <n v="0"/>
    <n v="0"/>
    <e v="#N/A"/>
    <m/>
    <e v="#N/A"/>
    <e v="#N/A"/>
    <n v="0"/>
    <m/>
    <m/>
    <x v="1"/>
    <m/>
  </r>
  <r>
    <x v="2"/>
    <x v="2"/>
    <s v="03"/>
    <s v="0315"/>
    <m/>
    <s v="SH3 Inlet HDR"/>
    <s v="Nozzles"/>
    <m/>
    <m/>
    <x v="11"/>
    <m/>
    <m/>
    <m/>
    <m/>
    <m/>
    <n v="13.398346334999999"/>
    <s v="ASME"/>
    <e v="#N/A"/>
    <e v="#N/A"/>
    <e v="#N/A"/>
    <e v="#N/A"/>
    <e v="#N/A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12T00:00:00"/>
    <d v="2018-12-08T00:00:00"/>
    <n v="6"/>
    <n v="6"/>
    <n v="0"/>
    <n v="0"/>
    <n v="0"/>
    <n v="0"/>
    <e v="#N/A"/>
    <m/>
    <e v="#N/A"/>
    <e v="#N/A"/>
    <n v="0"/>
    <m/>
    <m/>
    <x v="1"/>
    <m/>
  </r>
  <r>
    <x v="2"/>
    <x v="2"/>
    <s v="03"/>
    <s v="0315"/>
    <m/>
    <s v="SH3 Inlet HDR"/>
    <s v="Support "/>
    <m/>
    <m/>
    <x v="11"/>
    <m/>
    <m/>
    <m/>
    <m/>
    <m/>
    <n v="66.8"/>
    <s v="ASME"/>
    <n v="0"/>
    <s v="OUT"/>
    <n v="0"/>
    <n v="66.8"/>
    <n v="0"/>
    <n v="66.8"/>
    <s v="Support 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66.8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0"/>
    <m/>
  </r>
  <r>
    <x v="2"/>
    <x v="2"/>
    <s v="03"/>
    <s v="0316"/>
    <m/>
    <s v="SH3 Inlet Terminal Tubes"/>
    <s v="Tube"/>
    <m/>
    <m/>
    <x v="11"/>
    <m/>
    <m/>
    <m/>
    <m/>
    <m/>
    <n v="4737.176136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12T00:00:00"/>
    <d v="2018-12-08T00:00:00"/>
    <n v="6"/>
    <n v="6"/>
    <n v="0"/>
    <n v="0"/>
    <n v="0"/>
    <n v="0"/>
    <e v="#N/A"/>
    <m/>
    <e v="#N/A"/>
    <e v="#N/A"/>
    <n v="1770"/>
    <n v="103"/>
    <n v="1474"/>
    <x v="1"/>
    <m/>
  </r>
  <r>
    <x v="2"/>
    <x v="2"/>
    <s v="03"/>
    <s v="0316"/>
    <m/>
    <s v="SH3 Inlet Terminal Tubes"/>
    <s v="Tube"/>
    <m/>
    <m/>
    <x v="11"/>
    <m/>
    <m/>
    <m/>
    <m/>
    <m/>
    <n v="21317.292612000001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12T00:00:00"/>
    <d v="2018-12-08T00:00:00"/>
    <n v="6"/>
    <n v="6"/>
    <n v="0"/>
    <n v="0"/>
    <n v="0"/>
    <n v="0"/>
    <e v="#N/A"/>
    <m/>
    <e v="#N/A"/>
    <e v="#N/A"/>
    <n v="0"/>
    <m/>
    <m/>
    <x v="1"/>
    <m/>
  </r>
  <r>
    <x v="2"/>
    <x v="2"/>
    <s v="03"/>
    <s v="0316"/>
    <m/>
    <s v="SH3 Inlet Terminal Tubes"/>
    <s v="Sleeve"/>
    <m/>
    <m/>
    <x v="11"/>
    <m/>
    <m/>
    <m/>
    <m/>
    <m/>
    <n v="427.69933113600001"/>
    <s v="ASME"/>
    <e v="#N/A"/>
    <e v="#N/A"/>
    <e v="#N/A"/>
    <e v="#N/A"/>
    <e v="#N/A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12T00:00:00"/>
    <d v="2018-12-08T00:00:00"/>
    <n v="6"/>
    <n v="6"/>
    <n v="0"/>
    <n v="0"/>
    <n v="0"/>
    <n v="0"/>
    <e v="#N/A"/>
    <m/>
    <e v="#N/A"/>
    <e v="#N/A"/>
    <n v="0"/>
    <m/>
    <m/>
    <x v="1"/>
    <m/>
  </r>
  <r>
    <x v="2"/>
    <x v="2"/>
    <s v="03"/>
    <s v="0317"/>
    <m/>
    <s v="SH3 Tube Assy"/>
    <s v="Tube"/>
    <m/>
    <m/>
    <x v="11"/>
    <m/>
    <m/>
    <m/>
    <m/>
    <m/>
    <n v="184181.40816768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12T00:00:00"/>
    <d v="2018-12-08T00:00:00"/>
    <n v="6"/>
    <n v="6"/>
    <n v="0"/>
    <n v="0"/>
    <n v="0"/>
    <n v="0"/>
    <e v="#N/A"/>
    <m/>
    <e v="#N/A"/>
    <e v="#N/A"/>
    <n v="8633"/>
    <n v="367"/>
    <m/>
    <x v="1"/>
    <m/>
  </r>
  <r>
    <x v="2"/>
    <x v="2"/>
    <s v="03"/>
    <s v="0317"/>
    <m/>
    <s v="SH3 Tube Assy"/>
    <s v="Tube"/>
    <m/>
    <m/>
    <x v="11"/>
    <m/>
    <m/>
    <m/>
    <m/>
    <m/>
    <n v="21782.889352224007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12T00:00:00"/>
    <d v="2018-12-08T00:00:00"/>
    <n v="6"/>
    <n v="6"/>
    <n v="0"/>
    <n v="0"/>
    <n v="0"/>
    <n v="0"/>
    <e v="#N/A"/>
    <m/>
    <e v="#N/A"/>
    <e v="#N/A"/>
    <n v="0"/>
    <m/>
    <n v="234"/>
    <x v="1"/>
    <m/>
  </r>
  <r>
    <x v="2"/>
    <x v="2"/>
    <s v="03"/>
    <s v="0317"/>
    <m/>
    <s v="SH3 Tube Assy"/>
    <s v="Plate"/>
    <m/>
    <m/>
    <x v="11"/>
    <m/>
    <m/>
    <m/>
    <m/>
    <m/>
    <n v="4662.8999999999996"/>
    <s v="ASME"/>
    <n v="0.12"/>
    <s v="WBC"/>
    <e v="#N/A"/>
    <n v="5222.4480000000003"/>
    <n v="0"/>
    <n v="5222.4480000000003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5222.4480000000003"/>
    <n v="0"/>
    <n v="0"/>
    <n v="0"/>
    <n v="0"/>
    <d v="1899-12-30T00:00:00"/>
    <n v="0"/>
    <d v="1899-12-30T00:00:00"/>
    <d v="2018-07-17T00:00:00"/>
    <d v="2018-11-13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18"/>
    <m/>
    <s v="SH3 Outlet Terminal Tubes"/>
    <s v="Tube"/>
    <m/>
    <m/>
    <x v="11"/>
    <m/>
    <m/>
    <m/>
    <m/>
    <m/>
    <n v="14956.851529620002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12T00:00:00"/>
    <d v="2018-12-08T00:00:00"/>
    <n v="6"/>
    <n v="6"/>
    <n v="0"/>
    <n v="0"/>
    <n v="0"/>
    <n v="0"/>
    <e v="#N/A"/>
    <m/>
    <e v="#N/A"/>
    <e v="#N/A"/>
    <n v="1786"/>
    <n v="103"/>
    <m/>
    <x v="1"/>
    <m/>
  </r>
  <r>
    <x v="2"/>
    <x v="2"/>
    <s v="03"/>
    <s v="0318"/>
    <m/>
    <s v="SH3 Outlet Terminal Tubes"/>
    <s v="Tube"/>
    <m/>
    <m/>
    <x v="11"/>
    <m/>
    <m/>
    <m/>
    <m/>
    <m/>
    <n v="12605.838745500005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12T00:00:00"/>
    <d v="2018-12-08T00:00:00"/>
    <n v="6"/>
    <n v="6"/>
    <n v="0"/>
    <n v="0"/>
    <n v="0"/>
    <n v="0"/>
    <e v="#N/A"/>
    <m/>
    <e v="#N/A"/>
    <e v="#N/A"/>
    <n v="0"/>
    <m/>
    <m/>
    <x v="1"/>
    <m/>
  </r>
  <r>
    <x v="2"/>
    <x v="2"/>
    <s v="03"/>
    <s v="0318"/>
    <m/>
    <s v="SH3 Outlet Terminal Tubes"/>
    <s v="Sleeve"/>
    <m/>
    <m/>
    <x v="11"/>
    <m/>
    <m/>
    <m/>
    <m/>
    <m/>
    <n v="427.69933113600001"/>
    <s v="ASME"/>
    <e v="#N/A"/>
    <e v="#N/A"/>
    <e v="#N/A"/>
    <e v="#N/A"/>
    <n v="0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12T00:00:00"/>
    <d v="2018-12-08T00:00:00"/>
    <n v="6"/>
    <n v="6"/>
    <n v="0"/>
    <n v="0"/>
    <n v="0"/>
    <n v="0"/>
    <e v="#N/A"/>
    <m/>
    <e v="#N/A"/>
    <e v="#N/A"/>
    <n v="0"/>
    <m/>
    <m/>
    <x v="1"/>
    <m/>
  </r>
  <r>
    <x v="2"/>
    <x v="2"/>
    <s v="03"/>
    <s v="0318"/>
    <m/>
    <s v="SH3 Outlet Terminal Tubes"/>
    <s v="Nozzles"/>
    <m/>
    <m/>
    <x v="11"/>
    <m/>
    <m/>
    <m/>
    <m/>
    <m/>
    <n v="9.4265870984999989"/>
    <s v="ASME"/>
    <n v="0"/>
    <s v="OUT"/>
    <n v="0"/>
    <n v="9.4265870984999989"/>
    <n v="0"/>
    <n v="9.4265870984999989"/>
    <s v="Nozzles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9.4265870984999989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0"/>
    <m/>
  </r>
  <r>
    <x v="2"/>
    <x v="2"/>
    <s v="03"/>
    <s v="0319"/>
    <m/>
    <s v="SH3 Outlet HDR"/>
    <s v="Header"/>
    <m/>
    <m/>
    <x v="11"/>
    <m/>
    <m/>
    <m/>
    <m/>
    <m/>
    <n v="11820.154500000001"/>
    <s v="ASME"/>
    <n v="0"/>
    <s v="OUT"/>
    <n v="0"/>
    <n v="11820.154500000001"/>
    <n v="0"/>
    <n v="11820.154500000001"/>
    <s v=" 0-0"/>
    <x v="2"/>
    <s v="Various"/>
    <s v="Piping"/>
    <m/>
    <m/>
    <m/>
    <n v="0"/>
    <x v="0"/>
    <x v="0"/>
    <x v="0"/>
    <x v="0"/>
    <n v="0"/>
    <x v="0"/>
    <s v="KG"/>
    <n v="0"/>
    <n v="0"/>
    <e v="#N/A"/>
    <e v="#N/A"/>
    <n v="11820.154500000001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2161"/>
    <n v="76"/>
    <m/>
    <x v="2"/>
    <m/>
  </r>
  <r>
    <x v="2"/>
    <x v="2"/>
    <s v="03"/>
    <s v="0319"/>
    <m/>
    <s v="SH3 Outlet HDR"/>
    <s v="Header"/>
    <m/>
    <m/>
    <x v="11"/>
    <m/>
    <m/>
    <m/>
    <m/>
    <m/>
    <n v="9871.6199399999987"/>
    <s v="ASME"/>
    <n v="0"/>
    <s v="OUT"/>
    <n v="0"/>
    <n v="9871.6199399999987"/>
    <n v="0"/>
    <n v="9871.6199399999987"/>
    <s v=" 0-0"/>
    <x v="2"/>
    <s v="Various"/>
    <s v="Piping"/>
    <m/>
    <m/>
    <m/>
    <n v="0"/>
    <x v="0"/>
    <x v="0"/>
    <x v="0"/>
    <x v="0"/>
    <n v="0"/>
    <x v="0"/>
    <s v="KG"/>
    <n v="0"/>
    <n v="0"/>
    <e v="#N/A"/>
    <e v="#N/A"/>
    <n v="9871.6199399999987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2"/>
    <m/>
  </r>
  <r>
    <x v="2"/>
    <x v="2"/>
    <s v="03"/>
    <s v="0319"/>
    <m/>
    <s v="SH3 Outlet HDR"/>
    <s v="End cap"/>
    <m/>
    <m/>
    <x v="11"/>
    <m/>
    <m/>
    <m/>
    <m/>
    <m/>
    <n v="13.109128593750002"/>
    <s v="ASME"/>
    <n v="0"/>
    <s v="OUT"/>
    <n v="0"/>
    <n v="13.109128593750002"/>
    <n v="0"/>
    <n v="13.109128593750002"/>
    <s v="End cap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13.109128593750002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0"/>
    <m/>
  </r>
  <r>
    <x v="2"/>
    <x v="2"/>
    <s v="03"/>
    <s v="0319"/>
    <m/>
    <s v="SH3 Outlet HDR"/>
    <s v="Nozzles"/>
    <m/>
    <m/>
    <x v="11"/>
    <m/>
    <m/>
    <m/>
    <m/>
    <m/>
    <n v="636.13508112000022"/>
    <s v="ASME"/>
    <e v="#N/A"/>
    <e v="#N/A"/>
    <e v="#N/A"/>
    <e v="#N/A"/>
    <e v="#N/A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12T00:00:00"/>
    <d v="2018-12-08T00:00:00"/>
    <n v="6"/>
    <n v="6"/>
    <n v="0"/>
    <n v="0"/>
    <n v="0"/>
    <n v="0"/>
    <e v="#N/A"/>
    <m/>
    <e v="#N/A"/>
    <e v="#N/A"/>
    <n v="0"/>
    <m/>
    <m/>
    <x v="1"/>
    <m/>
  </r>
  <r>
    <x v="2"/>
    <x v="2"/>
    <s v="03"/>
    <s v="0319"/>
    <m/>
    <s v="SH3 Outlet HDR"/>
    <s v="Nozzles"/>
    <m/>
    <m/>
    <x v="11"/>
    <m/>
    <m/>
    <m/>
    <m/>
    <m/>
    <n v="63.256747499999996"/>
    <s v="ASME"/>
    <n v="0"/>
    <s v="OUT"/>
    <n v="0"/>
    <n v="63.256747499999996"/>
    <n v="0"/>
    <n v="63.256747499999996"/>
    <s v="Nozzles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63.256747499999996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0"/>
    <m/>
  </r>
  <r>
    <x v="2"/>
    <x v="2"/>
    <s v="03"/>
    <s v="0319"/>
    <m/>
    <s v="SH3 Outlet HDR"/>
    <s v="Nozzles"/>
    <m/>
    <m/>
    <x v="11"/>
    <m/>
    <m/>
    <m/>
    <m/>
    <m/>
    <n v="12.142336139999999"/>
    <s v="ASME"/>
    <e v="#N/A"/>
    <e v="#N/A"/>
    <e v="#N/A"/>
    <e v="#N/A"/>
    <e v="#N/A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12T00:00:00"/>
    <d v="2018-12-08T00:00:00"/>
    <n v="6"/>
    <n v="6"/>
    <n v="0"/>
    <n v="0"/>
    <n v="0"/>
    <n v="0"/>
    <e v="#N/A"/>
    <m/>
    <e v="#N/A"/>
    <e v="#N/A"/>
    <n v="0"/>
    <m/>
    <m/>
    <x v="1"/>
    <m/>
  </r>
  <r>
    <x v="2"/>
    <x v="2"/>
    <s v="03"/>
    <s v="0319"/>
    <m/>
    <s v="SH3 Outlet HDR"/>
    <s v="Nozzles"/>
    <m/>
    <m/>
    <x v="11"/>
    <m/>
    <m/>
    <m/>
    <m/>
    <m/>
    <n v="10.354081452000001"/>
    <s v="ASME"/>
    <e v="#N/A"/>
    <e v="#N/A"/>
    <e v="#N/A"/>
    <e v="#N/A"/>
    <e v="#N/A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12T00:00:00"/>
    <d v="2018-12-08T00:00:00"/>
    <n v="6"/>
    <n v="6"/>
    <n v="0"/>
    <n v="0"/>
    <n v="0"/>
    <n v="0"/>
    <e v="#N/A"/>
    <m/>
    <e v="#N/A"/>
    <e v="#N/A"/>
    <n v="0"/>
    <m/>
    <m/>
    <x v="1"/>
    <m/>
  </r>
  <r>
    <x v="2"/>
    <x v="2"/>
    <s v="03"/>
    <s v="0319"/>
    <m/>
    <s v="SH3 Outlet HDR"/>
    <s v="Plate"/>
    <m/>
    <m/>
    <x v="11"/>
    <m/>
    <m/>
    <m/>
    <m/>
    <m/>
    <n v="1.6956000000000002"/>
    <s v="ASME"/>
    <n v="0.12"/>
    <s v="WBC"/>
    <e v="#N/A"/>
    <n v="1.8990720000000003"/>
    <n v="0"/>
    <n v="1.8990720000000003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.8990720000000003"/>
    <n v="0"/>
    <n v="0"/>
    <n v="0"/>
    <n v="0"/>
    <d v="1899-12-30T00:00:00"/>
    <n v="0"/>
    <d v="1899-12-30T00:00:00"/>
    <d v="2018-07-17T00:00:00"/>
    <d v="2018-11-13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19"/>
    <m/>
    <s v="SH3 Outlet HDR"/>
    <s v="Plate"/>
    <m/>
    <m/>
    <x v="11"/>
    <m/>
    <m/>
    <m/>
    <m/>
    <m/>
    <n v="11.304"/>
    <s v="ASME"/>
    <n v="0.12"/>
    <s v="WBC"/>
    <e v="#N/A"/>
    <n v="12.660480000000002"/>
    <n v="0"/>
    <n v="12.660480000000002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2.660480000000002"/>
    <n v="0"/>
    <n v="0"/>
    <n v="0"/>
    <n v="0"/>
    <d v="1899-12-30T00:00:00"/>
    <n v="0"/>
    <d v="1899-12-30T00:00:00"/>
    <d v="2018-07-17T00:00:00"/>
    <d v="2018-11-13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20"/>
    <m/>
    <s v="SH3 Inlet HDR Susp"/>
    <s v="Round Bar"/>
    <m/>
    <m/>
    <x v="11"/>
    <m/>
    <m/>
    <m/>
    <m/>
    <m/>
    <n v="1.4205024000000002"/>
    <s v="ASME"/>
    <n v="0"/>
    <s v="OUT"/>
    <n v="0"/>
    <n v="1.4205024000000002"/>
    <n v="0"/>
    <n v="1.4205024000000002"/>
    <s v="Round Bar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1.4205024000000002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0"/>
    <m/>
  </r>
  <r>
    <x v="2"/>
    <x v="2"/>
    <s v="03"/>
    <s v="0320"/>
    <m/>
    <s v="SH3 Inlet HDR Susp"/>
    <s v="Round Bar"/>
    <m/>
    <m/>
    <x v="11"/>
    <m/>
    <m/>
    <m/>
    <m/>
    <m/>
    <n v="20.202700799999999"/>
    <s v="ASME"/>
    <n v="0"/>
    <s v="OUT"/>
    <n v="0"/>
    <n v="20.202700799999999"/>
    <n v="0"/>
    <n v="20.202700799999999"/>
    <s v="Round Bar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20.202700799999999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0"/>
    <m/>
  </r>
  <r>
    <x v="2"/>
    <x v="2"/>
    <s v="03"/>
    <s v="0320"/>
    <m/>
    <s v="SH3 Inlet HDR Susp"/>
    <s v="Round Bar"/>
    <m/>
    <m/>
    <x v="11"/>
    <m/>
    <m/>
    <m/>
    <m/>
    <m/>
    <n v="28.28378112"/>
    <s v="ASME"/>
    <n v="0"/>
    <s v="OUT"/>
    <n v="0"/>
    <n v="28.28378112"/>
    <n v="0"/>
    <n v="28.28378112"/>
    <s v="Round Bar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28.28378112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0"/>
    <m/>
  </r>
  <r>
    <x v="2"/>
    <x v="2"/>
    <s v="03"/>
    <s v="0320"/>
    <m/>
    <s v="SH3 Inlet HDR Susp"/>
    <s v="Nut"/>
    <m/>
    <m/>
    <x v="11"/>
    <m/>
    <m/>
    <m/>
    <m/>
    <m/>
    <n v="21.04"/>
    <s v="ASME"/>
    <n v="0"/>
    <s v="OUT"/>
    <n v="0"/>
    <n v="21.04"/>
    <n v="0"/>
    <n v="21.04"/>
    <s v="Nut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21.04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0"/>
    <m/>
  </r>
  <r>
    <x v="2"/>
    <x v="2"/>
    <s v="03"/>
    <s v="0320"/>
    <m/>
    <s v="SH3 Inlet HDR Susp"/>
    <s v="Nut"/>
    <m/>
    <m/>
    <x v="11"/>
    <m/>
    <m/>
    <m/>
    <m/>
    <m/>
    <n v="5.28"/>
    <s v="ASME"/>
    <n v="0"/>
    <s v="OUT"/>
    <n v="0"/>
    <n v="5.28"/>
    <n v="0"/>
    <n v="5.28"/>
    <s v="Nut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5.28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0"/>
    <m/>
  </r>
  <r>
    <x v="2"/>
    <x v="2"/>
    <s v="03"/>
    <s v="0320"/>
    <m/>
    <s v="SH3 Inlet HDR Susp"/>
    <s v="Round Bar"/>
    <m/>
    <m/>
    <x v="11"/>
    <m/>
    <m/>
    <m/>
    <m/>
    <m/>
    <n v="63.133439999999993"/>
    <s v="ASME"/>
    <n v="0"/>
    <s v="OUT"/>
    <n v="0"/>
    <n v="63.133439999999993"/>
    <n v="0"/>
    <n v="63.133439999999993"/>
    <s v="Round Bar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63.133439999999993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0"/>
    <m/>
  </r>
  <r>
    <x v="2"/>
    <x v="2"/>
    <s v="03"/>
    <s v="0320"/>
    <m/>
    <s v="SH3 Inlet HDR Susp"/>
    <s v="Pin"/>
    <m/>
    <m/>
    <x v="11"/>
    <m/>
    <m/>
    <m/>
    <m/>
    <m/>
    <n v="0.16"/>
    <s v="ASME"/>
    <n v="0"/>
    <s v="OUT"/>
    <n v="0"/>
    <n v="0.16"/>
    <n v="0"/>
    <n v="0.16"/>
    <s v="Pin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0.16"/>
    <n v="0"/>
    <n v="0"/>
    <n v="0"/>
    <e v="#N/A"/>
    <d v="1899-12-30T00:00:00"/>
    <n v="0"/>
    <d v="1899-12-30T00:00:00"/>
    <d v="2018-07-17T00:00:00"/>
    <d v="2018-11-13T00:00:00"/>
    <n v="4"/>
    <n v="7"/>
    <n v="0"/>
    <n v="0"/>
    <n v="0"/>
    <n v="0"/>
    <n v="0"/>
    <m/>
    <e v="#N/A"/>
    <e v="#N/A"/>
    <n v="0"/>
    <m/>
    <m/>
    <x v="2"/>
    <m/>
  </r>
  <r>
    <x v="2"/>
    <x v="2"/>
    <s v="03"/>
    <s v="0320"/>
    <m/>
    <s v="SH3 Inlet HDR Susp"/>
    <s v="Plate"/>
    <m/>
    <m/>
    <x v="11"/>
    <m/>
    <m/>
    <m/>
    <m/>
    <m/>
    <n v="2520"/>
    <s v="ASME"/>
    <n v="0.12"/>
    <s v="WBC"/>
    <e v="#N/A"/>
    <n v="2822.4"/>
    <n v="0"/>
    <n v="2822.4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822.4"/>
    <n v="0"/>
    <n v="0"/>
    <n v="0"/>
    <n v="0"/>
    <d v="1899-12-30T00:00:00"/>
    <n v="0"/>
    <d v="1899-12-30T00:00:00"/>
    <d v="2018-07-17T00:00:00"/>
    <d v="2018-11-13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20"/>
    <m/>
    <s v="SH3 Inlet HDR Susp"/>
    <s v="Washer"/>
    <m/>
    <m/>
    <x v="11"/>
    <m/>
    <m/>
    <m/>
    <m/>
    <m/>
    <n v="9.6000000000000002E-2"/>
    <s v="ASME"/>
    <n v="0"/>
    <s v="OUT"/>
    <n v="0"/>
    <n v="9.6000000000000002E-2"/>
    <n v="0"/>
    <n v="9.6000000000000002E-2"/>
    <s v="Washer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9.6000000000000002E-2"/>
    <n v="0"/>
    <n v="0"/>
    <n v="0"/>
    <e v="#N/A"/>
    <d v="1899-12-30T00:00:00"/>
    <n v="0"/>
    <d v="1899-12-30T00:00:00"/>
    <d v="2018-07-17T00:00:00"/>
    <d v="2018-11-13T00:00:00"/>
    <n v="4"/>
    <n v="7"/>
    <n v="0"/>
    <n v="0"/>
    <n v="0"/>
    <n v="0"/>
    <n v="0"/>
    <m/>
    <e v="#N/A"/>
    <e v="#N/A"/>
    <n v="0"/>
    <m/>
    <m/>
    <x v="2"/>
    <m/>
  </r>
  <r>
    <x v="2"/>
    <x v="2"/>
    <s v="03"/>
    <s v="0320"/>
    <m/>
    <s v="SH3 Inlet HDR Susp"/>
    <s v="Crosstie"/>
    <m/>
    <m/>
    <x v="11"/>
    <m/>
    <m/>
    <m/>
    <m/>
    <m/>
    <n v="2444"/>
    <s v="ASME"/>
    <n v="0.12"/>
    <s v="WBC"/>
    <e v="#N/A"/>
    <n v="2737.28"/>
    <n v="0"/>
    <n v="2737.28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737.28"/>
    <n v="0"/>
    <n v="0"/>
    <n v="0"/>
    <n v="0"/>
    <d v="1899-12-30T00:00:00"/>
    <n v="0"/>
    <d v="1899-12-30T00:00:00"/>
    <d v="2018-07-17T00:00:00"/>
    <d v="2018-11-13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21"/>
    <m/>
    <s v="SH3 Outlet HDR Susp"/>
    <s v="Hanger"/>
    <m/>
    <m/>
    <x v="11"/>
    <m/>
    <m/>
    <m/>
    <m/>
    <m/>
    <n v="265.11112500000002"/>
    <s v="ASME"/>
    <n v="0"/>
    <s v="OUT"/>
    <n v="0"/>
    <n v="265.11112500000002"/>
    <n v="0"/>
    <n v="265.11112500000002"/>
    <s v="Hanger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265.11112500000002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0"/>
    <m/>
  </r>
  <r>
    <x v="2"/>
    <x v="2"/>
    <s v="03"/>
    <s v="0321"/>
    <m/>
    <s v="SH3 Outlet HDR Susp"/>
    <s v="Nut"/>
    <m/>
    <m/>
    <x v="11"/>
    <m/>
    <m/>
    <m/>
    <m/>
    <m/>
    <n v="16"/>
    <s v="ASME"/>
    <n v="0"/>
    <s v="OUT"/>
    <n v="0"/>
    <n v="16"/>
    <n v="0"/>
    <n v="16"/>
    <s v="Nut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16"/>
    <n v="0"/>
    <n v="0"/>
    <n v="0"/>
    <e v="#N/A"/>
    <d v="1899-12-30T00:00:00"/>
    <n v="0"/>
    <d v="1899-12-30T00:00:00"/>
    <d v="2018-06-12T00:00:00"/>
    <d v="2018-12-08T00:00:00"/>
    <n v="6"/>
    <n v="6"/>
    <n v="0"/>
    <n v="0"/>
    <n v="0"/>
    <n v="0"/>
    <n v="0"/>
    <m/>
    <e v="#N/A"/>
    <e v="#N/A"/>
    <n v="0"/>
    <m/>
    <m/>
    <x v="0"/>
    <m/>
  </r>
  <r>
    <x v="2"/>
    <x v="2"/>
    <s v="03"/>
    <s v="0321"/>
    <m/>
    <s v="SH3 Outlet HDR Susp"/>
    <s v="Stud"/>
    <m/>
    <m/>
    <x v="11"/>
    <m/>
    <m/>
    <m/>
    <m/>
    <m/>
    <n v="53.6"/>
    <s v="ASME"/>
    <n v="0"/>
    <s v="OUT"/>
    <n v="0"/>
    <n v="53.6"/>
    <n v="0"/>
    <n v="53.6"/>
    <s v="Stud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53.6"/>
    <n v="0"/>
    <n v="0"/>
    <n v="0"/>
    <e v="#N/A"/>
    <d v="1899-12-30T00:00:00"/>
    <n v="0"/>
    <d v="1899-12-30T00:00:00"/>
    <d v="2018-07-17T00:00:00"/>
    <d v="2018-11-13T00:00:00"/>
    <n v="4"/>
    <n v="7"/>
    <n v="0"/>
    <n v="0"/>
    <n v="0"/>
    <n v="0"/>
    <n v="0"/>
    <m/>
    <e v="#N/A"/>
    <e v="#N/A"/>
    <n v="0"/>
    <m/>
    <m/>
    <x v="2"/>
    <m/>
  </r>
  <r>
    <x v="2"/>
    <x v="2"/>
    <s v="03"/>
    <s v="0321"/>
    <m/>
    <s v="SH3 Outlet HDR Susp"/>
    <s v="Pin"/>
    <m/>
    <m/>
    <x v="11"/>
    <m/>
    <m/>
    <m/>
    <m/>
    <m/>
    <n v="0.8"/>
    <s v="ASME"/>
    <n v="0"/>
    <s v="OUT"/>
    <n v="0"/>
    <n v="0.8"/>
    <n v="0"/>
    <n v="0.8"/>
    <s v="Pin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0.8"/>
    <n v="0"/>
    <n v="0"/>
    <n v="0"/>
    <e v="#N/A"/>
    <d v="1899-12-30T00:00:00"/>
    <n v="0"/>
    <d v="1899-12-30T00:00:00"/>
    <d v="2018-07-17T00:00:00"/>
    <d v="2018-11-13T00:00:00"/>
    <n v="4"/>
    <n v="7"/>
    <n v="0"/>
    <n v="0"/>
    <n v="0"/>
    <n v="0"/>
    <n v="0"/>
    <m/>
    <e v="#N/A"/>
    <e v="#N/A"/>
    <n v="0"/>
    <m/>
    <m/>
    <x v="2"/>
    <m/>
  </r>
  <r>
    <x v="2"/>
    <x v="2"/>
    <s v="03"/>
    <s v="0321"/>
    <m/>
    <s v="SH3 Outlet HDR Susp"/>
    <s v="Washer"/>
    <m/>
    <m/>
    <x v="11"/>
    <m/>
    <m/>
    <m/>
    <m/>
    <m/>
    <n v="5.92"/>
    <s v="ASME"/>
    <n v="0"/>
    <s v="OUT"/>
    <n v="0"/>
    <n v="5.92"/>
    <n v="0"/>
    <n v="5.92"/>
    <s v="Washer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5.92"/>
    <n v="0"/>
    <n v="0"/>
    <n v="0"/>
    <e v="#N/A"/>
    <d v="1899-12-30T00:00:00"/>
    <n v="0"/>
    <d v="1899-12-30T00:00:00"/>
    <d v="2018-07-17T00:00:00"/>
    <d v="2018-11-13T00:00:00"/>
    <n v="4"/>
    <n v="7"/>
    <n v="0"/>
    <n v="0"/>
    <n v="0"/>
    <n v="0"/>
    <n v="0"/>
    <m/>
    <e v="#N/A"/>
    <e v="#N/A"/>
    <n v="0"/>
    <m/>
    <m/>
    <x v="2"/>
    <m/>
  </r>
  <r>
    <x v="2"/>
    <x v="2"/>
    <s v="03"/>
    <s v="0321"/>
    <m/>
    <s v="SH3 Outlet HDR Susp"/>
    <s v="Plate"/>
    <m/>
    <m/>
    <x v="11"/>
    <m/>
    <m/>
    <m/>
    <m/>
    <m/>
    <n v="2520"/>
    <s v="ASME"/>
    <n v="0.12"/>
    <s v="WBC"/>
    <e v="#N/A"/>
    <n v="2822.4"/>
    <n v="0"/>
    <n v="2822.4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822.4"/>
    <n v="0"/>
    <n v="0"/>
    <n v="0"/>
    <n v="0"/>
    <d v="1899-12-30T00:00:00"/>
    <n v="0"/>
    <d v="1899-12-30T00:00:00"/>
    <d v="2018-07-17T00:00:00"/>
    <d v="2018-11-13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21"/>
    <m/>
    <s v="SH3 Outlet HDR Susp"/>
    <s v="Piping"/>
    <m/>
    <m/>
    <x v="11"/>
    <m/>
    <m/>
    <m/>
    <m/>
    <m/>
    <n v="106.75963349999999"/>
    <s v="ASME"/>
    <e v="#N/A"/>
    <e v="#N/A"/>
    <e v="#N/A"/>
    <e v="#N/A"/>
    <e v="#N/A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12T00:00:00"/>
    <d v="2018-12-08T00:00:00"/>
    <n v="6"/>
    <n v="6"/>
    <n v="0"/>
    <n v="0"/>
    <n v="0"/>
    <n v="0"/>
    <e v="#N/A"/>
    <m/>
    <e v="#N/A"/>
    <e v="#N/A"/>
    <n v="0"/>
    <m/>
    <m/>
    <x v="1"/>
    <m/>
  </r>
  <r>
    <x v="2"/>
    <x v="2"/>
    <s v="03"/>
    <s v="0321"/>
    <m/>
    <s v="SH3 Outlet HDR Susp"/>
    <s v="Nut"/>
    <m/>
    <m/>
    <x v="11"/>
    <m/>
    <m/>
    <m/>
    <m/>
    <m/>
    <n v="1.6"/>
    <s v="ASME"/>
    <n v="0"/>
    <s v="OUT"/>
    <n v="0"/>
    <n v="1.6"/>
    <n v="0"/>
    <n v="1.6"/>
    <s v="Nut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1.6"/>
    <n v="0"/>
    <n v="0"/>
    <n v="0"/>
    <e v="#N/A"/>
    <d v="1899-12-30T00:00:00"/>
    <n v="0"/>
    <d v="1899-12-30T00:00:00"/>
    <d v="2018-07-17T00:00:00"/>
    <d v="2018-11-13T00:00:00"/>
    <n v="4"/>
    <n v="7"/>
    <n v="0"/>
    <n v="0"/>
    <n v="0"/>
    <n v="0"/>
    <n v="0"/>
    <m/>
    <e v="#N/A"/>
    <e v="#N/A"/>
    <n v="0"/>
    <m/>
    <m/>
    <x v="2"/>
    <m/>
  </r>
  <r>
    <x v="2"/>
    <x v="2"/>
    <s v="03"/>
    <s v="0321"/>
    <m/>
    <s v="SH3 Outlet HDR Susp"/>
    <s v="Blot"/>
    <m/>
    <m/>
    <x v="11"/>
    <m/>
    <m/>
    <m/>
    <m/>
    <m/>
    <n v="5"/>
    <s v="ASME"/>
    <n v="0"/>
    <s v="OUT"/>
    <n v="0"/>
    <n v="5"/>
    <n v="0"/>
    <n v="5"/>
    <s v="Blot"/>
    <x v="2"/>
    <s v="Various"/>
    <s v="Various"/>
    <m/>
    <m/>
    <m/>
    <n v="0"/>
    <x v="0"/>
    <x v="0"/>
    <x v="0"/>
    <x v="0"/>
    <n v="0"/>
    <x v="0"/>
    <s v="KG"/>
    <n v="0"/>
    <n v="0"/>
    <e v="#N/A"/>
    <e v="#N/A"/>
    <n v="5"/>
    <n v="0"/>
    <n v="0"/>
    <n v="0"/>
    <e v="#N/A"/>
    <d v="1899-12-30T00:00:00"/>
    <n v="0"/>
    <d v="1899-12-30T00:00:00"/>
    <d v="2018-07-17T00:00:00"/>
    <d v="2018-11-13T00:00:00"/>
    <n v="4"/>
    <n v="7"/>
    <n v="0"/>
    <n v="0"/>
    <n v="0"/>
    <n v="0"/>
    <n v="0"/>
    <m/>
    <e v="#N/A"/>
    <e v="#N/A"/>
    <n v="0"/>
    <m/>
    <m/>
    <x v="2"/>
    <m/>
  </r>
  <r>
    <x v="2"/>
    <x v="2"/>
    <s v="03"/>
    <s v="0321"/>
    <m/>
    <s v="SH3 Outlet HDR Susp"/>
    <s v="Plate"/>
    <m/>
    <m/>
    <x v="11"/>
    <m/>
    <m/>
    <m/>
    <m/>
    <m/>
    <n v="16.484999999999999"/>
    <s v="ASME"/>
    <n v="0.12"/>
    <s v="WBC"/>
    <e v="#N/A"/>
    <n v="18.463200000000001"/>
    <n v="0"/>
    <n v="18.463200000000001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8.463200000000001"/>
    <n v="0"/>
    <n v="0"/>
    <n v="0"/>
    <n v="0"/>
    <d v="1899-12-30T00:00:00"/>
    <n v="0"/>
    <d v="1899-12-30T00:00:00"/>
    <d v="2018-07-17T00:00:00"/>
    <d v="2018-11-13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21"/>
    <m/>
    <s v="SH3 Outlet HDR Susp"/>
    <s v="Plate"/>
    <m/>
    <m/>
    <x v="11"/>
    <m/>
    <m/>
    <m/>
    <m/>
    <m/>
    <n v="112.13568000000001"/>
    <s v="ASME"/>
    <n v="0.12"/>
    <s v="WBC"/>
    <e v="#N/A"/>
    <n v="125.59196160000002"/>
    <n v="0"/>
    <n v="125.59196160000002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25.59196160000002"/>
    <n v="0"/>
    <n v="0"/>
    <n v="0"/>
    <n v="0"/>
    <d v="1899-12-30T00:00:00"/>
    <n v="0"/>
    <d v="1899-12-30T00:00:00"/>
    <d v="2018-07-17T00:00:00"/>
    <d v="2018-11-13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21"/>
    <m/>
    <s v="SH3 Outlet HDR Susp"/>
    <s v="Plate"/>
    <m/>
    <m/>
    <x v="11"/>
    <m/>
    <m/>
    <m/>
    <m/>
    <m/>
    <n v="2.5496799999999999"/>
    <s v="ASME"/>
    <n v="0.12"/>
    <s v="WBC"/>
    <e v="#N/A"/>
    <n v="2.8556416000000002"/>
    <n v="0"/>
    <n v="2.8556416000000002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.8556416000000002"/>
    <n v="0"/>
    <n v="0"/>
    <n v="0"/>
    <n v="0"/>
    <d v="1899-12-30T00:00:00"/>
    <n v="0"/>
    <d v="1899-12-30T00:00:00"/>
    <d v="2018-07-17T00:00:00"/>
    <d v="2018-11-13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21"/>
    <m/>
    <s v="SH3 Outlet HDR Susp"/>
    <s v="Plate"/>
    <m/>
    <m/>
    <x v="11"/>
    <m/>
    <m/>
    <m/>
    <m/>
    <m/>
    <n v="14.13"/>
    <s v="ASME"/>
    <n v="0.12"/>
    <s v="WBC"/>
    <e v="#N/A"/>
    <n v="15.825600000000003"/>
    <n v="0"/>
    <n v="15.825600000000003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5.825600000000003"/>
    <n v="0"/>
    <n v="0"/>
    <n v="0"/>
    <n v="0"/>
    <d v="1899-12-30T00:00:00"/>
    <n v="0"/>
    <d v="1899-12-30T00:00:00"/>
    <d v="2018-07-17T00:00:00"/>
    <d v="2018-11-13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21"/>
    <m/>
    <s v="SH3 Outlet HDR Susp"/>
    <s v="Plate"/>
    <m/>
    <m/>
    <x v="11"/>
    <m/>
    <m/>
    <m/>
    <m/>
    <m/>
    <n v="49.235200000000006"/>
    <s v="ASME"/>
    <n v="0.12"/>
    <s v="WBC"/>
    <e v="#N/A"/>
    <n v="55.14342400000001"/>
    <n v="0"/>
    <n v="55.14342400000001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55.14342400000001"/>
    <n v="0"/>
    <n v="0"/>
    <n v="0"/>
    <n v="0"/>
    <d v="1899-12-30T00:00:00"/>
    <n v="0"/>
    <d v="1899-12-30T00:00:00"/>
    <d v="2018-07-17T00:00:00"/>
    <d v="2018-11-13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21"/>
    <m/>
    <s v="SH3 Outlet HDR Susp"/>
    <s v="Plate"/>
    <m/>
    <m/>
    <x v="11"/>
    <m/>
    <m/>
    <m/>
    <m/>
    <m/>
    <n v="12.308800000000002"/>
    <s v="ASME"/>
    <n v="0.12"/>
    <s v="WBC"/>
    <e v="#N/A"/>
    <n v="13.785856000000003"/>
    <n v="0"/>
    <n v="13.785856000000003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3.785856000000003"/>
    <n v="0"/>
    <n v="0"/>
    <n v="0"/>
    <n v="0"/>
    <d v="1899-12-30T00:00:00"/>
    <n v="0"/>
    <d v="1899-12-30T00:00:00"/>
    <d v="2018-07-17T00:00:00"/>
    <d v="2018-11-13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21"/>
    <m/>
    <s v="SH3 Outlet HDR Susp"/>
    <s v="Plate"/>
    <m/>
    <m/>
    <x v="11"/>
    <m/>
    <m/>
    <m/>
    <m/>
    <m/>
    <n v="15.1976"/>
    <s v="ASME"/>
    <n v="0.12"/>
    <s v="WBC"/>
    <e v="#N/A"/>
    <n v="17.021312000000002"/>
    <n v="0"/>
    <n v="17.021312000000002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17.021312000000002"/>
    <n v="0"/>
    <n v="0"/>
    <n v="0"/>
    <n v="0"/>
    <d v="1899-12-30T00:00:00"/>
    <n v="0"/>
    <d v="1899-12-30T00:00:00"/>
    <d v="2018-07-17T00:00:00"/>
    <d v="2018-11-13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21"/>
    <m/>
    <s v="SH3 Outlet HDR Susp"/>
    <s v="Plate"/>
    <m/>
    <m/>
    <x v="11"/>
    <m/>
    <m/>
    <m/>
    <m/>
    <m/>
    <n v="5.2751999999999999"/>
    <s v="ASME"/>
    <n v="0.12"/>
    <s v="WBC"/>
    <e v="#N/A"/>
    <n v="5.9082240000000006"/>
    <n v="0"/>
    <n v="5.9082240000000006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5.9082240000000006"/>
    <n v="0"/>
    <n v="0"/>
    <n v="0"/>
    <n v="0"/>
    <d v="1899-12-30T00:00:00"/>
    <n v="0"/>
    <d v="1899-12-30T00:00:00"/>
    <d v="2018-07-17T00:00:00"/>
    <d v="2018-11-13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21"/>
    <m/>
    <s v="SH3 Outlet HDR Susp"/>
    <s v="Crosstie"/>
    <m/>
    <m/>
    <x v="11"/>
    <m/>
    <m/>
    <m/>
    <m/>
    <m/>
    <n v="2520"/>
    <s v="ASME"/>
    <n v="0.12"/>
    <s v="WBC"/>
    <e v="#N/A"/>
    <n v="2822.4"/>
    <n v="0"/>
    <n v="2822.4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822.4"/>
    <n v="0"/>
    <n v="0"/>
    <n v="0"/>
    <n v="0"/>
    <d v="1899-12-30T00:00:00"/>
    <n v="0"/>
    <d v="1899-12-30T00:00:00"/>
    <d v="2018-07-17T00:00:00"/>
    <d v="2018-11-13T00:00:00"/>
    <n v="4"/>
    <n v="7"/>
    <n v="0"/>
    <n v="0"/>
    <n v="0"/>
    <n v="0"/>
    <e v="#N/A"/>
    <m/>
    <n v="0"/>
    <n v="0"/>
    <n v="0"/>
    <m/>
    <m/>
    <x v="2"/>
    <m/>
  </r>
  <r>
    <x v="2"/>
    <x v="2"/>
    <s v="03"/>
    <s v="0322"/>
    <m/>
    <s v="SH - Spray Attemperator 1"/>
    <s v="Header"/>
    <m/>
    <m/>
    <x v="11"/>
    <m/>
    <m/>
    <m/>
    <m/>
    <m/>
    <n v="6192.1260000000011"/>
    <s v="ASME"/>
    <n v="0"/>
    <s v="OUT"/>
    <n v="0"/>
    <n v="6192.1260000000011"/>
    <n v="0"/>
    <n v="6192.1260000000011"/>
    <s v=" 0-0"/>
    <x v="2"/>
    <s v="Various"/>
    <s v="Piping"/>
    <m/>
    <m/>
    <m/>
    <n v="0"/>
    <x v="0"/>
    <x v="0"/>
    <x v="0"/>
    <x v="0"/>
    <n v="0"/>
    <x v="0"/>
    <s v="KG"/>
    <n v="0"/>
    <n v="0"/>
    <e v="#N/A"/>
    <e v="#N/A"/>
    <n v="6192.1260000000011"/>
    <n v="0"/>
    <n v="0"/>
    <n v="0"/>
    <e v="#N/A"/>
    <d v="1899-12-30T00:00:00"/>
    <n v="0"/>
    <d v="1899-12-30T00:00:00"/>
    <d v="2018-06-03T00:00:00"/>
    <d v="2018-11-29T00:00:00"/>
    <n v="5"/>
    <n v="6"/>
    <n v="0"/>
    <n v="0"/>
    <n v="0"/>
    <n v="0"/>
    <n v="0"/>
    <m/>
    <e v="#N/A"/>
    <e v="#N/A"/>
    <n v="224"/>
    <n v="19"/>
    <m/>
    <x v="2"/>
    <m/>
  </r>
  <r>
    <x v="2"/>
    <x v="2"/>
    <s v="03"/>
    <s v="0322"/>
    <m/>
    <s v="SH - Spray Attemperator 1"/>
    <s v="Piping"/>
    <m/>
    <m/>
    <x v="11"/>
    <m/>
    <m/>
    <m/>
    <m/>
    <m/>
    <n v="559.88910331199997"/>
    <s v="ASME"/>
    <n v="0"/>
    <s v="OUT"/>
    <n v="0"/>
    <n v="559.88910331199997"/>
    <n v="940.11089668800003"/>
    <n v="1500"/>
    <s v=" 0-0"/>
    <x v="2"/>
    <s v="Various"/>
    <s v="Piping"/>
    <m/>
    <m/>
    <m/>
    <n v="0"/>
    <x v="0"/>
    <x v="0"/>
    <x v="0"/>
    <x v="0"/>
    <n v="0"/>
    <x v="0"/>
    <s v="KG"/>
    <n v="0"/>
    <n v="0"/>
    <e v="#N/A"/>
    <e v="#N/A"/>
    <n v="1500"/>
    <n v="0"/>
    <n v="0"/>
    <n v="0"/>
    <e v="#N/A"/>
    <d v="1899-12-30T00:00:00"/>
    <n v="0"/>
    <d v="1899-12-30T00:00:00"/>
    <d v="2018-06-03T00:00:00"/>
    <d v="2018-11-29T00:00:00"/>
    <n v="5"/>
    <n v="6"/>
    <n v="0"/>
    <n v="0"/>
    <n v="0"/>
    <n v="0"/>
    <n v="0"/>
    <m/>
    <e v="#N/A"/>
    <e v="#N/A"/>
    <n v="0"/>
    <m/>
    <m/>
    <x v="2"/>
    <m/>
  </r>
  <r>
    <x v="2"/>
    <x v="2"/>
    <s v="03"/>
    <s v="0322"/>
    <m/>
    <s v="SH - Spray Attemperator 1"/>
    <s v="End cap"/>
    <m/>
    <m/>
    <x v="11"/>
    <m/>
    <m/>
    <m/>
    <m/>
    <m/>
    <n v="10.195988906250001"/>
    <s v="ASME"/>
    <n v="0"/>
    <s v="OUT"/>
    <n v="0"/>
    <n v="10.195988906250001"/>
    <n v="0"/>
    <n v="10.195988906250001"/>
    <s v="End cap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10.195988906250001"/>
    <n v="0"/>
    <n v="0"/>
    <n v="0"/>
    <e v="#N/A"/>
    <d v="1899-12-30T00:00:00"/>
    <n v="0"/>
    <d v="1899-12-30T00:00:00"/>
    <d v="2018-06-03T00:00:00"/>
    <d v="2018-11-29T00:00:00"/>
    <n v="5"/>
    <n v="6"/>
    <n v="0"/>
    <n v="0"/>
    <n v="0"/>
    <n v="0"/>
    <n v="0"/>
    <m/>
    <e v="#N/A"/>
    <e v="#N/A"/>
    <n v="0"/>
    <m/>
    <m/>
    <x v="0"/>
    <m/>
  </r>
  <r>
    <x v="2"/>
    <x v="2"/>
    <s v="03"/>
    <s v="0322"/>
    <m/>
    <s v="SH - Spray Attemperator 1"/>
    <s v="Nozzles"/>
    <m/>
    <m/>
    <x v="11"/>
    <m/>
    <m/>
    <m/>
    <m/>
    <m/>
    <n v="102.542517"/>
    <s v="ASME"/>
    <n v="0"/>
    <s v="OUT"/>
    <n v="0"/>
    <n v="102.542517"/>
    <n v="0"/>
    <n v="102.542517"/>
    <s v="Nozzles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102.542517"/>
    <n v="0"/>
    <n v="0"/>
    <n v="0"/>
    <e v="#N/A"/>
    <d v="1899-12-30T00:00:00"/>
    <n v="0"/>
    <d v="1899-12-30T00:00:00"/>
    <d v="2018-06-03T00:00:00"/>
    <d v="2018-11-29T00:00:00"/>
    <n v="5"/>
    <n v="6"/>
    <n v="0"/>
    <n v="0"/>
    <n v="0"/>
    <n v="0"/>
    <n v="0"/>
    <m/>
    <e v="#N/A"/>
    <e v="#N/A"/>
    <n v="0"/>
    <m/>
    <m/>
    <x v="0"/>
    <m/>
  </r>
  <r>
    <x v="2"/>
    <x v="2"/>
    <s v="03"/>
    <s v="0322"/>
    <m/>
    <s v="SH - Spray Attemperator 1"/>
    <s v="Nozzles"/>
    <m/>
    <m/>
    <x v="11"/>
    <m/>
    <m/>
    <m/>
    <m/>
    <m/>
    <n v="112.30164000000001"/>
    <s v="ASME"/>
    <n v="0"/>
    <s v="OUT"/>
    <n v="0"/>
    <n v="112.30164000000001"/>
    <n v="0"/>
    <n v="112.30164000000001"/>
    <s v="Nozzles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112.30164000000001"/>
    <n v="0"/>
    <n v="0"/>
    <n v="0"/>
    <e v="#N/A"/>
    <d v="1899-12-30T00:00:00"/>
    <n v="0"/>
    <d v="1899-12-30T00:00:00"/>
    <d v="2018-06-03T00:00:00"/>
    <d v="2018-11-29T00:00:00"/>
    <n v="5"/>
    <n v="6"/>
    <n v="0"/>
    <n v="0"/>
    <n v="0"/>
    <n v="0"/>
    <n v="0"/>
    <m/>
    <e v="#N/A"/>
    <e v="#N/A"/>
    <n v="0"/>
    <m/>
    <m/>
    <x v="0"/>
    <m/>
  </r>
  <r>
    <x v="2"/>
    <x v="2"/>
    <s v="03"/>
    <s v="0322"/>
    <m/>
    <s v="SH - Spray Attemperator 1"/>
    <s v="Nozzles"/>
    <m/>
    <m/>
    <x v="11"/>
    <m/>
    <m/>
    <m/>
    <m/>
    <m/>
    <n v="91.178071649279985"/>
    <s v="ASME"/>
    <e v="#N/A"/>
    <e v="#N/A"/>
    <e v="#N/A"/>
    <e v="#N/A"/>
    <e v="#N/A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6-03T00:00:00"/>
    <d v="2018-11-29T00:00:00"/>
    <n v="5"/>
    <n v="6"/>
    <n v="0"/>
    <n v="0"/>
    <n v="0"/>
    <n v="0"/>
    <e v="#N/A"/>
    <m/>
    <e v="#N/A"/>
    <e v="#N/A"/>
    <n v="0"/>
    <m/>
    <m/>
    <x v="1"/>
    <m/>
  </r>
  <r>
    <x v="2"/>
    <x v="2"/>
    <s v="03"/>
    <s v="0322"/>
    <m/>
    <s v="SH - Spray Attemperator 1"/>
    <s v="Plate"/>
    <m/>
    <m/>
    <x v="11"/>
    <m/>
    <m/>
    <m/>
    <m/>
    <m/>
    <n v="258"/>
    <s v="ASME"/>
    <n v="0.12"/>
    <s v="WBC"/>
    <e v="#N/A"/>
    <n v="288.96000000000004"/>
    <n v="0"/>
    <n v="288.96000000000004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88.96000000000004"/>
    <n v="0"/>
    <n v="0"/>
    <n v="0"/>
    <n v="0"/>
    <d v="1899-12-30T00:00:00"/>
    <n v="0"/>
    <d v="1899-12-30T00:00:00"/>
    <d v="2018-06-08T00:00:00"/>
    <d v="2018-12-14T00:00:00"/>
    <n v="6"/>
    <n v="6"/>
    <n v="0"/>
    <n v="0"/>
    <n v="0"/>
    <n v="0"/>
    <e v="#N/A"/>
    <m/>
    <n v="0"/>
    <n v="0"/>
    <n v="0"/>
    <m/>
    <m/>
    <x v="2"/>
    <m/>
  </r>
  <r>
    <x v="2"/>
    <x v="2"/>
    <s v="03"/>
    <s v="0323"/>
    <m/>
    <s v="SH - Spray Attemperator 2"/>
    <s v="Header"/>
    <m/>
    <m/>
    <x v="11"/>
    <m/>
    <m/>
    <m/>
    <m/>
    <m/>
    <n v="7812.2879999999996"/>
    <s v="ASME"/>
    <n v="0"/>
    <s v="OUT"/>
    <n v="0"/>
    <n v="7812.2879999999996"/>
    <n v="0"/>
    <n v="7812.2879999999996"/>
    <s v=" 0-0"/>
    <x v="2"/>
    <s v="Various"/>
    <s v="Piping"/>
    <m/>
    <m/>
    <m/>
    <n v="0"/>
    <x v="0"/>
    <x v="0"/>
    <x v="0"/>
    <x v="0"/>
    <n v="0"/>
    <x v="0"/>
    <s v="KG"/>
    <n v="0"/>
    <n v="0"/>
    <e v="#N/A"/>
    <e v="#N/A"/>
    <n v="7812.2879999999996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222"/>
    <n v="18"/>
    <m/>
    <x v="2"/>
    <m/>
  </r>
  <r>
    <x v="2"/>
    <x v="2"/>
    <s v="03"/>
    <s v="0323"/>
    <m/>
    <s v="SH - Spray Attemperator 2"/>
    <s v="Piping"/>
    <m/>
    <m/>
    <x v="11"/>
    <m/>
    <m/>
    <m/>
    <m/>
    <m/>
    <n v="468.97857316799997"/>
    <s v="ASME"/>
    <n v="0"/>
    <s v="OUT"/>
    <n v="0"/>
    <n v="468.97857316799997"/>
    <n v="1031.0214268320001"/>
    <n v="1500"/>
    <s v=" 0-0"/>
    <x v="2"/>
    <s v="Various"/>
    <s v="Piping"/>
    <m/>
    <m/>
    <m/>
    <n v="0"/>
    <x v="0"/>
    <x v="0"/>
    <x v="0"/>
    <x v="0"/>
    <n v="0"/>
    <x v="0"/>
    <s v="KG"/>
    <n v="0"/>
    <n v="0"/>
    <e v="#N/A"/>
    <e v="#N/A"/>
    <n v="1500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0"/>
    <m/>
    <m/>
    <x v="2"/>
    <m/>
  </r>
  <r>
    <x v="2"/>
    <x v="2"/>
    <s v="03"/>
    <s v="0323"/>
    <m/>
    <s v="SH - Spray Attemperator 2"/>
    <s v="End cap"/>
    <m/>
    <m/>
    <x v="11"/>
    <m/>
    <m/>
    <m/>
    <m/>
    <m/>
    <n v="10.195988906250001"/>
    <s v="ASME"/>
    <n v="0"/>
    <s v="OUT"/>
    <n v="0"/>
    <n v="10.195988906250001"/>
    <n v="0"/>
    <n v="10.195988906250001"/>
    <s v="End cap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10.195988906250001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0"/>
    <m/>
    <m/>
    <x v="0"/>
    <m/>
  </r>
  <r>
    <x v="2"/>
    <x v="2"/>
    <s v="03"/>
    <s v="0323"/>
    <m/>
    <s v="SH - Spray Attemperator 2"/>
    <s v="Nozzles"/>
    <m/>
    <m/>
    <x v="11"/>
    <m/>
    <m/>
    <m/>
    <m/>
    <m/>
    <n v="102.542517"/>
    <s v="ASME"/>
    <n v="0"/>
    <s v="OUT"/>
    <n v="0"/>
    <n v="102.542517"/>
    <n v="0"/>
    <n v="102.542517"/>
    <s v="Nozzles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102.542517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0"/>
    <m/>
    <m/>
    <x v="0"/>
    <m/>
  </r>
  <r>
    <x v="2"/>
    <x v="2"/>
    <s v="03"/>
    <s v="0323"/>
    <m/>
    <s v="SH - Spray Attemperator 2"/>
    <s v="Nozzles"/>
    <m/>
    <m/>
    <x v="11"/>
    <m/>
    <m/>
    <m/>
    <m/>
    <m/>
    <n v="112.30164000000001"/>
    <s v="ASME"/>
    <n v="0"/>
    <s v="OUT"/>
    <n v="0"/>
    <n v="112.30164000000001"/>
    <n v="0"/>
    <n v="112.30164000000001"/>
    <s v="Nozzles"/>
    <x v="2"/>
    <s v="Forgings"/>
    <s v="Forgings"/>
    <m/>
    <m/>
    <m/>
    <n v="0"/>
    <x v="0"/>
    <x v="0"/>
    <x v="0"/>
    <x v="0"/>
    <n v="0"/>
    <x v="0"/>
    <s v="KG"/>
    <n v="0"/>
    <n v="0"/>
    <e v="#N/A"/>
    <e v="#N/A"/>
    <n v="112.30164000000001"/>
    <n v="0"/>
    <n v="0"/>
    <n v="0"/>
    <e v="#N/A"/>
    <d v="1899-12-30T00:00:00"/>
    <n v="0"/>
    <d v="1899-12-30T00:00:00"/>
    <d v="2018-04-29T00:00:00"/>
    <d v="2018-10-25T00:00:00"/>
    <n v="6"/>
    <n v="4"/>
    <n v="0"/>
    <n v="0"/>
    <n v="0"/>
    <n v="0"/>
    <n v="0"/>
    <m/>
    <e v="#N/A"/>
    <e v="#N/A"/>
    <n v="0"/>
    <m/>
    <m/>
    <x v="0"/>
    <m/>
  </r>
  <r>
    <x v="2"/>
    <x v="2"/>
    <s v="03"/>
    <s v="0323"/>
    <m/>
    <s v="SH - Spray Attemperator 2"/>
    <s v="Nozzles"/>
    <m/>
    <m/>
    <x v="11"/>
    <m/>
    <m/>
    <m/>
    <m/>
    <m/>
    <n v="91.178071649279985"/>
    <s v="ASME"/>
    <e v="#N/A"/>
    <e v="#N/A"/>
    <e v="#N/A"/>
    <e v="#N/A"/>
    <e v="#N/A"/>
    <e v="#N/A"/>
    <s v=" 0-0"/>
    <x v="2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9T00:00:00"/>
    <d v="2018-10-25T00:00:00"/>
    <n v="6"/>
    <n v="4"/>
    <n v="0"/>
    <n v="0"/>
    <n v="0"/>
    <n v="0"/>
    <e v="#N/A"/>
    <m/>
    <e v="#N/A"/>
    <e v="#N/A"/>
    <n v="0"/>
    <m/>
    <m/>
    <x v="1"/>
    <m/>
  </r>
  <r>
    <x v="2"/>
    <x v="2"/>
    <s v="03"/>
    <s v="0323"/>
    <m/>
    <s v="SH - Spray Attemperator 2"/>
    <s v="Plate"/>
    <m/>
    <m/>
    <x v="11"/>
    <m/>
    <m/>
    <m/>
    <m/>
    <m/>
    <n v="258"/>
    <s v="ASME"/>
    <n v="0.12"/>
    <s v="WBC"/>
    <e v="#N/A"/>
    <n v="288.96000000000004"/>
    <n v="0"/>
    <n v="288.96000000000004"/>
    <s v=""/>
    <x v="2"/>
    <s v="Plate"/>
    <s v="Plate"/>
    <m/>
    <m/>
    <m/>
    <n v="0"/>
    <x v="2"/>
    <x v="0"/>
    <x v="0"/>
    <x v="0"/>
    <n v="0"/>
    <x v="0"/>
    <s v="KG"/>
    <n v="0"/>
    <n v="0"/>
    <n v="0"/>
    <n v="0"/>
    <n v="288.96000000000004"/>
    <n v="0"/>
    <n v="0"/>
    <n v="0"/>
    <n v="0"/>
    <d v="1899-12-30T00:00:00"/>
    <n v="0"/>
    <d v="1899-12-30T00:00:00"/>
    <d v="2018-06-08T00:00:00"/>
    <d v="2018-10-05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1"/>
    <m/>
    <s v="RH1 Inlet HDR"/>
    <s v="Header"/>
    <m/>
    <m/>
    <x v="11"/>
    <m/>
    <m/>
    <m/>
    <m/>
    <m/>
    <n v="11533.605300000001"/>
    <s v="ASME"/>
    <n v="0"/>
    <s v="OUT"/>
    <n v="0"/>
    <n v="11533.605300000001"/>
    <n v="0"/>
    <n v="11533.605300000001"/>
    <s v=" 0-0"/>
    <x v="3"/>
    <s v="Various"/>
    <s v="Piping"/>
    <m/>
    <m/>
    <m/>
    <n v="0"/>
    <x v="0"/>
    <x v="0"/>
    <x v="0"/>
    <x v="0"/>
    <n v="0"/>
    <x v="0"/>
    <s v="KG"/>
    <n v="0"/>
    <n v="0"/>
    <e v="#N/A"/>
    <e v="#N/A"/>
    <n v="11533.605300000001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1240"/>
    <n v="97"/>
    <m/>
    <x v="2"/>
    <m/>
  </r>
  <r>
    <x v="3"/>
    <x v="3"/>
    <s v="04"/>
    <s v="0401"/>
    <m/>
    <s v="RH1 Inlet HDR"/>
    <s v="Tube"/>
    <m/>
    <m/>
    <x v="11"/>
    <m/>
    <m/>
    <m/>
    <m/>
    <m/>
    <n v="18.8"/>
    <s v="ASME"/>
    <n v="0"/>
    <s v="OUT"/>
    <n v="0"/>
    <n v="18.8"/>
    <n v="0"/>
    <n v="18.8"/>
    <s v="Tube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18.8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0"/>
    <m/>
  </r>
  <r>
    <x v="3"/>
    <x v="3"/>
    <s v="04"/>
    <s v="0401"/>
    <m/>
    <s v="RH1 Inlet HDR"/>
    <s v="End Cap"/>
    <m/>
    <m/>
    <x v="11"/>
    <m/>
    <m/>
    <m/>
    <m/>
    <m/>
    <n v="442"/>
    <s v="ASME"/>
    <n v="0"/>
    <s v="OUT"/>
    <n v="0"/>
    <n v="442"/>
    <n v="0"/>
    <n v="442"/>
    <s v="End Cap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442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0"/>
    <m/>
  </r>
  <r>
    <x v="3"/>
    <x v="3"/>
    <s v="04"/>
    <s v="0401"/>
    <m/>
    <s v="RH1 Inlet HDR"/>
    <s v="Tube"/>
    <m/>
    <m/>
    <x v="11"/>
    <m/>
    <m/>
    <m/>
    <m/>
    <m/>
    <n v="11.302269840000001"/>
    <s v="ASME"/>
    <n v="0"/>
    <s v="OUT"/>
    <n v="0"/>
    <n v="11.302269840000001"/>
    <n v="1488.69773016"/>
    <n v="1500"/>
    <s v=" 0-0"/>
    <x v="3"/>
    <s v="Various"/>
    <s v="Piping"/>
    <m/>
    <m/>
    <m/>
    <n v="0"/>
    <x v="0"/>
    <x v="0"/>
    <x v="0"/>
    <x v="0"/>
    <n v="0"/>
    <x v="0"/>
    <s v="KG"/>
    <n v="0"/>
    <n v="0"/>
    <e v="#N/A"/>
    <e v="#N/A"/>
    <n v="1500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2"/>
    <m/>
  </r>
  <r>
    <x v="3"/>
    <x v="3"/>
    <s v="04"/>
    <s v="0401"/>
    <m/>
    <s v="RH1 Inlet HDR"/>
    <s v="Tube"/>
    <m/>
    <m/>
    <x v="11"/>
    <m/>
    <m/>
    <m/>
    <m/>
    <m/>
    <n v="8.94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4T00:00:00"/>
    <d v="2018-10-20T00:00:00"/>
    <n v="6"/>
    <n v="4"/>
    <n v="0"/>
    <n v="0"/>
    <n v="0"/>
    <n v="0"/>
    <e v="#N/A"/>
    <m/>
    <e v="#N/A"/>
    <e v="#N/A"/>
    <n v="0"/>
    <m/>
    <m/>
    <x v="1"/>
    <m/>
  </r>
  <r>
    <x v="3"/>
    <x v="3"/>
    <s v="04"/>
    <s v="0401"/>
    <m/>
    <s v="RH1 Inlet HDR"/>
    <s v="Tube"/>
    <m/>
    <m/>
    <x v="11"/>
    <m/>
    <m/>
    <m/>
    <m/>
    <m/>
    <n v="630.76126861440002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4T00:00:00"/>
    <d v="2018-10-20T00:00:00"/>
    <n v="6"/>
    <n v="4"/>
    <n v="0"/>
    <n v="0"/>
    <n v="0"/>
    <n v="0"/>
    <e v="#N/A"/>
    <m/>
    <e v="#N/A"/>
    <e v="#N/A"/>
    <n v="0"/>
    <m/>
    <m/>
    <x v="1"/>
    <m/>
  </r>
  <r>
    <x v="3"/>
    <x v="3"/>
    <s v="04"/>
    <s v="0401"/>
    <m/>
    <s v="RH1 Inlet HDR"/>
    <s v="Plate"/>
    <m/>
    <m/>
    <x v="11"/>
    <m/>
    <m/>
    <m/>
    <m/>
    <m/>
    <n v="18.239999999999998"/>
    <s v="ASME"/>
    <n v="0.12"/>
    <s v="WBC"/>
    <e v="#N/A"/>
    <n v="20.428799999999999"/>
    <n v="0"/>
    <n v="20.428799999999999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0.428799999999999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1"/>
    <m/>
    <s v="RH1 Inlet HDR"/>
    <s v="Suspender"/>
    <m/>
    <m/>
    <x v="11"/>
    <m/>
    <m/>
    <m/>
    <m/>
    <m/>
    <n v="143.19999999999999"/>
    <s v="ASME"/>
    <n v="0"/>
    <s v="OUT"/>
    <n v="0"/>
    <n v="143.19999999999999"/>
    <n v="0"/>
    <n v="143.19999999999999"/>
    <s v="Suspender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143.19999999999999"/>
    <n v="0"/>
    <n v="0"/>
    <n v="0"/>
    <e v="#N/A"/>
    <d v="1899-12-30T00:00:00"/>
    <n v="0"/>
    <d v="1899-12-30T00:00:00"/>
    <d v="2018-06-13T00:00:00"/>
    <d v="2018-10-10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02"/>
    <m/>
    <s v="RH1 Inlet Terminal Tubes"/>
    <s v="Tube"/>
    <m/>
    <m/>
    <x v="11"/>
    <m/>
    <m/>
    <m/>
    <m/>
    <m/>
    <n v="29836.690329600005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4T00:00:00"/>
    <d v="2018-10-20T00:00:00"/>
    <n v="6"/>
    <n v="4"/>
    <n v="0"/>
    <n v="0"/>
    <n v="0"/>
    <n v="0"/>
    <e v="#N/A"/>
    <m/>
    <e v="#N/A"/>
    <e v="#N/A"/>
    <n v="1229"/>
    <n v="118"/>
    <m/>
    <x v="1"/>
    <m/>
  </r>
  <r>
    <x v="3"/>
    <x v="3"/>
    <s v="04"/>
    <s v="0402"/>
    <m/>
    <s v="RH1 Inlet Terminal Tubes"/>
    <s v="Sleeve"/>
    <m/>
    <m/>
    <x v="11"/>
    <m/>
    <m/>
    <m/>
    <m/>
    <m/>
    <n v="892.00270645199998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4T00:00:00"/>
    <d v="2018-10-20T00:00:00"/>
    <n v="6"/>
    <n v="4"/>
    <n v="0"/>
    <n v="0"/>
    <n v="0"/>
    <n v="0"/>
    <e v="#N/A"/>
    <m/>
    <e v="#N/A"/>
    <e v="#N/A"/>
    <n v="0"/>
    <m/>
    <m/>
    <x v="1"/>
    <m/>
  </r>
  <r>
    <x v="3"/>
    <x v="3"/>
    <s v="04"/>
    <s v="0403"/>
    <m/>
    <s v="RH1 Tube Assy"/>
    <s v="Tube"/>
    <m/>
    <m/>
    <x v="11"/>
    <m/>
    <m/>
    <m/>
    <m/>
    <m/>
    <n v="747309.63712204818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4T00:00:00"/>
    <d v="2018-10-20T00:00:00"/>
    <n v="6"/>
    <n v="4"/>
    <n v="0"/>
    <n v="0"/>
    <n v="0"/>
    <n v="0"/>
    <e v="#N/A"/>
    <m/>
    <e v="#N/A"/>
    <e v="#N/A"/>
    <n v="37654"/>
    <n v="2732"/>
    <m/>
    <x v="1"/>
    <m/>
  </r>
  <r>
    <x v="3"/>
    <x v="3"/>
    <s v="04"/>
    <s v="0403"/>
    <m/>
    <s v="RH1 Tube Assy"/>
    <s v="Tube"/>
    <m/>
    <m/>
    <x v="11"/>
    <m/>
    <m/>
    <m/>
    <m/>
    <m/>
    <n v="402397.49691187206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4T00:00:00"/>
    <d v="2018-10-20T00:00:00"/>
    <n v="6"/>
    <n v="4"/>
    <n v="0"/>
    <n v="0"/>
    <n v="0"/>
    <n v="0"/>
    <e v="#N/A"/>
    <m/>
    <e v="#N/A"/>
    <e v="#N/A"/>
    <n v="0"/>
    <m/>
    <m/>
    <x v="1"/>
    <m/>
  </r>
  <r>
    <x v="3"/>
    <x v="3"/>
    <s v="04"/>
    <s v="0403"/>
    <m/>
    <s v="RH1 Tube Assy"/>
    <s v="Tube"/>
    <m/>
    <m/>
    <x v="11"/>
    <m/>
    <m/>
    <m/>
    <m/>
    <m/>
    <n v="0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4T00:00:00"/>
    <d v="2018-10-20T00:00:00"/>
    <n v="6"/>
    <n v="4"/>
    <n v="0"/>
    <n v="0"/>
    <n v="0"/>
    <n v="0"/>
    <e v="#N/A"/>
    <m/>
    <e v="#N/A"/>
    <e v="#N/A"/>
    <n v="0"/>
    <m/>
    <m/>
    <x v="1"/>
    <m/>
  </r>
  <r>
    <x v="3"/>
    <x v="3"/>
    <s v="04"/>
    <s v="0403"/>
    <m/>
    <s v="RH1 Tube Assy"/>
    <s v="Plate"/>
    <m/>
    <m/>
    <x v="11"/>
    <m/>
    <m/>
    <m/>
    <m/>
    <m/>
    <n v="8442.9575999999997"/>
    <s v="ASME"/>
    <n v="0.12"/>
    <s v="WBC"/>
    <e v="#N/A"/>
    <n v="9456.1125119999997"/>
    <n v="0"/>
    <n v="9456.1125119999997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9456.1125119999997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3"/>
    <m/>
    <s v="RH1 Tube Assy"/>
    <s v="Plate"/>
    <m/>
    <m/>
    <x v="11"/>
    <m/>
    <m/>
    <m/>
    <m/>
    <m/>
    <n v="2388.1508639999997"/>
    <s v="ASME"/>
    <n v="0.12"/>
    <s v="WBC"/>
    <e v="#N/A"/>
    <n v="2674.7289676800001"/>
    <n v="0"/>
    <n v="2674.7289676800001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674.7289676800001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3"/>
    <m/>
    <s v="RH1 Tube Assy"/>
    <s v="Plate"/>
    <m/>
    <m/>
    <x v="11"/>
    <m/>
    <m/>
    <m/>
    <m/>
    <m/>
    <n v="797.69502000000011"/>
    <s v="ASME"/>
    <n v="0.12"/>
    <s v="WBC"/>
    <e v="#N/A"/>
    <n v="893.41842240000017"/>
    <n v="0"/>
    <n v="893.41842240000017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893.41842240000017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3"/>
    <m/>
    <s v="RH1 Tube Assy"/>
    <s v="Plate"/>
    <m/>
    <m/>
    <x v="11"/>
    <m/>
    <m/>
    <m/>
    <m/>
    <m/>
    <n v="81.600749999999991"/>
    <s v="ASME"/>
    <n v="0.12"/>
    <s v="WBC"/>
    <e v="#N/A"/>
    <n v="91.392839999999993"/>
    <n v="0"/>
    <n v="91.392839999999993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91.392839999999993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4"/>
    <m/>
    <s v="RH1 Outlet Terminal Tubes"/>
    <s v="Tube"/>
    <m/>
    <m/>
    <x v="11"/>
    <m/>
    <m/>
    <m/>
    <m/>
    <m/>
    <n v="27184.540078080001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4T00:00:00"/>
    <d v="2018-10-20T00:00:00"/>
    <n v="6"/>
    <n v="4"/>
    <n v="0"/>
    <n v="0"/>
    <n v="0"/>
    <n v="0"/>
    <e v="#N/A"/>
    <m/>
    <e v="#N/A"/>
    <e v="#N/A"/>
    <n v="1232"/>
    <n v="122"/>
    <m/>
    <x v="1"/>
    <m/>
  </r>
  <r>
    <x v="3"/>
    <x v="3"/>
    <s v="04"/>
    <s v="0404"/>
    <m/>
    <s v="RH1 Outlet Terminal Tubes"/>
    <s v="Sleeve"/>
    <m/>
    <m/>
    <x v="11"/>
    <m/>
    <m/>
    <m/>
    <m/>
    <m/>
    <n v="541.84271803199999"/>
    <s v="ASME"/>
    <e v="#N/A"/>
    <e v="#N/A"/>
    <e v="#N/A"/>
    <e v="#N/A"/>
    <e v="#N/A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4T00:00:00"/>
    <d v="2018-10-20T00:00:00"/>
    <n v="6"/>
    <n v="4"/>
    <n v="0"/>
    <n v="0"/>
    <n v="0"/>
    <n v="0"/>
    <e v="#N/A"/>
    <m/>
    <e v="#N/A"/>
    <e v="#N/A"/>
    <n v="0"/>
    <m/>
    <m/>
    <x v="1"/>
    <m/>
  </r>
  <r>
    <x v="3"/>
    <x v="3"/>
    <s v="04"/>
    <s v="0404"/>
    <m/>
    <s v="RH1 Outlet Terminal Tubes"/>
    <s v="Nozzles"/>
    <m/>
    <m/>
    <x v="11"/>
    <m/>
    <m/>
    <m/>
    <m/>
    <m/>
    <n v="0.64377593280000001"/>
    <s v="ASME"/>
    <n v="0"/>
    <s v="OUT"/>
    <n v="0"/>
    <n v="0.64377593280000001"/>
    <n v="0"/>
    <n v="0.64377593280000001"/>
    <s v="Nozzles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0.64377593280000001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0"/>
    <m/>
  </r>
  <r>
    <x v="3"/>
    <x v="3"/>
    <s v="04"/>
    <s v="0405"/>
    <m/>
    <s v="RH1 Outlet HDR"/>
    <s v="Header"/>
    <m/>
    <m/>
    <x v="11"/>
    <m/>
    <m/>
    <m/>
    <m/>
    <m/>
    <n v="14683.883310000003"/>
    <s v="ASME"/>
    <n v="0"/>
    <s v="OUT"/>
    <n v="0"/>
    <n v="14683.883310000003"/>
    <n v="0"/>
    <n v="14683.883310000003"/>
    <s v=" 0-0"/>
    <x v="3"/>
    <s v="Various"/>
    <s v="Piping"/>
    <m/>
    <m/>
    <m/>
    <n v="0"/>
    <x v="0"/>
    <x v="0"/>
    <x v="0"/>
    <x v="0"/>
    <n v="0"/>
    <x v="0"/>
    <s v="KG"/>
    <n v="0"/>
    <n v="0"/>
    <e v="#N/A"/>
    <e v="#N/A"/>
    <n v="14683.883310000003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1565"/>
    <n v="78"/>
    <m/>
    <x v="2"/>
    <m/>
  </r>
  <r>
    <x v="3"/>
    <x v="3"/>
    <s v="04"/>
    <s v="0405"/>
    <m/>
    <s v="RH1 Outlet HDR"/>
    <s v="Header"/>
    <m/>
    <m/>
    <x v="11"/>
    <m/>
    <m/>
    <m/>
    <m/>
    <m/>
    <n v="6973.7616900000012"/>
    <s v="ASME"/>
    <n v="0"/>
    <s v="OUT"/>
    <n v="0"/>
    <n v="6973.7616900000012"/>
    <n v="0"/>
    <n v="6973.7616900000012"/>
    <s v=" 0-0"/>
    <x v="3"/>
    <s v="Various"/>
    <s v="Piping"/>
    <m/>
    <m/>
    <m/>
    <n v="0"/>
    <x v="0"/>
    <x v="0"/>
    <x v="0"/>
    <x v="0"/>
    <n v="0"/>
    <x v="0"/>
    <s v="KG"/>
    <n v="0"/>
    <n v="0"/>
    <e v="#N/A"/>
    <e v="#N/A"/>
    <n v="6973.7616900000012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2"/>
    <m/>
  </r>
  <r>
    <x v="3"/>
    <x v="3"/>
    <s v="04"/>
    <s v="0405"/>
    <m/>
    <s v="RH1 Outlet HDR"/>
    <s v="End cap"/>
    <m/>
    <m/>
    <x v="11"/>
    <m/>
    <m/>
    <m/>
    <m/>
    <m/>
    <n v="13.109128593750002"/>
    <s v="ASME"/>
    <n v="0"/>
    <s v="OUT"/>
    <n v="0"/>
    <n v="13.109128593750002"/>
    <n v="0"/>
    <n v="13.109128593750002"/>
    <s v="End cap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13.109128593750002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0"/>
    <m/>
  </r>
  <r>
    <x v="3"/>
    <x v="3"/>
    <s v="04"/>
    <s v="0405"/>
    <m/>
    <s v="RH1 Outlet HDR"/>
    <s v="Nozzles"/>
    <m/>
    <m/>
    <x v="11"/>
    <m/>
    <m/>
    <m/>
    <m/>
    <m/>
    <n v="530.43005030400013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4T00:00:00"/>
    <d v="2018-10-20T00:00:00"/>
    <n v="6"/>
    <n v="4"/>
    <n v="0"/>
    <n v="0"/>
    <n v="0"/>
    <n v="0"/>
    <e v="#N/A"/>
    <m/>
    <e v="#N/A"/>
    <e v="#N/A"/>
    <n v="0"/>
    <m/>
    <m/>
    <x v="1"/>
    <m/>
  </r>
  <r>
    <x v="3"/>
    <x v="3"/>
    <s v="04"/>
    <s v="0405"/>
    <m/>
    <s v="RH1 Outlet HDR"/>
    <s v="Nozzles"/>
    <m/>
    <m/>
    <x v="11"/>
    <m/>
    <m/>
    <m/>
    <m/>
    <m/>
    <n v="77.756679000000005"/>
    <s v="ASME"/>
    <e v="#N/A"/>
    <e v="#N/A"/>
    <e v="#N/A"/>
    <e v="#N/A"/>
    <e v="#N/A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4T00:00:00"/>
    <d v="2018-10-20T00:00:00"/>
    <n v="6"/>
    <n v="4"/>
    <n v="0"/>
    <n v="0"/>
    <n v="0"/>
    <n v="0"/>
    <e v="#N/A"/>
    <m/>
    <e v="#N/A"/>
    <e v="#N/A"/>
    <n v="0"/>
    <m/>
    <m/>
    <x v="1"/>
    <m/>
  </r>
  <r>
    <x v="3"/>
    <x v="3"/>
    <s v="04"/>
    <s v="0405"/>
    <m/>
    <s v="RH1 Outlet HDR"/>
    <s v="Nozzles"/>
    <m/>
    <m/>
    <x v="11"/>
    <m/>
    <m/>
    <m/>
    <m/>
    <m/>
    <n v="4.5971300232000001"/>
    <s v="ASME"/>
    <e v="#N/A"/>
    <e v="#N/A"/>
    <e v="#N/A"/>
    <e v="#N/A"/>
    <e v="#N/A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4T00:00:00"/>
    <d v="2018-10-20T00:00:00"/>
    <n v="6"/>
    <n v="4"/>
    <n v="0"/>
    <n v="0"/>
    <n v="0"/>
    <n v="0"/>
    <e v="#N/A"/>
    <m/>
    <e v="#N/A"/>
    <e v="#N/A"/>
    <n v="0"/>
    <m/>
    <m/>
    <x v="1"/>
    <m/>
  </r>
  <r>
    <x v="3"/>
    <x v="3"/>
    <s v="04"/>
    <s v="0405"/>
    <m/>
    <s v="RH1 Outlet HDR"/>
    <s v="Nozzles"/>
    <m/>
    <m/>
    <x v="11"/>
    <m/>
    <m/>
    <m/>
    <m/>
    <m/>
    <n v="8.1757764000000002"/>
    <s v="ASME"/>
    <e v="#N/A"/>
    <e v="#N/A"/>
    <e v="#N/A"/>
    <e v="#N/A"/>
    <e v="#N/A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4-24T00:00:00"/>
    <d v="2018-10-20T00:00:00"/>
    <n v="6"/>
    <n v="4"/>
    <n v="0"/>
    <n v="0"/>
    <n v="0"/>
    <n v="0"/>
    <e v="#N/A"/>
    <m/>
    <e v="#N/A"/>
    <e v="#N/A"/>
    <n v="0"/>
    <m/>
    <m/>
    <x v="1"/>
    <m/>
  </r>
  <r>
    <x v="3"/>
    <x v="3"/>
    <s v="04"/>
    <s v="0405"/>
    <m/>
    <s v="RH1 Outlet HDR"/>
    <s v="Plate"/>
    <m/>
    <m/>
    <x v="11"/>
    <m/>
    <m/>
    <m/>
    <m/>
    <m/>
    <n v="12.0105"/>
    <s v="ASME"/>
    <n v="0.12"/>
    <s v="WBC"/>
    <e v="#N/A"/>
    <n v="13.451760000000002"/>
    <n v="0"/>
    <n v="13.451760000000002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3.451760000000002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6"/>
    <m/>
    <s v="RH1 Inlet HDR Susp"/>
    <s v="Hanger"/>
    <m/>
    <m/>
    <x v="11"/>
    <m/>
    <m/>
    <m/>
    <m/>
    <m/>
    <n v="35.611205999999996"/>
    <s v="ASME"/>
    <n v="0"/>
    <s v="OUT"/>
    <n v="0"/>
    <n v="35.611205999999996"/>
    <n v="0"/>
    <n v="35.611205999999996"/>
    <s v="Hanger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35.611205999999996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0"/>
    <m/>
  </r>
  <r>
    <x v="3"/>
    <x v="3"/>
    <s v="04"/>
    <s v="0406"/>
    <m/>
    <s v="RH1 Inlet HDR Susp"/>
    <s v="Bolt"/>
    <m/>
    <m/>
    <x v="11"/>
    <m/>
    <m/>
    <m/>
    <m/>
    <m/>
    <n v="25.363821000000005"/>
    <s v="ASME"/>
    <n v="0"/>
    <s v="OUT"/>
    <n v="0"/>
    <n v="25.363821000000005"/>
    <n v="0"/>
    <n v="25.363821000000005"/>
    <s v="Bolt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25.363821000000005"/>
    <n v="0"/>
    <n v="0"/>
    <n v="0"/>
    <e v="#N/A"/>
    <d v="1899-12-30T00:00:00"/>
    <n v="0"/>
    <d v="1899-12-30T00:00:00"/>
    <d v="2018-06-13T00:00:00"/>
    <d v="2018-10-10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06"/>
    <m/>
    <s v="RH1 Inlet HDR Susp"/>
    <s v="Pin"/>
    <m/>
    <m/>
    <x v="11"/>
    <m/>
    <m/>
    <m/>
    <m/>
    <m/>
    <n v="0.4"/>
    <s v="ASME"/>
    <n v="0"/>
    <s v="OUT"/>
    <n v="0"/>
    <n v="0.4"/>
    <n v="0"/>
    <n v="0.4"/>
    <s v="Pin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0.4"/>
    <n v="0"/>
    <n v="0"/>
    <n v="0"/>
    <e v="#N/A"/>
    <d v="1899-12-30T00:00:00"/>
    <n v="0"/>
    <d v="1899-12-30T00:00:00"/>
    <d v="2018-06-13T00:00:00"/>
    <d v="2018-10-10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06"/>
    <m/>
    <s v="RH1 Inlet HDR Susp"/>
    <s v="Plate"/>
    <m/>
    <m/>
    <x v="11"/>
    <m/>
    <m/>
    <m/>
    <m/>
    <m/>
    <n v="2520"/>
    <s v="ASME"/>
    <n v="0.12"/>
    <s v="WBC"/>
    <e v="#N/A"/>
    <n v="2822.4"/>
    <n v="0"/>
    <n v="2822.4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822.4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6"/>
    <m/>
    <s v="RH1 Inlet HDR Susp"/>
    <s v="Plate"/>
    <m/>
    <m/>
    <x v="11"/>
    <m/>
    <m/>
    <m/>
    <m/>
    <m/>
    <n v="9.9"/>
    <s v="ASME"/>
    <n v="0.12"/>
    <s v="WBC"/>
    <e v="#N/A"/>
    <n v="11.088000000000001"/>
    <n v="0"/>
    <n v="11.088000000000001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1.088000000000001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6"/>
    <m/>
    <s v="RH1 Inlet HDR Susp"/>
    <s v="Nut"/>
    <m/>
    <m/>
    <x v="11"/>
    <m/>
    <m/>
    <m/>
    <m/>
    <m/>
    <n v="12.24"/>
    <s v="ASME"/>
    <n v="0"/>
    <s v="OUT"/>
    <n v="0"/>
    <n v="12.24"/>
    <n v="0"/>
    <n v="12.24"/>
    <s v="Nut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12.24"/>
    <n v="0"/>
    <n v="0"/>
    <n v="0"/>
    <e v="#N/A"/>
    <d v="1899-12-30T00:00:00"/>
    <n v="0"/>
    <d v="1899-12-30T00:00:00"/>
    <d v="2018-06-13T00:00:00"/>
    <d v="2018-10-10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06"/>
    <m/>
    <s v="RH1 Inlet HDR Susp"/>
    <s v="Washer"/>
    <m/>
    <m/>
    <x v="11"/>
    <m/>
    <m/>
    <m/>
    <m/>
    <m/>
    <n v="3"/>
    <s v="ASME"/>
    <n v="0"/>
    <s v="OUT"/>
    <n v="0"/>
    <n v="3"/>
    <n v="0"/>
    <n v="3"/>
    <s v="Washer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3"/>
    <n v="0"/>
    <n v="0"/>
    <n v="0"/>
    <e v="#N/A"/>
    <d v="1899-12-30T00:00:00"/>
    <n v="0"/>
    <d v="1899-12-30T00:00:00"/>
    <d v="2018-06-13T00:00:00"/>
    <d v="2018-10-10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06"/>
    <m/>
    <s v="RH1 Inlet HDR Susp"/>
    <s v="Plate"/>
    <m/>
    <m/>
    <x v="11"/>
    <m/>
    <m/>
    <m/>
    <m/>
    <m/>
    <n v="22.58916"/>
    <s v="ASME"/>
    <n v="0.12"/>
    <s v="WBC"/>
    <e v="#N/A"/>
    <n v="25.299859200000004"/>
    <n v="0"/>
    <n v="25.299859200000004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5.299859200000004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6"/>
    <m/>
    <s v="RH1 Inlet HDR Susp"/>
    <s v="Plate"/>
    <m/>
    <m/>
    <x v="11"/>
    <m/>
    <m/>
    <m/>
    <m/>
    <m/>
    <n v="174.73158000000001"/>
    <s v="ASME"/>
    <n v="0.12"/>
    <s v="WBC"/>
    <e v="#N/A"/>
    <n v="195.69936960000004"/>
    <n v="0"/>
    <n v="195.69936960000004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95.69936960000004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6"/>
    <m/>
    <s v="RH1 Inlet HDR Susp"/>
    <s v="Plate"/>
    <m/>
    <m/>
    <x v="11"/>
    <m/>
    <m/>
    <m/>
    <m/>
    <m/>
    <n v="18.28736"/>
    <s v="ASME"/>
    <n v="0.12"/>
    <s v="WBC"/>
    <e v="#N/A"/>
    <n v="20.4818432"/>
    <n v="0"/>
    <n v="20.4818432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0.4818432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6"/>
    <m/>
    <s v="RH1 Inlet HDR Susp"/>
    <s v="Plate"/>
    <m/>
    <m/>
    <x v="11"/>
    <m/>
    <m/>
    <m/>
    <m/>
    <m/>
    <n v="13.8474"/>
    <s v="ASME"/>
    <n v="0.12"/>
    <s v="WBC"/>
    <e v="#N/A"/>
    <n v="15.509088000000002"/>
    <n v="0"/>
    <n v="15.509088000000002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5.509088000000002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6"/>
    <m/>
    <s v="RH1 Inlet HDR Susp"/>
    <s v="Plate"/>
    <m/>
    <m/>
    <x v="11"/>
    <m/>
    <m/>
    <m/>
    <m/>
    <m/>
    <n v="27.694800000000001"/>
    <s v="ASME"/>
    <n v="0.12"/>
    <s v="WBC"/>
    <e v="#N/A"/>
    <n v="31.018176000000004"/>
    <n v="0"/>
    <n v="31.018176000000004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31.018176000000004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6"/>
    <m/>
    <s v="RH1 Inlet HDR Susp"/>
    <s v="Crosstie"/>
    <m/>
    <m/>
    <x v="11"/>
    <m/>
    <m/>
    <m/>
    <m/>
    <m/>
    <n v="2520"/>
    <s v="ASME"/>
    <n v="0.12"/>
    <s v="WBC"/>
    <e v="#N/A"/>
    <n v="2822.4"/>
    <n v="0"/>
    <n v="2822.4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822.4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7"/>
    <m/>
    <s v="RH1 Outlet HDR Susp"/>
    <s v="Hanger"/>
    <m/>
    <m/>
    <x v="11"/>
    <m/>
    <m/>
    <m/>
    <m/>
    <m/>
    <n v="61.653749999999995"/>
    <s v="ASME"/>
    <n v="0"/>
    <s v="OUT"/>
    <n v="0"/>
    <n v="61.653749999999995"/>
    <n v="0"/>
    <n v="61.653749999999995"/>
    <s v="Hanger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61.653749999999995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0"/>
    <m/>
  </r>
  <r>
    <x v="3"/>
    <x v="3"/>
    <s v="04"/>
    <s v="0407"/>
    <m/>
    <s v="RH1 Outlet HDR Susp"/>
    <s v="Bolt"/>
    <m/>
    <m/>
    <x v="11"/>
    <m/>
    <m/>
    <m/>
    <m/>
    <m/>
    <n v="26.8"/>
    <s v="ASME"/>
    <n v="0"/>
    <s v="OUT"/>
    <n v="0"/>
    <n v="26.8"/>
    <n v="0"/>
    <n v="26.8"/>
    <s v="Bolt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26.8"/>
    <n v="0"/>
    <n v="0"/>
    <n v="0"/>
    <e v="#N/A"/>
    <d v="1899-12-30T00:00:00"/>
    <n v="0"/>
    <d v="1899-12-30T00:00:00"/>
    <d v="2018-06-13T00:00:00"/>
    <d v="2018-10-10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07"/>
    <m/>
    <s v="RH1 Outlet HDR Susp"/>
    <s v="Pin"/>
    <m/>
    <m/>
    <x v="11"/>
    <m/>
    <m/>
    <m/>
    <m/>
    <m/>
    <n v="0.4"/>
    <s v="ASME"/>
    <n v="0"/>
    <s v="OUT"/>
    <n v="0"/>
    <n v="0.4"/>
    <n v="0"/>
    <n v="0.4"/>
    <s v="Pin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0.4"/>
    <n v="0"/>
    <n v="0"/>
    <n v="0"/>
    <e v="#N/A"/>
    <d v="1899-12-30T00:00:00"/>
    <n v="0"/>
    <d v="1899-12-30T00:00:00"/>
    <d v="2018-06-13T00:00:00"/>
    <d v="2018-10-10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07"/>
    <m/>
    <s v="RH1 Outlet HDR Susp"/>
    <s v="Plate"/>
    <m/>
    <m/>
    <x v="11"/>
    <m/>
    <m/>
    <m/>
    <m/>
    <m/>
    <n v="2520"/>
    <s v="ASME"/>
    <n v="0.12"/>
    <s v="WBC"/>
    <e v="#N/A"/>
    <n v="2822.4"/>
    <n v="0"/>
    <n v="2822.4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822.4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7"/>
    <m/>
    <s v="RH1 Outlet HDR Susp"/>
    <s v="Plate"/>
    <m/>
    <m/>
    <x v="11"/>
    <m/>
    <m/>
    <m/>
    <m/>
    <m/>
    <n v="9.9"/>
    <s v="ASME"/>
    <n v="0.12"/>
    <s v="WBC"/>
    <e v="#N/A"/>
    <n v="11.088000000000001"/>
    <n v="0"/>
    <n v="11.088000000000001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1.088000000000001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7"/>
    <m/>
    <s v="RH1 Outlet HDR Susp"/>
    <s v="Nut"/>
    <m/>
    <m/>
    <x v="11"/>
    <m/>
    <m/>
    <m/>
    <m/>
    <m/>
    <n v="12.24"/>
    <s v="ASME"/>
    <n v="0"/>
    <s v="OUT"/>
    <n v="0"/>
    <n v="12.24"/>
    <n v="0"/>
    <n v="12.24"/>
    <s v="Nut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12.24"/>
    <n v="0"/>
    <n v="0"/>
    <n v="0"/>
    <e v="#N/A"/>
    <d v="1899-12-30T00:00:00"/>
    <n v="0"/>
    <d v="1899-12-30T00:00:00"/>
    <d v="2018-06-13T00:00:00"/>
    <d v="2018-10-10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07"/>
    <m/>
    <s v="RH1 Outlet HDR Susp"/>
    <s v="Washer"/>
    <m/>
    <m/>
    <x v="11"/>
    <m/>
    <m/>
    <m/>
    <m/>
    <m/>
    <n v="3"/>
    <s v="ASME"/>
    <n v="0"/>
    <s v="OUT"/>
    <n v="0"/>
    <n v="3"/>
    <n v="0"/>
    <n v="3"/>
    <s v="Washer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3"/>
    <n v="0"/>
    <n v="0"/>
    <n v="0"/>
    <e v="#N/A"/>
    <d v="1899-12-30T00:00:00"/>
    <n v="0"/>
    <d v="1899-12-30T00:00:00"/>
    <d v="2018-06-13T00:00:00"/>
    <d v="2018-10-10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07"/>
    <m/>
    <s v="RH1 Outlet HDR Susp"/>
    <s v="Plate"/>
    <m/>
    <m/>
    <x v="11"/>
    <m/>
    <m/>
    <m/>
    <m/>
    <m/>
    <n v="24.81542"/>
    <s v="ASME"/>
    <n v="0.12"/>
    <s v="WBC"/>
    <e v="#N/A"/>
    <n v="27.793270400000001"/>
    <n v="0"/>
    <n v="27.793270400000001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7.793270400000001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7"/>
    <m/>
    <s v="RH1 Outlet HDR Susp"/>
    <s v="Plate"/>
    <m/>
    <m/>
    <x v="11"/>
    <m/>
    <m/>
    <m/>
    <m/>
    <m/>
    <n v="196.23743999999999"/>
    <s v="ASME"/>
    <n v="0.12"/>
    <s v="WBC"/>
    <e v="#N/A"/>
    <n v="219.78593280000001"/>
    <n v="0"/>
    <n v="219.78593280000001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19.78593280000001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7"/>
    <m/>
    <s v="RH1 Outlet HDR Susp"/>
    <s v="Plate"/>
    <m/>
    <m/>
    <x v="11"/>
    <m/>
    <m/>
    <m/>
    <m/>
    <m/>
    <n v="16.17728"/>
    <s v="ASME"/>
    <n v="0.12"/>
    <s v="WBC"/>
    <e v="#N/A"/>
    <n v="18.118553600000002"/>
    <n v="0"/>
    <n v="18.118553600000002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8.118553600000002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7"/>
    <m/>
    <s v="RH1 Outlet HDR Susp"/>
    <s v="Plate"/>
    <m/>
    <m/>
    <x v="11"/>
    <m/>
    <m/>
    <m/>
    <m/>
    <m/>
    <n v="13.8474"/>
    <s v="ASME"/>
    <n v="0.12"/>
    <s v="WBC"/>
    <e v="#N/A"/>
    <n v="15.509088000000002"/>
    <n v="0"/>
    <n v="15.509088000000002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5.509088000000002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7"/>
    <m/>
    <s v="RH1 Outlet HDR Susp"/>
    <s v="Plate"/>
    <m/>
    <m/>
    <x v="11"/>
    <m/>
    <m/>
    <m/>
    <m/>
    <m/>
    <n v="25.848479999999999"/>
    <s v="ASME"/>
    <n v="0.12"/>
    <s v="WBC"/>
    <e v="#N/A"/>
    <n v="28.950297600000003"/>
    <n v="0"/>
    <n v="28.950297600000003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8.950297600000003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7"/>
    <m/>
    <s v="RH1 Outlet HDR Susp"/>
    <s v="Crosstie"/>
    <m/>
    <m/>
    <x v="11"/>
    <m/>
    <m/>
    <m/>
    <m/>
    <m/>
    <n v="2520"/>
    <s v="ASME"/>
    <n v="0.12"/>
    <s v="WBC"/>
    <e v="#N/A"/>
    <n v="2822.4"/>
    <n v="0"/>
    <n v="2822.4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822.4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3111.4259999999999"/>
    <s v="ASME"/>
    <n v="0.12"/>
    <s v="WBC"/>
    <e v="#N/A"/>
    <n v="3484.7971200000002"/>
    <n v="0"/>
    <n v="3484.7971200000002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3484.7971200000002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813.88799999999992"/>
    <s v="ASME"/>
    <n v="0.12"/>
    <s v="WBC"/>
    <e v="#N/A"/>
    <n v="911.55456000000004"/>
    <n v="0"/>
    <n v="911.55456000000004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911.55456000000004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182.37119999999999"/>
    <s v="ASME"/>
    <n v="0.12"/>
    <s v="WBC"/>
    <e v="#N/A"/>
    <n v="204.25574399999999"/>
    <n v="0"/>
    <n v="204.25574399999999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04.25574399999999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192.02670000000001"/>
    <s v="ASME"/>
    <n v="0.12"/>
    <s v="WBC"/>
    <e v="#N/A"/>
    <n v="215.06990400000004"/>
    <n v="0"/>
    <n v="215.06990400000004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15.06990400000004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73.249919999999989"/>
    <s v="ASME"/>
    <n v="0.12"/>
    <s v="WBC"/>
    <e v="#N/A"/>
    <n v="82.039910399999997"/>
    <n v="0"/>
    <n v="82.039910399999997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82.039910399999997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222.80184000000003"/>
    <s v="ASME"/>
    <n v="0.12"/>
    <s v="WBC"/>
    <e v="#N/A"/>
    <n v="249.53806080000007"/>
    <n v="0"/>
    <n v="249.53806080000007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49.53806080000007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143.65123199999999"/>
    <s v="ASME"/>
    <n v="0.12"/>
    <s v="WBC"/>
    <e v="#N/A"/>
    <n v="160.88937984"/>
    <n v="0"/>
    <n v="160.88937984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60.88937984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25.356756000000001"/>
    <s v="ASME"/>
    <n v="0.12"/>
    <s v="WBC"/>
    <e v="#N/A"/>
    <n v="28.399566720000003"/>
    <n v="0"/>
    <n v="28.399566720000003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8.399566720000003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62.465904000000002"/>
    <s v="ASME"/>
    <n v="0.12"/>
    <s v="WBC"/>
    <e v="#N/A"/>
    <n v="69.961812480000006"/>
    <n v="0"/>
    <n v="69.961812480000006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69.961812480000006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10.936620000000001"/>
    <s v="ASME"/>
    <n v="0.12"/>
    <s v="WBC"/>
    <e v="#N/A"/>
    <n v="12.249014400000002"/>
    <n v="0"/>
    <n v="12.249014400000002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2.249014400000002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21.364560000000001"/>
    <s v="ASME"/>
    <n v="0.12"/>
    <s v="WBC"/>
    <e v="#N/A"/>
    <n v="23.928307200000003"/>
    <n v="0"/>
    <n v="23.928307200000003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3.928307200000003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307.73962499999999"/>
    <s v="ASME"/>
    <n v="0.12"/>
    <s v="WBC"/>
    <e v="#N/A"/>
    <n v="344.66838000000001"/>
    <n v="0"/>
    <n v="344.66838000000001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344.66838000000001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6118.2146400000001"/>
    <s v="ASME"/>
    <n v="0.12"/>
    <s v="WBC"/>
    <e v="#N/A"/>
    <n v="6852.4003968000006"/>
    <n v="0"/>
    <n v="6852.4003968000006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6852.4003968000006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9753.2419200000004"/>
    <s v="ASME"/>
    <n v="0.12"/>
    <s v="WBC"/>
    <e v="#N/A"/>
    <n v="10923.630950400002"/>
    <n v="0"/>
    <n v="10923.630950400002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0923.630950400002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832.98704999999995"/>
    <s v="ASME"/>
    <n v="0.12"/>
    <s v="WBC"/>
    <e v="#N/A"/>
    <n v="932.94549600000005"/>
    <n v="0"/>
    <n v="932.94549600000005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932.94549600000005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1045.0665750000001"/>
    <s v="ASME"/>
    <n v="0.12"/>
    <s v="WBC"/>
    <e v="#N/A"/>
    <n v="1170.4745640000001"/>
    <n v="0"/>
    <n v="1170.4745640000001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170.4745640000001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832.98704999999995"/>
    <s v="ASME"/>
    <n v="0.12"/>
    <s v="WBC"/>
    <e v="#N/A"/>
    <n v="932.94549600000005"/>
    <n v="0"/>
    <n v="932.94549600000005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932.94549600000005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233.14499999999998"/>
    <s v="ASME"/>
    <n v="0.12"/>
    <s v="WBC"/>
    <e v="#N/A"/>
    <n v="261.12240000000003"/>
    <n v="0"/>
    <n v="261.12240000000003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61.12240000000003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8"/>
    <m/>
    <s v="RH1 Anti Vibration Plate"/>
    <s v="Plate"/>
    <m/>
    <m/>
    <x v="11"/>
    <m/>
    <m/>
    <m/>
    <m/>
    <m/>
    <n v="8.0011124999999996"/>
    <s v="ASME"/>
    <n v="0.12"/>
    <s v="WBC"/>
    <e v="#N/A"/>
    <n v="8.9612460000000009"/>
    <n v="0"/>
    <n v="8.9612460000000009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8.9612460000000009"/>
    <n v="0"/>
    <n v="0"/>
    <n v="0"/>
    <n v="0"/>
    <d v="1899-12-30T00:00:00"/>
    <n v="0"/>
    <d v="1899-12-30T00:00:00"/>
    <d v="2018-06-13T00:00:00"/>
    <d v="2018-10-10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09"/>
    <m/>
    <s v="RH2 Inlet HDR"/>
    <s v="Header"/>
    <m/>
    <m/>
    <x v="11"/>
    <m/>
    <m/>
    <m/>
    <m/>
    <m/>
    <n v="9487.6440120000007"/>
    <s v="ASME"/>
    <n v="0"/>
    <s v="OUT"/>
    <n v="0"/>
    <n v="9487.6440120000007"/>
    <n v="0"/>
    <n v="9487.6440120000007"/>
    <s v=" 0-0"/>
    <x v="3"/>
    <s v="Various"/>
    <s v="Piping"/>
    <m/>
    <m/>
    <m/>
    <n v="0"/>
    <x v="0"/>
    <x v="0"/>
    <x v="0"/>
    <x v="0"/>
    <n v="0"/>
    <x v="0"/>
    <s v="KG"/>
    <n v="0"/>
    <n v="0"/>
    <e v="#N/A"/>
    <e v="#N/A"/>
    <n v="9487.6440120000007"/>
    <n v="0"/>
    <n v="0"/>
    <n v="0"/>
    <e v="#N/A"/>
    <d v="1899-12-30T00:00:00"/>
    <n v="0"/>
    <d v="1899-12-30T00:00:00"/>
    <d v="2018-05-13T00:00:00"/>
    <d v="2018-11-08T00:00:00"/>
    <n v="6"/>
    <n v="5"/>
    <n v="0"/>
    <n v="0"/>
    <n v="0"/>
    <n v="0"/>
    <n v="0"/>
    <m/>
    <e v="#N/A"/>
    <e v="#N/A"/>
    <n v="990"/>
    <n v="49"/>
    <m/>
    <x v="2"/>
    <m/>
  </r>
  <r>
    <x v="3"/>
    <x v="3"/>
    <s v="04"/>
    <s v="0409"/>
    <m/>
    <s v="RH2 Inlet HDR"/>
    <s v="Header"/>
    <m/>
    <m/>
    <x v="11"/>
    <m/>
    <m/>
    <m/>
    <m/>
    <m/>
    <n v="9971.9121599999999"/>
    <s v="ASME"/>
    <n v="0"/>
    <s v="OUT"/>
    <n v="0"/>
    <n v="9971.9121599999999"/>
    <n v="0"/>
    <n v="9971.9121599999999"/>
    <s v=" 0-0"/>
    <x v="3"/>
    <s v="Various"/>
    <s v="Piping"/>
    <m/>
    <m/>
    <m/>
    <n v="0"/>
    <x v="0"/>
    <x v="0"/>
    <x v="0"/>
    <x v="0"/>
    <n v="0"/>
    <x v="0"/>
    <s v="KG"/>
    <n v="0"/>
    <n v="0"/>
    <e v="#N/A"/>
    <e v="#N/A"/>
    <n v="9971.9121599999999"/>
    <n v="0"/>
    <n v="0"/>
    <n v="0"/>
    <e v="#N/A"/>
    <d v="1899-12-30T00:00:00"/>
    <n v="0"/>
    <d v="1899-12-30T00:00:00"/>
    <d v="2018-05-13T00:00:00"/>
    <d v="2018-11-08T00:00:00"/>
    <n v="6"/>
    <n v="5"/>
    <n v="0"/>
    <n v="0"/>
    <n v="0"/>
    <n v="0"/>
    <n v="0"/>
    <m/>
    <e v="#N/A"/>
    <e v="#N/A"/>
    <n v="0"/>
    <m/>
    <m/>
    <x v="2"/>
    <m/>
  </r>
  <r>
    <x v="3"/>
    <x v="3"/>
    <s v="04"/>
    <s v="0409"/>
    <m/>
    <s v="RH2 Inlet HDR"/>
    <s v="End cap"/>
    <m/>
    <m/>
    <x v="11"/>
    <m/>
    <m/>
    <m/>
    <m/>
    <m/>
    <n v="13.109128593750002"/>
    <s v="ASME"/>
    <n v="0"/>
    <s v="OUT"/>
    <n v="0"/>
    <n v="13.109128593750002"/>
    <n v="0"/>
    <n v="13.109128593750002"/>
    <s v="End cap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13.109128593750002"/>
    <n v="0"/>
    <n v="0"/>
    <n v="0"/>
    <e v="#N/A"/>
    <d v="1899-12-30T00:00:00"/>
    <n v="0"/>
    <d v="1899-12-30T00:00:00"/>
    <d v="2018-05-13T00:00:00"/>
    <d v="2018-11-08T00:00:00"/>
    <n v="6"/>
    <n v="5"/>
    <n v="0"/>
    <n v="0"/>
    <n v="0"/>
    <n v="0"/>
    <n v="0"/>
    <m/>
    <e v="#N/A"/>
    <e v="#N/A"/>
    <n v="0"/>
    <m/>
    <m/>
    <x v="0"/>
    <m/>
  </r>
  <r>
    <x v="3"/>
    <x v="3"/>
    <s v="04"/>
    <s v="0409"/>
    <m/>
    <s v="RH2 Inlet HDR"/>
    <s v="Nozzles"/>
    <m/>
    <m/>
    <x v="11"/>
    <m/>
    <m/>
    <m/>
    <m/>
    <m/>
    <n v="552.46525963200008"/>
    <s v="ASME"/>
    <e v="#N/A"/>
    <e v="#N/A"/>
    <e v="#N/A"/>
    <e v="#N/A"/>
    <e v="#N/A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0"/>
    <m/>
    <m/>
    <x v="1"/>
    <m/>
  </r>
  <r>
    <x v="3"/>
    <x v="3"/>
    <s v="04"/>
    <s v="0409"/>
    <m/>
    <s v="RH2 Inlet HDR"/>
    <s v="Nozzles"/>
    <m/>
    <m/>
    <x v="11"/>
    <m/>
    <m/>
    <m/>
    <m/>
    <m/>
    <n v="71.779761899999997"/>
    <s v="ASME"/>
    <e v="#N/A"/>
    <e v="#N/A"/>
    <e v="#N/A"/>
    <e v="#N/A"/>
    <e v="#N/A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0"/>
    <m/>
    <m/>
    <x v="1"/>
    <m/>
  </r>
  <r>
    <x v="3"/>
    <x v="3"/>
    <s v="04"/>
    <s v="0409"/>
    <m/>
    <s v="RH2 Inlet HDR"/>
    <s v="Nozzles"/>
    <m/>
    <m/>
    <x v="11"/>
    <m/>
    <m/>
    <m/>
    <m/>
    <m/>
    <n v="5.4286008499799996"/>
    <s v="ASME"/>
    <e v="#N/A"/>
    <e v="#N/A"/>
    <e v="#N/A"/>
    <e v="#N/A"/>
    <e v="#N/A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0"/>
    <m/>
    <m/>
    <x v="1"/>
    <m/>
  </r>
  <r>
    <x v="3"/>
    <x v="3"/>
    <s v="04"/>
    <s v="0409"/>
    <m/>
    <s v="RH2 Inlet HDR"/>
    <s v="Nozzles"/>
    <m/>
    <m/>
    <x v="11"/>
    <m/>
    <m/>
    <m/>
    <m/>
    <m/>
    <n v="7.4329760999999994"/>
    <s v="ASME"/>
    <e v="#N/A"/>
    <e v="#N/A"/>
    <e v="#N/A"/>
    <e v="#N/A"/>
    <e v="#N/A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0"/>
    <m/>
    <m/>
    <x v="1"/>
    <m/>
  </r>
  <r>
    <x v="3"/>
    <x v="3"/>
    <s v="04"/>
    <s v="0409"/>
    <m/>
    <s v="RH2 Inlet HDR"/>
    <s v="Plate"/>
    <m/>
    <m/>
    <x v="11"/>
    <m/>
    <m/>
    <m/>
    <m/>
    <m/>
    <n v="12.0105"/>
    <s v="ASME"/>
    <n v="0.12"/>
    <s v="WBC"/>
    <e v="#N/A"/>
    <n v="13.451760000000002"/>
    <n v="0"/>
    <n v="13.451760000000002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3.451760000000002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0"/>
    <m/>
    <s v="RH2 Inlet Terminal Tubes"/>
    <s v="Tube"/>
    <m/>
    <m/>
    <x v="11"/>
    <m/>
    <m/>
    <m/>
    <m/>
    <m/>
    <n v="8998.3669248000006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1609"/>
    <n v="96"/>
    <n v="1592"/>
    <x v="1"/>
    <m/>
  </r>
  <r>
    <x v="3"/>
    <x v="3"/>
    <s v="04"/>
    <s v="0410"/>
    <m/>
    <s v="RH2 Inlet Terminal Tubes"/>
    <s v="Sleeve"/>
    <m/>
    <m/>
    <x v="11"/>
    <m/>
    <m/>
    <m/>
    <m/>
    <m/>
    <n v="419.42549316096006"/>
    <s v="ASME"/>
    <e v="#N/A"/>
    <e v="#N/A"/>
    <e v="#N/A"/>
    <e v="#N/A"/>
    <e v="#N/A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0"/>
    <m/>
    <n v="5"/>
    <x v="1"/>
    <m/>
  </r>
  <r>
    <x v="3"/>
    <x v="3"/>
    <s v="04"/>
    <s v="0410"/>
    <m/>
    <s v="RH2 Inlet Terminal Tubes"/>
    <s v="Tube"/>
    <m/>
    <m/>
    <x v="11"/>
    <m/>
    <m/>
    <m/>
    <m/>
    <m/>
    <n v="12597.713694720002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0"/>
    <m/>
    <m/>
    <x v="1"/>
    <m/>
  </r>
  <r>
    <x v="3"/>
    <x v="3"/>
    <s v="04"/>
    <s v="0411"/>
    <m/>
    <s v="RH2 Tube Assy"/>
    <s v="Tube"/>
    <m/>
    <m/>
    <x v="11"/>
    <m/>
    <m/>
    <m/>
    <m/>
    <m/>
    <n v="196164.39896064004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9645"/>
    <n v="675"/>
    <m/>
    <x v="1"/>
    <m/>
  </r>
  <r>
    <x v="3"/>
    <x v="3"/>
    <s v="04"/>
    <s v="0411"/>
    <m/>
    <s v="RH2 Tube Assy"/>
    <s v="Tube"/>
    <m/>
    <m/>
    <x v="11"/>
    <m/>
    <m/>
    <m/>
    <m/>
    <m/>
    <n v="0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0"/>
    <m/>
    <m/>
    <x v="1"/>
    <m/>
  </r>
  <r>
    <x v="3"/>
    <x v="3"/>
    <s v="04"/>
    <s v="0411"/>
    <m/>
    <s v="RH2 Tube Assy"/>
    <s v="Tube"/>
    <m/>
    <m/>
    <x v="11"/>
    <m/>
    <m/>
    <m/>
    <m/>
    <m/>
    <n v="0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0"/>
    <m/>
    <m/>
    <x v="1"/>
    <m/>
  </r>
  <r>
    <x v="3"/>
    <x v="3"/>
    <s v="04"/>
    <s v="0411"/>
    <m/>
    <s v="RH2 Tube Assy"/>
    <s v="Plate"/>
    <m/>
    <m/>
    <x v="11"/>
    <m/>
    <m/>
    <m/>
    <m/>
    <m/>
    <n v="8237.7900000000009"/>
    <s v="ASME"/>
    <n v="0.12"/>
    <s v="WBC"/>
    <e v="#N/A"/>
    <n v="9226.3248000000021"/>
    <n v="0"/>
    <n v="9226.3248000000021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9226.3248000000021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1"/>
    <m/>
    <s v="RH2 Tube Assy"/>
    <s v="Plate"/>
    <m/>
    <m/>
    <x v="11"/>
    <m/>
    <m/>
    <m/>
    <m/>
    <m/>
    <n v="1538.2860000000001"/>
    <s v="ASME"/>
    <n v="0.12"/>
    <s v="WBC"/>
    <e v="#N/A"/>
    <n v="1722.8803200000002"/>
    <n v="0"/>
    <n v="1722.8803200000002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722.8803200000002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1"/>
    <m/>
    <s v="RH2 Tube Assy"/>
    <s v="Plate"/>
    <m/>
    <m/>
    <x v="11"/>
    <m/>
    <m/>
    <m/>
    <m/>
    <m/>
    <n v="60.959645999999999"/>
    <s v="ASME"/>
    <n v="0.12"/>
    <s v="WBC"/>
    <e v="#N/A"/>
    <n v="68.274803520000006"/>
    <n v="0"/>
    <n v="68.274803520000006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68.274803520000006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2"/>
    <m/>
    <s v="RH2 Outlet Terminal Tubes"/>
    <s v="Tube"/>
    <m/>
    <m/>
    <x v="11"/>
    <m/>
    <m/>
    <m/>
    <m/>
    <m/>
    <n v="8998.3669248000006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1625"/>
    <n v="96"/>
    <m/>
    <x v="1"/>
    <m/>
  </r>
  <r>
    <x v="3"/>
    <x v="3"/>
    <s v="04"/>
    <s v="0412"/>
    <m/>
    <s v="RH2 Outlet Terminal Tubes"/>
    <s v="Sleeve"/>
    <m/>
    <m/>
    <x v="11"/>
    <m/>
    <m/>
    <m/>
    <m/>
    <m/>
    <n v="607.25045733580794"/>
    <s v="ASME"/>
    <e v="#N/A"/>
    <e v="#N/A"/>
    <e v="#N/A"/>
    <e v="#N/A"/>
    <e v="#N/A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0"/>
    <m/>
    <m/>
    <x v="1"/>
    <m/>
  </r>
  <r>
    <x v="3"/>
    <x v="3"/>
    <s v="04"/>
    <s v="0412"/>
    <m/>
    <s v="RH2 Outlet Terminal Tubes"/>
    <s v="Tube"/>
    <m/>
    <m/>
    <x v="11"/>
    <m/>
    <m/>
    <m/>
    <m/>
    <m/>
    <n v="20636.375760000003"/>
    <s v="ASME"/>
    <e v="#N/A"/>
    <e v="#N/A"/>
    <e v="#N/A"/>
    <e v="#N/A"/>
    <n v="0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0"/>
    <m/>
    <m/>
    <x v="1"/>
    <m/>
  </r>
  <r>
    <x v="3"/>
    <x v="3"/>
    <s v="04"/>
    <s v="0413"/>
    <m/>
    <s v="RH2 Outlet HDR"/>
    <s v="Header"/>
    <m/>
    <m/>
    <x v="11"/>
    <m/>
    <m/>
    <m/>
    <m/>
    <m/>
    <n v="14656.991580000002"/>
    <s v="ASME"/>
    <n v="0"/>
    <s v="OUT"/>
    <n v="0"/>
    <n v="14656.991580000002"/>
    <n v="0"/>
    <n v="14656.991580000002"/>
    <s v=" 0-0"/>
    <x v="3"/>
    <s v="Various"/>
    <s v="Piping"/>
    <m/>
    <m/>
    <m/>
    <n v="0"/>
    <x v="0"/>
    <x v="0"/>
    <x v="0"/>
    <x v="0"/>
    <n v="0"/>
    <x v="0"/>
    <s v="KG"/>
    <n v="0"/>
    <n v="0"/>
    <e v="#N/A"/>
    <e v="#N/A"/>
    <n v="14656.991580000002"/>
    <n v="0"/>
    <n v="0"/>
    <n v="0"/>
    <e v="#N/A"/>
    <d v="1899-12-30T00:00:00"/>
    <n v="0"/>
    <d v="1899-12-30T00:00:00"/>
    <d v="2018-05-13T00:00:00"/>
    <d v="2018-11-08T00:00:00"/>
    <n v="6"/>
    <n v="5"/>
    <n v="0"/>
    <n v="0"/>
    <n v="0"/>
    <n v="0"/>
    <n v="0"/>
    <m/>
    <e v="#N/A"/>
    <e v="#N/A"/>
    <n v="1374"/>
    <n v="68"/>
    <m/>
    <x v="2"/>
    <m/>
  </r>
  <r>
    <x v="3"/>
    <x v="3"/>
    <s v="04"/>
    <s v="0413"/>
    <m/>
    <s v="RH2 Outlet HDR"/>
    <s v="Header"/>
    <m/>
    <m/>
    <x v="11"/>
    <m/>
    <m/>
    <m/>
    <m/>
    <m/>
    <n v="13023.66114"/>
    <s v="ASME"/>
    <n v="0"/>
    <s v="OUT"/>
    <n v="0"/>
    <n v="13023.66114"/>
    <n v="0"/>
    <n v="13023.66114"/>
    <s v=" 0-0"/>
    <x v="3"/>
    <s v="Various"/>
    <s v="Piping"/>
    <m/>
    <m/>
    <m/>
    <n v="0"/>
    <x v="0"/>
    <x v="0"/>
    <x v="0"/>
    <x v="0"/>
    <n v="0"/>
    <x v="0"/>
    <s v="KG"/>
    <n v="0"/>
    <n v="0"/>
    <e v="#N/A"/>
    <e v="#N/A"/>
    <n v="13023.66114"/>
    <n v="0"/>
    <n v="0"/>
    <n v="0"/>
    <e v="#N/A"/>
    <d v="1899-12-30T00:00:00"/>
    <n v="0"/>
    <d v="1899-12-30T00:00:00"/>
    <d v="2018-05-13T00:00:00"/>
    <d v="2018-11-08T00:00:00"/>
    <n v="6"/>
    <n v="5"/>
    <n v="0"/>
    <n v="0"/>
    <n v="0"/>
    <n v="0"/>
    <n v="0"/>
    <m/>
    <e v="#N/A"/>
    <e v="#N/A"/>
    <n v="0"/>
    <m/>
    <m/>
    <x v="2"/>
    <m/>
  </r>
  <r>
    <x v="3"/>
    <x v="3"/>
    <s v="04"/>
    <s v="0413"/>
    <m/>
    <s v="RH2 Outlet HDR"/>
    <s v="End cap"/>
    <m/>
    <m/>
    <x v="11"/>
    <m/>
    <m/>
    <m/>
    <m/>
    <m/>
    <n v="13.109128593750002"/>
    <s v="ASME"/>
    <n v="0"/>
    <s v="OUT"/>
    <n v="0"/>
    <n v="13.109128593750002"/>
    <n v="0"/>
    <n v="13.109128593750002"/>
    <s v="End cap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13.109128593750002"/>
    <n v="0"/>
    <n v="0"/>
    <n v="0"/>
    <e v="#N/A"/>
    <d v="1899-12-30T00:00:00"/>
    <n v="0"/>
    <d v="1899-12-30T00:00:00"/>
    <d v="2018-05-13T00:00:00"/>
    <d v="2018-11-08T00:00:00"/>
    <n v="6"/>
    <n v="5"/>
    <n v="0"/>
    <n v="0"/>
    <n v="0"/>
    <n v="0"/>
    <n v="0"/>
    <m/>
    <e v="#N/A"/>
    <e v="#N/A"/>
    <n v="0"/>
    <m/>
    <m/>
    <x v="0"/>
    <m/>
  </r>
  <r>
    <x v="3"/>
    <x v="3"/>
    <s v="04"/>
    <s v="0413"/>
    <m/>
    <s v="RH2 Outlet HDR"/>
    <s v="Nozzles"/>
    <m/>
    <m/>
    <x v="11"/>
    <m/>
    <m/>
    <m/>
    <m/>
    <m/>
    <n v="552.46525963200008"/>
    <s v="ASME"/>
    <e v="#N/A"/>
    <e v="#N/A"/>
    <e v="#N/A"/>
    <e v="#N/A"/>
    <e v="#N/A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0"/>
    <m/>
    <m/>
    <x v="1"/>
    <m/>
  </r>
  <r>
    <x v="3"/>
    <x v="3"/>
    <s v="04"/>
    <s v="0413"/>
    <m/>
    <s v="RH2 Outlet HDR"/>
    <s v="Nozzles"/>
    <m/>
    <m/>
    <x v="11"/>
    <m/>
    <m/>
    <m/>
    <m/>
    <m/>
    <n v="71.779761899999997"/>
    <s v="ASME"/>
    <e v="#N/A"/>
    <e v="#N/A"/>
    <e v="#N/A"/>
    <e v="#N/A"/>
    <e v="#N/A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0"/>
    <m/>
    <m/>
    <x v="1"/>
    <m/>
  </r>
  <r>
    <x v="3"/>
    <x v="3"/>
    <s v="04"/>
    <s v="0413"/>
    <m/>
    <s v="RH2 Outlet HDR"/>
    <s v="Nozzles"/>
    <m/>
    <m/>
    <x v="11"/>
    <m/>
    <m/>
    <m/>
    <m/>
    <m/>
    <n v="5.4286008499799996"/>
    <s v="ASME"/>
    <e v="#N/A"/>
    <e v="#N/A"/>
    <e v="#N/A"/>
    <e v="#N/A"/>
    <e v="#N/A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0"/>
    <m/>
    <m/>
    <x v="1"/>
    <m/>
  </r>
  <r>
    <x v="3"/>
    <x v="3"/>
    <s v="04"/>
    <s v="0413"/>
    <m/>
    <s v="RH2 Outlet HDR"/>
    <s v="Nozzles"/>
    <m/>
    <m/>
    <x v="11"/>
    <m/>
    <m/>
    <m/>
    <m/>
    <m/>
    <n v="2.7149352119999994"/>
    <s v="ASME"/>
    <e v="#N/A"/>
    <e v="#N/A"/>
    <e v="#N/A"/>
    <e v="#N/A"/>
    <e v="#N/A"/>
    <e v="#N/A"/>
    <s v=" 0-0"/>
    <x v="3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5-13T00:00:00"/>
    <d v="2018-11-08T00:00:00"/>
    <n v="6"/>
    <n v="5"/>
    <n v="0"/>
    <n v="0"/>
    <n v="0"/>
    <n v="0"/>
    <e v="#N/A"/>
    <m/>
    <e v="#N/A"/>
    <e v="#N/A"/>
    <n v="0"/>
    <m/>
    <m/>
    <x v="1"/>
    <m/>
  </r>
  <r>
    <x v="3"/>
    <x v="3"/>
    <s v="04"/>
    <s v="0413"/>
    <m/>
    <s v="RH2 Outlet HDR"/>
    <s v="Plate"/>
    <m/>
    <m/>
    <x v="11"/>
    <m/>
    <m/>
    <m/>
    <m/>
    <m/>
    <n v="12.0105"/>
    <s v="ASME"/>
    <n v="0.12"/>
    <s v="WBC"/>
    <e v="#N/A"/>
    <n v="13.451760000000002"/>
    <n v="0"/>
    <n v="13.451760000000002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3.451760000000002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4"/>
    <m/>
    <s v="RH2 Inlet HDR suspension"/>
    <s v="Rod"/>
    <m/>
    <m/>
    <x v="11"/>
    <m/>
    <m/>
    <m/>
    <m/>
    <m/>
    <n v="1.5972551999999995"/>
    <s v="ASME"/>
    <n v="0"/>
    <s v="OUT"/>
    <n v="0"/>
    <n v="1.5972551999999995"/>
    <n v="0"/>
    <n v="1.5972551999999995"/>
    <s v="Rod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1.5972551999999995"/>
    <n v="0"/>
    <n v="0"/>
    <n v="0"/>
    <e v="#N/A"/>
    <d v="1899-12-30T00:00:00"/>
    <n v="0"/>
    <d v="1899-12-30T00:00:00"/>
    <d v="2018-05-13T00:00:00"/>
    <d v="2018-11-08T00:00:00"/>
    <n v="6"/>
    <n v="5"/>
    <n v="0"/>
    <n v="0"/>
    <n v="0"/>
    <n v="0"/>
    <n v="0"/>
    <m/>
    <e v="#N/A"/>
    <e v="#N/A"/>
    <n v="0"/>
    <m/>
    <m/>
    <x v="0"/>
    <m/>
  </r>
  <r>
    <x v="3"/>
    <x v="3"/>
    <s v="04"/>
    <s v="0414"/>
    <m/>
    <s v="RH2 Inlet HDR suspension"/>
    <s v="Nut"/>
    <m/>
    <m/>
    <x v="11"/>
    <m/>
    <m/>
    <m/>
    <m/>
    <m/>
    <n v="37"/>
    <s v="ASME"/>
    <n v="0"/>
    <s v="OUT"/>
    <n v="0"/>
    <n v="37"/>
    <n v="0"/>
    <n v="37"/>
    <s v="Nut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37"/>
    <n v="0"/>
    <n v="0"/>
    <n v="0"/>
    <e v="#N/A"/>
    <d v="1899-12-30T00:00:00"/>
    <n v="0"/>
    <d v="1899-12-30T00:00:00"/>
    <d v="2018-06-02T00:00:00"/>
    <d v="2018-10-29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14"/>
    <m/>
    <s v="RH2 Inlet HDR suspension"/>
    <s v="Rod"/>
    <m/>
    <m/>
    <x v="11"/>
    <m/>
    <m/>
    <m/>
    <m/>
    <m/>
    <n v="63.133439999999993"/>
    <s v="ASME"/>
    <n v="0"/>
    <s v="OUT"/>
    <n v="0"/>
    <n v="63.133439999999993"/>
    <n v="0"/>
    <n v="63.133439999999993"/>
    <s v="Rod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63.133439999999993"/>
    <n v="0"/>
    <n v="0"/>
    <n v="0"/>
    <e v="#N/A"/>
    <d v="1899-12-30T00:00:00"/>
    <n v="0"/>
    <d v="1899-12-30T00:00:00"/>
    <d v="2018-05-13T00:00:00"/>
    <d v="2018-11-08T00:00:00"/>
    <n v="6"/>
    <n v="5"/>
    <n v="0"/>
    <n v="0"/>
    <n v="0"/>
    <n v="0"/>
    <n v="0"/>
    <m/>
    <e v="#N/A"/>
    <e v="#N/A"/>
    <n v="0"/>
    <m/>
    <m/>
    <x v="0"/>
    <m/>
  </r>
  <r>
    <x v="3"/>
    <x v="3"/>
    <s v="04"/>
    <s v="0414"/>
    <m/>
    <s v="RH2 Inlet HDR suspension"/>
    <s v="Pin"/>
    <m/>
    <m/>
    <x v="11"/>
    <m/>
    <m/>
    <m/>
    <m/>
    <m/>
    <n v="1.7000000000000002"/>
    <s v="ASME"/>
    <n v="0"/>
    <s v="OUT"/>
    <n v="0"/>
    <n v="1.7000000000000002"/>
    <n v="0"/>
    <n v="1.7000000000000002"/>
    <s v="Pin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1.7000000000000002"/>
    <n v="0"/>
    <n v="0"/>
    <n v="0"/>
    <e v="#N/A"/>
    <d v="1899-12-30T00:00:00"/>
    <n v="0"/>
    <d v="1899-12-30T00:00:00"/>
    <d v="2018-06-02T00:00:00"/>
    <d v="2018-10-29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14"/>
    <m/>
    <s v="RH2 Inlet HDR suspension"/>
    <s v="Plate"/>
    <m/>
    <m/>
    <x v="11"/>
    <m/>
    <m/>
    <m/>
    <m/>
    <m/>
    <n v="2520"/>
    <s v="ASME"/>
    <n v="0.12"/>
    <s v="WBC"/>
    <e v="#N/A"/>
    <n v="2822.4"/>
    <n v="0"/>
    <n v="2822.4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822.4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4"/>
    <m/>
    <s v="RH2 Inlet HDR suspension"/>
    <s v="Rod"/>
    <m/>
    <m/>
    <x v="11"/>
    <m/>
    <m/>
    <m/>
    <m/>
    <m/>
    <n v="20.202700799999999"/>
    <s v="ASME"/>
    <n v="0.12"/>
    <s v="WBC"/>
    <e v="#N/A"/>
    <n v="22.627024896000002"/>
    <n v="0"/>
    <n v="22.627024896000002"/>
    <s v=""/>
    <x v="3"/>
    <s v="Rod"/>
    <s v="Rod"/>
    <m/>
    <m/>
    <m/>
    <n v="0"/>
    <x v="2"/>
    <x v="0"/>
    <x v="0"/>
    <x v="0"/>
    <n v="0"/>
    <x v="0"/>
    <s v="KG"/>
    <n v="0"/>
    <n v="0"/>
    <n v="0"/>
    <n v="0"/>
    <n v="22.627024896000002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4"/>
    <m/>
    <s v="RH2 Inlet HDR suspension"/>
    <s v="Rod"/>
    <m/>
    <m/>
    <x v="11"/>
    <m/>
    <m/>
    <m/>
    <m/>
    <m/>
    <n v="28.28378112"/>
    <s v="ASME"/>
    <n v="0.12"/>
    <s v="WBC"/>
    <e v="#N/A"/>
    <n v="31.677834854400004"/>
    <n v="0"/>
    <n v="31.677834854400004"/>
    <s v=""/>
    <x v="3"/>
    <s v="Rod"/>
    <s v="Rod"/>
    <m/>
    <m/>
    <m/>
    <n v="0"/>
    <x v="2"/>
    <x v="0"/>
    <x v="0"/>
    <x v="0"/>
    <n v="0"/>
    <x v="0"/>
    <s v="KG"/>
    <n v="0"/>
    <n v="0"/>
    <n v="0"/>
    <n v="0"/>
    <n v="31.677834854400004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4"/>
    <m/>
    <s v="RH2 Inlet HDR suspension"/>
    <s v="Nut"/>
    <m/>
    <m/>
    <x v="11"/>
    <m/>
    <m/>
    <m/>
    <m/>
    <m/>
    <n v="5.28"/>
    <s v="ASME"/>
    <n v="0"/>
    <s v="OUT"/>
    <n v="0"/>
    <n v="5.28"/>
    <n v="0"/>
    <n v="5.28"/>
    <s v="Nut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5.28"/>
    <n v="0"/>
    <n v="0"/>
    <n v="0"/>
    <e v="#N/A"/>
    <d v="1899-12-30T00:00:00"/>
    <n v="0"/>
    <d v="1899-12-30T00:00:00"/>
    <d v="2018-06-02T00:00:00"/>
    <d v="2018-10-29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14"/>
    <m/>
    <s v="RH2 Inlet HDR suspension"/>
    <s v="Washer"/>
    <m/>
    <m/>
    <x v="11"/>
    <m/>
    <m/>
    <m/>
    <m/>
    <m/>
    <n v="0.17"/>
    <s v="ASME"/>
    <n v="0"/>
    <s v="OUT"/>
    <n v="0"/>
    <n v="0.17"/>
    <n v="0"/>
    <n v="0.17"/>
    <s v="Washer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0.17"/>
    <n v="0"/>
    <n v="0"/>
    <n v="0"/>
    <e v="#N/A"/>
    <d v="1899-12-30T00:00:00"/>
    <n v="0"/>
    <d v="1899-12-30T00:00:00"/>
    <d v="2018-06-02T00:00:00"/>
    <d v="2018-10-29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14"/>
    <m/>
    <s v="RH2 Inlet HDR suspension"/>
    <s v="Crosstie"/>
    <m/>
    <m/>
    <x v="11"/>
    <m/>
    <m/>
    <m/>
    <m/>
    <m/>
    <n v="2520"/>
    <s v="ASME"/>
    <n v="0.12"/>
    <s v="WBC"/>
    <e v="#N/A"/>
    <n v="2822.4"/>
    <n v="0"/>
    <n v="2822.4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822.4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5"/>
    <m/>
    <s v="RH2 Outlet HDR suspension"/>
    <s v="Rod"/>
    <m/>
    <m/>
    <x v="11"/>
    <m/>
    <m/>
    <m/>
    <m/>
    <m/>
    <n v="25.376683499999999"/>
    <s v="ASME"/>
    <n v="0"/>
    <s v="OUT"/>
    <n v="0"/>
    <n v="25.376683499999999"/>
    <n v="0"/>
    <n v="25.376683499999999"/>
    <s v="Rod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25.376683499999999"/>
    <n v="0"/>
    <n v="0"/>
    <n v="0"/>
    <e v="#N/A"/>
    <d v="1899-12-30T00:00:00"/>
    <n v="0"/>
    <d v="1899-12-30T00:00:00"/>
    <d v="2018-05-13T00:00:00"/>
    <d v="2018-11-08T00:00:00"/>
    <n v="6"/>
    <n v="5"/>
    <n v="0"/>
    <n v="0"/>
    <n v="0"/>
    <n v="0"/>
    <n v="0"/>
    <m/>
    <e v="#N/A"/>
    <e v="#N/A"/>
    <n v="0"/>
    <m/>
    <m/>
    <x v="0"/>
    <m/>
  </r>
  <r>
    <x v="3"/>
    <x v="3"/>
    <s v="04"/>
    <s v="0415"/>
    <m/>
    <s v="RH2 Outlet HDR suspension"/>
    <s v="Pin"/>
    <m/>
    <m/>
    <x v="11"/>
    <m/>
    <m/>
    <m/>
    <m/>
    <m/>
    <n v="0.4"/>
    <s v="ASME"/>
    <n v="0"/>
    <s v="OUT"/>
    <n v="0"/>
    <n v="0.4"/>
    <n v="0"/>
    <n v="0.4"/>
    <s v="Pin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0.4"/>
    <n v="0"/>
    <n v="0"/>
    <n v="0"/>
    <e v="#N/A"/>
    <d v="1899-12-30T00:00:00"/>
    <n v="0"/>
    <d v="1899-12-30T00:00:00"/>
    <d v="2018-06-02T00:00:00"/>
    <d v="2018-10-29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15"/>
    <m/>
    <s v="RH2 Outlet HDR suspension"/>
    <s v="Plate"/>
    <m/>
    <m/>
    <x v="11"/>
    <m/>
    <m/>
    <m/>
    <m/>
    <m/>
    <n v="2520"/>
    <s v="ASME"/>
    <n v="0.12"/>
    <s v="WBC"/>
    <e v="#N/A"/>
    <n v="2822.4"/>
    <n v="0"/>
    <n v="2822.4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822.4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5"/>
    <m/>
    <s v="RH2 Outlet HDR suspension"/>
    <s v="Rod"/>
    <m/>
    <m/>
    <x v="11"/>
    <m/>
    <m/>
    <m/>
    <m/>
    <m/>
    <n v="340.92057599999998"/>
    <s v="ASME"/>
    <n v="0"/>
    <s v="OUT"/>
    <n v="0"/>
    <n v="340.92057599999998"/>
    <n v="0"/>
    <n v="340.92057599999998"/>
    <s v="Rod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340.92057599999998"/>
    <n v="0"/>
    <n v="0"/>
    <n v="0"/>
    <e v="#N/A"/>
    <d v="1899-12-30T00:00:00"/>
    <n v="0"/>
    <d v="1899-12-30T00:00:00"/>
    <d v="2018-05-13T00:00:00"/>
    <d v="2018-11-08T00:00:00"/>
    <n v="6"/>
    <n v="5"/>
    <n v="0"/>
    <n v="0"/>
    <n v="0"/>
    <n v="0"/>
    <n v="0"/>
    <m/>
    <e v="#N/A"/>
    <e v="#N/A"/>
    <n v="0"/>
    <m/>
    <m/>
    <x v="0"/>
    <m/>
  </r>
  <r>
    <x v="3"/>
    <x v="3"/>
    <s v="04"/>
    <s v="0415"/>
    <m/>
    <s v="RH2 Outlet HDR suspension"/>
    <s v="Nut "/>
    <m/>
    <m/>
    <x v="11"/>
    <m/>
    <m/>
    <m/>
    <m/>
    <m/>
    <n v="17"/>
    <s v="ASME"/>
    <n v="0"/>
    <s v="OUT"/>
    <n v="0"/>
    <n v="17"/>
    <n v="0"/>
    <n v="17"/>
    <s v="Nut 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17"/>
    <n v="0"/>
    <n v="0"/>
    <n v="0"/>
    <e v="#N/A"/>
    <d v="1899-12-30T00:00:00"/>
    <n v="0"/>
    <d v="1899-12-30T00:00:00"/>
    <d v="2018-06-02T00:00:00"/>
    <d v="2018-10-29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15"/>
    <m/>
    <s v="RH2 Outlet HDR suspension"/>
    <s v="Washer"/>
    <m/>
    <m/>
    <x v="11"/>
    <m/>
    <m/>
    <m/>
    <m/>
    <m/>
    <n v="2.96"/>
    <s v="ASME"/>
    <n v="0"/>
    <s v="OUT"/>
    <n v="0"/>
    <n v="2.96"/>
    <n v="0"/>
    <n v="2.96"/>
    <s v="Washer"/>
    <x v="3"/>
    <s v="Various"/>
    <s v="Various"/>
    <m/>
    <m/>
    <m/>
    <n v="0"/>
    <x v="0"/>
    <x v="0"/>
    <x v="0"/>
    <x v="0"/>
    <n v="0"/>
    <x v="0"/>
    <s v="KG"/>
    <n v="0"/>
    <n v="0"/>
    <e v="#N/A"/>
    <e v="#N/A"/>
    <n v="2.96"/>
    <n v="0"/>
    <n v="0"/>
    <n v="0"/>
    <e v="#N/A"/>
    <d v="1899-12-30T00:00:00"/>
    <n v="0"/>
    <d v="1899-12-30T00:00:00"/>
    <d v="2018-06-02T00:00:00"/>
    <d v="2018-10-29T00:00:00"/>
    <n v="4"/>
    <n v="6"/>
    <n v="0"/>
    <n v="0"/>
    <n v="0"/>
    <n v="0"/>
    <n v="0"/>
    <m/>
    <e v="#N/A"/>
    <e v="#N/A"/>
    <n v="0"/>
    <m/>
    <m/>
    <x v="2"/>
    <m/>
  </r>
  <r>
    <x v="3"/>
    <x v="3"/>
    <s v="04"/>
    <s v="0415"/>
    <m/>
    <s v="RH2 Outlet HDR suspension"/>
    <s v="Plate"/>
    <m/>
    <m/>
    <x v="11"/>
    <m/>
    <m/>
    <m/>
    <m/>
    <m/>
    <n v="21.166740000000001"/>
    <s v="ASME"/>
    <n v="0.12"/>
    <s v="WBC"/>
    <e v="#N/A"/>
    <n v="23.706748800000003"/>
    <n v="0"/>
    <n v="23.706748800000003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3.706748800000003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5"/>
    <m/>
    <s v="RH2 Outlet HDR suspension"/>
    <s v="Plate"/>
    <m/>
    <m/>
    <x v="11"/>
    <m/>
    <m/>
    <m/>
    <m/>
    <m/>
    <n v="172.49904000000001"/>
    <s v="ASME"/>
    <n v="0.12"/>
    <s v="WBC"/>
    <e v="#N/A"/>
    <n v="193.19892480000001"/>
    <n v="0"/>
    <n v="193.19892480000001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93.19892480000001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5"/>
    <m/>
    <s v="RH2 Outlet HDR suspension"/>
    <s v="Plate"/>
    <m/>
    <m/>
    <x v="11"/>
    <m/>
    <m/>
    <m/>
    <m/>
    <m/>
    <n v="11.56148"/>
    <s v="ASME"/>
    <n v="0.12"/>
    <s v="WBC"/>
    <e v="#N/A"/>
    <n v="12.9488576"/>
    <n v="0"/>
    <n v="12.9488576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12.9488576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5"/>
    <m/>
    <s v="RH2 Outlet HDR suspension"/>
    <s v="Plate"/>
    <m/>
    <m/>
    <x v="11"/>
    <m/>
    <m/>
    <m/>
    <m/>
    <m/>
    <n v="55.389600000000002"/>
    <s v="ASME"/>
    <n v="0.12"/>
    <s v="WBC"/>
    <e v="#N/A"/>
    <n v="62.036352000000008"/>
    <n v="0"/>
    <n v="62.036352000000008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62.036352000000008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5"/>
    <m/>
    <s v="RH2 Outlet HDR suspension"/>
    <s v="Plate"/>
    <m/>
    <m/>
    <x v="11"/>
    <m/>
    <m/>
    <m/>
    <m/>
    <m/>
    <n v="21.232679999999998"/>
    <s v="ASME"/>
    <n v="0.12"/>
    <s v="WBC"/>
    <e v="#N/A"/>
    <n v="23.780601600000001"/>
    <n v="0"/>
    <n v="23.780601600000001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3.780601600000001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5"/>
    <m/>
    <s v="RH2 Outlet HDR suspension"/>
    <s v="Crosstie"/>
    <m/>
    <m/>
    <x v="11"/>
    <m/>
    <m/>
    <m/>
    <m/>
    <m/>
    <n v="2520"/>
    <s v="ASME"/>
    <n v="0.12"/>
    <s v="WBC"/>
    <e v="#N/A"/>
    <n v="2822.4"/>
    <n v="0"/>
    <n v="2822.4"/>
    <s v=""/>
    <x v="3"/>
    <s v="Plate"/>
    <s v="Plate"/>
    <m/>
    <m/>
    <m/>
    <n v="0"/>
    <x v="2"/>
    <x v="0"/>
    <x v="0"/>
    <x v="0"/>
    <n v="0"/>
    <x v="0"/>
    <s v="KG"/>
    <n v="0"/>
    <n v="0"/>
    <n v="0"/>
    <n v="0"/>
    <n v="2822.4"/>
    <n v="0"/>
    <n v="0"/>
    <n v="0"/>
    <n v="0"/>
    <d v="1899-12-30T00:00:00"/>
    <n v="0"/>
    <d v="1899-12-30T00:00:00"/>
    <d v="2018-06-02T00:00:00"/>
    <d v="2018-10-29T00:00:00"/>
    <n v="4"/>
    <n v="6"/>
    <n v="0"/>
    <n v="0"/>
    <n v="0"/>
    <n v="0"/>
    <e v="#N/A"/>
    <m/>
    <n v="0"/>
    <n v="0"/>
    <n v="0"/>
    <m/>
    <m/>
    <x v="2"/>
    <m/>
  </r>
  <r>
    <x v="3"/>
    <x v="3"/>
    <s v="04"/>
    <s v="0416"/>
    <m/>
    <s v="RH - Spray attemperator"/>
    <s v="Header"/>
    <m/>
    <m/>
    <x v="11"/>
    <m/>
    <m/>
    <m/>
    <m/>
    <m/>
    <n v="5955.3900000000012"/>
    <s v="ASME"/>
    <n v="0"/>
    <s v="OUT"/>
    <n v="0"/>
    <n v="5955.3900000000012"/>
    <n v="0"/>
    <n v="5955.3900000000012"/>
    <s v=" 0-0"/>
    <x v="3"/>
    <s v="Various"/>
    <s v="Piping"/>
    <m/>
    <m/>
    <m/>
    <n v="0"/>
    <x v="0"/>
    <x v="0"/>
    <x v="0"/>
    <x v="0"/>
    <n v="0"/>
    <x v="0"/>
    <s v="KG"/>
    <n v="0"/>
    <n v="0"/>
    <e v="#N/A"/>
    <e v="#N/A"/>
    <n v="5955.3900000000012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777"/>
    <n v="31"/>
    <m/>
    <x v="2"/>
    <m/>
  </r>
  <r>
    <x v="3"/>
    <x v="3"/>
    <s v="04"/>
    <s v="0416"/>
    <m/>
    <s v="RH - Spray attemperator"/>
    <s v="Header"/>
    <m/>
    <m/>
    <x v="11"/>
    <m/>
    <m/>
    <m/>
    <m/>
    <m/>
    <n v="1953.9597600000002"/>
    <s v="ASME"/>
    <n v="0"/>
    <s v="OUT"/>
    <n v="0"/>
    <n v="1953.9597600000002"/>
    <n v="1046.0402399999998"/>
    <n v="3000"/>
    <s v=" 0-0"/>
    <x v="3"/>
    <s v="Various"/>
    <s v="Piping"/>
    <m/>
    <m/>
    <m/>
    <n v="0"/>
    <x v="0"/>
    <x v="0"/>
    <x v="0"/>
    <x v="0"/>
    <n v="0"/>
    <x v="0"/>
    <s v="KG"/>
    <n v="0"/>
    <n v="0"/>
    <e v="#N/A"/>
    <e v="#N/A"/>
    <n v="3000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2"/>
    <m/>
  </r>
  <r>
    <x v="3"/>
    <x v="3"/>
    <s v="04"/>
    <s v="0416"/>
    <m/>
    <s v="RH - Spray attemperator"/>
    <s v="Nozzles"/>
    <m/>
    <m/>
    <x v="11"/>
    <m/>
    <m/>
    <m/>
    <m/>
    <m/>
    <n v="26.460630409500002"/>
    <s v="ASME"/>
    <n v="0"/>
    <s v="OUT"/>
    <n v="0"/>
    <n v="26.460630409500002"/>
    <n v="0"/>
    <n v="26.460630409500002"/>
    <s v="Nozzles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26.460630409500002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0"/>
    <m/>
  </r>
  <r>
    <x v="3"/>
    <x v="3"/>
    <s v="04"/>
    <s v="0416"/>
    <m/>
    <s v="RH - Spray attemperator"/>
    <s v="Nozzles"/>
    <m/>
    <m/>
    <x v="11"/>
    <m/>
    <m/>
    <m/>
    <m/>
    <m/>
    <n v="49.096114200000002"/>
    <s v="ASME"/>
    <n v="0"/>
    <s v="OUT"/>
    <n v="0"/>
    <n v="49.096114200000002"/>
    <n v="0"/>
    <n v="49.096114200000002"/>
    <s v="Nozzles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49.096114200000002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0"/>
    <m/>
  </r>
  <r>
    <x v="3"/>
    <x v="3"/>
    <s v="04"/>
    <s v="0416"/>
    <m/>
    <s v="RH - Spray attemperator"/>
    <s v="Nozzles"/>
    <m/>
    <m/>
    <x v="11"/>
    <m/>
    <m/>
    <m/>
    <m/>
    <m/>
    <n v="11.059400351999999"/>
    <s v="ASME"/>
    <n v="0"/>
    <s v="OUT"/>
    <n v="0"/>
    <n v="11.059400351999999"/>
    <n v="1488.940599648"/>
    <n v="1500"/>
    <s v=" 0-0"/>
    <x v="3"/>
    <s v="Various"/>
    <s v="Piping"/>
    <m/>
    <m/>
    <m/>
    <n v="0"/>
    <x v="0"/>
    <x v="0"/>
    <x v="0"/>
    <x v="0"/>
    <n v="0"/>
    <x v="0"/>
    <s v="KG"/>
    <n v="0"/>
    <n v="0"/>
    <e v="#N/A"/>
    <e v="#N/A"/>
    <n v="1500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2"/>
    <m/>
  </r>
  <r>
    <x v="3"/>
    <x v="3"/>
    <s v="04"/>
    <s v="0416"/>
    <m/>
    <s v="RH - Spray attemperator"/>
    <s v="Nozzles"/>
    <m/>
    <m/>
    <x v="11"/>
    <m/>
    <m/>
    <m/>
    <m/>
    <m/>
    <n v="10.389889949999999"/>
    <s v="ASME"/>
    <n v="0"/>
    <s v="OUT"/>
    <n v="0"/>
    <n v="10.389889949999999"/>
    <n v="1489.61011005"/>
    <n v="1500"/>
    <s v=" 0-0"/>
    <x v="3"/>
    <s v="Various"/>
    <s v="Piping"/>
    <m/>
    <m/>
    <m/>
    <n v="0"/>
    <x v="0"/>
    <x v="0"/>
    <x v="0"/>
    <x v="0"/>
    <n v="0"/>
    <x v="0"/>
    <s v="KG"/>
    <n v="0"/>
    <n v="0"/>
    <e v="#N/A"/>
    <e v="#N/A"/>
    <n v="1500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2"/>
    <m/>
  </r>
  <r>
    <x v="3"/>
    <x v="3"/>
    <s v="04"/>
    <s v="0416"/>
    <m/>
    <s v="RH - Spray attemperator"/>
    <s v="Nozzles"/>
    <m/>
    <m/>
    <x v="11"/>
    <m/>
    <m/>
    <m/>
    <m/>
    <m/>
    <n v="61.8707712"/>
    <s v="ASME"/>
    <n v="0"/>
    <s v="OUT"/>
    <n v="0"/>
    <n v="61.8707712"/>
    <n v="1438.1292288"/>
    <n v="1500"/>
    <s v=" 0-0"/>
    <x v="3"/>
    <s v="Various"/>
    <s v="Piping"/>
    <m/>
    <m/>
    <m/>
    <n v="0"/>
    <x v="0"/>
    <x v="0"/>
    <x v="0"/>
    <x v="0"/>
    <n v="0"/>
    <x v="0"/>
    <s v="KG"/>
    <n v="0"/>
    <n v="0"/>
    <e v="#N/A"/>
    <e v="#N/A"/>
    <n v="1500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2"/>
    <m/>
  </r>
  <r>
    <x v="3"/>
    <x v="3"/>
    <s v="04"/>
    <s v="0416"/>
    <m/>
    <s v="RH - Spray attemperator"/>
    <s v="Plate"/>
    <m/>
    <m/>
    <x v="11"/>
    <m/>
    <m/>
    <m/>
    <m/>
    <m/>
    <n v="2.1138479999999999"/>
    <s v="ASME"/>
    <n v="0"/>
    <s v="OUT"/>
    <n v="0"/>
    <n v="2.1138479999999999"/>
    <n v="0"/>
    <n v="2.1138479999999999"/>
    <s v="Plate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2.1138479999999999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0"/>
    <m/>
  </r>
  <r>
    <x v="3"/>
    <x v="3"/>
    <s v="04"/>
    <s v="0416"/>
    <m/>
    <s v="RH - Spray attemperator"/>
    <s v="Plate"/>
    <m/>
    <m/>
    <x v="11"/>
    <m/>
    <m/>
    <m/>
    <m/>
    <m/>
    <n v="8.4403199999999998"/>
    <s v="ASME"/>
    <n v="0"/>
    <s v="OUT"/>
    <n v="0"/>
    <n v="8.4403199999999998"/>
    <n v="0"/>
    <n v="8.4403199999999998"/>
    <s v="Plate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8.4403199999999998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0"/>
    <m/>
  </r>
  <r>
    <x v="3"/>
    <x v="3"/>
    <s v="04"/>
    <s v="0416"/>
    <m/>
    <s v="RH - Spray attemperator"/>
    <s v="Nozzles"/>
    <m/>
    <m/>
    <x v="11"/>
    <m/>
    <m/>
    <m/>
    <m/>
    <m/>
    <n v="429.6"/>
    <s v="ASME"/>
    <n v="0"/>
    <s v="OUT"/>
    <n v="0"/>
    <n v="429.6"/>
    <n v="0"/>
    <n v="429.6"/>
    <s v="Nozzles"/>
    <x v="3"/>
    <s v="Forgings"/>
    <s v="Forgings"/>
    <m/>
    <m/>
    <m/>
    <n v="0"/>
    <x v="0"/>
    <x v="0"/>
    <x v="0"/>
    <x v="0"/>
    <n v="0"/>
    <x v="0"/>
    <s v="KG"/>
    <n v="0"/>
    <n v="0"/>
    <e v="#N/A"/>
    <e v="#N/A"/>
    <n v="429.6"/>
    <n v="0"/>
    <n v="0"/>
    <n v="0"/>
    <e v="#N/A"/>
    <d v="1899-12-30T00:00:00"/>
    <n v="0"/>
    <d v="1899-12-30T00:00:00"/>
    <d v="2018-04-24T00:00:00"/>
    <d v="2018-10-20T00:00:00"/>
    <n v="6"/>
    <n v="4"/>
    <n v="0"/>
    <n v="0"/>
    <n v="0"/>
    <n v="0"/>
    <n v="0"/>
    <m/>
    <e v="#N/A"/>
    <e v="#N/A"/>
    <n v="0"/>
    <m/>
    <m/>
    <x v="0"/>
    <m/>
  </r>
  <r>
    <x v="4"/>
    <x v="4"/>
    <s v="05"/>
    <s v="0509"/>
    <m/>
    <s v="Eco1 Inlet HDR"/>
    <s v="Header"/>
    <m/>
    <m/>
    <x v="11"/>
    <m/>
    <m/>
    <m/>
    <m/>
    <m/>
    <n v="14281.612128000002"/>
    <s v="ASME"/>
    <n v="0"/>
    <s v="OUT"/>
    <n v="0"/>
    <n v="14281.612128000002"/>
    <n v="0"/>
    <n v="14281.612128000002"/>
    <s v=" 0-0"/>
    <x v="4"/>
    <s v="Various"/>
    <s v="Piping"/>
    <m/>
    <m/>
    <m/>
    <n v="0"/>
    <x v="0"/>
    <x v="0"/>
    <x v="0"/>
    <x v="0"/>
    <n v="0"/>
    <x v="0"/>
    <s v="KG"/>
    <n v="0"/>
    <n v="0"/>
    <e v="#N/A"/>
    <e v="#N/A"/>
    <n v="14281.612128000002"/>
    <n v="0"/>
    <n v="0"/>
    <n v="0"/>
    <e v="#N/A"/>
    <d v="1899-12-30T00:00:00"/>
    <n v="0"/>
    <d v="1899-12-30T00:00:00"/>
    <d v="2018-03-15T00:00:00"/>
    <d v="2018-07-22T00:00:00"/>
    <n v="4"/>
    <n v="3"/>
    <n v="0"/>
    <n v="0"/>
    <n v="0"/>
    <n v="0"/>
    <n v="0"/>
    <m/>
    <e v="#N/A"/>
    <e v="#N/A"/>
    <n v="471"/>
    <n v="37"/>
    <m/>
    <x v="2"/>
    <m/>
  </r>
  <r>
    <x v="4"/>
    <x v="4"/>
    <s v="05"/>
    <s v="0509"/>
    <m/>
    <s v="Eco1 Inlet HDR"/>
    <s v="End cap"/>
    <m/>
    <m/>
    <x v="11"/>
    <m/>
    <m/>
    <m/>
    <m/>
    <m/>
    <n v="12.016701210937502"/>
    <s v="ASME"/>
    <n v="0"/>
    <s v="OUT"/>
    <n v="0"/>
    <n v="12.016701210937502"/>
    <n v="0"/>
    <n v="12.016701210937502"/>
    <s v="End cap"/>
    <x v="4"/>
    <s v="Forgings"/>
    <s v="Forgings"/>
    <m/>
    <m/>
    <m/>
    <n v="0"/>
    <x v="0"/>
    <x v="0"/>
    <x v="0"/>
    <x v="0"/>
    <n v="0"/>
    <x v="0"/>
    <s v="KG"/>
    <n v="0"/>
    <n v="0"/>
    <e v="#N/A"/>
    <e v="#N/A"/>
    <n v="12.016701210937502"/>
    <n v="0"/>
    <n v="0"/>
    <n v="0"/>
    <e v="#N/A"/>
    <d v="1899-12-30T00:00:00"/>
    <n v="0"/>
    <d v="1899-12-30T00:00:00"/>
    <d v="2018-03-15T00:00:00"/>
    <d v="2018-07-22T00:00:00"/>
    <n v="4"/>
    <n v="3"/>
    <n v="0"/>
    <n v="0"/>
    <n v="0"/>
    <n v="0"/>
    <n v="0"/>
    <m/>
    <e v="#N/A"/>
    <e v="#N/A"/>
    <n v="0"/>
    <m/>
    <m/>
    <x v="0"/>
    <m/>
  </r>
  <r>
    <x v="4"/>
    <x v="4"/>
    <s v="05"/>
    <s v="0509"/>
    <m/>
    <s v="Eco1 Inlet HDR"/>
    <s v="Nozzles"/>
    <m/>
    <m/>
    <x v="11"/>
    <m/>
    <m/>
    <m/>
    <m/>
    <m/>
    <n v="164.078880768"/>
    <s v="ASME"/>
    <e v="#N/A"/>
    <e v="#N/A"/>
    <e v="#N/A"/>
    <e v="#N/A"/>
    <n v="0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0"/>
    <m/>
    <m/>
    <x v="1"/>
    <m/>
  </r>
  <r>
    <x v="4"/>
    <x v="4"/>
    <s v="05"/>
    <s v="0509"/>
    <m/>
    <s v="Eco1 Inlet HDR"/>
    <s v="Nozzles"/>
    <m/>
    <m/>
    <x v="11"/>
    <m/>
    <m/>
    <m/>
    <m/>
    <m/>
    <n v="61.037212500000003"/>
    <s v="ASME"/>
    <n v="0"/>
    <s v="OUT"/>
    <n v="0"/>
    <n v="61.037212500000003"/>
    <n v="0"/>
    <n v="61.037212500000003"/>
    <s v="Nozzles"/>
    <x v="4"/>
    <s v="Forgings"/>
    <s v="Forgings"/>
    <m/>
    <m/>
    <m/>
    <n v="0"/>
    <x v="0"/>
    <x v="0"/>
    <x v="0"/>
    <x v="0"/>
    <n v="0"/>
    <x v="0"/>
    <s v="KG"/>
    <n v="0"/>
    <n v="0"/>
    <e v="#N/A"/>
    <e v="#N/A"/>
    <n v="61.037212500000003"/>
    <n v="0"/>
    <n v="0"/>
    <n v="0"/>
    <e v="#N/A"/>
    <d v="1899-12-30T00:00:00"/>
    <n v="0"/>
    <d v="1899-12-30T00:00:00"/>
    <d v="2018-03-15T00:00:00"/>
    <d v="2018-07-22T00:00:00"/>
    <n v="4"/>
    <n v="3"/>
    <n v="0"/>
    <n v="0"/>
    <n v="0"/>
    <n v="0"/>
    <n v="0"/>
    <m/>
    <e v="#N/A"/>
    <e v="#N/A"/>
    <n v="0"/>
    <m/>
    <m/>
    <x v="0"/>
    <m/>
  </r>
  <r>
    <x v="4"/>
    <x v="4"/>
    <s v="05"/>
    <s v="0509"/>
    <m/>
    <s v="Eco1 Inlet HDR"/>
    <s v="Nozzles"/>
    <m/>
    <m/>
    <x v="11"/>
    <m/>
    <m/>
    <m/>
    <m/>
    <m/>
    <n v="6.4093312799999991"/>
    <s v="ASME"/>
    <e v="#N/A"/>
    <e v="#N/A"/>
    <e v="#N/A"/>
    <e v="#N/A"/>
    <n v="0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0"/>
    <m/>
    <m/>
    <x v="1"/>
    <m/>
  </r>
  <r>
    <x v="4"/>
    <x v="4"/>
    <s v="05"/>
    <s v="0509"/>
    <m/>
    <s v="Eco1 Inlet HDR"/>
    <s v="Nozzles"/>
    <m/>
    <m/>
    <x v="11"/>
    <m/>
    <m/>
    <m/>
    <m/>
    <m/>
    <n v="8.1649260000000012"/>
    <s v="ASME"/>
    <e v="#N/A"/>
    <e v="#N/A"/>
    <e v="#N/A"/>
    <e v="#N/A"/>
    <e v="#N/A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0"/>
    <m/>
    <m/>
    <x v="1"/>
    <m/>
  </r>
  <r>
    <x v="4"/>
    <x v="4"/>
    <s v="05"/>
    <s v="0509"/>
    <m/>
    <s v="Eco1 Inlet HDR"/>
    <s v="Plate"/>
    <m/>
    <m/>
    <x v="11"/>
    <m/>
    <m/>
    <m/>
    <m/>
    <m/>
    <n v="0"/>
    <s v="ASME"/>
    <n v="0.12"/>
    <s v="WBC"/>
    <e v="#N/A"/>
    <n v="0"/>
    <n v="0"/>
    <n v="0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0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0"/>
    <m/>
    <s v="Eco1 Inlet Terminal Tubes"/>
    <s v="Tube"/>
    <m/>
    <m/>
    <x v="11"/>
    <m/>
    <m/>
    <m/>
    <m/>
    <m/>
    <n v="7383.5496345599995"/>
    <s v="ASME"/>
    <e v="#N/A"/>
    <e v="#N/A"/>
    <e v="#N/A"/>
    <e v="#N/A"/>
    <n v="0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377"/>
    <n v="51"/>
    <m/>
    <x v="1"/>
    <m/>
  </r>
  <r>
    <x v="4"/>
    <x v="4"/>
    <s v="05"/>
    <s v="0510"/>
    <m/>
    <s v="Eco1 Inlet Terminal Tubes"/>
    <s v="Sleeve"/>
    <m/>
    <m/>
    <x v="11"/>
    <m/>
    <m/>
    <m/>
    <m/>
    <m/>
    <n v="158.23299773952002"/>
    <s v="ASME"/>
    <e v="#N/A"/>
    <e v="#N/A"/>
    <e v="#N/A"/>
    <e v="#N/A"/>
    <n v="0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0"/>
    <m/>
    <m/>
    <x v="1"/>
    <m/>
  </r>
  <r>
    <x v="4"/>
    <x v="4"/>
    <s v="05"/>
    <s v="0511"/>
    <m/>
    <s v="Eco1 Tube Assy"/>
    <s v="Tube"/>
    <m/>
    <m/>
    <x v="11"/>
    <m/>
    <m/>
    <m/>
    <m/>
    <m/>
    <n v="260270.12461823996"/>
    <s v="ASME"/>
    <e v="#N/A"/>
    <e v="#N/A"/>
    <e v="#N/A"/>
    <e v="#N/A"/>
    <n v="0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5807"/>
    <n v="390"/>
    <m/>
    <x v="1"/>
    <m/>
  </r>
  <r>
    <x v="4"/>
    <x v="4"/>
    <s v="05"/>
    <s v="0511"/>
    <m/>
    <s v="Eco1 Tube Assy"/>
    <s v="Plate"/>
    <m/>
    <m/>
    <x v="11"/>
    <m/>
    <m/>
    <m/>
    <m/>
    <m/>
    <n v="0"/>
    <s v="ASME"/>
    <n v="0.12"/>
    <s v="WBC"/>
    <e v="#N/A"/>
    <n v="0"/>
    <n v="0"/>
    <n v="0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0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1"/>
    <m/>
    <s v="Eco1 Tube Assy"/>
    <s v="Plate"/>
    <m/>
    <m/>
    <x v="11"/>
    <m/>
    <m/>
    <m/>
    <m/>
    <m/>
    <n v="0"/>
    <s v="ASME"/>
    <n v="0.12"/>
    <s v="WBC"/>
    <e v="#N/A"/>
    <n v="0"/>
    <n v="0"/>
    <n v="0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0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1"/>
    <m/>
    <s v="Eco1 Tube Assy"/>
    <s v="Plate"/>
    <m/>
    <m/>
    <x v="11"/>
    <m/>
    <m/>
    <m/>
    <m/>
    <m/>
    <n v="0"/>
    <s v="ASME"/>
    <n v="0.12"/>
    <s v="WBC"/>
    <e v="#N/A"/>
    <n v="0"/>
    <n v="0"/>
    <n v="0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0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2"/>
    <m/>
    <s v="Eco1 Outlet Terminal Tubes"/>
    <s v="Tube"/>
    <m/>
    <m/>
    <x v="11"/>
    <m/>
    <m/>
    <m/>
    <m/>
    <m/>
    <n v="7383.5496345599995"/>
    <s v="ASME"/>
    <e v="#N/A"/>
    <e v="#N/A"/>
    <e v="#N/A"/>
    <e v="#N/A"/>
    <n v="0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377"/>
    <n v="51"/>
    <m/>
    <x v="1"/>
    <m/>
  </r>
  <r>
    <x v="4"/>
    <x v="4"/>
    <s v="05"/>
    <s v="0512"/>
    <m/>
    <s v="Eco1 Outlet Terminal Tubes"/>
    <s v="Sleeve"/>
    <m/>
    <m/>
    <x v="11"/>
    <m/>
    <m/>
    <m/>
    <m/>
    <m/>
    <n v="158.23299773952002"/>
    <s v="ASME"/>
    <e v="#N/A"/>
    <e v="#N/A"/>
    <e v="#N/A"/>
    <e v="#N/A"/>
    <n v="0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0"/>
    <m/>
    <m/>
    <x v="1"/>
    <m/>
  </r>
  <r>
    <x v="4"/>
    <x v="4"/>
    <s v="05"/>
    <s v="0513"/>
    <m/>
    <s v="Eco1 Outlet HDR"/>
    <s v="Header"/>
    <m/>
    <m/>
    <x v="11"/>
    <m/>
    <m/>
    <m/>
    <m/>
    <m/>
    <n v="14281.612128000002"/>
    <s v="ASME"/>
    <n v="0"/>
    <s v="OUT"/>
    <n v="0"/>
    <n v="14281.612128000002"/>
    <n v="0"/>
    <n v="14281.612128000002"/>
    <s v=" 0-0"/>
    <x v="4"/>
    <s v="Various"/>
    <s v="Piping"/>
    <m/>
    <m/>
    <m/>
    <n v="0"/>
    <x v="0"/>
    <x v="0"/>
    <x v="0"/>
    <x v="0"/>
    <n v="0"/>
    <x v="0"/>
    <s v="KG"/>
    <n v="0"/>
    <n v="0"/>
    <e v="#N/A"/>
    <e v="#N/A"/>
    <n v="14281.612128000002"/>
    <n v="0"/>
    <n v="0"/>
    <n v="0"/>
    <e v="#N/A"/>
    <d v="1899-12-30T00:00:00"/>
    <n v="0"/>
    <d v="1899-12-30T00:00:00"/>
    <d v="2018-03-15T00:00:00"/>
    <d v="2018-07-22T00:00:00"/>
    <n v="4"/>
    <n v="3"/>
    <n v="0"/>
    <n v="0"/>
    <n v="0"/>
    <n v="0"/>
    <n v="0"/>
    <m/>
    <e v="#N/A"/>
    <e v="#N/A"/>
    <n v="455"/>
    <n v="35"/>
    <m/>
    <x v="2"/>
    <m/>
  </r>
  <r>
    <x v="4"/>
    <x v="4"/>
    <s v="05"/>
    <s v="0513"/>
    <m/>
    <s v="Eco1 Outlet HDR"/>
    <s v="End cap"/>
    <m/>
    <m/>
    <x v="11"/>
    <m/>
    <m/>
    <m/>
    <m/>
    <m/>
    <n v="0"/>
    <s v="ASME"/>
    <n v="0"/>
    <s v="OUT"/>
    <n v="0"/>
    <n v="0"/>
    <n v="0"/>
    <n v="0"/>
    <s v="End cap"/>
    <x v="4"/>
    <s v="Forgings"/>
    <s v="Forgings"/>
    <m/>
    <m/>
    <m/>
    <n v="0"/>
    <x v="0"/>
    <x v="0"/>
    <x v="0"/>
    <x v="0"/>
    <n v="0"/>
    <x v="0"/>
    <s v="KG"/>
    <n v="0"/>
    <n v="0"/>
    <e v="#N/A"/>
    <e v="#N/A"/>
    <n v="0"/>
    <n v="0"/>
    <n v="0"/>
    <n v="0"/>
    <e v="#N/A"/>
    <d v="1899-12-30T00:00:00"/>
    <n v="0"/>
    <d v="1899-12-30T00:00:00"/>
    <d v="2018-03-15T00:00:00"/>
    <d v="2018-07-22T00:00:00"/>
    <n v="4"/>
    <n v="3"/>
    <n v="0"/>
    <n v="0"/>
    <n v="0"/>
    <n v="0"/>
    <n v="0"/>
    <m/>
    <e v="#N/A"/>
    <e v="#N/A"/>
    <n v="0"/>
    <m/>
    <m/>
    <x v="0"/>
    <m/>
  </r>
  <r>
    <x v="4"/>
    <x v="4"/>
    <s v="05"/>
    <s v="0513"/>
    <m/>
    <s v="Eco1 Outlet HDR"/>
    <s v="Nozzles"/>
    <m/>
    <m/>
    <x v="11"/>
    <m/>
    <m/>
    <m/>
    <m/>
    <m/>
    <n v="164.07888076799998"/>
    <s v="ASME"/>
    <e v="#N/A"/>
    <e v="#N/A"/>
    <e v="#N/A"/>
    <e v="#N/A"/>
    <n v="0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0"/>
    <m/>
    <m/>
    <x v="1"/>
    <m/>
  </r>
  <r>
    <x v="4"/>
    <x v="4"/>
    <s v="05"/>
    <s v="0513"/>
    <m/>
    <s v="Eco1 Outlet HDR"/>
    <s v="Nozzles"/>
    <m/>
    <m/>
    <x v="11"/>
    <m/>
    <m/>
    <m/>
    <m/>
    <m/>
    <n v="0"/>
    <s v="ASME"/>
    <n v="0"/>
    <s v="OUT"/>
    <n v="0"/>
    <n v="0"/>
    <n v="0"/>
    <n v="0"/>
    <s v="Nozzles"/>
    <x v="4"/>
    <s v="Forgings"/>
    <s v="Forgings"/>
    <m/>
    <m/>
    <m/>
    <n v="0"/>
    <x v="0"/>
    <x v="0"/>
    <x v="0"/>
    <x v="0"/>
    <n v="0"/>
    <x v="0"/>
    <s v="KG"/>
    <n v="0"/>
    <n v="0"/>
    <e v="#N/A"/>
    <e v="#N/A"/>
    <n v="0"/>
    <n v="0"/>
    <n v="0"/>
    <n v="0"/>
    <e v="#N/A"/>
    <d v="1899-12-30T00:00:00"/>
    <n v="0"/>
    <d v="1899-12-30T00:00:00"/>
    <d v="2018-03-15T00:00:00"/>
    <d v="2018-07-22T00:00:00"/>
    <n v="4"/>
    <n v="3"/>
    <n v="0"/>
    <n v="0"/>
    <n v="0"/>
    <n v="0"/>
    <n v="0"/>
    <m/>
    <e v="#N/A"/>
    <e v="#N/A"/>
    <n v="0"/>
    <m/>
    <m/>
    <x v="0"/>
    <m/>
  </r>
  <r>
    <x v="4"/>
    <x v="4"/>
    <s v="05"/>
    <s v="0513"/>
    <m/>
    <s v="Eco1 Outlet HDR"/>
    <s v="Nozzles"/>
    <m/>
    <m/>
    <x v="11"/>
    <m/>
    <m/>
    <m/>
    <m/>
    <m/>
    <n v="9.4289976000000024"/>
    <s v="ASME"/>
    <e v="#N/A"/>
    <e v="#N/A"/>
    <e v="#N/A"/>
    <e v="#N/A"/>
    <e v="#N/A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0"/>
    <m/>
    <m/>
    <x v="1"/>
    <m/>
  </r>
  <r>
    <x v="4"/>
    <x v="4"/>
    <s v="05"/>
    <s v="0513"/>
    <m/>
    <s v="Eco1 Outlet HDR"/>
    <s v="Plate"/>
    <m/>
    <m/>
    <x v="11"/>
    <m/>
    <m/>
    <m/>
    <m/>
    <m/>
    <n v="0"/>
    <s v="ASME"/>
    <n v="0.12"/>
    <s v="WBC"/>
    <e v="#N/A"/>
    <n v="0"/>
    <n v="0"/>
    <n v="0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0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4"/>
    <m/>
    <s v="Eco1 Inlet HDR Suspension"/>
    <s v="Rod"/>
    <m/>
    <m/>
    <x v="11"/>
    <m/>
    <m/>
    <m/>
    <m/>
    <m/>
    <n v="1124.95799754"/>
    <s v="ASME"/>
    <n v="0.12"/>
    <s v="WBC"/>
    <e v="#N/A"/>
    <n v="1259.9529572448"/>
    <n v="0"/>
    <n v="1259.9529572448"/>
    <s v=""/>
    <x v="4"/>
    <s v="Rod"/>
    <s v="Rod"/>
    <m/>
    <m/>
    <m/>
    <n v="0"/>
    <x v="2"/>
    <x v="0"/>
    <x v="0"/>
    <x v="0"/>
    <n v="0"/>
    <x v="0"/>
    <s v="KG"/>
    <n v="0"/>
    <n v="0"/>
    <n v="0"/>
    <n v="0"/>
    <n v="1259.9529572448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4"/>
    <m/>
    <s v="Eco1 Inlet HDR Suspension"/>
    <s v="Bolt"/>
    <m/>
    <m/>
    <x v="11"/>
    <m/>
    <m/>
    <m/>
    <m/>
    <m/>
    <n v="5.6280000000000001"/>
    <s v="ASME"/>
    <n v="0"/>
    <s v="OUT"/>
    <n v="0"/>
    <n v="5.6280000000000001"/>
    <n v="0"/>
    <n v="5.6280000000000001"/>
    <s v="Bolt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5.6280000000000001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14"/>
    <m/>
    <s v="Eco1 Inlet HDR Suspension"/>
    <s v="Pin"/>
    <m/>
    <m/>
    <x v="11"/>
    <m/>
    <m/>
    <m/>
    <m/>
    <m/>
    <n v="0.4"/>
    <s v="ASME"/>
    <n v="0"/>
    <s v="OUT"/>
    <n v="0"/>
    <n v="0.4"/>
    <n v="0"/>
    <n v="0.4"/>
    <s v="Pin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0.4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14"/>
    <m/>
    <s v="Eco1 Inlet HDR Suspension"/>
    <s v="Plate"/>
    <m/>
    <m/>
    <x v="11"/>
    <m/>
    <m/>
    <m/>
    <m/>
    <m/>
    <n v="2520"/>
    <s v="ASME"/>
    <n v="0.12"/>
    <s v="WBC"/>
    <e v="#N/A"/>
    <n v="2822.4"/>
    <n v="0"/>
    <n v="2822.4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822.4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4"/>
    <m/>
    <s v="Eco1 Inlet HDR Suspension"/>
    <s v="Plate"/>
    <m/>
    <m/>
    <x v="11"/>
    <m/>
    <m/>
    <m/>
    <m/>
    <m/>
    <n v="8.8000000000000007"/>
    <s v="ASME"/>
    <n v="0.12"/>
    <s v="WBC"/>
    <e v="#N/A"/>
    <n v="9.8560000000000016"/>
    <n v="0"/>
    <n v="9.8560000000000016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9.8560000000000016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4"/>
    <m/>
    <s v="Eco1 Inlet HDR Suspension"/>
    <s v="Washer"/>
    <m/>
    <m/>
    <x v="11"/>
    <m/>
    <m/>
    <m/>
    <m/>
    <m/>
    <n v="2.96"/>
    <s v="ASME"/>
    <n v="0"/>
    <s v="OUT"/>
    <n v="0"/>
    <n v="2.96"/>
    <n v="0"/>
    <n v="2.96"/>
    <s v="Washer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2.96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14"/>
    <m/>
    <s v="Eco1 Inlet HDR Suspension"/>
    <s v="Nut"/>
    <m/>
    <m/>
    <x v="11"/>
    <m/>
    <m/>
    <m/>
    <m/>
    <m/>
    <n v="16"/>
    <s v="ASME"/>
    <n v="0"/>
    <s v="OUT"/>
    <n v="0"/>
    <n v="16"/>
    <n v="0"/>
    <n v="16"/>
    <s v="Nut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16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14"/>
    <m/>
    <s v="Eco1 Inlet HDR Suspension"/>
    <s v="Plate"/>
    <m/>
    <m/>
    <x v="11"/>
    <m/>
    <m/>
    <m/>
    <m/>
    <m/>
    <n v="18.331319999999998"/>
    <s v="ASME"/>
    <n v="0.12"/>
    <s v="WBC"/>
    <e v="#N/A"/>
    <n v="20.531078399999998"/>
    <n v="0"/>
    <n v="20.531078399999998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0.531078399999998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4"/>
    <m/>
    <s v="Eco1 Inlet HDR Suspension"/>
    <s v="Plate"/>
    <m/>
    <m/>
    <x v="11"/>
    <m/>
    <m/>
    <m/>
    <m/>
    <m/>
    <n v="121.40496"/>
    <s v="ASME"/>
    <n v="0.12"/>
    <s v="WBC"/>
    <e v="#N/A"/>
    <n v="135.97355520000002"/>
    <n v="0"/>
    <n v="135.97355520000002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35.97355520000002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4"/>
    <m/>
    <s v="Eco1 Inlet HDR Suspension"/>
    <s v="Plate"/>
    <m/>
    <m/>
    <x v="11"/>
    <m/>
    <m/>
    <m/>
    <m/>
    <m/>
    <n v="49.235200000000006"/>
    <s v="ASME"/>
    <n v="0.12"/>
    <s v="WBC"/>
    <e v="#N/A"/>
    <n v="55.14342400000001"/>
    <n v="0"/>
    <n v="55.143424000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55.143424000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4"/>
    <m/>
    <s v="Eco1 Inlet HDR Suspension"/>
    <s v="Plate"/>
    <m/>
    <m/>
    <x v="11"/>
    <m/>
    <m/>
    <m/>
    <m/>
    <m/>
    <n v="19.16656"/>
    <s v="ASME"/>
    <n v="0.12"/>
    <s v="WBC"/>
    <e v="#N/A"/>
    <n v="21.466547200000001"/>
    <n v="0"/>
    <n v="21.4665472000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1.4665472000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4"/>
    <m/>
    <s v="Eco1 Inlet HDR Suspension"/>
    <s v="Plate"/>
    <m/>
    <m/>
    <x v="11"/>
    <m/>
    <m/>
    <m/>
    <m/>
    <m/>
    <n v="5.5389600000000003"/>
    <s v="ASME"/>
    <n v="0.12"/>
    <s v="WBC"/>
    <e v="#N/A"/>
    <n v="6.2036352000000008"/>
    <n v="0"/>
    <n v="6.2036352000000008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6.2036352000000008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5"/>
    <m/>
    <s v="Eco1 Outlet HDR Suspension"/>
    <s v="Rod"/>
    <m/>
    <m/>
    <x v="11"/>
    <m/>
    <m/>
    <m/>
    <m/>
    <m/>
    <n v="187.49299958999995"/>
    <s v="ASME"/>
    <n v="0.12"/>
    <s v="WBC"/>
    <e v="#N/A"/>
    <n v="209.99215954079997"/>
    <n v="0"/>
    <n v="209.99215954079997"/>
    <s v=""/>
    <x v="4"/>
    <s v="Rod"/>
    <s v="Rod"/>
    <m/>
    <m/>
    <m/>
    <n v="0"/>
    <x v="2"/>
    <x v="0"/>
    <x v="0"/>
    <x v="0"/>
    <n v="0"/>
    <x v="0"/>
    <s v="KG"/>
    <n v="0"/>
    <n v="0"/>
    <n v="0"/>
    <n v="0"/>
    <n v="209.99215954079997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5"/>
    <m/>
    <s v="Eco1 Outlet HDR Suspension"/>
    <s v="Bolt"/>
    <m/>
    <m/>
    <x v="11"/>
    <m/>
    <m/>
    <m/>
    <m/>
    <m/>
    <n v="5.6280000000000001"/>
    <s v="ASME"/>
    <n v="0"/>
    <s v="OUT"/>
    <n v="0"/>
    <n v="5.6280000000000001"/>
    <n v="0"/>
    <n v="5.6280000000000001"/>
    <s v="Bolt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5.6280000000000001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15"/>
    <m/>
    <s v="Eco1 Outlet HDR Suspension"/>
    <s v="Pin"/>
    <m/>
    <m/>
    <x v="11"/>
    <m/>
    <m/>
    <m/>
    <m/>
    <m/>
    <n v="0.4"/>
    <s v="ASME"/>
    <n v="0"/>
    <s v="OUT"/>
    <n v="0"/>
    <n v="0.4"/>
    <n v="0"/>
    <n v="0.4"/>
    <s v="Pin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0.4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15"/>
    <m/>
    <s v="Eco1 Outlet HDR Suspension"/>
    <s v="Plate"/>
    <m/>
    <m/>
    <x v="11"/>
    <m/>
    <m/>
    <m/>
    <m/>
    <m/>
    <n v="2520"/>
    <s v="ASME"/>
    <n v="0.12"/>
    <s v="WBC"/>
    <e v="#N/A"/>
    <n v="2822.4"/>
    <n v="0"/>
    <n v="2822.4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822.4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5"/>
    <m/>
    <s v="Eco1 Outlet HDR Suspension"/>
    <s v="Plate"/>
    <m/>
    <m/>
    <x v="11"/>
    <m/>
    <m/>
    <m/>
    <m/>
    <m/>
    <n v="8.8000000000000007"/>
    <s v="ASME"/>
    <n v="0.12"/>
    <s v="WBC"/>
    <e v="#N/A"/>
    <n v="9.8560000000000016"/>
    <n v="0"/>
    <n v="9.8560000000000016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9.8560000000000016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5"/>
    <m/>
    <s v="Eco1 Outlet HDR Suspension"/>
    <s v="Washer"/>
    <m/>
    <m/>
    <x v="11"/>
    <m/>
    <m/>
    <m/>
    <m/>
    <m/>
    <n v="2.96"/>
    <s v="ASME"/>
    <n v="0"/>
    <s v="OUT"/>
    <n v="0"/>
    <n v="2.96"/>
    <n v="0"/>
    <n v="2.96"/>
    <s v="Washer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2.96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15"/>
    <m/>
    <s v="Eco1 Outlet HDR Suspension"/>
    <s v="Nut"/>
    <m/>
    <m/>
    <x v="11"/>
    <m/>
    <m/>
    <m/>
    <m/>
    <m/>
    <n v="16"/>
    <s v="ASME"/>
    <n v="0"/>
    <s v="OUT"/>
    <n v="0"/>
    <n v="16"/>
    <n v="0"/>
    <n v="16"/>
    <s v="Nut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16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15"/>
    <m/>
    <s v="Eco1 Outlet HDR Suspension"/>
    <s v="Plate"/>
    <m/>
    <m/>
    <x v="11"/>
    <m/>
    <m/>
    <m/>
    <m/>
    <m/>
    <n v="18.331319999999998"/>
    <s v="ASME"/>
    <n v="0.12"/>
    <s v="WBC"/>
    <e v="#N/A"/>
    <n v="20.531078399999998"/>
    <n v="0"/>
    <n v="20.531078399999998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0.531078399999998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5"/>
    <m/>
    <s v="Eco1 Outlet HDR Suspension"/>
    <s v="Plate"/>
    <m/>
    <m/>
    <x v="11"/>
    <m/>
    <m/>
    <m/>
    <m/>
    <m/>
    <n v="121.40496"/>
    <s v="ASME"/>
    <n v="0.12"/>
    <s v="WBC"/>
    <e v="#N/A"/>
    <n v="135.97355520000002"/>
    <n v="0"/>
    <n v="135.97355520000002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35.97355520000002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5"/>
    <m/>
    <s v="Eco1 Outlet HDR Suspension"/>
    <s v="Plate"/>
    <m/>
    <m/>
    <x v="11"/>
    <m/>
    <m/>
    <m/>
    <m/>
    <m/>
    <n v="49.235200000000006"/>
    <s v="ASME"/>
    <n v="0.12"/>
    <s v="WBC"/>
    <e v="#N/A"/>
    <n v="55.14342400000001"/>
    <n v="0"/>
    <n v="55.143424000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55.143424000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5"/>
    <m/>
    <s v="Eco1 Outlet HDR Suspension"/>
    <s v="Plate"/>
    <m/>
    <m/>
    <x v="11"/>
    <m/>
    <m/>
    <m/>
    <m/>
    <m/>
    <n v="19.16656"/>
    <s v="ASME"/>
    <n v="0.12"/>
    <s v="WBC"/>
    <e v="#N/A"/>
    <n v="21.466547200000001"/>
    <n v="0"/>
    <n v="21.4665472000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1.4665472000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5"/>
    <m/>
    <s v="Eco1 Outlet HDR Suspension"/>
    <s v="Plate"/>
    <m/>
    <m/>
    <x v="11"/>
    <m/>
    <m/>
    <m/>
    <m/>
    <m/>
    <n v="5.5389600000000003"/>
    <s v="ASME"/>
    <n v="0.12"/>
    <s v="WBC"/>
    <e v="#N/A"/>
    <n v="6.2036352000000008"/>
    <n v="0"/>
    <n v="6.2036352000000008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6.2036352000000008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6"/>
    <m/>
    <s v="Eco1 Anti Vibration Plate"/>
    <s v="Plate"/>
    <m/>
    <m/>
    <x v="11"/>
    <m/>
    <m/>
    <m/>
    <m/>
    <m/>
    <n v="7539.8904599999996"/>
    <s v="ASME"/>
    <n v="0.12"/>
    <s v="WBC"/>
    <e v="#N/A"/>
    <n v="8444.6773152000005"/>
    <n v="0"/>
    <n v="8444.6773152000005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8444.6773152000005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6"/>
    <m/>
    <s v="Eco1 Anti Vibration Plate"/>
    <s v="Plate"/>
    <m/>
    <m/>
    <x v="11"/>
    <m/>
    <m/>
    <m/>
    <m/>
    <m/>
    <n v="12019.58088"/>
    <s v="ASME"/>
    <n v="0.12"/>
    <s v="WBC"/>
    <e v="#N/A"/>
    <n v="13461.930585600001"/>
    <n v="0"/>
    <n v="13461.9305856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3461.9305856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6"/>
    <m/>
    <s v="Eco1 Anti Vibration Plate"/>
    <s v="Plate"/>
    <m/>
    <m/>
    <x v="11"/>
    <m/>
    <m/>
    <m/>
    <m/>
    <m/>
    <n v="2968.9956000000002"/>
    <s v="ASME"/>
    <n v="0.12"/>
    <s v="WBC"/>
    <e v="#N/A"/>
    <n v="3325.2750720000004"/>
    <n v="0"/>
    <n v="3325.2750720000004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3325.2750720000004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6"/>
    <m/>
    <s v="Eco1 Anti Vibration Plate"/>
    <s v="Plate"/>
    <m/>
    <m/>
    <x v="11"/>
    <m/>
    <m/>
    <m/>
    <m/>
    <m/>
    <n v="776.20799999999997"/>
    <s v="ASME"/>
    <n v="0.12"/>
    <s v="WBC"/>
    <e v="#N/A"/>
    <n v="869.35296000000005"/>
    <n v="0"/>
    <n v="869.35296000000005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869.35296000000005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6"/>
    <m/>
    <s v="Eco1 Anti Vibration Plate"/>
    <s v="Plate"/>
    <m/>
    <m/>
    <x v="11"/>
    <m/>
    <m/>
    <m/>
    <m/>
    <m/>
    <n v="173.87059199999996"/>
    <s v="ASME"/>
    <n v="0.12"/>
    <s v="WBC"/>
    <e v="#N/A"/>
    <n v="194.73506303999997"/>
    <n v="0"/>
    <n v="194.73506303999997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94.73506303999997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6"/>
    <m/>
    <s v="Eco1 Anti Vibration Plate"/>
    <s v="Plate"/>
    <m/>
    <m/>
    <x v="11"/>
    <m/>
    <m/>
    <m/>
    <m/>
    <m/>
    <n v="183.37913999999998"/>
    <s v="ASME"/>
    <n v="0.12"/>
    <s v="WBC"/>
    <e v="#N/A"/>
    <n v="205.38463679999998"/>
    <n v="0"/>
    <n v="205.38463679999998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05.38463679999998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6"/>
    <m/>
    <s v="Eco1 Anti Vibration Plate"/>
    <s v="Plate"/>
    <m/>
    <m/>
    <x v="11"/>
    <m/>
    <m/>
    <m/>
    <m/>
    <m/>
    <n v="69.858720000000005"/>
    <s v="ASME"/>
    <n v="0.12"/>
    <s v="WBC"/>
    <e v="#N/A"/>
    <n v="78.241766400000017"/>
    <n v="0"/>
    <n v="78.241766400000017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78.241766400000017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6"/>
    <m/>
    <s v="Eco1 Anti Vibration Plate"/>
    <s v="Plate"/>
    <m/>
    <m/>
    <x v="11"/>
    <m/>
    <m/>
    <m/>
    <m/>
    <m/>
    <n v="212.48693999999998"/>
    <s v="ASME"/>
    <n v="0.12"/>
    <s v="WBC"/>
    <e v="#N/A"/>
    <n v="237.98537279999999"/>
    <n v="0"/>
    <n v="237.98537279999999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37.98537279999999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6"/>
    <m/>
    <s v="Eco1 Anti Vibration Plate"/>
    <s v="Plate"/>
    <m/>
    <m/>
    <x v="11"/>
    <m/>
    <m/>
    <m/>
    <m/>
    <m/>
    <n v="137.00071199999999"/>
    <s v="ASME"/>
    <n v="0.12"/>
    <s v="WBC"/>
    <e v="#N/A"/>
    <n v="153.44079744000001"/>
    <n v="0"/>
    <n v="153.440797440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53.440797440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6"/>
    <m/>
    <s v="Eco1 Anti Vibration Plate"/>
    <s v="Plate"/>
    <m/>
    <m/>
    <x v="11"/>
    <m/>
    <m/>
    <m/>
    <m/>
    <m/>
    <n v="24.295310400000002"/>
    <s v="ASME"/>
    <n v="0.12"/>
    <s v="WBC"/>
    <e v="#N/A"/>
    <n v="27.210747648000005"/>
    <n v="0"/>
    <n v="27.210747648000005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7.210747648000005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6"/>
    <m/>
    <s v="Eco1 Anti Vibration Plate"/>
    <s v="Plate"/>
    <m/>
    <m/>
    <x v="11"/>
    <m/>
    <m/>
    <m/>
    <m/>
    <m/>
    <n v="59.573963999999997"/>
    <s v="ASME"/>
    <n v="0.12"/>
    <s v="WBC"/>
    <e v="#N/A"/>
    <n v="66.722839680000007"/>
    <n v="0"/>
    <n v="66.722839680000007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66.722839680000007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6"/>
    <m/>
    <s v="Eco1 Anti Vibration Plate"/>
    <s v="Plate"/>
    <m/>
    <m/>
    <x v="11"/>
    <m/>
    <m/>
    <m/>
    <m/>
    <m/>
    <n v="10.478808000000001"/>
    <s v="ASME"/>
    <n v="0.12"/>
    <s v="WBC"/>
    <e v="#N/A"/>
    <n v="11.736264960000002"/>
    <n v="0"/>
    <n v="11.736264960000002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1.736264960000002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6"/>
    <m/>
    <s v="Eco1 Anti Vibration Plate"/>
    <s v="Plate"/>
    <m/>
    <m/>
    <x v="11"/>
    <m/>
    <m/>
    <m/>
    <m/>
    <m/>
    <n v="20.375460000000004"/>
    <s v="ASME"/>
    <n v="0.12"/>
    <s v="WBC"/>
    <e v="#N/A"/>
    <n v="22.820515200000006"/>
    <n v="0"/>
    <n v="22.820515200000006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2.820515200000006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6"/>
    <m/>
    <s v="Eco1 Anti Vibration Plate"/>
    <s v="Plate"/>
    <m/>
    <m/>
    <x v="11"/>
    <m/>
    <m/>
    <m/>
    <m/>
    <m/>
    <n v="293.50364999999999"/>
    <s v="ASME"/>
    <n v="0.12"/>
    <s v="WBC"/>
    <e v="#N/A"/>
    <n v="328.72408800000005"/>
    <n v="0"/>
    <n v="328.72408800000005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328.72408800000005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6"/>
    <m/>
    <s v="Eco1 Anti Vibration Plate"/>
    <s v="Plate"/>
    <m/>
    <m/>
    <x v="11"/>
    <m/>
    <m/>
    <m/>
    <m/>
    <m/>
    <n v="2.3792999999999997"/>
    <s v="ASME"/>
    <n v="0.12"/>
    <s v="WBC"/>
    <e v="#N/A"/>
    <n v="2.6648160000000001"/>
    <n v="0"/>
    <n v="2.66481600000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.66481600000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7"/>
    <m/>
    <s v="Eco2 Inlet HDR"/>
    <s v="Header"/>
    <m/>
    <m/>
    <x v="11"/>
    <m/>
    <m/>
    <m/>
    <m/>
    <m/>
    <n v="14281.612128000002"/>
    <s v="ASME"/>
    <n v="0"/>
    <s v="OUT"/>
    <n v="0"/>
    <n v="14281.612128000002"/>
    <n v="0"/>
    <n v="14281.612128000002"/>
    <s v=" 0-0"/>
    <x v="4"/>
    <s v="Various"/>
    <s v="Piping"/>
    <m/>
    <m/>
    <m/>
    <n v="0"/>
    <x v="0"/>
    <x v="0"/>
    <x v="0"/>
    <x v="0"/>
    <n v="0"/>
    <x v="0"/>
    <s v="KG"/>
    <n v="0"/>
    <n v="0"/>
    <e v="#N/A"/>
    <e v="#N/A"/>
    <n v="14281.612128000002"/>
    <n v="0"/>
    <n v="0"/>
    <n v="0"/>
    <e v="#N/A"/>
    <d v="1899-12-30T00:00:00"/>
    <n v="0"/>
    <d v="1899-12-30T00:00:00"/>
    <d v="2018-03-15T00:00:00"/>
    <d v="2018-07-22T00:00:00"/>
    <n v="4"/>
    <n v="3"/>
    <n v="0"/>
    <n v="0"/>
    <n v="0"/>
    <n v="0"/>
    <n v="0"/>
    <m/>
    <e v="#N/A"/>
    <e v="#N/A"/>
    <n v="1272"/>
    <n v="57"/>
    <m/>
    <x v="2"/>
    <m/>
  </r>
  <r>
    <x v="4"/>
    <x v="4"/>
    <s v="05"/>
    <s v="0517"/>
    <m/>
    <s v="Eco2 Inlet HDR"/>
    <s v="End cap"/>
    <m/>
    <m/>
    <x v="11"/>
    <m/>
    <m/>
    <m/>
    <m/>
    <m/>
    <n v="12.016701210937502"/>
    <s v="ASME"/>
    <n v="0"/>
    <s v="OUT"/>
    <n v="0"/>
    <n v="12.016701210937502"/>
    <n v="0"/>
    <n v="12.016701210937502"/>
    <s v="End cap"/>
    <x v="4"/>
    <s v="Forgings"/>
    <s v="Forgings"/>
    <m/>
    <m/>
    <m/>
    <n v="0"/>
    <x v="0"/>
    <x v="0"/>
    <x v="0"/>
    <x v="0"/>
    <n v="0"/>
    <x v="0"/>
    <s v="KG"/>
    <n v="0"/>
    <n v="0"/>
    <e v="#N/A"/>
    <e v="#N/A"/>
    <n v="12.016701210937502"/>
    <n v="0"/>
    <n v="0"/>
    <n v="0"/>
    <e v="#N/A"/>
    <d v="1899-12-30T00:00:00"/>
    <n v="0"/>
    <d v="1899-12-30T00:00:00"/>
    <d v="2018-03-15T00:00:00"/>
    <d v="2018-07-22T00:00:00"/>
    <n v="4"/>
    <n v="3"/>
    <n v="0"/>
    <n v="0"/>
    <n v="0"/>
    <n v="0"/>
    <n v="0"/>
    <m/>
    <e v="#N/A"/>
    <e v="#N/A"/>
    <n v="0"/>
    <m/>
    <m/>
    <x v="0"/>
    <m/>
  </r>
  <r>
    <x v="4"/>
    <x v="4"/>
    <s v="05"/>
    <s v="0517"/>
    <m/>
    <s v="Eco2 Inlet HDR"/>
    <s v="Nozzles"/>
    <m/>
    <m/>
    <x v="11"/>
    <m/>
    <m/>
    <m/>
    <m/>
    <m/>
    <n v="656.31552307199991"/>
    <s v="ASME"/>
    <e v="#N/A"/>
    <e v="#N/A"/>
    <e v="#N/A"/>
    <e v="#N/A"/>
    <n v="0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0"/>
    <m/>
    <m/>
    <x v="1"/>
    <m/>
  </r>
  <r>
    <x v="4"/>
    <x v="4"/>
    <s v="05"/>
    <s v="0517"/>
    <m/>
    <s v="Eco2 Inlet HDR"/>
    <s v="Nozzles"/>
    <m/>
    <m/>
    <x v="11"/>
    <m/>
    <m/>
    <m/>
    <m/>
    <m/>
    <n v="61.037212500000003"/>
    <s v="ASME"/>
    <n v="0"/>
    <s v="OUT"/>
    <n v="0"/>
    <n v="61.037212500000003"/>
    <n v="0"/>
    <n v="61.037212500000003"/>
    <s v="Nozzles"/>
    <x v="4"/>
    <s v="Forgings"/>
    <s v="Forgings"/>
    <m/>
    <m/>
    <m/>
    <n v="0"/>
    <x v="0"/>
    <x v="0"/>
    <x v="0"/>
    <x v="0"/>
    <n v="0"/>
    <x v="0"/>
    <s v="KG"/>
    <n v="0"/>
    <n v="0"/>
    <e v="#N/A"/>
    <e v="#N/A"/>
    <n v="61.037212500000003"/>
    <n v="0"/>
    <n v="0"/>
    <n v="0"/>
    <e v="#N/A"/>
    <d v="1899-12-30T00:00:00"/>
    <n v="0"/>
    <d v="1899-12-30T00:00:00"/>
    <d v="2018-03-15T00:00:00"/>
    <d v="2018-07-22T00:00:00"/>
    <n v="4"/>
    <n v="3"/>
    <n v="0"/>
    <n v="0"/>
    <n v="0"/>
    <n v="0"/>
    <n v="0"/>
    <m/>
    <e v="#N/A"/>
    <e v="#N/A"/>
    <n v="0"/>
    <m/>
    <m/>
    <x v="0"/>
    <m/>
  </r>
  <r>
    <x v="4"/>
    <x v="4"/>
    <s v="05"/>
    <s v="0517"/>
    <m/>
    <s v="Eco2 Inlet HDR"/>
    <s v="Nozzles"/>
    <m/>
    <m/>
    <x v="11"/>
    <m/>
    <m/>
    <m/>
    <m/>
    <m/>
    <n v="8.1649260000000012"/>
    <s v="ASME"/>
    <e v="#N/A"/>
    <e v="#N/A"/>
    <e v="#N/A"/>
    <e v="#N/A"/>
    <e v="#N/A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0"/>
    <m/>
    <m/>
    <x v="1"/>
    <m/>
  </r>
  <r>
    <x v="4"/>
    <x v="4"/>
    <s v="05"/>
    <s v="0517"/>
    <m/>
    <s v="Eco2 Inlet HDR"/>
    <s v="Plate"/>
    <m/>
    <m/>
    <x v="11"/>
    <m/>
    <m/>
    <m/>
    <m/>
    <m/>
    <n v="12.0105"/>
    <s v="ASME"/>
    <n v="0.12"/>
    <s v="WBC"/>
    <e v="#N/A"/>
    <n v="13.451760000000002"/>
    <n v="0"/>
    <n v="13.451760000000002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3.451760000000002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8"/>
    <m/>
    <s v="Eco2 Inlet Terminal Tubes"/>
    <s v="Tube"/>
    <m/>
    <m/>
    <x v="11"/>
    <m/>
    <m/>
    <m/>
    <m/>
    <m/>
    <n v="36917.748172799998"/>
    <s v="ASME"/>
    <e v="#N/A"/>
    <e v="#N/A"/>
    <e v="#N/A"/>
    <e v="#N/A"/>
    <n v="0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1478"/>
    <n v="163"/>
    <m/>
    <x v="1"/>
    <m/>
  </r>
  <r>
    <x v="4"/>
    <x v="4"/>
    <s v="05"/>
    <s v="0518"/>
    <m/>
    <s v="Eco2 Inlet Terminal Tubes"/>
    <s v="Sleeve"/>
    <m/>
    <m/>
    <x v="11"/>
    <m/>
    <m/>
    <m/>
    <m/>
    <m/>
    <n v="632.93199095808006"/>
    <s v="ASME"/>
    <e v="#N/A"/>
    <e v="#N/A"/>
    <e v="#N/A"/>
    <e v="#N/A"/>
    <n v="0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0"/>
    <m/>
    <m/>
    <x v="1"/>
    <m/>
  </r>
  <r>
    <x v="4"/>
    <x v="4"/>
    <s v="05"/>
    <s v="0519"/>
    <m/>
    <s v="Eco2 Tube Assy"/>
    <s v="Tube"/>
    <m/>
    <m/>
    <x v="11"/>
    <m/>
    <m/>
    <m/>
    <m/>
    <m/>
    <n v="694053.6656486399"/>
    <s v="ASME"/>
    <e v="#N/A"/>
    <e v="#N/A"/>
    <e v="#N/A"/>
    <e v="#N/A"/>
    <n v="0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15009"/>
    <n v="1134"/>
    <m/>
    <x v="1"/>
    <m/>
  </r>
  <r>
    <x v="4"/>
    <x v="4"/>
    <s v="05"/>
    <s v="0519"/>
    <m/>
    <s v="Eco2 Tube Assy"/>
    <s v="Plate"/>
    <m/>
    <m/>
    <x v="11"/>
    <m/>
    <m/>
    <m/>
    <m/>
    <m/>
    <n v="12526.8102"/>
    <s v="ASME"/>
    <n v="0.12"/>
    <s v="WBC"/>
    <e v="#N/A"/>
    <n v="14030.027424000002"/>
    <n v="0"/>
    <n v="14030.027424000002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4030.027424000002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9"/>
    <m/>
    <s v="Eco2 Tube Assy"/>
    <s v="Plate"/>
    <m/>
    <m/>
    <x v="11"/>
    <m/>
    <m/>
    <m/>
    <m/>
    <m/>
    <n v="2338.19472"/>
    <s v="ASME"/>
    <n v="0.12"/>
    <s v="WBC"/>
    <e v="#N/A"/>
    <n v="2618.7780864000001"/>
    <n v="0"/>
    <n v="2618.77808640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618.77808640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19"/>
    <m/>
    <s v="Eco2 Tube Assy"/>
    <s v="Plate"/>
    <m/>
    <m/>
    <x v="11"/>
    <m/>
    <m/>
    <m/>
    <m/>
    <m/>
    <n v="98.895869999999988"/>
    <s v="ASME"/>
    <n v="0.12"/>
    <s v="WBC"/>
    <e v="#N/A"/>
    <n v="110.7633744"/>
    <n v="0"/>
    <n v="110.7633744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10.7633744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0"/>
    <m/>
    <s v="Eco2 Outlet Terminal Tubes"/>
    <s v="Tube"/>
    <m/>
    <m/>
    <x v="11"/>
    <m/>
    <m/>
    <m/>
    <m/>
    <m/>
    <n v="36917.748172799998"/>
    <s v="ASME"/>
    <e v="#N/A"/>
    <e v="#N/A"/>
    <e v="#N/A"/>
    <e v="#N/A"/>
    <n v="0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1478"/>
    <n v="163"/>
    <m/>
    <x v="1"/>
    <m/>
  </r>
  <r>
    <x v="4"/>
    <x v="4"/>
    <s v="05"/>
    <s v="0520"/>
    <m/>
    <s v="Eco2 Outlet Terminal Tubes"/>
    <s v="Sleeve"/>
    <m/>
    <m/>
    <x v="11"/>
    <m/>
    <m/>
    <m/>
    <m/>
    <m/>
    <n v="632.93199095808006"/>
    <s v="ASME"/>
    <e v="#N/A"/>
    <e v="#N/A"/>
    <e v="#N/A"/>
    <e v="#N/A"/>
    <n v="0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0"/>
    <m/>
    <m/>
    <x v="1"/>
    <m/>
  </r>
  <r>
    <x v="4"/>
    <x v="4"/>
    <s v="05"/>
    <s v="0521"/>
    <m/>
    <s v="Eco2 Outlet HDR"/>
    <s v="Header"/>
    <m/>
    <m/>
    <x v="11"/>
    <m/>
    <m/>
    <m/>
    <m/>
    <m/>
    <n v="14281.612128000002"/>
    <s v="ASME"/>
    <n v="0"/>
    <s v="OUT"/>
    <n v="0"/>
    <n v="14281.612128000002"/>
    <n v="0"/>
    <n v="14281.612128000002"/>
    <s v=" 0-0"/>
    <x v="4"/>
    <s v="Various"/>
    <s v="Piping"/>
    <m/>
    <m/>
    <m/>
    <n v="0"/>
    <x v="0"/>
    <x v="0"/>
    <x v="0"/>
    <x v="0"/>
    <n v="0"/>
    <x v="0"/>
    <s v="KG"/>
    <n v="0"/>
    <n v="0"/>
    <e v="#N/A"/>
    <e v="#N/A"/>
    <n v="14281.612128000002"/>
    <n v="0"/>
    <n v="0"/>
    <n v="0"/>
    <e v="#N/A"/>
    <d v="1899-12-30T00:00:00"/>
    <n v="0"/>
    <d v="1899-12-30T00:00:00"/>
    <d v="2018-03-15T00:00:00"/>
    <d v="2018-07-22T00:00:00"/>
    <n v="4"/>
    <n v="3"/>
    <n v="0"/>
    <n v="0"/>
    <n v="0"/>
    <n v="0"/>
    <n v="0"/>
    <m/>
    <e v="#N/A"/>
    <e v="#N/A"/>
    <n v="1273"/>
    <n v="57"/>
    <m/>
    <x v="2"/>
    <m/>
  </r>
  <r>
    <x v="4"/>
    <x v="4"/>
    <s v="05"/>
    <s v="0521"/>
    <m/>
    <s v="Eco2 Outlet HDR"/>
    <s v="End cap"/>
    <m/>
    <m/>
    <x v="11"/>
    <m/>
    <m/>
    <m/>
    <m/>
    <m/>
    <n v="12.016701210937502"/>
    <s v="ASME"/>
    <n v="0"/>
    <s v="OUT"/>
    <n v="0"/>
    <n v="12.016701210937502"/>
    <n v="0"/>
    <n v="12.016701210937502"/>
    <s v="End cap"/>
    <x v="4"/>
    <s v="Forgings"/>
    <s v="Forgings"/>
    <m/>
    <m/>
    <m/>
    <n v="0"/>
    <x v="0"/>
    <x v="0"/>
    <x v="0"/>
    <x v="0"/>
    <n v="0"/>
    <x v="0"/>
    <s v="KG"/>
    <n v="0"/>
    <n v="0"/>
    <e v="#N/A"/>
    <e v="#N/A"/>
    <n v="12.016701210937502"/>
    <n v="0"/>
    <n v="0"/>
    <n v="0"/>
    <e v="#N/A"/>
    <d v="1899-12-30T00:00:00"/>
    <n v="0"/>
    <d v="1899-12-30T00:00:00"/>
    <d v="2018-03-15T00:00:00"/>
    <d v="2018-07-22T00:00:00"/>
    <n v="4"/>
    <n v="3"/>
    <n v="0"/>
    <n v="0"/>
    <n v="0"/>
    <n v="0"/>
    <n v="0"/>
    <m/>
    <e v="#N/A"/>
    <e v="#N/A"/>
    <n v="0"/>
    <m/>
    <m/>
    <x v="0"/>
    <m/>
  </r>
  <r>
    <x v="4"/>
    <x v="4"/>
    <s v="05"/>
    <s v="0521"/>
    <m/>
    <s v="Eco2 Outlet HDR"/>
    <s v="Nozzles"/>
    <m/>
    <m/>
    <x v="11"/>
    <m/>
    <m/>
    <m/>
    <m/>
    <m/>
    <n v="656.31552307200002"/>
    <s v="ASME"/>
    <e v="#N/A"/>
    <e v="#N/A"/>
    <e v="#N/A"/>
    <e v="#N/A"/>
    <n v="0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0"/>
    <m/>
    <m/>
    <x v="1"/>
    <m/>
  </r>
  <r>
    <x v="4"/>
    <x v="4"/>
    <s v="05"/>
    <s v="0521"/>
    <m/>
    <s v="Eco2 Outlet HDR"/>
    <s v="Nozzles"/>
    <m/>
    <m/>
    <x v="11"/>
    <m/>
    <m/>
    <m/>
    <m/>
    <m/>
    <n v="61.037212499999995"/>
    <s v="ASME"/>
    <n v="0"/>
    <s v="OUT"/>
    <n v="0"/>
    <n v="61.037212499999995"/>
    <n v="0"/>
    <n v="61.037212499999995"/>
    <s v="Nozzles"/>
    <x v="4"/>
    <s v="Forgings"/>
    <s v="Forgings"/>
    <m/>
    <m/>
    <m/>
    <n v="0"/>
    <x v="0"/>
    <x v="0"/>
    <x v="0"/>
    <x v="0"/>
    <n v="0"/>
    <x v="0"/>
    <s v="KG"/>
    <n v="0"/>
    <n v="0"/>
    <e v="#N/A"/>
    <e v="#N/A"/>
    <n v="61.037212499999995"/>
    <n v="0"/>
    <n v="0"/>
    <n v="0"/>
    <e v="#N/A"/>
    <d v="1899-12-30T00:00:00"/>
    <n v="0"/>
    <d v="1899-12-30T00:00:00"/>
    <d v="2018-03-15T00:00:00"/>
    <d v="2018-07-22T00:00:00"/>
    <n v="4"/>
    <n v="3"/>
    <n v="0"/>
    <n v="0"/>
    <n v="0"/>
    <n v="0"/>
    <n v="0"/>
    <m/>
    <e v="#N/A"/>
    <e v="#N/A"/>
    <n v="0"/>
    <m/>
    <m/>
    <x v="0"/>
    <m/>
  </r>
  <r>
    <x v="4"/>
    <x v="4"/>
    <s v="05"/>
    <s v="0521"/>
    <m/>
    <s v="Eco2 Outlet HDR"/>
    <s v="Nozzles"/>
    <m/>
    <m/>
    <x v="11"/>
    <m/>
    <m/>
    <m/>
    <m/>
    <m/>
    <n v="9.4289976000000024"/>
    <s v="ASME"/>
    <e v="#N/A"/>
    <e v="#N/A"/>
    <e v="#N/A"/>
    <e v="#N/A"/>
    <e v="#N/A"/>
    <e v="#N/A"/>
    <s v=" 0-0"/>
    <x v="4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3-15T00:00:00"/>
    <d v="2018-07-22T00:00:00"/>
    <n v="4"/>
    <n v="3"/>
    <n v="0"/>
    <n v="0"/>
    <n v="0"/>
    <n v="0"/>
    <e v="#N/A"/>
    <m/>
    <e v="#N/A"/>
    <e v="#N/A"/>
    <n v="0"/>
    <m/>
    <m/>
    <x v="1"/>
    <m/>
  </r>
  <r>
    <x v="4"/>
    <x v="4"/>
    <s v="05"/>
    <s v="0521"/>
    <m/>
    <s v="Eco2 Outlet HDR"/>
    <s v="Nozzles"/>
    <m/>
    <m/>
    <x v="11"/>
    <m/>
    <m/>
    <m/>
    <m/>
    <m/>
    <n v="3.6457344000000007"/>
    <s v="ASME"/>
    <n v="0"/>
    <s v="OUT"/>
    <n v="0"/>
    <n v="3.6457344000000007"/>
    <n v="1496.3542656"/>
    <n v="1500"/>
    <s v=" 0-0"/>
    <x v="4"/>
    <s v="Various"/>
    <s v="Piping"/>
    <m/>
    <m/>
    <m/>
    <n v="0"/>
    <x v="0"/>
    <x v="0"/>
    <x v="0"/>
    <x v="0"/>
    <n v="0"/>
    <x v="0"/>
    <s v="KG"/>
    <n v="0"/>
    <n v="0"/>
    <e v="#N/A"/>
    <e v="#N/A"/>
    <n v="1500"/>
    <n v="0"/>
    <n v="0"/>
    <n v="0"/>
    <e v="#N/A"/>
    <d v="1899-12-30T00:00:00"/>
    <n v="0"/>
    <d v="1899-12-30T00:00:00"/>
    <d v="2018-03-15T00:00:00"/>
    <d v="2018-07-22T00:00:00"/>
    <n v="4"/>
    <n v="3"/>
    <n v="0"/>
    <n v="0"/>
    <n v="0"/>
    <n v="0"/>
    <n v="0"/>
    <m/>
    <e v="#N/A"/>
    <e v="#N/A"/>
    <n v="0"/>
    <m/>
    <m/>
    <x v="2"/>
    <m/>
  </r>
  <r>
    <x v="4"/>
    <x v="4"/>
    <s v="05"/>
    <s v="0521"/>
    <m/>
    <s v="Eco2 Outlet HDR"/>
    <s v="Plate"/>
    <m/>
    <m/>
    <x v="11"/>
    <m/>
    <m/>
    <m/>
    <m/>
    <m/>
    <n v="12.01"/>
    <s v="ASME"/>
    <n v="0.12"/>
    <s v="WBC"/>
    <e v="#N/A"/>
    <n v="13.451200000000002"/>
    <n v="0"/>
    <n v="13.451200000000002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3.451200000000002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2"/>
    <m/>
    <s v="Eco2 Anti Vibration plate"/>
    <s v="Plate"/>
    <m/>
    <m/>
    <x v="11"/>
    <m/>
    <m/>
    <m/>
    <m/>
    <m/>
    <n v="10248.3948"/>
    <s v="ASME"/>
    <n v="0.12"/>
    <s v="WBC"/>
    <e v="#N/A"/>
    <n v="11478.202176000001"/>
    <n v="0"/>
    <n v="11478.2021760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1478.2021760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2"/>
    <m/>
    <s v="Eco2 Anti Vibration plate"/>
    <s v="Plate"/>
    <m/>
    <m/>
    <x v="11"/>
    <m/>
    <m/>
    <m/>
    <m/>
    <m/>
    <n v="16337.294399999999"/>
    <s v="ASME"/>
    <n v="0.12"/>
    <s v="WBC"/>
    <e v="#N/A"/>
    <n v="18297.769727999999"/>
    <n v="0"/>
    <n v="18297.769727999999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8297.769727999999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2"/>
    <m/>
    <s v="Eco2 Anti Vibration plate"/>
    <s v="Plate"/>
    <m/>
    <m/>
    <x v="11"/>
    <m/>
    <m/>
    <m/>
    <m/>
    <m/>
    <n v="3738.7979999999998"/>
    <s v="ASME"/>
    <n v="0.12"/>
    <s v="WBC"/>
    <e v="#N/A"/>
    <n v="4187.4537600000003"/>
    <n v="0"/>
    <n v="4187.4537600000003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4187.4537600000003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2"/>
    <m/>
    <s v="Eco2 Anti Vibration plate"/>
    <s v="Plate"/>
    <m/>
    <m/>
    <x v="11"/>
    <m/>
    <m/>
    <m/>
    <m/>
    <m/>
    <n v="979.68"/>
    <s v="ASME"/>
    <n v="0.12"/>
    <s v="WBC"/>
    <e v="#N/A"/>
    <n v="1097.2416000000001"/>
    <n v="0"/>
    <n v="1097.24160000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097.24160000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2"/>
    <m/>
    <s v="Eco2 Anti Vibration plate"/>
    <s v="Plate"/>
    <m/>
    <m/>
    <x v="11"/>
    <m/>
    <m/>
    <m/>
    <m/>
    <m/>
    <n v="218.84544"/>
    <s v="ASME"/>
    <n v="0.12"/>
    <s v="WBC"/>
    <e v="#N/A"/>
    <n v="245.10689280000003"/>
    <n v="0"/>
    <n v="245.10689280000003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45.10689280000003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2"/>
    <m/>
    <s v="Eco2 Anti Vibration plate"/>
    <s v="Plate"/>
    <m/>
    <m/>
    <x v="11"/>
    <m/>
    <m/>
    <m/>
    <m/>
    <m/>
    <n v="230.81355000000002"/>
    <s v="ASME"/>
    <n v="0.12"/>
    <s v="WBC"/>
    <e v="#N/A"/>
    <n v="258.51117600000003"/>
    <n v="0"/>
    <n v="258.51117600000003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58.51117600000003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2"/>
    <m/>
    <s v="Eco2 Anti Vibration plate"/>
    <s v="Plate"/>
    <m/>
    <m/>
    <x v="11"/>
    <m/>
    <m/>
    <m/>
    <m/>
    <m/>
    <n v="88.171199999999999"/>
    <s v="ASME"/>
    <n v="0.12"/>
    <s v="WBC"/>
    <e v="#N/A"/>
    <n v="98.751744000000002"/>
    <n v="0"/>
    <n v="98.751744000000002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98.751744000000002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2"/>
    <m/>
    <s v="Eco2 Anti Vibration plate"/>
    <s v="Plate"/>
    <m/>
    <m/>
    <x v="11"/>
    <m/>
    <m/>
    <m/>
    <m/>
    <m/>
    <n v="267.49973999999997"/>
    <s v="ASME"/>
    <n v="0.12"/>
    <s v="WBC"/>
    <e v="#N/A"/>
    <n v="299.59970879999997"/>
    <n v="0"/>
    <n v="299.59970879999997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99.59970879999997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2"/>
    <m/>
    <s v="Eco2 Anti Vibration plate"/>
    <s v="Plate"/>
    <m/>
    <m/>
    <x v="11"/>
    <m/>
    <m/>
    <m/>
    <m/>
    <m/>
    <n v="172.24846799999997"/>
    <s v="ASME"/>
    <n v="0.12"/>
    <s v="WBC"/>
    <e v="#N/A"/>
    <n v="192.91828415999998"/>
    <n v="0"/>
    <n v="192.91828415999998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92.91828415999998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2"/>
    <m/>
    <s v="Eco2 Anti Vibration plate"/>
    <s v="Plate"/>
    <m/>
    <m/>
    <x v="11"/>
    <m/>
    <m/>
    <m/>
    <m/>
    <m/>
    <n v="30.663983999999999"/>
    <s v="ASME"/>
    <n v="0.12"/>
    <s v="WBC"/>
    <e v="#N/A"/>
    <n v="34.343662080000001"/>
    <n v="0"/>
    <n v="34.3436620800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34.3436620800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2"/>
    <m/>
    <s v="Eco2 Anti Vibration plate"/>
    <s v="Plate"/>
    <m/>
    <m/>
    <x v="11"/>
    <m/>
    <m/>
    <m/>
    <m/>
    <m/>
    <n v="74.901245999999986"/>
    <s v="ASME"/>
    <n v="0.12"/>
    <s v="WBC"/>
    <e v="#N/A"/>
    <n v="83.889395519999994"/>
    <n v="0"/>
    <n v="83.889395519999994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83.889395519999994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2"/>
    <m/>
    <s v="Eco2 Anti Vibration plate"/>
    <s v="Plate"/>
    <m/>
    <m/>
    <x v="11"/>
    <m/>
    <m/>
    <m/>
    <m/>
    <m/>
    <n v="13.225680000000001"/>
    <s v="ASME"/>
    <n v="0.12"/>
    <s v="WBC"/>
    <e v="#N/A"/>
    <n v="14.812761600000002"/>
    <n v="0"/>
    <n v="14.812761600000002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4.812761600000002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2"/>
    <m/>
    <s v="Eco2 Anti Vibration plate"/>
    <s v="Plate"/>
    <m/>
    <m/>
    <x v="11"/>
    <m/>
    <m/>
    <m/>
    <m/>
    <m/>
    <n v="25.61769"/>
    <s v="ASME"/>
    <n v="0.12"/>
    <s v="WBC"/>
    <e v="#N/A"/>
    <n v="28.691812800000001"/>
    <n v="0"/>
    <n v="28.6918128000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8.6918128000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2"/>
    <m/>
    <s v="Eco2 Anti Vibration plate"/>
    <s v="Plate"/>
    <m/>
    <m/>
    <x v="11"/>
    <m/>
    <m/>
    <m/>
    <m/>
    <m/>
    <n v="369.32287499999995"/>
    <s v="ASME"/>
    <n v="0.12"/>
    <s v="WBC"/>
    <e v="#N/A"/>
    <n v="413.64161999999999"/>
    <n v="0"/>
    <n v="413.64161999999999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413.64161999999999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2"/>
    <m/>
    <s v="Eco2 Anti Vibration plate"/>
    <s v="Plate"/>
    <m/>
    <m/>
    <x v="11"/>
    <m/>
    <m/>
    <m/>
    <m/>
    <m/>
    <n v="2.9947500000000002"/>
    <s v="ASME"/>
    <n v="0.12"/>
    <s v="WBC"/>
    <e v="#N/A"/>
    <n v="3.3541200000000004"/>
    <n v="0"/>
    <n v="3.3541200000000004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3.3541200000000004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3"/>
    <m/>
    <s v="Eco2 Inlet HDR Suspension"/>
    <s v="Rod"/>
    <m/>
    <m/>
    <x v="11"/>
    <m/>
    <m/>
    <m/>
    <m/>
    <m/>
    <n v="187.49299958999995"/>
    <s v="ASME"/>
    <n v="0.12"/>
    <s v="WBC"/>
    <e v="#N/A"/>
    <n v="209.99215954079997"/>
    <n v="0"/>
    <n v="209.99215954079997"/>
    <s v=""/>
    <x v="4"/>
    <s v="Rod"/>
    <s v="Rod"/>
    <m/>
    <m/>
    <m/>
    <n v="0"/>
    <x v="2"/>
    <x v="0"/>
    <x v="0"/>
    <x v="0"/>
    <n v="0"/>
    <x v="0"/>
    <s v="KG"/>
    <n v="0"/>
    <n v="0"/>
    <n v="0"/>
    <n v="0"/>
    <n v="209.99215954079997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3"/>
    <m/>
    <s v="Eco2 Inlet HDR Suspension"/>
    <s v="Bolt"/>
    <m/>
    <m/>
    <x v="11"/>
    <m/>
    <m/>
    <m/>
    <m/>
    <m/>
    <n v="26.8"/>
    <s v="ASME"/>
    <n v="0"/>
    <s v="OUT"/>
    <n v="0"/>
    <n v="26.8"/>
    <n v="0"/>
    <n v="26.8"/>
    <s v="Bolt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26.8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23"/>
    <m/>
    <s v="Eco2 Inlet HDR Suspension"/>
    <s v="Pin"/>
    <m/>
    <m/>
    <x v="11"/>
    <m/>
    <m/>
    <m/>
    <m/>
    <m/>
    <n v="0.4"/>
    <s v="ASME"/>
    <n v="0"/>
    <s v="OUT"/>
    <n v="0"/>
    <n v="0.4"/>
    <n v="0"/>
    <n v="0.4"/>
    <s v="Pin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0.4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23"/>
    <m/>
    <s v="Eco2 Inlet HDR Suspension"/>
    <s v="Plate"/>
    <m/>
    <m/>
    <x v="11"/>
    <m/>
    <m/>
    <m/>
    <m/>
    <m/>
    <n v="2520"/>
    <s v="ASME"/>
    <n v="0.12"/>
    <s v="WBC"/>
    <e v="#N/A"/>
    <n v="2822.4"/>
    <n v="0"/>
    <n v="2822.4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822.4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3"/>
    <m/>
    <s v="Eco2 Inlet HDR Suspension"/>
    <s v="Plate"/>
    <m/>
    <m/>
    <x v="11"/>
    <m/>
    <m/>
    <m/>
    <m/>
    <m/>
    <n v="9.9"/>
    <s v="ASME"/>
    <n v="0.12"/>
    <s v="WBC"/>
    <e v="#N/A"/>
    <n v="11.088000000000001"/>
    <n v="0"/>
    <n v="11.0880000000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1.0880000000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3"/>
    <m/>
    <s v="Eco2 Inlet HDR Suspension"/>
    <s v="Washer"/>
    <m/>
    <m/>
    <x v="11"/>
    <m/>
    <m/>
    <m/>
    <m/>
    <m/>
    <n v="2.96"/>
    <s v="ASME"/>
    <n v="0"/>
    <s v="OUT"/>
    <n v="0"/>
    <n v="2.96"/>
    <n v="0"/>
    <n v="2.96"/>
    <s v="Washer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2.96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23"/>
    <m/>
    <s v="Eco2 Inlet HDR Suspension"/>
    <s v="Nut"/>
    <m/>
    <m/>
    <x v="11"/>
    <m/>
    <m/>
    <m/>
    <m/>
    <m/>
    <n v="17"/>
    <s v="ASME"/>
    <n v="0"/>
    <s v="OUT"/>
    <n v="0"/>
    <n v="17"/>
    <n v="0"/>
    <n v="17"/>
    <s v="Nut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17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23"/>
    <m/>
    <s v="Eco2 Inlet HDR Suspension"/>
    <s v="Plate"/>
    <m/>
    <m/>
    <x v="11"/>
    <m/>
    <m/>
    <m/>
    <m/>
    <m/>
    <n v="18.84"/>
    <s v="ASME"/>
    <n v="0.12"/>
    <s v="WBC"/>
    <e v="#N/A"/>
    <n v="21.100800000000003"/>
    <n v="0"/>
    <n v="21.100800000000003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1.100800000000003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3"/>
    <m/>
    <s v="Eco2 Inlet HDR Suspension"/>
    <s v="Plate"/>
    <m/>
    <m/>
    <x v="11"/>
    <m/>
    <m/>
    <m/>
    <m/>
    <m/>
    <n v="136.58058"/>
    <s v="ASME"/>
    <n v="0.12"/>
    <s v="WBC"/>
    <e v="#N/A"/>
    <n v="152.97024960000002"/>
    <n v="0"/>
    <n v="152.97024960000002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52.97024960000002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3"/>
    <m/>
    <s v="Eco2 Inlet HDR Suspension"/>
    <s v="Plate"/>
    <m/>
    <m/>
    <x v="11"/>
    <m/>
    <m/>
    <m/>
    <m/>
    <m/>
    <n v="55.389600000000002"/>
    <s v="ASME"/>
    <n v="0.12"/>
    <s v="WBC"/>
    <e v="#N/A"/>
    <n v="62.036352000000008"/>
    <n v="0"/>
    <n v="62.036352000000008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62.036352000000008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3"/>
    <m/>
    <s v="Eco2 Inlet HDR Suspension"/>
    <s v="Plate"/>
    <m/>
    <m/>
    <x v="11"/>
    <m/>
    <m/>
    <m/>
    <m/>
    <m/>
    <n v="19.16656"/>
    <s v="ASME"/>
    <n v="0.12"/>
    <s v="WBC"/>
    <e v="#N/A"/>
    <n v="21.466547200000001"/>
    <n v="0"/>
    <n v="21.4665472000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1.4665472000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3"/>
    <m/>
    <s v="Eco2 Inlet HDR Suspension"/>
    <s v="Plate"/>
    <m/>
    <m/>
    <x v="11"/>
    <m/>
    <m/>
    <m/>
    <m/>
    <m/>
    <n v="5.5389600000000003"/>
    <s v="ASME"/>
    <n v="0.12"/>
    <s v="WBC"/>
    <e v="#N/A"/>
    <n v="6.2036352000000008"/>
    <n v="0"/>
    <n v="6.2036352000000008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6.2036352000000008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4"/>
    <m/>
    <s v="Eco2 Outlet HDR Suspension"/>
    <s v="Rod"/>
    <m/>
    <m/>
    <x v="11"/>
    <m/>
    <m/>
    <m/>
    <m/>
    <m/>
    <n v="187.49299958999995"/>
    <s v="ASME"/>
    <n v="0.12"/>
    <s v="WBC"/>
    <e v="#N/A"/>
    <n v="209.99215954079997"/>
    <n v="0"/>
    <n v="209.99215954079997"/>
    <s v=""/>
    <x v="4"/>
    <s v="Rod"/>
    <s v="Rod"/>
    <m/>
    <m/>
    <m/>
    <n v="0"/>
    <x v="2"/>
    <x v="0"/>
    <x v="0"/>
    <x v="0"/>
    <n v="0"/>
    <x v="0"/>
    <s v="KG"/>
    <n v="0"/>
    <n v="0"/>
    <n v="0"/>
    <n v="0"/>
    <n v="209.99215954079997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4"/>
    <m/>
    <s v="Eco2 Outlet HDR Suspension"/>
    <s v="Bolt"/>
    <m/>
    <m/>
    <x v="11"/>
    <m/>
    <m/>
    <m/>
    <m/>
    <m/>
    <n v="26.8"/>
    <s v="ASME"/>
    <n v="0"/>
    <s v="OUT"/>
    <n v="0"/>
    <n v="26.8"/>
    <n v="0"/>
    <n v="26.8"/>
    <s v="Bolt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26.8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24"/>
    <m/>
    <s v="Eco2 Outlet HDR Suspension"/>
    <s v="Pin"/>
    <m/>
    <m/>
    <x v="11"/>
    <m/>
    <m/>
    <m/>
    <m/>
    <m/>
    <n v="0.4"/>
    <s v="ASME"/>
    <n v="0"/>
    <s v="OUT"/>
    <n v="0"/>
    <n v="0.4"/>
    <n v="0"/>
    <n v="0.4"/>
    <s v="Pin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0.4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24"/>
    <m/>
    <s v="Eco2 Outlet HDR Suspension"/>
    <s v="Plate"/>
    <m/>
    <m/>
    <x v="11"/>
    <m/>
    <m/>
    <m/>
    <m/>
    <m/>
    <n v="2520"/>
    <s v="ASME"/>
    <n v="0.12"/>
    <s v="WBC"/>
    <e v="#N/A"/>
    <n v="2822.4"/>
    <n v="0"/>
    <n v="2822.4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822.4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4"/>
    <m/>
    <s v="Eco2 Outlet HDR Suspension"/>
    <s v="Plate"/>
    <m/>
    <m/>
    <x v="11"/>
    <m/>
    <m/>
    <m/>
    <m/>
    <m/>
    <n v="9.9"/>
    <s v="ASME"/>
    <n v="0.12"/>
    <s v="WBC"/>
    <e v="#N/A"/>
    <n v="11.088000000000001"/>
    <n v="0"/>
    <n v="11.0880000000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1.0880000000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4"/>
    <m/>
    <s v="Eco2 Outlet HDR Suspension"/>
    <s v="Washer"/>
    <m/>
    <m/>
    <x v="11"/>
    <m/>
    <m/>
    <m/>
    <m/>
    <m/>
    <n v="2.96"/>
    <s v="ASME"/>
    <n v="0"/>
    <s v="OUT"/>
    <n v="0"/>
    <n v="2.96"/>
    <n v="0"/>
    <n v="2.96"/>
    <s v="Washer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2.96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24"/>
    <m/>
    <s v="Eco2 Outlet HDR Suspension"/>
    <s v="Nut"/>
    <m/>
    <m/>
    <x v="11"/>
    <m/>
    <m/>
    <m/>
    <m/>
    <m/>
    <n v="17"/>
    <s v="ASME"/>
    <n v="0"/>
    <s v="OUT"/>
    <n v="0"/>
    <n v="17"/>
    <n v="0"/>
    <n v="17"/>
    <s v="Nut"/>
    <x v="4"/>
    <s v="Various"/>
    <s v="Various"/>
    <m/>
    <m/>
    <m/>
    <n v="0"/>
    <x v="0"/>
    <x v="0"/>
    <x v="0"/>
    <x v="0"/>
    <n v="0"/>
    <x v="0"/>
    <s v="KG"/>
    <n v="0"/>
    <n v="0"/>
    <e v="#N/A"/>
    <e v="#N/A"/>
    <n v="17"/>
    <n v="0"/>
    <n v="0"/>
    <n v="0"/>
    <e v="#N/A"/>
    <d v="1899-12-30T00:00:00"/>
    <n v="0"/>
    <d v="1899-12-30T00:00:00"/>
    <d v="2018-06-18T00:00:00"/>
    <d v="2018-10-15T00:00:00"/>
    <n v="4"/>
    <n v="6"/>
    <n v="0"/>
    <n v="0"/>
    <n v="0"/>
    <n v="0"/>
    <n v="0"/>
    <m/>
    <e v="#N/A"/>
    <e v="#N/A"/>
    <n v="0"/>
    <m/>
    <m/>
    <x v="2"/>
    <m/>
  </r>
  <r>
    <x v="4"/>
    <x v="4"/>
    <s v="05"/>
    <s v="0524"/>
    <m/>
    <s v="Eco2 Outlet HDR Suspension"/>
    <s v="Plate"/>
    <m/>
    <m/>
    <x v="11"/>
    <m/>
    <m/>
    <m/>
    <m/>
    <m/>
    <n v="18.331319999999998"/>
    <s v="ASME"/>
    <n v="0.12"/>
    <s v="WBC"/>
    <e v="#N/A"/>
    <n v="20.531078399999998"/>
    <n v="0"/>
    <n v="20.531078399999998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0.531078399999998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4"/>
    <m/>
    <s v="Eco2 Outlet HDR Suspension"/>
    <s v="Plate"/>
    <m/>
    <m/>
    <x v="11"/>
    <m/>
    <m/>
    <m/>
    <m/>
    <m/>
    <n v="136.58058"/>
    <s v="ASME"/>
    <n v="0.12"/>
    <s v="WBC"/>
    <e v="#N/A"/>
    <n v="152.97024960000002"/>
    <n v="0"/>
    <n v="152.97024960000002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152.97024960000002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4"/>
    <m/>
    <s v="Eco2 Outlet HDR Suspension"/>
    <s v="Plate"/>
    <m/>
    <m/>
    <x v="11"/>
    <m/>
    <m/>
    <m/>
    <m/>
    <m/>
    <n v="55.389600000000002"/>
    <s v="ASME"/>
    <n v="0.12"/>
    <s v="WBC"/>
    <e v="#N/A"/>
    <n v="62.036352000000008"/>
    <n v="0"/>
    <n v="62.036352000000008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62.036352000000008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4"/>
    <m/>
    <s v="Eco2 Outlet HDR Suspension"/>
    <s v="Plate"/>
    <m/>
    <m/>
    <x v="11"/>
    <m/>
    <m/>
    <m/>
    <m/>
    <m/>
    <n v="19.16656"/>
    <s v="ASME"/>
    <n v="0.12"/>
    <s v="WBC"/>
    <e v="#N/A"/>
    <n v="21.466547200000001"/>
    <n v="0"/>
    <n v="21.466547200000001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21.466547200000001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4"/>
    <x v="4"/>
    <s v="05"/>
    <s v="0524"/>
    <m/>
    <s v="Eco2 Outlet HDR Suspension"/>
    <s v="Plate"/>
    <m/>
    <m/>
    <x v="11"/>
    <m/>
    <m/>
    <m/>
    <m/>
    <m/>
    <n v="5.5389600000000003"/>
    <s v="ASME"/>
    <n v="0.12"/>
    <s v="WBC"/>
    <e v="#N/A"/>
    <n v="6.2036352000000008"/>
    <n v="0"/>
    <n v="6.2036352000000008"/>
    <s v=""/>
    <x v="4"/>
    <s v="Plate"/>
    <s v="Plate"/>
    <m/>
    <m/>
    <m/>
    <n v="0"/>
    <x v="2"/>
    <x v="0"/>
    <x v="0"/>
    <x v="0"/>
    <n v="0"/>
    <x v="0"/>
    <s v="KG"/>
    <n v="0"/>
    <n v="0"/>
    <n v="0"/>
    <n v="0"/>
    <n v="6.2036352000000008"/>
    <n v="0"/>
    <n v="0"/>
    <n v="0"/>
    <n v="0"/>
    <d v="1899-12-30T00:00:00"/>
    <n v="0"/>
    <d v="1899-12-30T00:00:00"/>
    <d v="2018-06-18T00:00:00"/>
    <d v="2018-10-15T00:00:00"/>
    <n v="4"/>
    <n v="6"/>
    <n v="0"/>
    <n v="0"/>
    <n v="0"/>
    <n v="0"/>
    <e v="#N/A"/>
    <m/>
    <n v="0"/>
    <n v="0"/>
    <n v="0"/>
    <m/>
    <m/>
    <x v="2"/>
    <m/>
  </r>
  <r>
    <x v="0"/>
    <x v="0"/>
    <s v="31"/>
    <s v="3101"/>
    <m/>
    <s v="FURN Outlet to Distributors Links"/>
    <s v="Pipe"/>
    <m/>
    <m/>
    <x v="11"/>
    <m/>
    <m/>
    <m/>
    <m/>
    <m/>
    <n v="51766.272000000004"/>
    <s v="ASME"/>
    <n v="0"/>
    <s v="OUT"/>
    <n v="0"/>
    <n v="51766.272000000004"/>
    <n v="0"/>
    <n v="51766.272000000004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51766.272000000004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831"/>
    <n v="85"/>
    <m/>
    <x v="2"/>
    <m/>
  </r>
  <r>
    <x v="0"/>
    <x v="0"/>
    <s v="31"/>
    <s v="3101"/>
    <m/>
    <s v="FURN Outlet to Distributors Links"/>
    <s v="90elbow"/>
    <m/>
    <m/>
    <x v="11"/>
    <m/>
    <m/>
    <m/>
    <m/>
    <m/>
    <n v="2318.5627919999997"/>
    <s v="ASME"/>
    <n v="0"/>
    <s v="OUT"/>
    <n v="0"/>
    <n v="2318.5627919999997"/>
    <n v="0"/>
    <n v="2318.5627919999997"/>
    <s v="90elbow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2318.5627919999997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01"/>
    <m/>
    <s v="FURN Outlet to Distributors Links"/>
    <s v="Fittings"/>
    <m/>
    <m/>
    <x v="11"/>
    <m/>
    <m/>
    <m/>
    <m/>
    <m/>
    <n v="320"/>
    <s v="ASME"/>
    <n v="0.12"/>
    <s v="WBC"/>
    <e v="#N/A"/>
    <n v="358.40000000000003"/>
    <n v="0"/>
    <n v="358.40000000000003"/>
    <s v=""/>
    <x v="0"/>
    <s v="Plate"/>
    <s v="Plate"/>
    <m/>
    <m/>
    <m/>
    <n v="0"/>
    <x v="2"/>
    <x v="0"/>
    <x v="0"/>
    <x v="0"/>
    <n v="0"/>
    <x v="0"/>
    <s v="KG"/>
    <n v="0"/>
    <n v="0"/>
    <n v="0"/>
    <n v="0"/>
    <n v="358.40000000000003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0"/>
    <x v="0"/>
    <s v="31"/>
    <s v="3102"/>
    <m/>
    <s v="Cyclone Inlet Distributors"/>
    <s v="Header"/>
    <m/>
    <m/>
    <x v="11"/>
    <m/>
    <m/>
    <m/>
    <m/>
    <m/>
    <n v="6507.4583520000006"/>
    <s v="ASME"/>
    <n v="0"/>
    <s v="OUT"/>
    <n v="0"/>
    <n v="6507.4583520000006"/>
    <n v="0"/>
    <n v="6507.4583520000006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6507.4583520000006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170"/>
    <n v="15"/>
    <m/>
    <x v="2"/>
    <m/>
  </r>
  <r>
    <x v="0"/>
    <x v="0"/>
    <s v="31"/>
    <s v="3102"/>
    <m/>
    <s v="Cyclone Inlet Distributors"/>
    <s v="Nozzle"/>
    <m/>
    <m/>
    <x v="11"/>
    <m/>
    <m/>
    <m/>
    <m/>
    <m/>
    <n v="1.3828590864000001"/>
    <s v="ASME"/>
    <e v="#N/A"/>
    <e v="#N/A"/>
    <e v="#N/A"/>
    <e v="#N/A"/>
    <n v="0"/>
    <e v="#N/A"/>
    <s v=" 0-0"/>
    <x v="0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0"/>
    <x v="0"/>
    <s v="31"/>
    <s v="3102"/>
    <m/>
    <s v="Cyclone Inlet Distributors"/>
    <s v="Nozzle"/>
    <m/>
    <m/>
    <x v="11"/>
    <m/>
    <m/>
    <m/>
    <m/>
    <m/>
    <n v="615.45638880000013"/>
    <s v="ASME"/>
    <n v="0"/>
    <s v="OUT"/>
    <n v="0"/>
    <n v="615.45638880000013"/>
    <n v="0"/>
    <n v="615.45638880000013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615.45638880000013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0"/>
    <x v="0"/>
    <s v="31"/>
    <s v="3103"/>
    <m/>
    <s v="Distributors to Cyclone Links"/>
    <s v="Pipe"/>
    <m/>
    <m/>
    <x v="11"/>
    <m/>
    <m/>
    <m/>
    <m/>
    <m/>
    <n v="11190.116160000001"/>
    <s v="ASME"/>
    <n v="0"/>
    <s v="OUT"/>
    <n v="0"/>
    <n v="11190.116160000001"/>
    <n v="0"/>
    <n v="11190.116160000001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11190.116160000001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180"/>
    <n v="19"/>
    <m/>
    <x v="2"/>
    <m/>
  </r>
  <r>
    <x v="0"/>
    <x v="0"/>
    <s v="31"/>
    <s v="3103"/>
    <m/>
    <s v="Distributors to Cyclone Links"/>
    <s v="Reducer"/>
    <m/>
    <m/>
    <x v="11"/>
    <m/>
    <m/>
    <m/>
    <m/>
    <m/>
    <n v="480"/>
    <s v="ASME"/>
    <n v="0"/>
    <s v="OUT"/>
    <n v="0"/>
    <n v="480"/>
    <n v="0"/>
    <n v="480"/>
    <s v="Reducer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480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04"/>
    <m/>
    <s v="SH1 Inlet Links"/>
    <s v="Pipe"/>
    <m/>
    <m/>
    <x v="11"/>
    <m/>
    <m/>
    <m/>
    <m/>
    <m/>
    <n v="17567.784000000003"/>
    <s v="ASME"/>
    <n v="0"/>
    <s v="OUT"/>
    <n v="0"/>
    <n v="17567.784000000003"/>
    <n v="0"/>
    <n v="17567.784000000003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17567.784000000003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490"/>
    <n v="48"/>
    <m/>
    <x v="2"/>
    <m/>
  </r>
  <r>
    <x v="0"/>
    <x v="0"/>
    <s v="31"/>
    <s v="3104"/>
    <m/>
    <s v="SH1 Inlet Links"/>
    <s v="90elbow"/>
    <m/>
    <m/>
    <x v="11"/>
    <m/>
    <m/>
    <m/>
    <m/>
    <m/>
    <n v="2470.3007040000002"/>
    <s v="ASME"/>
    <n v="0"/>
    <s v="OUT"/>
    <n v="0"/>
    <n v="2470.3007040000002"/>
    <n v="0"/>
    <n v="2470.3007040000002"/>
    <s v="90elbow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2470.3007040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04"/>
    <m/>
    <s v="SH1 Inlet Links"/>
    <s v="Plate"/>
    <m/>
    <m/>
    <x v="11"/>
    <m/>
    <m/>
    <m/>
    <m/>
    <m/>
    <n v="100"/>
    <s v="ASME"/>
    <n v="0.12"/>
    <s v="WBC"/>
    <e v="#N/A"/>
    <n v="112.00000000000001"/>
    <n v="0"/>
    <n v="112.00000000000001"/>
    <s v=""/>
    <x v="0"/>
    <s v="Plate"/>
    <s v="Plate"/>
    <m/>
    <m/>
    <m/>
    <n v="0"/>
    <x v="2"/>
    <x v="0"/>
    <x v="0"/>
    <x v="0"/>
    <n v="0"/>
    <x v="0"/>
    <s v="KG"/>
    <n v="0"/>
    <n v="0"/>
    <n v="0"/>
    <n v="0"/>
    <n v="112.00000000000001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0"/>
    <x v="0"/>
    <s v="31"/>
    <s v="3105"/>
    <m/>
    <s v="SH1 Outlet to SC1 Links"/>
    <s v="Pipe"/>
    <m/>
    <m/>
    <x v="11"/>
    <m/>
    <m/>
    <m/>
    <m/>
    <m/>
    <n v="26626.141800000005"/>
    <s v="ASME"/>
    <n v="0"/>
    <s v="OUT"/>
    <n v="0"/>
    <n v="26626.141800000005"/>
    <n v="0"/>
    <n v="26626.141800000005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26626.141800000005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699"/>
    <n v="70"/>
    <m/>
    <x v="2"/>
    <m/>
  </r>
  <r>
    <x v="0"/>
    <x v="0"/>
    <s v="31"/>
    <s v="3105"/>
    <m/>
    <s v="SH1 Outlet to SC1 Links"/>
    <s v="90elbow"/>
    <m/>
    <m/>
    <x v="11"/>
    <m/>
    <m/>
    <m/>
    <m/>
    <m/>
    <n v="1400.6589012000002"/>
    <s v="ASME"/>
    <n v="0"/>
    <s v="OUT"/>
    <n v="0"/>
    <n v="1400.6589012000002"/>
    <n v="0"/>
    <n v="1400.6589012000002"/>
    <s v="90elbow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1400.6589012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05"/>
    <m/>
    <s v="SH1 Outlet to SC1 Links"/>
    <s v="Fittings"/>
    <m/>
    <m/>
    <x v="11"/>
    <m/>
    <m/>
    <m/>
    <m/>
    <m/>
    <n v="2092"/>
    <s v="ASME"/>
    <n v="0"/>
    <s v="OUT"/>
    <n v="0"/>
    <n v="2092"/>
    <n v="0"/>
    <n v="2092"/>
    <s v="Fittings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209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06"/>
    <m/>
    <s v="SC1 to SH2 Inlet Links"/>
    <s v="Pipe"/>
    <m/>
    <m/>
    <x v="11"/>
    <m/>
    <m/>
    <m/>
    <m/>
    <m/>
    <n v="39010.393800000005"/>
    <s v="ASME"/>
    <n v="0"/>
    <s v="OUT"/>
    <n v="0"/>
    <n v="39010.393800000005"/>
    <n v="0"/>
    <n v="39010.393800000005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39010.393800000005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1320"/>
    <n v="130"/>
    <m/>
    <x v="2"/>
    <m/>
  </r>
  <r>
    <x v="0"/>
    <x v="0"/>
    <s v="31"/>
    <s v="3106"/>
    <m/>
    <s v="SC1 to SH2 Inlet Links"/>
    <s v="90elbow"/>
    <m/>
    <m/>
    <x v="11"/>
    <m/>
    <m/>
    <m/>
    <m/>
    <m/>
    <n v="1400.6589012000002"/>
    <s v="ASME"/>
    <n v="0"/>
    <s v="OUT"/>
    <n v="0"/>
    <n v="1400.6589012000002"/>
    <n v="0"/>
    <n v="1400.6589012000002"/>
    <s v="90elbow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1400.6589012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06"/>
    <m/>
    <s v="SC1 to SH2 Inlet Links"/>
    <s v="Fittings"/>
    <m/>
    <m/>
    <x v="11"/>
    <m/>
    <m/>
    <m/>
    <m/>
    <m/>
    <n v="98.8"/>
    <s v="ASME"/>
    <n v="0"/>
    <s v="OUT"/>
    <n v="0"/>
    <n v="98.8"/>
    <n v="0"/>
    <n v="98.8"/>
    <s v="Fittings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98.8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07"/>
    <m/>
    <s v="SH2 Outlet to SC2 Links"/>
    <s v="Pipe"/>
    <m/>
    <m/>
    <x v="11"/>
    <m/>
    <m/>
    <m/>
    <m/>
    <m/>
    <n v="19270.310400000002"/>
    <s v="ASME"/>
    <n v="0"/>
    <s v="OUT"/>
    <n v="0"/>
    <n v="19270.310400000002"/>
    <n v="0"/>
    <n v="19270.310400000002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19270.310400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465"/>
    <n v="46"/>
    <m/>
    <x v="2"/>
    <m/>
  </r>
  <r>
    <x v="0"/>
    <x v="0"/>
    <s v="31"/>
    <s v="3107"/>
    <m/>
    <s v="SH2 Outlet to SC2 Links"/>
    <s v="90elbow"/>
    <m/>
    <m/>
    <x v="11"/>
    <m/>
    <m/>
    <m/>
    <m/>
    <m/>
    <n v="1422.4992768000002"/>
    <s v="ASME"/>
    <n v="0"/>
    <s v="OUT"/>
    <n v="0"/>
    <n v="1422.4992768000002"/>
    <n v="0"/>
    <n v="1422.4992768000002"/>
    <s v="90elbow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1422.4992768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07"/>
    <m/>
    <s v="SH2 Outlet to SC2 Links"/>
    <s v="Reducer"/>
    <m/>
    <m/>
    <x v="11"/>
    <m/>
    <m/>
    <m/>
    <m/>
    <m/>
    <n v="800"/>
    <s v="ASME"/>
    <n v="0"/>
    <s v="OUT"/>
    <n v="0"/>
    <n v="800"/>
    <n v="0"/>
    <n v="800"/>
    <s v="Reducer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800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07"/>
    <m/>
    <s v="SH2 Outlet to SC2 Links"/>
    <s v="Fittings"/>
    <m/>
    <m/>
    <x v="11"/>
    <m/>
    <m/>
    <m/>
    <m/>
    <m/>
    <n v="114"/>
    <s v="ASME"/>
    <n v="0"/>
    <s v="OUT"/>
    <n v="0"/>
    <n v="114"/>
    <n v="0"/>
    <n v="114"/>
    <s v="Fittings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114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08"/>
    <m/>
    <s v="SC2 to SH3 Inlet Links"/>
    <s v="Pipe"/>
    <m/>
    <m/>
    <x v="11"/>
    <m/>
    <m/>
    <m/>
    <m/>
    <m/>
    <n v="19270.310400000002"/>
    <s v="ASME"/>
    <n v="0"/>
    <s v="OUT"/>
    <n v="0"/>
    <n v="19270.310400000002"/>
    <n v="0"/>
    <n v="19270.310400000002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19270.310400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465"/>
    <n v="46"/>
    <m/>
    <x v="2"/>
    <m/>
  </r>
  <r>
    <x v="0"/>
    <x v="0"/>
    <s v="31"/>
    <s v="3108"/>
    <m/>
    <s v="SC2 to SH3 Inlet Links"/>
    <s v="90elbow"/>
    <m/>
    <m/>
    <x v="11"/>
    <m/>
    <m/>
    <m/>
    <m/>
    <m/>
    <n v="1422.4992768000002"/>
    <s v="ASME"/>
    <n v="0"/>
    <s v="OUT"/>
    <n v="0"/>
    <n v="1422.4992768000002"/>
    <n v="0"/>
    <n v="1422.4992768000002"/>
    <s v="90elbow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1422.4992768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08"/>
    <m/>
    <s v="SC2 to SH3 Inlet Links"/>
    <s v="Reducer"/>
    <m/>
    <m/>
    <x v="11"/>
    <m/>
    <m/>
    <m/>
    <m/>
    <m/>
    <n v="800"/>
    <s v="ASME"/>
    <n v="0"/>
    <s v="OUT"/>
    <n v="0"/>
    <n v="800"/>
    <n v="0"/>
    <n v="800"/>
    <s v="Reducer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800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08"/>
    <m/>
    <s v="SC2 to SH3 Inlet Links"/>
    <s v="Fittings"/>
    <m/>
    <m/>
    <x v="11"/>
    <m/>
    <m/>
    <m/>
    <m/>
    <m/>
    <n v="114"/>
    <s v="ASME"/>
    <n v="0"/>
    <s v="OUT"/>
    <n v="0"/>
    <n v="114"/>
    <n v="0"/>
    <n v="114"/>
    <s v="Fittings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114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09"/>
    <m/>
    <s v="RH1 Outlet to RHSC Links"/>
    <s v="Pipe"/>
    <m/>
    <m/>
    <x v="11"/>
    <m/>
    <m/>
    <m/>
    <m/>
    <m/>
    <n v="13697.397000000003"/>
    <s v="ASME"/>
    <n v="0"/>
    <s v="OUT"/>
    <n v="0"/>
    <n v="13697.397000000003"/>
    <n v="0"/>
    <n v="13697.397000000003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13697.397000000003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192"/>
    <n v="19"/>
    <m/>
    <x v="2"/>
    <m/>
  </r>
  <r>
    <x v="0"/>
    <x v="0"/>
    <s v="31"/>
    <s v="3109"/>
    <m/>
    <s v="RH1 Outlet to RHSC Links"/>
    <s v="90elbow"/>
    <m/>
    <m/>
    <x v="11"/>
    <m/>
    <m/>
    <m/>
    <m/>
    <m/>
    <n v="1500.7582800000002"/>
    <s v="ASME"/>
    <n v="0"/>
    <s v="OUT"/>
    <n v="0"/>
    <n v="1500.7582800000002"/>
    <n v="0"/>
    <n v="1500.7582800000002"/>
    <s v="90elbow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1500.7582800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09"/>
    <m/>
    <s v="RH1 Outlet to RHSC Links"/>
    <s v="Plate"/>
    <m/>
    <m/>
    <x v="11"/>
    <m/>
    <m/>
    <m/>
    <m/>
    <m/>
    <n v="236"/>
    <s v="ASME"/>
    <n v="0.12"/>
    <s v="WBC"/>
    <e v="#N/A"/>
    <n v="264.32000000000005"/>
    <n v="0"/>
    <n v="264.32000000000005"/>
    <s v=""/>
    <x v="0"/>
    <s v="Plate"/>
    <s v="Plate"/>
    <m/>
    <m/>
    <m/>
    <n v="0"/>
    <x v="2"/>
    <x v="0"/>
    <x v="0"/>
    <x v="0"/>
    <n v="0"/>
    <x v="0"/>
    <s v="KG"/>
    <n v="0"/>
    <n v="0"/>
    <n v="0"/>
    <n v="0"/>
    <n v="264.32000000000005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0"/>
    <x v="0"/>
    <s v="31"/>
    <s v="3110"/>
    <m/>
    <s v="RHSC to RH2 Inlet Links"/>
    <s v="Pipe"/>
    <m/>
    <m/>
    <x v="11"/>
    <m/>
    <m/>
    <m/>
    <m/>
    <m/>
    <n v="13697.397000000003"/>
    <s v="ASME"/>
    <n v="0"/>
    <s v="OUT"/>
    <n v="0"/>
    <n v="13697.397000000003"/>
    <n v="0"/>
    <n v="13697.397000000003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13697.397000000003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192"/>
    <n v="19"/>
    <m/>
    <x v="2"/>
    <m/>
  </r>
  <r>
    <x v="0"/>
    <x v="0"/>
    <s v="31"/>
    <s v="3110"/>
    <m/>
    <s v="RHSC to RH2 Inlet Links"/>
    <s v="90elbow"/>
    <m/>
    <m/>
    <x v="11"/>
    <m/>
    <m/>
    <m/>
    <m/>
    <m/>
    <n v="1500.7582800000002"/>
    <s v="ASME"/>
    <n v="0"/>
    <s v="OUT"/>
    <n v="0"/>
    <n v="1500.7582800000002"/>
    <n v="0"/>
    <n v="1500.7582800000002"/>
    <s v="90elbow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1500.7582800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10"/>
    <m/>
    <s v="RHSC to RH2 Inlet Links"/>
    <s v="Plate"/>
    <m/>
    <m/>
    <x v="11"/>
    <m/>
    <m/>
    <m/>
    <m/>
    <m/>
    <n v="236"/>
    <s v="ASME"/>
    <n v="0.12"/>
    <s v="WBC"/>
    <e v="#N/A"/>
    <n v="264.32000000000005"/>
    <n v="0"/>
    <n v="264.32000000000005"/>
    <s v=""/>
    <x v="0"/>
    <s v="Plate"/>
    <s v="Plate"/>
    <m/>
    <m/>
    <m/>
    <n v="0"/>
    <x v="2"/>
    <x v="0"/>
    <x v="0"/>
    <x v="0"/>
    <n v="0"/>
    <x v="0"/>
    <s v="KG"/>
    <n v="0"/>
    <n v="0"/>
    <n v="0"/>
    <n v="0"/>
    <n v="264.32000000000005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0"/>
    <x v="0"/>
    <s v="31"/>
    <s v="3111"/>
    <m/>
    <s v="ECON Outlet  Links"/>
    <s v="Pipe"/>
    <m/>
    <m/>
    <x v="11"/>
    <m/>
    <m/>
    <m/>
    <m/>
    <m/>
    <n v="23827.4784"/>
    <s v="ASME"/>
    <n v="0"/>
    <s v="OUT"/>
    <n v="0"/>
    <n v="23827.4784"/>
    <n v="0"/>
    <n v="23827.4784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23827.4784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454"/>
    <n v="46"/>
    <m/>
    <x v="2"/>
    <m/>
  </r>
  <r>
    <x v="0"/>
    <x v="0"/>
    <s v="31"/>
    <s v="3111"/>
    <m/>
    <s v="ECON Outlet  Links"/>
    <s v="90elbow"/>
    <m/>
    <m/>
    <x v="11"/>
    <m/>
    <m/>
    <m/>
    <m/>
    <m/>
    <n v="1100.3962752"/>
    <s v="ASME"/>
    <n v="0"/>
    <s v="OUT"/>
    <n v="0"/>
    <n v="1100.3962752"/>
    <n v="0"/>
    <n v="1100.3962752"/>
    <s v="90elbow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1100.396275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11"/>
    <m/>
    <s v="ECON Outlet  Links"/>
    <s v="45elbow"/>
    <m/>
    <m/>
    <x v="11"/>
    <m/>
    <m/>
    <m/>
    <m/>
    <m/>
    <n v="1100.3962752"/>
    <s v="ASME"/>
    <n v="0"/>
    <s v="OUT"/>
    <n v="0"/>
    <n v="1100.3962752"/>
    <n v="0"/>
    <n v="1100.3962752"/>
    <s v="45elbow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1100.396275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11"/>
    <m/>
    <s v="ECON Outlet  Links"/>
    <s v="Plate"/>
    <m/>
    <m/>
    <x v="11"/>
    <m/>
    <m/>
    <m/>
    <m/>
    <m/>
    <n v="120"/>
    <s v="ASME"/>
    <n v="0"/>
    <s v="OUT"/>
    <n v="0"/>
    <n v="120"/>
    <n v="0"/>
    <n v="120"/>
    <s v="Plate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120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0"/>
    <m/>
  </r>
  <r>
    <x v="0"/>
    <x v="0"/>
    <s v="31"/>
    <s v="3111"/>
    <m/>
    <s v="ECON Outlet  Links"/>
    <s v="Pipe"/>
    <m/>
    <m/>
    <x v="11"/>
    <m/>
    <m/>
    <m/>
    <m/>
    <m/>
    <n v="0"/>
    <s v="ASME"/>
    <n v="0"/>
    <s v="OUT"/>
    <n v="0"/>
    <n v="0"/>
    <n v="0"/>
    <n v="0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0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0"/>
    <x v="0"/>
    <s v="31"/>
    <s v="3111"/>
    <m/>
    <s v="ECON Outlet  Links"/>
    <s v="90elbow"/>
    <m/>
    <m/>
    <x v="11"/>
    <m/>
    <m/>
    <m/>
    <m/>
    <m/>
    <n v="0"/>
    <s v="ASME"/>
    <n v="0"/>
    <s v="OUT"/>
    <n v="0"/>
    <n v="0"/>
    <n v="0"/>
    <n v="0"/>
    <s v="90elbow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0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11"/>
    <m/>
    <s v="ECON Outlet  Links"/>
    <s v="45elbow"/>
    <m/>
    <m/>
    <x v="11"/>
    <m/>
    <m/>
    <m/>
    <m/>
    <m/>
    <n v="0"/>
    <s v="ASME"/>
    <n v="0"/>
    <s v="OUT"/>
    <n v="0"/>
    <n v="0"/>
    <n v="0"/>
    <n v="0"/>
    <s v="45elbow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0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12"/>
    <m/>
    <s v="ECON Mixing Links"/>
    <s v="Pipe"/>
    <m/>
    <m/>
    <x v="11"/>
    <m/>
    <m/>
    <m/>
    <m/>
    <m/>
    <n v="5748.2460000000001"/>
    <s v="ASME"/>
    <n v="0"/>
    <s v="OUT"/>
    <n v="0"/>
    <n v="5748.2460000000001"/>
    <n v="0"/>
    <n v="5748.2460000000001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5748.2460000000001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610"/>
    <n v="47"/>
    <m/>
    <x v="2"/>
    <m/>
  </r>
  <r>
    <x v="0"/>
    <x v="0"/>
    <s v="31"/>
    <s v="3112"/>
    <m/>
    <s v="ECON Mixing Links"/>
    <s v="Nozzle"/>
    <m/>
    <m/>
    <x v="11"/>
    <m/>
    <m/>
    <m/>
    <m/>
    <m/>
    <n v="795.83985000000007"/>
    <s v="ASME"/>
    <n v="0"/>
    <s v="OUT"/>
    <n v="0"/>
    <n v="795.83985000000007"/>
    <n v="0"/>
    <n v="795.83985000000007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795.83985000000007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0"/>
    <x v="0"/>
    <s v="31"/>
    <s v="3112"/>
    <m/>
    <s v="ECON Mixing Links"/>
    <s v="End Plate"/>
    <m/>
    <m/>
    <x v="11"/>
    <m/>
    <m/>
    <m/>
    <m/>
    <m/>
    <n v="143.70615000000001"/>
    <s v="ASME"/>
    <n v="0"/>
    <s v="OUT"/>
    <n v="0"/>
    <n v="143.70615000000001"/>
    <n v="0"/>
    <n v="143.70615000000001"/>
    <s v="End Plate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143.70615000000001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12"/>
    <m/>
    <s v="ECON Mixing Links"/>
    <s v="Pipe"/>
    <m/>
    <m/>
    <x v="11"/>
    <m/>
    <m/>
    <m/>
    <m/>
    <m/>
    <n v="98948.25"/>
    <s v="ASME"/>
    <n v="0"/>
    <s v="OUT"/>
    <n v="0"/>
    <n v="98948.25"/>
    <n v="0"/>
    <n v="98948.25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98948.25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0"/>
    <x v="0"/>
    <s v="31"/>
    <s v="3112"/>
    <m/>
    <s v="ECON Mixing Links"/>
    <s v="Lug"/>
    <m/>
    <m/>
    <x v="11"/>
    <m/>
    <m/>
    <m/>
    <m/>
    <m/>
    <n v="960"/>
    <s v="ASME"/>
    <n v="0"/>
    <s v="OUT"/>
    <n v="0"/>
    <n v="960"/>
    <n v="0"/>
    <n v="960"/>
    <s v="Lug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960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0"/>
    <x v="0"/>
    <s v="31"/>
    <s v="3113"/>
    <m/>
    <s v="FURN Inlet Links"/>
    <s v="Pipe"/>
    <m/>
    <m/>
    <x v="11"/>
    <m/>
    <m/>
    <m/>
    <m/>
    <m/>
    <n v="67278.990240000014"/>
    <s v="ASME"/>
    <n v="0"/>
    <s v="OUT"/>
    <n v="0"/>
    <n v="67278.990240000014"/>
    <n v="0"/>
    <n v="67278.990240000014"/>
    <s v=" 0-0"/>
    <x v="0"/>
    <s v="Various"/>
    <s v="Piping"/>
    <m/>
    <m/>
    <m/>
    <n v="0"/>
    <x v="0"/>
    <x v="0"/>
    <x v="0"/>
    <x v="0"/>
    <n v="0"/>
    <x v="0"/>
    <s v="KG"/>
    <n v="0"/>
    <n v="0"/>
    <e v="#N/A"/>
    <e v="#N/A"/>
    <n v="67278.990240000014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295"/>
    <n v="30"/>
    <m/>
    <x v="2"/>
    <m/>
  </r>
  <r>
    <x v="0"/>
    <x v="0"/>
    <s v="31"/>
    <s v="3113"/>
    <m/>
    <s v="FURN Inlet Links"/>
    <s v="Plate"/>
    <m/>
    <m/>
    <x v="11"/>
    <m/>
    <m/>
    <m/>
    <m/>
    <m/>
    <n v="960"/>
    <s v="ASME"/>
    <n v="0"/>
    <s v="OUT"/>
    <n v="0"/>
    <n v="960"/>
    <n v="0"/>
    <n v="960"/>
    <s v="Plate"/>
    <x v="0"/>
    <s v="Forgings"/>
    <s v="Forgings"/>
    <m/>
    <m/>
    <m/>
    <n v="0"/>
    <x v="0"/>
    <x v="0"/>
    <x v="0"/>
    <x v="0"/>
    <n v="0"/>
    <x v="0"/>
    <s v="KG"/>
    <n v="0"/>
    <n v="0"/>
    <e v="#N/A"/>
    <e v="#N/A"/>
    <n v="960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0"/>
    <m/>
  </r>
  <r>
    <x v="5"/>
    <x v="5"/>
    <s v="64"/>
    <s v="6401"/>
    <m/>
    <s v="Separator Vessel"/>
    <s v="Separator"/>
    <m/>
    <m/>
    <x v="11"/>
    <m/>
    <m/>
    <m/>
    <m/>
    <m/>
    <n v="11217.686040000001"/>
    <s v="ASME"/>
    <n v="0"/>
    <s v="OUT"/>
    <n v="0"/>
    <n v="11217.686040000001"/>
    <n v="0"/>
    <n v="11217.686040000001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11217.686040000001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1555"/>
    <n v="26"/>
    <m/>
    <x v="2"/>
    <m/>
  </r>
  <r>
    <x v="5"/>
    <x v="5"/>
    <s v="64"/>
    <s v="6401"/>
    <m/>
    <s v="Separator Vessel"/>
    <s v="Nozzles"/>
    <m/>
    <m/>
    <x v="11"/>
    <m/>
    <m/>
    <m/>
    <m/>
    <m/>
    <n v="649.84032000000002"/>
    <s v="ASME"/>
    <n v="0"/>
    <s v="OUT"/>
    <n v="0"/>
    <n v="649.84032000000002"/>
    <n v="0"/>
    <n v="649.84032000000002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649.84032000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1"/>
    <m/>
    <s v="Separator Vessel"/>
    <s v="Nozzles"/>
    <m/>
    <m/>
    <x v="11"/>
    <m/>
    <m/>
    <m/>
    <m/>
    <m/>
    <n v="1382.3409600000002"/>
    <s v="ASME"/>
    <n v="0"/>
    <s v="OUT"/>
    <n v="0"/>
    <n v="1382.3409600000002"/>
    <n v="0"/>
    <n v="1382.3409600000002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1382.3409600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1"/>
    <m/>
    <s v="Separator Vessel"/>
    <s v="Nozzles"/>
    <m/>
    <m/>
    <x v="11"/>
    <m/>
    <m/>
    <m/>
    <m/>
    <m/>
    <n v="702.18363600000009"/>
    <s v="ASME"/>
    <n v="0"/>
    <s v="OUT"/>
    <n v="0"/>
    <n v="702.18363600000009"/>
    <n v="0"/>
    <n v="702.18363600000009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702.18363600000009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1"/>
    <m/>
    <s v="Separator Vessel"/>
    <s v="Nozzles"/>
    <m/>
    <m/>
    <x v="11"/>
    <m/>
    <m/>
    <m/>
    <m/>
    <m/>
    <n v="1080.7392960000002"/>
    <s v="ASME"/>
    <n v="0"/>
    <s v="OUT"/>
    <n v="0"/>
    <n v="1080.7392960000002"/>
    <n v="0"/>
    <n v="1080.7392960000002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1080.7392960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1"/>
    <m/>
    <s v="Separator Vessel"/>
    <s v="Nozzles"/>
    <m/>
    <m/>
    <x v="11"/>
    <m/>
    <m/>
    <m/>
    <m/>
    <m/>
    <n v="702.18363600000009"/>
    <s v="ASME"/>
    <n v="0"/>
    <s v="OUT"/>
    <n v="0"/>
    <n v="702.18363600000009"/>
    <n v="0"/>
    <n v="702.18363600000009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702.18363600000009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1"/>
    <m/>
    <s v="Separator Vessel"/>
    <s v="Pipe"/>
    <m/>
    <m/>
    <x v="11"/>
    <m/>
    <m/>
    <m/>
    <m/>
    <m/>
    <n v="214.620912"/>
    <s v="ASME"/>
    <n v="0"/>
    <s v="OUT"/>
    <n v="0"/>
    <n v="214.620912"/>
    <n v="0"/>
    <n v="214.620912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214.62091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1"/>
    <m/>
    <s v="Separator Vessel"/>
    <s v="Nozzles"/>
    <m/>
    <m/>
    <x v="11"/>
    <m/>
    <m/>
    <m/>
    <m/>
    <m/>
    <n v="43.028617500000003"/>
    <s v="ASME"/>
    <n v="0"/>
    <s v="OUT"/>
    <n v="0"/>
    <n v="43.028617500000003"/>
    <n v="0"/>
    <n v="43.028617500000003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43.028617500000003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1"/>
    <m/>
    <s v="Separator Vessel"/>
    <s v="Plate"/>
    <m/>
    <m/>
    <x v="11"/>
    <m/>
    <m/>
    <m/>
    <m/>
    <m/>
    <n v="61.107480000000002"/>
    <s v="ASME"/>
    <n v="0.12"/>
    <s v="WBC"/>
    <e v="#N/A"/>
    <n v="68.440377600000005"/>
    <n v="0"/>
    <n v="68.440377600000005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68.440377600000005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1"/>
    <m/>
    <s v="Separator Vessel"/>
    <s v="Plate"/>
    <m/>
    <m/>
    <x v="11"/>
    <m/>
    <m/>
    <m/>
    <m/>
    <m/>
    <n v="50.069663999999996"/>
    <s v="ASME"/>
    <n v="0.12"/>
    <s v="WBC"/>
    <e v="#N/A"/>
    <n v="56.078023680000001"/>
    <n v="0"/>
    <n v="56.078023680000001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56.078023680000001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1"/>
    <m/>
    <s v="Separator Vessel"/>
    <s v="Plate"/>
    <m/>
    <m/>
    <x v="11"/>
    <m/>
    <m/>
    <m/>
    <m/>
    <m/>
    <n v="7.1020799999999999"/>
    <s v="ASME"/>
    <n v="0.12"/>
    <s v="WBC"/>
    <e v="#N/A"/>
    <n v="7.9543296000000003"/>
    <n v="0"/>
    <n v="7.9543296000000003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7.9543296000000003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1"/>
    <m/>
    <s v="Separator Vessel"/>
    <s v="Plate"/>
    <m/>
    <m/>
    <x v="11"/>
    <m/>
    <m/>
    <m/>
    <m/>
    <m/>
    <n v="7.2500400000000003"/>
    <s v="ASME"/>
    <n v="0.12"/>
    <s v="WBC"/>
    <e v="#N/A"/>
    <n v="8.1200448000000005"/>
    <n v="0"/>
    <n v="8.1200448000000005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8.1200448000000005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1"/>
    <m/>
    <s v="Separator Vessel"/>
    <s v="Plate"/>
    <m/>
    <m/>
    <x v="11"/>
    <m/>
    <m/>
    <m/>
    <m/>
    <m/>
    <n v="17.289619200000001"/>
    <s v="ASME"/>
    <n v="0.12"/>
    <s v="WBC"/>
    <e v="#N/A"/>
    <n v="19.364373504000003"/>
    <n v="0"/>
    <n v="19.364373504000003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19.364373504000003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1"/>
    <m/>
    <s v="Separator Vessel"/>
    <s v="Plate"/>
    <m/>
    <m/>
    <x v="11"/>
    <m/>
    <m/>
    <m/>
    <m/>
    <m/>
    <n v="25.561170000000001"/>
    <s v="ASME"/>
    <n v="0.12"/>
    <s v="WBC"/>
    <e v="#N/A"/>
    <n v="28.628510400000003"/>
    <n v="0"/>
    <n v="28.628510400000003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28.628510400000003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2"/>
    <m/>
    <s v="Leveling Vessel"/>
    <s v="Leveling vessel"/>
    <m/>
    <m/>
    <x v="11"/>
    <m/>
    <m/>
    <m/>
    <m/>
    <m/>
    <n v="53825.875200000002"/>
    <s v="ASME"/>
    <n v="0"/>
    <s v="OUT"/>
    <n v="0"/>
    <n v="53825.875200000002"/>
    <n v="0"/>
    <n v="53825.875200000002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53825.875200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1335"/>
    <n v="110"/>
    <m/>
    <x v="2"/>
    <m/>
  </r>
  <r>
    <x v="5"/>
    <x v="5"/>
    <s v="64"/>
    <s v="6402"/>
    <m/>
    <s v="Leveling Vessel"/>
    <s v="Leveling vessel"/>
    <m/>
    <m/>
    <x v="11"/>
    <m/>
    <m/>
    <m/>
    <m/>
    <m/>
    <n v="12321.079245000001"/>
    <s v="ASME"/>
    <n v="0"/>
    <s v="OUT"/>
    <n v="0"/>
    <n v="12321.079245000001"/>
    <n v="0"/>
    <n v="12321.079245000001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12321.079245000001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2"/>
    <m/>
    <s v="Leveling Vessel"/>
    <s v="Nozzles"/>
    <m/>
    <m/>
    <x v="11"/>
    <m/>
    <m/>
    <m/>
    <m/>
    <m/>
    <n v="653.1940800000001"/>
    <s v="ASME"/>
    <n v="0"/>
    <s v="OUT"/>
    <n v="0"/>
    <n v="653.1940800000001"/>
    <n v="0"/>
    <n v="653.1940800000001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653.1940800000001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2"/>
    <m/>
    <s v="Leveling Vessel"/>
    <s v="Nozzles"/>
    <m/>
    <m/>
    <x v="11"/>
    <m/>
    <m/>
    <m/>
    <m/>
    <m/>
    <n v="313.67520000000007"/>
    <s v="ASME"/>
    <n v="0"/>
    <s v="OUT"/>
    <n v="0"/>
    <n v="313.67520000000007"/>
    <n v="0"/>
    <n v="313.67520000000007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313.67520000000007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2"/>
    <m/>
    <s v="Leveling Vessel"/>
    <s v="Nozzles"/>
    <m/>
    <m/>
    <x v="11"/>
    <m/>
    <m/>
    <m/>
    <m/>
    <m/>
    <n v="368.02584000000002"/>
    <s v="ASME"/>
    <n v="0"/>
    <s v="OUT"/>
    <n v="0"/>
    <n v="368.02584000000002"/>
    <n v="0"/>
    <n v="368.02584000000002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368.02584000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2"/>
    <m/>
    <s v="Leveling Vessel"/>
    <s v="Nozzles"/>
    <m/>
    <m/>
    <x v="11"/>
    <m/>
    <m/>
    <m/>
    <m/>
    <m/>
    <n v="849.15230399999996"/>
    <s v="ASME"/>
    <n v="0"/>
    <s v="OUT"/>
    <n v="0"/>
    <n v="849.15230399999996"/>
    <n v="0"/>
    <n v="849.15230399999996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849.15230399999996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2"/>
    <m/>
    <s v="Leveling Vessel"/>
    <s v="Nozzles"/>
    <m/>
    <m/>
    <x v="11"/>
    <m/>
    <m/>
    <m/>
    <m/>
    <m/>
    <n v="392.09400000000005"/>
    <s v="ASME"/>
    <n v="0"/>
    <s v="OUT"/>
    <n v="0"/>
    <n v="392.09400000000005"/>
    <n v="0"/>
    <n v="392.09400000000005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392.09400000000005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2"/>
    <m/>
    <s v="Leveling Vessel"/>
    <s v="Nozzles"/>
    <m/>
    <m/>
    <x v="11"/>
    <m/>
    <m/>
    <m/>
    <m/>
    <m/>
    <n v="22.761180000000003"/>
    <s v="ASME"/>
    <n v="0"/>
    <s v="OUT"/>
    <n v="0"/>
    <n v="22.761180000000003"/>
    <n v="0"/>
    <n v="22.761180000000003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22.761180000000003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2"/>
    <m/>
    <s v="Leveling Vessel"/>
    <s v="Nozzles"/>
    <m/>
    <m/>
    <x v="11"/>
    <m/>
    <m/>
    <m/>
    <m/>
    <m/>
    <n v="3.8235823199999999"/>
    <s v="ASME"/>
    <n v="0"/>
    <s v="OUT"/>
    <n v="0"/>
    <n v="3.8235823199999999"/>
    <n v="0"/>
    <n v="3.8235823199999999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3.8235823199999999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2"/>
    <m/>
    <s v="Leveling Vessel"/>
    <s v="Nozzles"/>
    <m/>
    <m/>
    <x v="11"/>
    <m/>
    <m/>
    <m/>
    <m/>
    <m/>
    <n v="17.583492420000002"/>
    <s v="ASME"/>
    <n v="0"/>
    <s v="OUT"/>
    <n v="0"/>
    <n v="17.583492420000002"/>
    <n v="0"/>
    <n v="17.583492420000002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17.583492420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2"/>
    <m/>
    <s v="Leveling Vessel"/>
    <s v="Nozzles"/>
    <m/>
    <m/>
    <x v="11"/>
    <m/>
    <m/>
    <m/>
    <m/>
    <m/>
    <n v="35.252949600000001"/>
    <s v="ASME"/>
    <n v="0"/>
    <s v="OUT"/>
    <n v="0"/>
    <n v="35.252949600000001"/>
    <n v="0"/>
    <n v="35.252949600000001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35.252949600000001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2"/>
    <m/>
    <s v="Leveling Vessel"/>
    <s v="Plate"/>
    <m/>
    <m/>
    <x v="11"/>
    <m/>
    <m/>
    <m/>
    <m/>
    <m/>
    <n v="7.9898399999999992"/>
    <s v="ASME"/>
    <n v="0.12"/>
    <s v="WBC"/>
    <e v="#N/A"/>
    <n v="8.9486208000000005"/>
    <n v="0"/>
    <n v="8.9486208000000005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8.9486208000000005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2"/>
    <m/>
    <s v="Leveling Vessel"/>
    <s v="Plate"/>
    <m/>
    <m/>
    <x v="11"/>
    <m/>
    <m/>
    <m/>
    <m/>
    <m/>
    <n v="14.796000000000001"/>
    <s v="ASME"/>
    <n v="0.12"/>
    <s v="WBC"/>
    <e v="#N/A"/>
    <n v="16.571520000000003"/>
    <n v="0"/>
    <n v="16.571520000000003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16.571520000000003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2"/>
    <m/>
    <s v="Leveling Vessel"/>
    <s v="Plate"/>
    <m/>
    <m/>
    <x v="11"/>
    <m/>
    <m/>
    <m/>
    <m/>
    <m/>
    <n v="1.77552"/>
    <s v="ASME"/>
    <n v="0.12"/>
    <s v="WBC"/>
    <e v="#N/A"/>
    <n v="1.9885824000000001"/>
    <n v="0"/>
    <n v="1.9885824000000001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1.9885824000000001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2"/>
    <m/>
    <s v="Leveling Vessel"/>
    <s v="Plate"/>
    <m/>
    <m/>
    <x v="11"/>
    <m/>
    <m/>
    <m/>
    <m/>
    <m/>
    <n v="1.9412352000000002"/>
    <s v="ASME"/>
    <n v="0.12"/>
    <s v="WBC"/>
    <e v="#N/A"/>
    <n v="2.1741834240000002"/>
    <n v="0"/>
    <n v="2.1741834240000002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2.1741834240000002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3"/>
    <m/>
    <s v="Supports For Leveling Vessel"/>
    <s v="Piping clamp"/>
    <m/>
    <m/>
    <x v="11"/>
    <m/>
    <m/>
    <m/>
    <m/>
    <m/>
    <n v="1414.5"/>
    <s v="ASME"/>
    <n v="0.12"/>
    <s v="WBC"/>
    <e v="#N/A"/>
    <n v="1584.2400000000002"/>
    <n v="0"/>
    <n v="1584.2400000000002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1584.2400000000002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3"/>
    <m/>
    <s v="Supports For Leveling Vessel"/>
    <s v="Yoke"/>
    <m/>
    <m/>
    <x v="11"/>
    <m/>
    <m/>
    <m/>
    <m/>
    <m/>
    <n v="52.9"/>
    <s v="ASME"/>
    <n v="0.12"/>
    <s v="WBC"/>
    <e v="#N/A"/>
    <n v="59.248000000000005"/>
    <n v="0"/>
    <n v="59.248000000000005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59.248000000000005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3"/>
    <m/>
    <s v="Supports For Leveling Vessel"/>
    <s v="Nut"/>
    <m/>
    <m/>
    <x v="11"/>
    <m/>
    <m/>
    <m/>
    <m/>
    <m/>
    <n v="4.1399999999999997"/>
    <s v="ASME"/>
    <n v="0"/>
    <s v="OUT"/>
    <n v="0"/>
    <n v="4.1399999999999997"/>
    <n v="0"/>
    <n v="4.1399999999999997"/>
    <s v="Nut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4.1399999999999997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3"/>
    <m/>
    <s v="Supports For Leveling Vessel"/>
    <s v="Thread rod"/>
    <m/>
    <m/>
    <x v="11"/>
    <m/>
    <m/>
    <m/>
    <m/>
    <m/>
    <n v="1269.5999999999999"/>
    <s v="ASME"/>
    <n v="0.12"/>
    <s v="WBC"/>
    <e v="#N/A"/>
    <n v="1421.952"/>
    <n v="0"/>
    <n v="1421.952"/>
    <s v=""/>
    <x v="5"/>
    <s v="Rod"/>
    <s v="Rod"/>
    <m/>
    <m/>
    <m/>
    <n v="0"/>
    <x v="2"/>
    <x v="0"/>
    <x v="0"/>
    <x v="0"/>
    <n v="0"/>
    <x v="0"/>
    <s v="KG"/>
    <n v="0"/>
    <n v="0"/>
    <n v="0"/>
    <n v="0"/>
    <n v="1421.952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3"/>
    <m/>
    <s v="Supports For Leveling Vessel"/>
    <s v="Pad Plate"/>
    <m/>
    <m/>
    <x v="11"/>
    <m/>
    <m/>
    <m/>
    <m/>
    <m/>
    <n v="167.21"/>
    <s v="ASME"/>
    <n v="0.12"/>
    <s v="WBC"/>
    <e v="#N/A"/>
    <n v="187.27520000000004"/>
    <n v="0"/>
    <n v="187.27520000000004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187.27520000000004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3"/>
    <m/>
    <s v="Supports For Leveling Vessel"/>
    <s v="Spherical sheet set"/>
    <m/>
    <m/>
    <x v="11"/>
    <m/>
    <m/>
    <m/>
    <m/>
    <m/>
    <n v="10.119999999999999"/>
    <s v="ASME"/>
    <n v="0.12"/>
    <s v="WBC"/>
    <e v="#N/A"/>
    <n v="11.3344"/>
    <n v="0"/>
    <n v="11.3344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11.3344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3"/>
    <m/>
    <s v="Supports For Leveling Vessel"/>
    <s v="Spherical sheet set"/>
    <m/>
    <m/>
    <x v="11"/>
    <m/>
    <m/>
    <m/>
    <m/>
    <m/>
    <n v="8.74"/>
    <s v="ASME"/>
    <n v="0.12"/>
    <s v="WBC"/>
    <e v="#N/A"/>
    <n v="9.7888000000000019"/>
    <n v="0"/>
    <n v="9.7888000000000019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9.7888000000000019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5"/>
    <m/>
    <s v="Start Up System Piping"/>
    <s v="Piping to FT"/>
    <m/>
    <m/>
    <x v="11"/>
    <m/>
    <m/>
    <m/>
    <m/>
    <m/>
    <n v="7490.4750000000004"/>
    <s v="ASME"/>
    <n v="0"/>
    <s v="OUT"/>
    <n v="0"/>
    <n v="7490.4750000000004"/>
    <n v="0"/>
    <n v="7490.4750000000004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7490.4750000000004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1941"/>
    <n v="88"/>
    <m/>
    <x v="2"/>
    <m/>
  </r>
  <r>
    <x v="5"/>
    <x v="5"/>
    <s v="64"/>
    <s v="6405"/>
    <m/>
    <s v="Start Up System Piping"/>
    <s v="Piping to FT"/>
    <m/>
    <m/>
    <x v="11"/>
    <m/>
    <m/>
    <m/>
    <m/>
    <m/>
    <n v="53788.392000000007"/>
    <s v="ASME"/>
    <n v="0"/>
    <s v="OUT"/>
    <n v="0"/>
    <n v="53788.392000000007"/>
    <n v="0"/>
    <n v="53788.392000000007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53788.392000000007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5"/>
    <m/>
    <s v="Start Up System Piping"/>
    <s v="Piping to FT"/>
    <m/>
    <m/>
    <x v="11"/>
    <m/>
    <m/>
    <m/>
    <m/>
    <m/>
    <n v="14288.620500000001"/>
    <s v="ASME"/>
    <n v="0"/>
    <s v="OUT"/>
    <n v="0"/>
    <n v="14288.620500000001"/>
    <n v="0"/>
    <n v="14288.620500000001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14288.620500000001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5"/>
    <m/>
    <s v="Start Up System Piping"/>
    <s v="Bending"/>
    <m/>
    <m/>
    <x v="11"/>
    <m/>
    <m/>
    <m/>
    <m/>
    <m/>
    <n v="2378.0131200000001"/>
    <s v="ASME"/>
    <n v="0"/>
    <s v="OUT"/>
    <n v="0"/>
    <n v="2378.0131200000001"/>
    <n v="0"/>
    <n v="2378.0131200000001"/>
    <s v="Bending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2378.0131200000001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5"/>
    <m/>
    <s v="Start Up System Piping"/>
    <s v="Bending"/>
    <m/>
    <m/>
    <x v="11"/>
    <m/>
    <m/>
    <m/>
    <m/>
    <m/>
    <n v="436.00704840000003"/>
    <s v="ASME"/>
    <n v="0"/>
    <s v="OUT"/>
    <n v="0"/>
    <n v="436.00704840000003"/>
    <n v="0"/>
    <n v="436.00704840000003"/>
    <s v="Bending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436.00704840000003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5"/>
    <m/>
    <s v="Start Up System Piping"/>
    <s v="Piping to LV"/>
    <m/>
    <m/>
    <x v="11"/>
    <m/>
    <m/>
    <m/>
    <m/>
    <m/>
    <n v="48989.555999999997"/>
    <s v="ASME"/>
    <n v="0"/>
    <s v="OUT"/>
    <n v="0"/>
    <n v="48989.555999999997"/>
    <n v="0"/>
    <n v="48989.555999999997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48989.555999999997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5"/>
    <m/>
    <s v="Start Up System Piping"/>
    <s v="Piping to pump"/>
    <m/>
    <m/>
    <x v="11"/>
    <m/>
    <m/>
    <m/>
    <m/>
    <m/>
    <n v="1139.8838400000002"/>
    <s v="ASME"/>
    <n v="0"/>
    <s v="OUT"/>
    <n v="0"/>
    <n v="1139.8838400000002"/>
    <n v="0"/>
    <n v="1139.8838400000002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1139.8838400000002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5"/>
    <m/>
    <s v="Start Up System Piping"/>
    <s v="Piping to pump"/>
    <m/>
    <m/>
    <x v="11"/>
    <m/>
    <m/>
    <m/>
    <m/>
    <m/>
    <n v="34275.673800000004"/>
    <s v="ASME"/>
    <n v="0"/>
    <s v="OUT"/>
    <n v="0"/>
    <n v="34275.673800000004"/>
    <n v="0"/>
    <n v="34275.673800000004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34275.673800000004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5"/>
    <m/>
    <s v="Start Up System Piping"/>
    <s v="Piping down pu"/>
    <m/>
    <m/>
    <x v="11"/>
    <m/>
    <m/>
    <m/>
    <m/>
    <m/>
    <n v="28592.086320000006"/>
    <s v="ASME"/>
    <n v="0"/>
    <s v="OUT"/>
    <n v="0"/>
    <n v="28592.086320000006"/>
    <n v="0"/>
    <n v="28592.086320000006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28592.086320000006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5"/>
    <m/>
    <s v="Start Up System Piping"/>
    <s v="Piping to mixing vessel"/>
    <m/>
    <m/>
    <x v="11"/>
    <m/>
    <m/>
    <m/>
    <m/>
    <m/>
    <n v="2004.1182000000003"/>
    <s v="ASME"/>
    <n v="0"/>
    <s v="OUT"/>
    <n v="0"/>
    <n v="2004.1182000000003"/>
    <n v="0"/>
    <n v="2004.1182000000003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2004.1182000000003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5"/>
    <m/>
    <s v="Start Up System Piping"/>
    <s v="Min flow line"/>
    <m/>
    <m/>
    <x v="11"/>
    <m/>
    <m/>
    <m/>
    <m/>
    <m/>
    <n v="4137.3561599999994"/>
    <s v="ASME"/>
    <n v="0"/>
    <s v="OUT"/>
    <n v="0"/>
    <n v="4137.3561599999994"/>
    <n v="0"/>
    <n v="4137.3561599999994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4137.3561599999994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5"/>
    <m/>
    <s v="Start Up System Piping"/>
    <s v="Sphere"/>
    <m/>
    <m/>
    <x v="11"/>
    <m/>
    <m/>
    <m/>
    <m/>
    <m/>
    <n v="5163.3361500000001"/>
    <s v="ASME"/>
    <n v="0"/>
    <s v="OUT"/>
    <n v="0"/>
    <n v="5163.3361500000001"/>
    <n v="0"/>
    <n v="5163.3361500000001"/>
    <s v="Sphere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5163.3361500000001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5"/>
    <m/>
    <s v="Start Up System Piping"/>
    <s v="Branch pieces"/>
    <m/>
    <m/>
    <x v="11"/>
    <m/>
    <m/>
    <m/>
    <m/>
    <m/>
    <n v="5377.05"/>
    <s v="ASME"/>
    <n v="0"/>
    <s v="OUT"/>
    <n v="0"/>
    <n v="5377.05"/>
    <n v="0"/>
    <n v="5377.05"/>
    <s v="Branch piec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5377.05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5"/>
    <m/>
    <s v="Start Up System Piping"/>
    <s v="Swing flate"/>
    <m/>
    <m/>
    <x v="11"/>
    <m/>
    <m/>
    <m/>
    <m/>
    <m/>
    <n v="5377.05"/>
    <s v="ASME"/>
    <n v="0"/>
    <s v="OUT"/>
    <n v="0"/>
    <n v="5377.05"/>
    <n v="0"/>
    <n v="5377.05"/>
    <s v="Swing flate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5377.05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5"/>
    <m/>
    <s v="Start Up System Piping"/>
    <s v="T-piece"/>
    <m/>
    <m/>
    <x v="11"/>
    <m/>
    <m/>
    <m/>
    <m/>
    <m/>
    <n v="5687"/>
    <s v="ASME"/>
    <n v="0"/>
    <s v="OUT"/>
    <n v="0"/>
    <n v="5687"/>
    <n v="0"/>
    <n v="5687"/>
    <s v="T-piece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5687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5"/>
    <m/>
    <s v="Start Up System Piping"/>
    <s v="Bending"/>
    <m/>
    <m/>
    <x v="11"/>
    <m/>
    <m/>
    <m/>
    <m/>
    <m/>
    <n v="10225.209623934525"/>
    <s v="ASME"/>
    <n v="0"/>
    <s v="OUT"/>
    <n v="0"/>
    <n v="10225.209623934525"/>
    <n v="0"/>
    <n v="10225.209623934525"/>
    <s v="Bending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10225.209623934525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5"/>
    <m/>
    <s v="Start Up System Piping"/>
    <s v="Bending"/>
    <m/>
    <m/>
    <x v="11"/>
    <m/>
    <m/>
    <m/>
    <m/>
    <m/>
    <n v="906.65967387944829"/>
    <s v="ASME"/>
    <n v="0"/>
    <s v="OUT"/>
    <n v="0"/>
    <n v="906.65967387944829"/>
    <n v="0"/>
    <n v="906.65967387944829"/>
    <s v="Bending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906.65967387944829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5"/>
    <m/>
    <s v="Start Up System Piping"/>
    <s v="Bending"/>
    <m/>
    <m/>
    <x v="11"/>
    <m/>
    <m/>
    <m/>
    <m/>
    <m/>
    <n v="1826.453144921534"/>
    <s v="ASME"/>
    <n v="0"/>
    <s v="OUT"/>
    <n v="0"/>
    <n v="1826.453144921534"/>
    <n v="0"/>
    <n v="1826.453144921534"/>
    <s v="Bending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1826.453144921534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5"/>
    <m/>
    <s v="Start Up System Piping"/>
    <s v="Bending"/>
    <m/>
    <m/>
    <x v="11"/>
    <m/>
    <m/>
    <m/>
    <m/>
    <m/>
    <n v="3836.6709831778694"/>
    <s v="ASME"/>
    <n v="0"/>
    <s v="OUT"/>
    <n v="0"/>
    <n v="3836.6709831778694"/>
    <n v="0"/>
    <n v="3836.6709831778694"/>
    <s v="Bending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3836.6709831778694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5"/>
    <m/>
    <s v="Start Up System Piping"/>
    <s v="Bending"/>
    <m/>
    <m/>
    <x v="11"/>
    <m/>
    <m/>
    <m/>
    <m/>
    <m/>
    <n v="1804.325888729644"/>
    <s v="ASME"/>
    <n v="0"/>
    <s v="OUT"/>
    <n v="0"/>
    <n v="1804.325888729644"/>
    <n v="0"/>
    <n v="1804.325888729644"/>
    <s v="Bending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1804.325888729644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5"/>
    <m/>
    <s v="Start Up System Piping"/>
    <s v="Bending"/>
    <m/>
    <m/>
    <x v="11"/>
    <m/>
    <m/>
    <m/>
    <m/>
    <m/>
    <n v="203.06499110957094"/>
    <s v="ASME"/>
    <n v="0"/>
    <s v="OUT"/>
    <n v="0"/>
    <n v="203.06499110957094"/>
    <n v="0"/>
    <n v="203.06499110957094"/>
    <s v="Bending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203.06499110957094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06"/>
    <m/>
    <s v="Start Up System Susp"/>
    <s v="F14.20.1 (M20X70)"/>
    <m/>
    <m/>
    <x v="11"/>
    <m/>
    <m/>
    <m/>
    <m/>
    <m/>
    <n v="38.003999999999998"/>
    <s v="ASME"/>
    <n v="0"/>
    <s v="OUT"/>
    <n v="0"/>
    <n v="38.003999999999998"/>
    <n v="0"/>
    <n v="38.003999999999998"/>
    <s v="F14.20.1 (M20X70)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38.003999999999998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6"/>
    <m/>
    <s v="Start Up System Susp"/>
    <s v="F1.20"/>
    <m/>
    <m/>
    <x v="11"/>
    <m/>
    <m/>
    <m/>
    <m/>
    <m/>
    <n v="12.88"/>
    <s v="ASME"/>
    <n v="0"/>
    <s v="OUT"/>
    <n v="0"/>
    <n v="12.88"/>
    <n v="0"/>
    <n v="12.88"/>
    <s v="F1.20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12.88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6"/>
    <m/>
    <s v="Start Up System Susp"/>
    <s v="F2.20"/>
    <m/>
    <m/>
    <x v="11"/>
    <m/>
    <m/>
    <m/>
    <m/>
    <m/>
    <n v="7.36"/>
    <s v="ASME"/>
    <n v="0"/>
    <s v="OUT"/>
    <n v="0"/>
    <n v="7.36"/>
    <n v="0"/>
    <n v="7.36"/>
    <s v="F2.20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7.36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6"/>
    <m/>
    <s v="Start Up System Susp"/>
    <s v="58H-63E229(179 )/_x000a_37811-M30"/>
    <m/>
    <m/>
    <x v="11"/>
    <m/>
    <m/>
    <m/>
    <m/>
    <m/>
    <n v="25806"/>
    <s v="ASME"/>
    <n v="0"/>
    <s v="OUT"/>
    <n v="0"/>
    <n v="25806"/>
    <n v="0"/>
    <n v="25806"/>
    <s v="58H-63E229(179 )/_x000a_37811-M30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25806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6"/>
    <m/>
    <s v="Start Up System Susp"/>
    <s v="58HA-V(SP1)"/>
    <m/>
    <m/>
    <x v="11"/>
    <m/>
    <m/>
    <m/>
    <m/>
    <m/>
    <n v="16698"/>
    <s v="ASME"/>
    <n v="0"/>
    <s v="OUT"/>
    <n v="0"/>
    <n v="16698"/>
    <n v="0"/>
    <n v="16698"/>
    <s v="58HA-V(SP1)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16698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6"/>
    <m/>
    <s v="Start Up System Susp"/>
    <s v="L2-30-2175"/>
    <m/>
    <m/>
    <x v="11"/>
    <m/>
    <m/>
    <m/>
    <m/>
    <m/>
    <n v="561.20000000000005"/>
    <s v="ASME"/>
    <n v="0"/>
    <s v="OUT"/>
    <n v="0"/>
    <n v="561.20000000000005"/>
    <n v="0"/>
    <n v="561.20000000000005"/>
    <s v="L2-30-2175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561.20000000000005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6"/>
    <m/>
    <s v="Start Up System Susp"/>
    <s v="L5.30"/>
    <m/>
    <m/>
    <x v="11"/>
    <m/>
    <m/>
    <m/>
    <m/>
    <m/>
    <n v="92"/>
    <s v="ASME"/>
    <n v="0"/>
    <s v="OUT"/>
    <n v="0"/>
    <n v="92"/>
    <n v="0"/>
    <n v="92"/>
    <s v="L5.30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92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6"/>
    <m/>
    <s v="Start Up System Susp"/>
    <s v="L1-30-1000"/>
    <m/>
    <m/>
    <x v="11"/>
    <m/>
    <m/>
    <m/>
    <m/>
    <m/>
    <n v="257.60000000000002"/>
    <s v="ASME"/>
    <n v="0"/>
    <s v="OUT"/>
    <n v="0"/>
    <n v="257.60000000000002"/>
    <n v="0"/>
    <n v="257.60000000000002"/>
    <s v="L1-30-1000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257.60000000000002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6"/>
    <m/>
    <s v="Start Up System Susp"/>
    <s v="F2.30"/>
    <m/>
    <m/>
    <x v="11"/>
    <m/>
    <m/>
    <m/>
    <m/>
    <m/>
    <n v="15.18"/>
    <s v="ASME"/>
    <n v="0"/>
    <s v="OUT"/>
    <n v="0"/>
    <n v="15.18"/>
    <n v="0"/>
    <n v="15.18"/>
    <s v="F2.30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15.18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6"/>
    <m/>
    <s v="Start Up System Susp"/>
    <s v="L7.30"/>
    <m/>
    <m/>
    <x v="11"/>
    <m/>
    <m/>
    <m/>
    <m/>
    <m/>
    <n v="73.599999999999994"/>
    <s v="ASME"/>
    <n v="0"/>
    <s v="OUT"/>
    <n v="0"/>
    <n v="73.599999999999994"/>
    <n v="0"/>
    <n v="73.599999999999994"/>
    <s v="L7.30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73.599999999999994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6"/>
    <m/>
    <s v="Start Up System Susp"/>
    <s v="D2.420R(SP)"/>
    <m/>
    <m/>
    <x v="11"/>
    <m/>
    <m/>
    <m/>
    <m/>
    <m/>
    <n v="2806"/>
    <s v="ASME"/>
    <n v="0"/>
    <s v="OUT"/>
    <n v="0"/>
    <n v="2806"/>
    <n v="0"/>
    <n v="2806"/>
    <s v="D2.420R(SP)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2806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6"/>
    <m/>
    <s v="Start Up System Susp"/>
    <s v="XG1.25"/>
    <m/>
    <m/>
    <x v="11"/>
    <m/>
    <m/>
    <m/>
    <m/>
    <m/>
    <n v="460"/>
    <s v="ASME"/>
    <n v="0"/>
    <s v="OUT"/>
    <n v="0"/>
    <n v="460"/>
    <n v="0"/>
    <n v="460"/>
    <s v="XG1.25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460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6"/>
    <m/>
    <s v="Start Up System Susp"/>
    <s v="XL1.25 L=1691"/>
    <m/>
    <m/>
    <x v="11"/>
    <m/>
    <m/>
    <m/>
    <m/>
    <m/>
    <n v="2838.2"/>
    <s v="ASME"/>
    <n v="0"/>
    <s v="OUT"/>
    <n v="0"/>
    <n v="2838.2"/>
    <n v="0"/>
    <n v="2838.2"/>
    <s v="XL1.25 L=1691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2838.2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6"/>
    <m/>
    <s v="Start Up System Susp"/>
    <s v="D9T3.420R(SP)"/>
    <m/>
    <m/>
    <x v="11"/>
    <m/>
    <m/>
    <m/>
    <m/>
    <m/>
    <n v="17526"/>
    <s v="ASME"/>
    <n v="0"/>
    <s v="OUT"/>
    <n v="0"/>
    <n v="17526"/>
    <n v="0"/>
    <n v="17526"/>
    <s v="D9T3.420R(SP)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17526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7"/>
    <m/>
    <s v="Start Up Flash Tank"/>
    <s v="Body"/>
    <m/>
    <m/>
    <x v="11"/>
    <m/>
    <m/>
    <m/>
    <m/>
    <m/>
    <n v="19019.639321999999"/>
    <s v="ASME"/>
    <n v="0.12"/>
    <s v="WBC"/>
    <e v="#N/A"/>
    <n v="21301.996040640002"/>
    <n v="0"/>
    <n v="21301.996040640002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21301.996040640002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2848"/>
    <n v="137"/>
    <m/>
    <x v="2"/>
    <m/>
  </r>
  <r>
    <x v="5"/>
    <x v="5"/>
    <s v="64"/>
    <s v="6407"/>
    <m/>
    <s v="Start Up Flash Tank"/>
    <s v="Ellipsoidal head"/>
    <m/>
    <m/>
    <x v="11"/>
    <m/>
    <m/>
    <m/>
    <m/>
    <m/>
    <n v="4385.3572529999992"/>
    <s v="ASME"/>
    <n v="0"/>
    <s v="OUT"/>
    <n v="0"/>
    <n v="4385.3572529999992"/>
    <n v="0"/>
    <n v="4385.3572529999992"/>
    <s v="Ellipsoidal head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4385.3572529999992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7"/>
    <m/>
    <s v="Start Up Flash Tank"/>
    <s v="Nozzles"/>
    <m/>
    <m/>
    <x v="11"/>
    <m/>
    <m/>
    <m/>
    <m/>
    <m/>
    <n v="447.60622500000005"/>
    <s v="ASME"/>
    <n v="0.12"/>
    <s v="WBC"/>
    <e v="#N/A"/>
    <n v="501.31897200000009"/>
    <n v="0"/>
    <n v="501.31897200000009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501.31897200000009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7"/>
    <m/>
    <s v="Start Up Flash Tank"/>
    <s v="Nozzles"/>
    <m/>
    <m/>
    <x v="11"/>
    <m/>
    <m/>
    <m/>
    <m/>
    <m/>
    <n v="67.412210250000001"/>
    <s v="ASME"/>
    <n v="0"/>
    <s v="OUT"/>
    <n v="0"/>
    <n v="67.412210250000001"/>
    <n v="0"/>
    <n v="67.412210250000001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67.412210250000001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7"/>
    <m/>
    <s v="Start Up Flash Tank"/>
    <s v="Nozzles"/>
    <m/>
    <m/>
    <x v="11"/>
    <m/>
    <m/>
    <m/>
    <m/>
    <m/>
    <n v="1154.1581999999999"/>
    <s v="ASME"/>
    <n v="0.12"/>
    <s v="WBC"/>
    <e v="#N/A"/>
    <n v="1292.6571839999999"/>
    <n v="0"/>
    <n v="1292.6571839999999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1292.6571839999999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7"/>
    <m/>
    <s v="Start Up Flash Tank"/>
    <s v="Nozzles"/>
    <m/>
    <m/>
    <x v="11"/>
    <m/>
    <m/>
    <m/>
    <m/>
    <m/>
    <n v="82.862639999999999"/>
    <s v="ASME"/>
    <n v="0"/>
    <s v="OUT"/>
    <n v="0"/>
    <n v="82.862639999999999"/>
    <n v="0"/>
    <n v="82.862639999999999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82.862639999999999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7"/>
    <m/>
    <s v="Start Up Flash Tank"/>
    <s v="Nozzles"/>
    <m/>
    <m/>
    <x v="11"/>
    <m/>
    <m/>
    <m/>
    <m/>
    <m/>
    <n v="5.6588277900000001"/>
    <s v="ASME"/>
    <n v="0"/>
    <s v="OUT"/>
    <n v="0"/>
    <n v="5.6588277900000001"/>
    <n v="1494.34117221"/>
    <n v="1500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1500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7"/>
    <m/>
    <s v="Start Up Flash Tank"/>
    <s v="Nozzles"/>
    <m/>
    <m/>
    <x v="11"/>
    <m/>
    <m/>
    <m/>
    <m/>
    <m/>
    <n v="11.339357700000001"/>
    <s v="ASME"/>
    <n v="0"/>
    <s v="OUT"/>
    <n v="0"/>
    <n v="11.339357700000001"/>
    <n v="0"/>
    <n v="11.339357700000001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11.339357700000001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7"/>
    <m/>
    <s v="Start Up Flash Tank"/>
    <s v="Nozzles"/>
    <m/>
    <m/>
    <x v="11"/>
    <m/>
    <m/>
    <m/>
    <m/>
    <m/>
    <n v="0.78127631999999991"/>
    <s v="ASME"/>
    <e v="#N/A"/>
    <e v="#N/A"/>
    <e v="#N/A"/>
    <e v="#N/A"/>
    <e v="#N/A"/>
    <e v="#N/A"/>
    <s v=" 0-0"/>
    <x v="5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5"/>
    <x v="5"/>
    <s v="64"/>
    <s v="6407"/>
    <m/>
    <s v="Start Up Flash Tank"/>
    <s v="Nozzles"/>
    <m/>
    <m/>
    <x v="11"/>
    <m/>
    <m/>
    <m/>
    <m/>
    <m/>
    <n v="11.339357700000001"/>
    <s v="ASME"/>
    <n v="0"/>
    <s v="OUT"/>
    <n v="0"/>
    <n v="11.339357700000001"/>
    <n v="0"/>
    <n v="11.339357700000001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11.339357700000001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7"/>
    <m/>
    <s v="Start Up Flash Tank"/>
    <s v="Pipe"/>
    <m/>
    <m/>
    <x v="11"/>
    <m/>
    <m/>
    <m/>
    <m/>
    <m/>
    <n v="674.12210249999998"/>
    <s v="ASME"/>
    <n v="0"/>
    <s v="OUT"/>
    <n v="0"/>
    <n v="674.12210249999998"/>
    <n v="0"/>
    <n v="674.12210249999998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674.12210249999998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07"/>
    <m/>
    <s v="Start Up Flash Tank"/>
    <s v="Pipe"/>
    <m/>
    <m/>
    <x v="11"/>
    <m/>
    <m/>
    <m/>
    <m/>
    <m/>
    <n v="5161.3954703999989"/>
    <s v="ASME"/>
    <n v="0.12"/>
    <s v="WBC"/>
    <e v="#N/A"/>
    <n v="5780.7629268479996"/>
    <n v="0"/>
    <n v="5780.7629268479996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5780.7629268479996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7"/>
    <m/>
    <s v="Start Up Flash Tank"/>
    <s v="Reinforcement ring"/>
    <m/>
    <m/>
    <x v="11"/>
    <m/>
    <m/>
    <m/>
    <m/>
    <m/>
    <n v="1256"/>
    <s v="ASME"/>
    <n v="0.12"/>
    <s v="WBC"/>
    <e v="#N/A"/>
    <n v="1406.72"/>
    <n v="0"/>
    <n v="1406.72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1406.72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7"/>
    <m/>
    <s v="Start Up Flash Tank"/>
    <s v="Reinforcement ring"/>
    <m/>
    <m/>
    <x v="11"/>
    <m/>
    <m/>
    <m/>
    <m/>
    <m/>
    <n v="56.52"/>
    <s v="ASME"/>
    <n v="0.12"/>
    <s v="WBC"/>
    <e v="#N/A"/>
    <n v="63.302400000000013"/>
    <n v="0"/>
    <n v="63.302400000000013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63.302400000000013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7"/>
    <m/>
    <s v="Start Up Flash Tank"/>
    <s v="Lug"/>
    <m/>
    <m/>
    <x v="11"/>
    <m/>
    <m/>
    <m/>
    <m/>
    <m/>
    <n v="143.184"/>
    <s v="ASME"/>
    <n v="0.12"/>
    <s v="WBC"/>
    <e v="#N/A"/>
    <n v="160.36608000000001"/>
    <n v="0"/>
    <n v="160.36608000000001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160.36608000000001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7"/>
    <m/>
    <s v="Start Up Flash Tank"/>
    <s v="Manhole"/>
    <m/>
    <m/>
    <x v="11"/>
    <m/>
    <m/>
    <m/>
    <m/>
    <m/>
    <n v="132.66499999999999"/>
    <s v="ASME"/>
    <n v="0.12"/>
    <s v="WBC"/>
    <e v="#N/A"/>
    <n v="148.5848"/>
    <n v="0"/>
    <n v="148.5848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148.5848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7"/>
    <m/>
    <s v="Start Up Flash Tank"/>
    <s v="Lug support"/>
    <m/>
    <m/>
    <x v="11"/>
    <m/>
    <m/>
    <m/>
    <m/>
    <m/>
    <n v="753.6"/>
    <s v="ASME"/>
    <n v="0.12"/>
    <s v="WBC"/>
    <e v="#N/A"/>
    <n v="844.03200000000015"/>
    <n v="0"/>
    <n v="844.03200000000015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844.03200000000015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8"/>
    <m/>
    <s v="Flash Tank Vent Stack"/>
    <s v="Pipe"/>
    <m/>
    <m/>
    <x v="11"/>
    <m/>
    <m/>
    <m/>
    <m/>
    <m/>
    <n v="3169.0520730000003"/>
    <s v="ASME"/>
    <n v="0.12"/>
    <s v="WBC"/>
    <e v="#N/A"/>
    <n v="3549.3383217600008"/>
    <n v="0"/>
    <n v="3549.3383217600008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3549.3383217600008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8"/>
    <m/>
    <s v="Flash Tank Vent Stack"/>
    <s v="Pipe"/>
    <m/>
    <m/>
    <x v="11"/>
    <m/>
    <m/>
    <m/>
    <m/>
    <m/>
    <n v="5098.2349027500004"/>
    <s v="ASME"/>
    <n v="0.12"/>
    <s v="WBC"/>
    <e v="#N/A"/>
    <n v="5710.023091080001"/>
    <n v="0"/>
    <n v="5710.023091080001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5710.023091080001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8"/>
    <m/>
    <s v="Flash Tank Vent Stack"/>
    <s v="Pipe"/>
    <m/>
    <m/>
    <x v="11"/>
    <m/>
    <m/>
    <m/>
    <m/>
    <m/>
    <n v="13995.154635000001"/>
    <s v="ASME"/>
    <n v="0.12"/>
    <s v="WBC"/>
    <e v="#N/A"/>
    <n v="15674.573191200003"/>
    <n v="0"/>
    <n v="15674.573191200003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15674.573191200003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8"/>
    <m/>
    <s v="Flash Tank Vent Stack"/>
    <s v="Pipe"/>
    <m/>
    <m/>
    <x v="11"/>
    <m/>
    <m/>
    <m/>
    <m/>
    <m/>
    <n v="4753.5781095000002"/>
    <s v="ASME"/>
    <n v="0.12"/>
    <s v="WBC"/>
    <e v="#N/A"/>
    <n v="5324.0074826400005"/>
    <n v="0"/>
    <n v="5324.0074826400005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5324.0074826400005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8"/>
    <m/>
    <s v="Flash Tank Vent Stack"/>
    <s v="Pipe"/>
    <m/>
    <m/>
    <x v="11"/>
    <m/>
    <m/>
    <m/>
    <m/>
    <m/>
    <n v="1671.06324"/>
    <s v="ASME"/>
    <n v="0.12"/>
    <s v="WBC"/>
    <e v="#N/A"/>
    <n v="1871.5908288000001"/>
    <n v="0"/>
    <n v="1871.5908288000001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1871.5908288000001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9"/>
    <m/>
    <s v="Flash Tank Vent Stack Supports"/>
    <s v="Constant spring hangers"/>
    <m/>
    <m/>
    <x v="11"/>
    <m/>
    <m/>
    <m/>
    <m/>
    <m/>
    <n v="85.1"/>
    <s v="ASME"/>
    <n v="0"/>
    <s v="OUT"/>
    <n v="0"/>
    <n v="85.1"/>
    <n v="0"/>
    <n v="85.1"/>
    <s v="Constant spring hangers"/>
    <x v="5"/>
    <s v="Various"/>
    <s v="Various"/>
    <m/>
    <m/>
    <m/>
    <n v="0"/>
    <x v="0"/>
    <x v="0"/>
    <x v="1"/>
    <x v="0"/>
    <n v="90"/>
    <x v="0"/>
    <s v="KG"/>
    <n v="60"/>
    <n v="51.282051282051285"/>
    <n v="0.1"/>
    <n v="46.15384615384616"/>
    <n v="85.1"/>
    <n v="0"/>
    <n v="4364.1025641025644"/>
    <n v="0"/>
    <n v="3927.6923076923081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3927.6923076923081"/>
    <n v="0"/>
    <m/>
    <m/>
    <x v="2"/>
    <m/>
  </r>
  <r>
    <x v="5"/>
    <x v="5"/>
    <s v="64"/>
    <s v="6409"/>
    <m/>
    <s v="Flash Tank Vent Stack Supports"/>
    <s v="Hanger"/>
    <m/>
    <m/>
    <x v="11"/>
    <m/>
    <m/>
    <m/>
    <m/>
    <m/>
    <n v="10.35"/>
    <s v="ASME"/>
    <n v="0"/>
    <s v="OUT"/>
    <n v="0"/>
    <n v="10.35"/>
    <n v="0"/>
    <n v="10.35"/>
    <s v="Hanger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10.35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9"/>
    <m/>
    <s v="Flash Tank Vent Stack Supports"/>
    <s v="Nut"/>
    <m/>
    <m/>
    <x v="11"/>
    <m/>
    <m/>
    <m/>
    <m/>
    <m/>
    <n v="2.2999999999999998"/>
    <s v="ASME"/>
    <n v="0"/>
    <s v="OUT"/>
    <n v="0"/>
    <n v="2.2999999999999998"/>
    <n v="0"/>
    <n v="2.2999999999999998"/>
    <s v="Nut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2.2999999999999998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9"/>
    <m/>
    <s v="Flash Tank Vent Stack Supports"/>
    <s v="Gasket 56"/>
    <m/>
    <m/>
    <x v="11"/>
    <m/>
    <m/>
    <m/>
    <m/>
    <m/>
    <n v="5.52"/>
    <s v="ASME"/>
    <n v="0"/>
    <s v="OUT"/>
    <n v="0"/>
    <n v="5.52"/>
    <n v="0"/>
    <n v="5.52"/>
    <s v="Gasket 56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5.52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9"/>
    <m/>
    <s v="Flash Tank Vent Stack Supports"/>
    <s v="Bolt"/>
    <m/>
    <m/>
    <x v="11"/>
    <m/>
    <m/>
    <m/>
    <m/>
    <m/>
    <n v="0.92"/>
    <s v="ASME"/>
    <n v="0"/>
    <s v="OUT"/>
    <n v="0"/>
    <n v="0.92"/>
    <n v="0"/>
    <n v="0.92"/>
    <s v="Bolt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0.92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9"/>
    <m/>
    <s v="Flash Tank Vent Stack Supports"/>
    <s v="Nut"/>
    <m/>
    <m/>
    <x v="11"/>
    <m/>
    <m/>
    <m/>
    <m/>
    <m/>
    <n v="0.34499999999999997"/>
    <s v="ASME"/>
    <n v="0"/>
    <s v="OUT"/>
    <n v="0"/>
    <n v="0.34499999999999997"/>
    <n v="0"/>
    <n v="0.34499999999999997"/>
    <s v="Nut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0.34499999999999997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9"/>
    <m/>
    <s v="Flash Tank Vent Stack Supports"/>
    <s v="Gasket 20"/>
    <m/>
    <m/>
    <x v="11"/>
    <m/>
    <m/>
    <m/>
    <m/>
    <m/>
    <n v="0.34499999999999997"/>
    <s v="ASME"/>
    <n v="0"/>
    <s v="OUT"/>
    <n v="0"/>
    <n v="0.34499999999999997"/>
    <n v="0"/>
    <n v="0.34499999999999997"/>
    <s v="Gasket 20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0.34499999999999997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9"/>
    <m/>
    <s v="Flash Tank Vent Stack Supports"/>
    <s v="Gasket 20"/>
    <m/>
    <m/>
    <x v="11"/>
    <m/>
    <m/>
    <m/>
    <m/>
    <m/>
    <n v="1564"/>
    <s v="ASME"/>
    <n v="0"/>
    <s v="OUT"/>
    <n v="0"/>
    <n v="1564"/>
    <n v="0"/>
    <n v="1564"/>
    <s v="Gasket 20"/>
    <x v="5"/>
    <s v="Various"/>
    <s v="Various"/>
    <m/>
    <m/>
    <m/>
    <n v="0"/>
    <x v="0"/>
    <x v="0"/>
    <x v="0"/>
    <x v="0"/>
    <n v="0"/>
    <x v="0"/>
    <s v="KG"/>
    <n v="0"/>
    <n v="0"/>
    <e v="#N/A"/>
    <e v="#N/A"/>
    <n v="1564"/>
    <n v="0"/>
    <n v="0"/>
    <n v="0"/>
    <e v="#N/A"/>
    <d v="1899-12-30T00:00:00"/>
    <n v="0"/>
    <d v="1899-12-30T00:00:00"/>
    <d v="2018-08-07T00:00:00"/>
    <d v="2018-12-04T00:00:00"/>
    <n v="4"/>
    <n v="8"/>
    <n v="0"/>
    <n v="0"/>
    <n v="0"/>
    <n v="0"/>
    <n v="0"/>
    <m/>
    <e v="#N/A"/>
    <e v="#N/A"/>
    <n v="0"/>
    <m/>
    <m/>
    <x v="2"/>
    <m/>
  </r>
  <r>
    <x v="5"/>
    <x v="5"/>
    <s v="64"/>
    <s v="6409"/>
    <m/>
    <s v="Flash Tank Vent Stack Supports"/>
    <s v="Channel steel"/>
    <m/>
    <m/>
    <x v="11"/>
    <m/>
    <m/>
    <m/>
    <m/>
    <m/>
    <n v="632.5"/>
    <s v="ASME"/>
    <n v="0.12"/>
    <s v="WBC"/>
    <e v="#N/A"/>
    <n v="708.40000000000009"/>
    <n v="0"/>
    <n v="708.40000000000009"/>
    <s v=""/>
    <x v="5"/>
    <s v="Profiled Bar"/>
    <s v="Profiled Bar"/>
    <m/>
    <m/>
    <m/>
    <n v="0"/>
    <x v="2"/>
    <x v="0"/>
    <x v="0"/>
    <x v="0"/>
    <n v="0"/>
    <x v="0"/>
    <s v="KG"/>
    <n v="0"/>
    <n v="0"/>
    <n v="0"/>
    <n v="0"/>
    <n v="708.40000000000009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9"/>
    <m/>
    <s v="Flash Tank Vent Stack Supports"/>
    <s v="Channel steel"/>
    <m/>
    <m/>
    <x v="11"/>
    <m/>
    <m/>
    <m/>
    <m/>
    <m/>
    <n v="991.3"/>
    <s v="ASME"/>
    <n v="0.12"/>
    <s v="WBC"/>
    <e v="#N/A"/>
    <n v="1110.2560000000001"/>
    <n v="0"/>
    <n v="1110.2560000000001"/>
    <s v=""/>
    <x v="5"/>
    <s v="Profiled Bar"/>
    <s v="Profiled Bar"/>
    <m/>
    <m/>
    <m/>
    <n v="0"/>
    <x v="2"/>
    <x v="0"/>
    <x v="0"/>
    <x v="0"/>
    <n v="0"/>
    <x v="0"/>
    <s v="KG"/>
    <n v="0"/>
    <n v="0"/>
    <n v="0"/>
    <n v="0"/>
    <n v="1110.2560000000001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9"/>
    <m/>
    <s v="Flash Tank Vent Stack Supports"/>
    <s v="Channel steel"/>
    <m/>
    <m/>
    <x v="11"/>
    <m/>
    <m/>
    <m/>
    <m/>
    <m/>
    <n v="1382.3"/>
    <s v="ASME"/>
    <n v="0.12"/>
    <s v="WBC"/>
    <e v="#N/A"/>
    <n v="1548.1760000000002"/>
    <n v="0"/>
    <n v="1548.1760000000002"/>
    <s v=""/>
    <x v="5"/>
    <s v="Profiled Bar"/>
    <s v="Profiled Bar"/>
    <m/>
    <m/>
    <m/>
    <n v="0"/>
    <x v="2"/>
    <x v="0"/>
    <x v="0"/>
    <x v="0"/>
    <n v="0"/>
    <x v="0"/>
    <s v="KG"/>
    <n v="0"/>
    <n v="0"/>
    <n v="0"/>
    <n v="0"/>
    <n v="1548.1760000000002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9"/>
    <m/>
    <s v="Flash Tank Vent Stack Supports"/>
    <s v="Beam steel"/>
    <m/>
    <m/>
    <x v="11"/>
    <m/>
    <m/>
    <m/>
    <m/>
    <m/>
    <n v="193.2"/>
    <s v="ASME"/>
    <n v="0.12"/>
    <s v="WBC"/>
    <e v="#N/A"/>
    <n v="216.38400000000001"/>
    <n v="0"/>
    <n v="216.38400000000001"/>
    <s v=""/>
    <x v="5"/>
    <s v="Profiled Bar"/>
    <s v="Profiled Bar"/>
    <m/>
    <m/>
    <m/>
    <n v="0"/>
    <x v="2"/>
    <x v="0"/>
    <x v="0"/>
    <x v="0"/>
    <n v="0"/>
    <x v="0"/>
    <s v="KG"/>
    <n v="0"/>
    <n v="0"/>
    <n v="0"/>
    <n v="0"/>
    <n v="216.38400000000001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9"/>
    <m/>
    <s v="Flash Tank Vent Stack Supports"/>
    <s v="Beam steel"/>
    <m/>
    <m/>
    <x v="11"/>
    <m/>
    <m/>
    <m/>
    <m/>
    <m/>
    <n v="5531.5"/>
    <s v="ASME"/>
    <n v="0.12"/>
    <s v="WBC"/>
    <e v="#N/A"/>
    <n v="6195.2800000000007"/>
    <n v="0"/>
    <n v="6195.2800000000007"/>
    <s v=""/>
    <x v="5"/>
    <s v="Profiled Bar"/>
    <s v="Profiled Bar"/>
    <m/>
    <m/>
    <m/>
    <n v="0"/>
    <x v="2"/>
    <x v="0"/>
    <x v="0"/>
    <x v="0"/>
    <n v="0"/>
    <x v="0"/>
    <s v="KG"/>
    <n v="0"/>
    <n v="0"/>
    <n v="0"/>
    <n v="0"/>
    <n v="6195.2800000000007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9"/>
    <m/>
    <s v="Flash Tank Vent Stack Supports"/>
    <s v="H steel"/>
    <m/>
    <m/>
    <x v="11"/>
    <m/>
    <m/>
    <m/>
    <m/>
    <m/>
    <n v="72.22"/>
    <s v="ASME"/>
    <n v="0.12"/>
    <s v="WBC"/>
    <e v="#N/A"/>
    <n v="80.886400000000009"/>
    <n v="0"/>
    <n v="80.886400000000009"/>
    <s v=""/>
    <x v="5"/>
    <s v="Profiled Bar"/>
    <s v="Profiled Bar"/>
    <m/>
    <m/>
    <m/>
    <n v="0"/>
    <x v="2"/>
    <x v="0"/>
    <x v="0"/>
    <x v="0"/>
    <n v="0"/>
    <x v="0"/>
    <s v="KG"/>
    <n v="0"/>
    <n v="0"/>
    <n v="0"/>
    <n v="0"/>
    <n v="80.886400000000009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9"/>
    <m/>
    <s v="Flash Tank Vent Stack Supports"/>
    <s v="Plate"/>
    <m/>
    <m/>
    <x v="11"/>
    <m/>
    <m/>
    <m/>
    <m/>
    <m/>
    <n v="62.8"/>
    <s v="ASME"/>
    <n v="0.12"/>
    <s v="WBC"/>
    <e v="#N/A"/>
    <n v="70.335999999999999"/>
    <n v="0"/>
    <n v="70.335999999999999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70.335999999999999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9"/>
    <m/>
    <s v="Flash Tank Vent Stack Supports"/>
    <s v="Plate"/>
    <m/>
    <m/>
    <x v="11"/>
    <m/>
    <m/>
    <m/>
    <m/>
    <m/>
    <n v="94.2"/>
    <s v="ASME"/>
    <n v="0.12"/>
    <s v="WBC"/>
    <e v="#N/A"/>
    <n v="105.50400000000002"/>
    <n v="0"/>
    <n v="105.50400000000002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105.50400000000002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9"/>
    <m/>
    <s v="Flash Tank Vent Stack Supports"/>
    <s v="Plate"/>
    <m/>
    <m/>
    <x v="11"/>
    <m/>
    <m/>
    <m/>
    <m/>
    <m/>
    <n v="157"/>
    <s v="ASME"/>
    <n v="0.12"/>
    <s v="WBC"/>
    <e v="#N/A"/>
    <n v="175.84"/>
    <n v="0"/>
    <n v="175.84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175.84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09"/>
    <m/>
    <s v="Flash Tank Vent Stack Supports"/>
    <s v="Plate"/>
    <m/>
    <m/>
    <x v="11"/>
    <m/>
    <m/>
    <m/>
    <m/>
    <m/>
    <n v="471"/>
    <s v="ASME"/>
    <n v="0.12"/>
    <s v="WBC"/>
    <e v="#N/A"/>
    <n v="527.5200000000001"/>
    <n v="0"/>
    <n v="527.5200000000001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527.5200000000001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10"/>
    <m/>
    <s v="Flash Tank Outlet Links"/>
    <s v="Piping"/>
    <m/>
    <m/>
    <x v="11"/>
    <m/>
    <m/>
    <m/>
    <m/>
    <m/>
    <n v="674.12210249999998"/>
    <s v="ASME"/>
    <n v="0"/>
    <s v="OUT"/>
    <n v="0"/>
    <n v="674.12210249999998"/>
    <n v="0"/>
    <n v="674.12210249999998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674.12210249999998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89"/>
    <n v="9"/>
    <m/>
    <x v="2"/>
    <m/>
  </r>
  <r>
    <x v="5"/>
    <x v="5"/>
    <s v="64"/>
    <s v="6410"/>
    <m/>
    <s v="Flash Tank Outlet Links"/>
    <s v="Piping"/>
    <m/>
    <m/>
    <x v="11"/>
    <m/>
    <m/>
    <m/>
    <m/>
    <m/>
    <n v="515.42534999999998"/>
    <s v="ASME"/>
    <n v="0"/>
    <s v="OUT"/>
    <n v="0"/>
    <n v="515.42534999999998"/>
    <n v="0"/>
    <n v="515.42534999999998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515.42534999999998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10"/>
    <m/>
    <s v="Flash Tank Outlet Links"/>
    <s v="Piping"/>
    <m/>
    <m/>
    <x v="11"/>
    <m/>
    <m/>
    <m/>
    <m/>
    <m/>
    <n v="976.59540000000004"/>
    <s v="ASME"/>
    <n v="0"/>
    <s v="OUT"/>
    <n v="0"/>
    <n v="976.59540000000004"/>
    <n v="0"/>
    <n v="976.59540000000004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976.59540000000004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10"/>
    <m/>
    <s v="Flash Tank Outlet Links"/>
    <s v="Piping"/>
    <m/>
    <m/>
    <x v="11"/>
    <m/>
    <m/>
    <m/>
    <m/>
    <m/>
    <n v="774.37110000000007"/>
    <s v="ASME"/>
    <n v="0"/>
    <s v="OUT"/>
    <n v="0"/>
    <n v="774.37110000000007"/>
    <n v="0"/>
    <n v="774.37110000000007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774.37110000000007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10"/>
    <m/>
    <s v="Flash Tank Outlet Links"/>
    <s v="Piping"/>
    <m/>
    <m/>
    <x v="11"/>
    <m/>
    <m/>
    <m/>
    <m/>
    <m/>
    <n v="648.59745000000009"/>
    <s v="ASME"/>
    <n v="0"/>
    <s v="OUT"/>
    <n v="0"/>
    <n v="648.59745000000009"/>
    <n v="0"/>
    <n v="648.59745000000009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648.59745000000009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10"/>
    <m/>
    <s v="Flash Tank Outlet Links"/>
    <s v="Piping"/>
    <m/>
    <m/>
    <x v="11"/>
    <m/>
    <m/>
    <m/>
    <m/>
    <m/>
    <n v="515.42534999999998"/>
    <s v="ASME"/>
    <n v="0"/>
    <s v="OUT"/>
    <n v="0"/>
    <n v="515.42534999999998"/>
    <n v="0"/>
    <n v="515.42534999999998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515.42534999999998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10"/>
    <m/>
    <s v="Flash Tank Outlet Links"/>
    <s v="Piping"/>
    <m/>
    <m/>
    <x v="11"/>
    <m/>
    <m/>
    <m/>
    <m/>
    <m/>
    <n v="103.5783"/>
    <s v="ASME"/>
    <e v="#N/A"/>
    <e v="#N/A"/>
    <e v="#N/A"/>
    <e v="#N/A"/>
    <e v="#N/A"/>
    <e v="#N/A"/>
    <s v=" 0-0"/>
    <x v="5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5"/>
    <x v="5"/>
    <s v="64"/>
    <s v="6410"/>
    <m/>
    <s v="Flash Tank Outlet Links"/>
    <s v="Piping"/>
    <m/>
    <m/>
    <x v="11"/>
    <m/>
    <m/>
    <m/>
    <m/>
    <m/>
    <n v="853.28790000000004"/>
    <s v="ASME"/>
    <n v="0"/>
    <s v="OUT"/>
    <n v="0"/>
    <n v="853.28790000000004"/>
    <n v="0"/>
    <n v="853.28790000000004"/>
    <s v=" 0-0"/>
    <x v="5"/>
    <s v="Various"/>
    <s v="Piping"/>
    <m/>
    <m/>
    <m/>
    <n v="0"/>
    <x v="0"/>
    <x v="0"/>
    <x v="0"/>
    <x v="0"/>
    <n v="0"/>
    <x v="0"/>
    <s v="KG"/>
    <n v="0"/>
    <n v="0"/>
    <e v="#N/A"/>
    <e v="#N/A"/>
    <n v="853.28790000000004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2"/>
    <m/>
  </r>
  <r>
    <x v="5"/>
    <x v="5"/>
    <s v="64"/>
    <s v="6411"/>
    <m/>
    <s v="Condensate Tank"/>
    <s v="Body"/>
    <m/>
    <m/>
    <x v="11"/>
    <m/>
    <m/>
    <m/>
    <m/>
    <m/>
    <n v="15243.444"/>
    <s v="ASME"/>
    <n v="0.12"/>
    <s v="WBC"/>
    <e v="#N/A"/>
    <n v="17072.657279999999"/>
    <n v="0"/>
    <n v="17072.657279999999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17072.657279999999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1205"/>
    <n v="58"/>
    <m/>
    <x v="2"/>
    <m/>
  </r>
  <r>
    <x v="5"/>
    <x v="5"/>
    <s v="64"/>
    <s v="6411"/>
    <m/>
    <s v="Condensate Tank"/>
    <s v="Plate"/>
    <m/>
    <m/>
    <x v="11"/>
    <m/>
    <m/>
    <m/>
    <m/>
    <m/>
    <n v="3588"/>
    <s v="ASME"/>
    <n v="0.12"/>
    <s v="WBC"/>
    <e v="#N/A"/>
    <n v="4018.5600000000004"/>
    <n v="0"/>
    <n v="4018.5600000000004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4018.5600000000004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11"/>
    <m/>
    <s v="Condensate Tank"/>
    <s v="Plate"/>
    <m/>
    <m/>
    <x v="11"/>
    <m/>
    <m/>
    <m/>
    <m/>
    <m/>
    <n v="6360"/>
    <s v="ASME"/>
    <n v="0.12"/>
    <s v="WBC"/>
    <e v="#N/A"/>
    <n v="7123.2000000000007"/>
    <n v="0"/>
    <n v="7123.2000000000007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7123.2000000000007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11"/>
    <m/>
    <s v="Condensate Tank"/>
    <s v="Plate"/>
    <m/>
    <m/>
    <x v="11"/>
    <m/>
    <m/>
    <m/>
    <m/>
    <m/>
    <n v="1978.9"/>
    <s v="ASME"/>
    <n v="0.12"/>
    <s v="WBC"/>
    <e v="#N/A"/>
    <n v="2216.3680000000004"/>
    <n v="0"/>
    <n v="2216.3680000000004"/>
    <s v=""/>
    <x v="5"/>
    <s v="Plate"/>
    <s v="Plate"/>
    <m/>
    <m/>
    <m/>
    <n v="0"/>
    <x v="2"/>
    <x v="0"/>
    <x v="0"/>
    <x v="0"/>
    <n v="0"/>
    <x v="0"/>
    <s v="KG"/>
    <n v="0"/>
    <n v="0"/>
    <n v="0"/>
    <n v="0"/>
    <n v="2216.3680000000004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11"/>
    <m/>
    <s v="Condensate Tank"/>
    <s v="Supports"/>
    <m/>
    <m/>
    <x v="11"/>
    <m/>
    <m/>
    <m/>
    <m/>
    <m/>
    <n v="1080"/>
    <s v="ASME"/>
    <n v="0.12"/>
    <s v="WBC"/>
    <e v="#N/A"/>
    <n v="1209.6000000000001"/>
    <n v="0"/>
    <n v="1209.6000000000001"/>
    <s v=""/>
    <x v="5"/>
    <s v="Profiled Bar"/>
    <s v="Profiled Bar"/>
    <m/>
    <m/>
    <m/>
    <n v="0"/>
    <x v="2"/>
    <x v="0"/>
    <x v="0"/>
    <x v="0"/>
    <n v="0"/>
    <x v="0"/>
    <s v="KG"/>
    <n v="0"/>
    <n v="0"/>
    <n v="0"/>
    <n v="0"/>
    <n v="1209.6000000000001"/>
    <n v="0"/>
    <n v="0"/>
    <n v="0"/>
    <n v="0"/>
    <d v="1899-12-30T00:00:00"/>
    <n v="0"/>
    <d v="1899-12-30T00:00:00"/>
    <d v="2018-08-07T00:00:00"/>
    <d v="2018-12-04T00:00:00"/>
    <n v="4"/>
    <n v="8"/>
    <n v="0"/>
    <n v="0"/>
    <n v="0"/>
    <n v="0"/>
    <e v="#N/A"/>
    <m/>
    <n v="0"/>
    <n v="0"/>
    <n v="0"/>
    <m/>
    <m/>
    <x v="2"/>
    <m/>
  </r>
  <r>
    <x v="5"/>
    <x v="5"/>
    <s v="64"/>
    <s v="6412"/>
    <m/>
    <s v="Hot Stand-By And Subcooling Piping"/>
    <s v="Tube"/>
    <m/>
    <m/>
    <x v="11"/>
    <m/>
    <m/>
    <m/>
    <m/>
    <m/>
    <n v="1371.056544"/>
    <s v="ASME"/>
    <e v="#N/A"/>
    <e v="#N/A"/>
    <e v="#N/A"/>
    <e v="#N/A"/>
    <e v="#N/A"/>
    <e v="#N/A"/>
    <s v=" 0-0"/>
    <x v="5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7-03T00:00:00"/>
    <d v="2018-12-29T00:00:00"/>
    <n v="5"/>
    <n v="7"/>
    <n v="0"/>
    <n v="0"/>
    <n v="0"/>
    <n v="0"/>
    <e v="#N/A"/>
    <m/>
    <e v="#N/A"/>
    <e v="#N/A"/>
    <n v="0"/>
    <n v="8"/>
    <m/>
    <x v="1"/>
    <m/>
  </r>
  <r>
    <x v="5"/>
    <x v="5"/>
    <s v="64"/>
    <s v="6412"/>
    <m/>
    <s v="Hot Stand-By And Subcooling Piping"/>
    <s v="Tube"/>
    <m/>
    <m/>
    <x v="11"/>
    <m/>
    <m/>
    <m/>
    <m/>
    <m/>
    <n v="920.54793599999994"/>
    <s v="ASME"/>
    <e v="#N/A"/>
    <e v="#N/A"/>
    <e v="#N/A"/>
    <e v="#N/A"/>
    <e v="#N/A"/>
    <e v="#N/A"/>
    <s v=" 0-0"/>
    <x v="5"/>
    <e v="#N/A"/>
    <s v="Tubing"/>
    <m/>
    <m/>
    <m/>
    <n v="0"/>
    <x v="1"/>
    <x v="0"/>
    <x v="0"/>
    <x v="0"/>
    <n v="0"/>
    <x v="0"/>
    <s v="KG"/>
    <n v="0"/>
    <n v="0"/>
    <e v="#N/A"/>
    <e v="#N/A"/>
    <e v="#N/A"/>
    <n v="0"/>
    <e v="#N/A"/>
    <n v="0"/>
    <e v="#N/A"/>
    <d v="1899-12-30T00:00:00"/>
    <n v="0"/>
    <d v="1899-12-30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5"/>
    <x v="5"/>
    <s v="64"/>
    <s v="6412"/>
    <m/>
    <s v="Hot Stand-By And Subcooling Piping"/>
    <s v="Nozzles"/>
    <m/>
    <m/>
    <x v="11"/>
    <m/>
    <m/>
    <m/>
    <m/>
    <m/>
    <n v="271.08383203124998"/>
    <s v="ASME"/>
    <n v="0"/>
    <s v="OUT"/>
    <n v="0"/>
    <n v="271.08383203124998"/>
    <n v="0"/>
    <n v="271.08383203124998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271.08383203124998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12"/>
    <m/>
    <s v="Hot Stand-By And Subcooling Piping"/>
    <s v="Nozzles"/>
    <m/>
    <m/>
    <x v="11"/>
    <m/>
    <m/>
    <m/>
    <m/>
    <m/>
    <n v="79.664659987500016"/>
    <s v="ASME"/>
    <n v="0"/>
    <s v="OUT"/>
    <n v="0"/>
    <n v="79.664659987500016"/>
    <n v="0"/>
    <n v="79.664659987500016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79.664659987500016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12"/>
    <m/>
    <s v="Hot Stand-By And Subcooling Piping"/>
    <s v="Nozzles"/>
    <m/>
    <m/>
    <x v="11"/>
    <m/>
    <m/>
    <m/>
    <m/>
    <m/>
    <n v="40.602693600000009"/>
    <s v="ASME"/>
    <n v="0"/>
    <s v="OUT"/>
    <n v="0"/>
    <n v="40.602693600000009"/>
    <n v="0"/>
    <n v="40.602693600000009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40.602693600000009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5"/>
    <x v="5"/>
    <s v="64"/>
    <s v="6412"/>
    <m/>
    <s v="Hot Stand-By And Subcooling Piping"/>
    <s v="Nozzles"/>
    <m/>
    <m/>
    <x v="11"/>
    <m/>
    <m/>
    <m/>
    <m/>
    <m/>
    <n v="14.053503744"/>
    <s v="ASME"/>
    <n v="0"/>
    <s v="OUT"/>
    <n v="0"/>
    <n v="14.053503744"/>
    <n v="0"/>
    <n v="14.053503744"/>
    <s v="Nozzles"/>
    <x v="5"/>
    <s v="Forgings"/>
    <s v="Forgings"/>
    <m/>
    <m/>
    <m/>
    <n v="0"/>
    <x v="0"/>
    <x v="0"/>
    <x v="0"/>
    <x v="0"/>
    <n v="0"/>
    <x v="0"/>
    <s v="KG"/>
    <n v="0"/>
    <n v="0"/>
    <e v="#N/A"/>
    <e v="#N/A"/>
    <n v="14.053503744"/>
    <n v="0"/>
    <n v="0"/>
    <n v="0"/>
    <e v="#N/A"/>
    <d v="1899-12-30T00:00:00"/>
    <n v="0"/>
    <d v="1899-12-30T00:00:00"/>
    <d v="2018-07-03T00:00:00"/>
    <d v="2018-12-29T00:00:00"/>
    <n v="5"/>
    <n v="7"/>
    <n v="0"/>
    <n v="0"/>
    <n v="0"/>
    <n v="0"/>
    <n v="0"/>
    <m/>
    <e v="#N/A"/>
    <e v="#N/A"/>
    <n v="0"/>
    <m/>
    <m/>
    <x v="0"/>
    <m/>
  </r>
  <r>
    <x v="6"/>
    <x v="6"/>
    <s v="29"/>
    <s v="29-01"/>
    <m/>
    <s v="Proper"/>
    <n v="0"/>
    <m/>
    <m/>
    <x v="11"/>
    <m/>
    <m/>
    <m/>
    <m/>
    <m/>
    <n v="3312"/>
    <s v="ASME"/>
    <n v="0"/>
    <s v="OUT"/>
    <n v="0"/>
    <n v="3312"/>
    <n v="0"/>
    <n v="3312"/>
    <s v=" 0-0"/>
    <x v="6"/>
    <s v="Various"/>
    <s v="Piping"/>
    <m/>
    <m/>
    <m/>
    <m/>
    <x v="0"/>
    <x v="1"/>
    <x v="2"/>
    <x v="1"/>
    <n v="180"/>
    <x v="1"/>
    <s v="KG"/>
    <n v="6.71"/>
    <n v="6.71"/>
    <m/>
    <n v="6.71"/>
    <n v="3312"/>
    <n v="22223.52"/>
    <n v="166103.033184"/>
    <n v="22223.52"/>
    <n v="166103.033184"/>
    <d v="2016-11-07T00:00:00"/>
    <n v="7"/>
    <d v="2016-11-14T00:00:00"/>
    <d v="2018-07-03T00:00:00"/>
    <d v="2018-12-29T00:00:00"/>
    <n v="5"/>
    <n v="7"/>
    <n v="0.04"/>
    <n v="6644.1213273600006"/>
    <n v="249.15454977600001"/>
    <n v="6893.2758771360004"/>
    <n v="0"/>
    <m/>
    <n v="0"/>
    <n v="166103.033184"/>
    <n v="125"/>
    <n v="4"/>
    <m/>
    <x v="2"/>
    <m/>
  </r>
  <r>
    <x v="6"/>
    <x v="6"/>
    <s v="29"/>
    <s v="29-02"/>
    <m/>
    <s v="Proper"/>
    <n v="0"/>
    <m/>
    <m/>
    <x v="11"/>
    <m/>
    <m/>
    <m/>
    <m/>
    <m/>
    <n v="2015.3377799999998"/>
    <s v="ASME"/>
    <n v="0"/>
    <s v="OUT"/>
    <n v="0"/>
    <n v="2015.3377799999998"/>
    <n v="0"/>
    <n v="2015.3377799999998"/>
    <s v=" 0-0"/>
    <x v="7"/>
    <s v="Various"/>
    <s v="Piping"/>
    <m/>
    <m/>
    <m/>
    <m/>
    <x v="0"/>
    <x v="1"/>
    <x v="2"/>
    <x v="2"/>
    <n v="180"/>
    <x v="2"/>
    <s v="KG"/>
    <n v="1.403"/>
    <n v="1.403"/>
    <m/>
    <n v="1.403"/>
    <n v="2015.3377799999998"/>
    <n v="2827.5189053399999"/>
    <n v="19179.626238702287"/>
    <n v="2827.5189053399999"/>
    <n v="19179.626238702287"/>
    <d v="2016-11-07T00:00:00"/>
    <n v="7"/>
    <d v="2016-11-14T00:00:00"/>
    <d v="2018-07-03T00:00:00"/>
    <d v="2018-12-29T00:00:00"/>
    <n v="5"/>
    <n v="7"/>
    <n v="0.04"/>
    <n v="767.18504954809146"/>
    <n v="28.769439358053432"/>
    <n v="795.95448890614489"/>
    <n v="0"/>
    <m/>
    <n v="0"/>
    <n v="19179.626238702287"/>
    <n v="50"/>
    <n v="6"/>
    <m/>
    <x v="2"/>
    <m/>
  </r>
  <r>
    <x v="6"/>
    <x v="6"/>
    <s v="29"/>
    <s v="29-03"/>
    <m/>
    <s v="Proper"/>
    <n v="0"/>
    <m/>
    <m/>
    <x v="11"/>
    <m/>
    <m/>
    <m/>
    <m/>
    <m/>
    <n v="2560.46"/>
    <s v="ASME"/>
    <n v="0"/>
    <s v="OUT"/>
    <n v="0"/>
    <n v="2560.46"/>
    <n v="0"/>
    <n v="2560.46"/>
    <s v=" 0-0"/>
    <x v="6"/>
    <s v="Various"/>
    <s v="Piping"/>
    <m/>
    <m/>
    <m/>
    <m/>
    <x v="0"/>
    <x v="1"/>
    <x v="2"/>
    <x v="1"/>
    <n v="180"/>
    <x v="1"/>
    <s v="KG"/>
    <n v="6.71"/>
    <n v="6.71"/>
    <m/>
    <n v="6.71"/>
    <n v="2560.46"/>
    <n v="17180.686600000001"/>
    <n v="128411.88778572"/>
    <n v="17180.686600000001"/>
    <n v="128411.88778572"/>
    <d v="2016-11-07T00:00:00"/>
    <n v="7"/>
    <d v="2016-11-14T00:00:00"/>
    <d v="2018-07-03T00:00:00"/>
    <d v="2018-12-29T00:00:00"/>
    <n v="5"/>
    <n v="7"/>
    <n v="0.04"/>
    <n v="5136.4755114288"/>
    <n v="192.61783167857999"/>
    <n v="5329.09334310738"/>
    <n v="0"/>
    <m/>
    <n v="0"/>
    <n v="128411.88778572"/>
    <n v="58"/>
    <n v="5"/>
    <m/>
    <x v="2"/>
    <m/>
  </r>
  <r>
    <x v="6"/>
    <x v="6"/>
    <s v="29"/>
    <s v="29-04"/>
    <m/>
    <s v="Proper"/>
    <n v="0"/>
    <m/>
    <m/>
    <x v="11"/>
    <m/>
    <m/>
    <m/>
    <m/>
    <m/>
    <n v="132839.16974999997"/>
    <s v="ASME"/>
    <n v="0"/>
    <s v="OUT"/>
    <n v="0"/>
    <n v="132839.16974999997"/>
    <n v="0"/>
    <n v="132839.16974999997"/>
    <s v=" 0-0"/>
    <x v="8"/>
    <s v="Various"/>
    <s v="Piping"/>
    <m/>
    <m/>
    <m/>
    <m/>
    <x v="0"/>
    <x v="0"/>
    <x v="2"/>
    <x v="3"/>
    <n v="90"/>
    <x v="0"/>
    <s v="KG"/>
    <n v="14.850000000000001"/>
    <n v="12.692307692307695"/>
    <m/>
    <n v="12.692307692307695"/>
    <n v="132839.16974999997"/>
    <n v="0"/>
    <n v="1686035.6160576923"/>
    <n v="0"/>
    <n v="1686035.6160576923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1686035.6160576923"/>
    <n v="2565"/>
    <n v="200"/>
    <m/>
    <x v="2"/>
    <m/>
  </r>
  <r>
    <x v="6"/>
    <x v="6"/>
    <s v="29"/>
    <s v="29-04"/>
    <m/>
    <s v="Proper"/>
    <n v="0"/>
    <m/>
    <m/>
    <x v="11"/>
    <m/>
    <m/>
    <m/>
    <m/>
    <m/>
    <n v="1399.0468949999997"/>
    <s v="ASME"/>
    <n v="0"/>
    <s v="OUT"/>
    <n v="0"/>
    <n v="1399.0468949999997"/>
    <n v="0"/>
    <n v="1399.0468949999997"/>
    <s v=" 0-0"/>
    <x v="8"/>
    <s v="Various"/>
    <s v="Piping"/>
    <m/>
    <m/>
    <m/>
    <m/>
    <x v="0"/>
    <x v="0"/>
    <x v="2"/>
    <x v="3"/>
    <n v="90"/>
    <x v="0"/>
    <s v="KG"/>
    <n v="14.850000000000001"/>
    <n v="12.692307692307695"/>
    <m/>
    <n v="12.692307692307695"/>
    <n v="1399.0468949999997"/>
    <n v="0"/>
    <n v="17757.133667307691"/>
    <n v="0"/>
    <n v="17757.133667307691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17757.133667307691"/>
    <n v="0"/>
    <m/>
    <m/>
    <x v="2"/>
    <m/>
  </r>
  <r>
    <x v="6"/>
    <x v="6"/>
    <s v="29"/>
    <s v="29-04"/>
    <m/>
    <s v="Reducer"/>
    <n v="0"/>
    <m/>
    <m/>
    <x v="11"/>
    <m/>
    <m/>
    <m/>
    <m/>
    <m/>
    <n v="260"/>
    <s v="ASME"/>
    <n v="0"/>
    <s v="OUT"/>
    <n v="0"/>
    <n v="260"/>
    <n v="0"/>
    <n v="260"/>
    <s v="0"/>
    <x v="8"/>
    <s v="Forgings"/>
    <s v="Forgings"/>
    <m/>
    <m/>
    <m/>
    <m/>
    <x v="0"/>
    <x v="0"/>
    <x v="1"/>
    <x v="4"/>
    <n v="90"/>
    <x v="0"/>
    <s v="KG"/>
    <n v="40"/>
    <n v="34.188034188034187"/>
    <n v="0.1"/>
    <n v="30.76923076923077"/>
    <n v="260"/>
    <n v="0"/>
    <n v="8888.8888888888887"/>
    <n v="0"/>
    <n v="8000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8000"/>
    <n v="0"/>
    <m/>
    <m/>
    <x v="0"/>
    <m/>
  </r>
  <r>
    <x v="6"/>
    <x v="6"/>
    <s v="29"/>
    <s v="29-04"/>
    <m/>
    <s v="Elbow"/>
    <n v="0"/>
    <m/>
    <m/>
    <x v="11"/>
    <m/>
    <m/>
    <m/>
    <m/>
    <m/>
    <n v="10560"/>
    <s v="ASME"/>
    <n v="0"/>
    <s v="OUT"/>
    <n v="0"/>
    <n v="10560"/>
    <n v="0"/>
    <n v="10560"/>
    <s v="0"/>
    <x v="8"/>
    <s v="Forgings"/>
    <s v="Forgings"/>
    <m/>
    <m/>
    <m/>
    <n v="0"/>
    <x v="0"/>
    <x v="0"/>
    <x v="1"/>
    <x v="4"/>
    <n v="90"/>
    <x v="0"/>
    <s v="KG"/>
    <n v="40"/>
    <n v="34.188034188034187"/>
    <n v="0.1"/>
    <n v="30.76923076923077"/>
    <n v="10560"/>
    <n v="0"/>
    <n v="361025.641025641"/>
    <n v="0"/>
    <n v="324923.07692307694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324923.07692307694"/>
    <n v="0"/>
    <m/>
    <m/>
    <x v="0"/>
    <m/>
  </r>
  <r>
    <x v="6"/>
    <x v="6"/>
    <s v="29"/>
    <s v="29-04"/>
    <m/>
    <s v="Elbow"/>
    <n v="0"/>
    <m/>
    <m/>
    <x v="11"/>
    <m/>
    <m/>
    <m/>
    <m/>
    <m/>
    <n v="97"/>
    <s v="ASME"/>
    <n v="0"/>
    <s v="OUT"/>
    <n v="0"/>
    <n v="97"/>
    <n v="0"/>
    <n v="97"/>
    <s v="0"/>
    <x v="8"/>
    <s v="Forgings"/>
    <s v="Forgings"/>
    <m/>
    <m/>
    <m/>
    <n v="0"/>
    <x v="0"/>
    <x v="0"/>
    <x v="1"/>
    <x v="4"/>
    <n v="90"/>
    <x v="0"/>
    <s v="KG"/>
    <n v="60"/>
    <n v="51.282051282051285"/>
    <n v="0.1"/>
    <n v="46.15384615384616"/>
    <n v="97"/>
    <n v="0"/>
    <n v="4974.3589743589746"/>
    <n v="0"/>
    <n v="4476.9230769230771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4476.9230769230771"/>
    <n v="0"/>
    <m/>
    <m/>
    <x v="0"/>
    <m/>
  </r>
  <r>
    <x v="6"/>
    <x v="6"/>
    <s v="29"/>
    <s v="29-04"/>
    <m/>
    <s v="Nozzle Φ280"/>
    <s v="Nozzle Φ280"/>
    <m/>
    <m/>
    <x v="11"/>
    <m/>
    <m/>
    <m/>
    <m/>
    <m/>
    <n v="116.4"/>
    <s v="ASME"/>
    <n v="0"/>
    <s v="OUT"/>
    <n v="0"/>
    <n v="116.4"/>
    <n v="0"/>
    <n v="116.4"/>
    <s v="Nozzle Φ280"/>
    <x v="8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116.4"/>
    <n v="0"/>
    <n v="5969.2307692307695"/>
    <n v="0"/>
    <n v="5372.3076923076933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5372.3076923076933"/>
    <n v="0"/>
    <m/>
    <m/>
    <x v="0"/>
    <m/>
  </r>
  <r>
    <x v="6"/>
    <x v="6"/>
    <s v="29"/>
    <s v="29-08"/>
    <m/>
    <s v="Spring hanger frame"/>
    <n v="0"/>
    <m/>
    <m/>
    <x v="11"/>
    <m/>
    <m/>
    <m/>
    <m/>
    <m/>
    <n v="1920"/>
    <s v="ASME"/>
    <n v="0"/>
    <s v="OUT"/>
    <n v="0"/>
    <n v="1920"/>
    <n v="0"/>
    <n v="1920"/>
    <s v="0"/>
    <x v="8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1920"/>
    <n v="0"/>
    <n v="98461.538461538468"/>
    <n v="0"/>
    <n v="88615.384615384624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88615.384615384624"/>
    <n v="0"/>
    <m/>
    <m/>
    <x v="2"/>
    <m/>
  </r>
  <r>
    <x v="6"/>
    <x v="6"/>
    <s v="29"/>
    <s v="29-08"/>
    <m/>
    <s v="Spring hanger frame"/>
    <n v="0"/>
    <m/>
    <m/>
    <x v="11"/>
    <m/>
    <m/>
    <m/>
    <m/>
    <m/>
    <n v="1344"/>
    <s v="ASME"/>
    <n v="0"/>
    <s v="OUT"/>
    <n v="0"/>
    <n v="1344"/>
    <n v="0"/>
    <n v="1344"/>
    <s v="0"/>
    <x v="8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1344"/>
    <n v="0"/>
    <n v="68923.076923076922"/>
    <n v="0"/>
    <n v="62030.769230769241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62030.769230769241"/>
    <n v="0"/>
    <m/>
    <m/>
    <x v="2"/>
    <m/>
  </r>
  <r>
    <x v="6"/>
    <x v="6"/>
    <s v="29"/>
    <s v="29-08"/>
    <m/>
    <s v="Spring hanger frame"/>
    <n v="0"/>
    <m/>
    <m/>
    <x v="11"/>
    <m/>
    <m/>
    <m/>
    <m/>
    <m/>
    <n v="5376"/>
    <s v="ASME"/>
    <n v="0"/>
    <s v="OUT"/>
    <n v="0"/>
    <n v="5376"/>
    <n v="0"/>
    <n v="5376"/>
    <s v="0"/>
    <x v="8"/>
    <s v="Various"/>
    <s v="Various"/>
    <m/>
    <m/>
    <m/>
    <m/>
    <x v="0"/>
    <x v="0"/>
    <x v="1"/>
    <x v="4"/>
    <n v="90"/>
    <x v="0"/>
    <s v="KG"/>
    <n v="40"/>
    <n v="34.188034188034187"/>
    <n v="0.1"/>
    <n v="30.76923076923077"/>
    <n v="5376"/>
    <n v="0"/>
    <n v="183794.87179487178"/>
    <n v="0"/>
    <n v="165415.38461538462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165415.38461538462"/>
    <n v="0"/>
    <m/>
    <m/>
    <x v="2"/>
    <m/>
  </r>
  <r>
    <x v="6"/>
    <x v="6"/>
    <s v="29"/>
    <s v="29-08"/>
    <m/>
    <s v="Spring hanger frame"/>
    <n v="0"/>
    <m/>
    <m/>
    <x v="11"/>
    <m/>
    <m/>
    <m/>
    <m/>
    <m/>
    <n v="2163.5"/>
    <s v="ASME"/>
    <n v="0.12"/>
    <s v="WBC"/>
    <e v="#N/A"/>
    <n v="2423.1200000000003"/>
    <n v="0"/>
    <n v="2423.1200000000003"/>
    <s v=""/>
    <x v="8"/>
    <s v="Profiled Bar"/>
    <s v="Profiled Bar"/>
    <m/>
    <m/>
    <m/>
    <m/>
    <x v="2"/>
    <x v="0"/>
    <x v="1"/>
    <x v="4"/>
    <n v="90"/>
    <x v="0"/>
    <s v="KG"/>
    <n v="4.4459999999999997"/>
    <n v="3.8"/>
    <n v="0"/>
    <n v="3.8"/>
    <n v="2423.1200000000003"/>
    <n v="0"/>
    <n v="9207.8560000000016"/>
    <n v="0"/>
    <n v="9207.8560000000016"/>
    <d v="2016-11-07T00:00:00"/>
    <n v="7"/>
    <d v="2016-11-14T00:00:00"/>
    <d v="2018-08-07T00:00:00"/>
    <d v="2018-12-04T00:00:00"/>
    <n v="4"/>
    <n v="8"/>
    <n v="0"/>
    <n v="0"/>
    <n v="0"/>
    <n v="0"/>
    <e v="#N/A"/>
    <m/>
    <n v="0"/>
    <n v="9207.8560000000016"/>
    <n v="0"/>
    <m/>
    <m/>
    <x v="2"/>
    <m/>
  </r>
  <r>
    <x v="6"/>
    <x v="6"/>
    <s v="29"/>
    <s v="29-08"/>
    <m/>
    <s v="Spring hanger frame"/>
    <n v="0"/>
    <m/>
    <m/>
    <x v="11"/>
    <m/>
    <m/>
    <m/>
    <m/>
    <m/>
    <n v="150"/>
    <s v="ASME"/>
    <n v="0"/>
    <s v="OUT"/>
    <n v="0"/>
    <n v="150"/>
    <n v="0"/>
    <n v="150"/>
    <s v="0"/>
    <x v="8"/>
    <s v="Various"/>
    <s v="Various"/>
    <m/>
    <m/>
    <m/>
    <m/>
    <x v="0"/>
    <x v="0"/>
    <x v="1"/>
    <x v="4"/>
    <n v="90"/>
    <x v="0"/>
    <s v="KG"/>
    <n v="40"/>
    <n v="34.188034188034187"/>
    <n v="0.1"/>
    <n v="30.76923076923077"/>
    <n v="150"/>
    <n v="0"/>
    <n v="5128.2051282051279"/>
    <n v="0"/>
    <n v="4615.3846153846152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4615.3846153846152"/>
    <n v="0"/>
    <m/>
    <m/>
    <x v="2"/>
    <m/>
  </r>
  <r>
    <x v="7"/>
    <x v="7"/>
    <s v="22"/>
    <s v="22-01"/>
    <m/>
    <s v="放汽管路"/>
    <n v="0"/>
    <m/>
    <m/>
    <x v="11"/>
    <m/>
    <m/>
    <m/>
    <m/>
    <m/>
    <n v="946.96"/>
    <s v="ASME"/>
    <e v="#N/A"/>
    <e v="#N/A"/>
    <e v="#N/A"/>
    <e v="#N/A"/>
    <e v="#N/A"/>
    <e v="#N/A"/>
    <s v=" 0-0"/>
    <x v="9"/>
    <e v="#N/A"/>
    <s v="Tubing"/>
    <m/>
    <m/>
    <m/>
    <n v="0"/>
    <x v="1"/>
    <x v="0"/>
    <x v="2"/>
    <x v="5"/>
    <n v="90"/>
    <x v="0"/>
    <s v="KG"/>
    <n v="5.6"/>
    <n v="4.7863247863247862"/>
    <m/>
    <n v="4.7863247863247862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178"/>
    <n v="38"/>
    <m/>
    <x v="1"/>
    <m/>
  </r>
  <r>
    <x v="7"/>
    <x v="7"/>
    <s v="22"/>
    <s v="22-01"/>
    <m/>
    <s v="放汽管路"/>
    <n v="0"/>
    <m/>
    <m/>
    <x v="11"/>
    <m/>
    <m/>
    <m/>
    <m/>
    <m/>
    <n v="1498"/>
    <s v="ASME"/>
    <e v="#N/A"/>
    <e v="#N/A"/>
    <e v="#N/A"/>
    <e v="#N/A"/>
    <n v="0"/>
    <e v="#N/A"/>
    <s v=" 0-0"/>
    <x v="9"/>
    <e v="#N/A"/>
    <s v="Tubing"/>
    <m/>
    <m/>
    <m/>
    <n v="0"/>
    <x v="1"/>
    <x v="0"/>
    <x v="2"/>
    <x v="5"/>
    <n v="90"/>
    <x v="0"/>
    <s v="KG"/>
    <n v="6.9"/>
    <n v="5.8974358974358978"/>
    <m/>
    <n v="5.897435897435897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7"/>
    <x v="7"/>
    <s v="22"/>
    <s v="22-01"/>
    <m/>
    <s v="放汽管路"/>
    <n v="0"/>
    <m/>
    <m/>
    <x v="11"/>
    <m/>
    <m/>
    <m/>
    <m/>
    <m/>
    <n v="535.12"/>
    <s v="ASME"/>
    <e v="#N/A"/>
    <e v="#N/A"/>
    <e v="#N/A"/>
    <e v="#N/A"/>
    <e v="#N/A"/>
    <e v="#N/A"/>
    <s v=" 0-0"/>
    <x v="9"/>
    <e v="#N/A"/>
    <s v="Tubing"/>
    <m/>
    <m/>
    <m/>
    <n v="0"/>
    <x v="1"/>
    <x v="0"/>
    <x v="2"/>
    <x v="5"/>
    <n v="90"/>
    <x v="0"/>
    <s v="KG"/>
    <n v="9.1999999999999993"/>
    <n v="7.8632478632478628"/>
    <m/>
    <n v="7.863247863247862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7"/>
    <x v="7"/>
    <s v="22"/>
    <s v="22-01"/>
    <m/>
    <s v="放汽管路"/>
    <n v="0"/>
    <m/>
    <m/>
    <x v="11"/>
    <m/>
    <m/>
    <m/>
    <m/>
    <m/>
    <n v="428.1"/>
    <s v="ASME"/>
    <e v="#N/A"/>
    <e v="#N/A"/>
    <e v="#N/A"/>
    <e v="#N/A"/>
    <n v="0"/>
    <e v="#N/A"/>
    <s v=" 0-0"/>
    <x v="9"/>
    <e v="#N/A"/>
    <s v="Tubing"/>
    <m/>
    <m/>
    <m/>
    <n v="0"/>
    <x v="1"/>
    <x v="0"/>
    <x v="2"/>
    <x v="5"/>
    <n v="90"/>
    <x v="0"/>
    <s v="KG"/>
    <n v="5.6"/>
    <n v="4.7863247863247862"/>
    <m/>
    <n v="4.7863247863247862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7"/>
    <x v="7"/>
    <s v="22"/>
    <s v="22-01"/>
    <m/>
    <s v="放汽管路"/>
    <n v="0"/>
    <m/>
    <m/>
    <x v="11"/>
    <m/>
    <m/>
    <m/>
    <m/>
    <m/>
    <n v="732.4"/>
    <s v="ASME"/>
    <e v="#N/A"/>
    <e v="#N/A"/>
    <e v="#N/A"/>
    <e v="#N/A"/>
    <e v="#N/A"/>
    <e v="#N/A"/>
    <s v=" 0-0"/>
    <x v="9"/>
    <e v="#N/A"/>
    <s v="Tubing"/>
    <m/>
    <m/>
    <m/>
    <n v="0"/>
    <x v="1"/>
    <x v="0"/>
    <x v="2"/>
    <x v="5"/>
    <n v="90"/>
    <x v="0"/>
    <s v="KG"/>
    <n v="6.9"/>
    <n v="5.8974358974358978"/>
    <m/>
    <n v="5.897435897435897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7"/>
    <x v="7"/>
    <s v="22"/>
    <s v="22-01"/>
    <m/>
    <s v="放汽管路"/>
    <n v="0"/>
    <m/>
    <m/>
    <x v="11"/>
    <m/>
    <m/>
    <m/>
    <m/>
    <m/>
    <n v="732.4"/>
    <s v="ASME"/>
    <e v="#N/A"/>
    <e v="#N/A"/>
    <e v="#N/A"/>
    <e v="#N/A"/>
    <n v="0"/>
    <e v="#N/A"/>
    <s v=" 0-0"/>
    <x v="9"/>
    <e v="#N/A"/>
    <s v="Tubing"/>
    <m/>
    <m/>
    <m/>
    <n v="0"/>
    <x v="1"/>
    <x v="0"/>
    <x v="2"/>
    <x v="5"/>
    <n v="90"/>
    <x v="0"/>
    <s v="KG"/>
    <n v="9.1999999999999993"/>
    <n v="7.8632478632478628"/>
    <m/>
    <n v="7.863247863247862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7"/>
    <x v="7"/>
    <s v="22"/>
    <s v="22-01"/>
    <m/>
    <s v="放汽管路"/>
    <n v="0"/>
    <m/>
    <m/>
    <x v="11"/>
    <m/>
    <m/>
    <m/>
    <m/>
    <m/>
    <n v="2202"/>
    <s v="ASME"/>
    <n v="0"/>
    <s v="OUT"/>
    <n v="0"/>
    <n v="2202"/>
    <n v="0"/>
    <n v="2202"/>
    <s v=" 0-0"/>
    <x v="9"/>
    <s v="Various"/>
    <s v="Piping"/>
    <m/>
    <m/>
    <m/>
    <n v="0"/>
    <x v="0"/>
    <x v="0"/>
    <x v="2"/>
    <x v="6"/>
    <n v="90"/>
    <x v="0"/>
    <s v="KG"/>
    <n v="6.6"/>
    <n v="5.6410256410256414"/>
    <m/>
    <n v="5.6410256410256414"/>
    <n v="2202"/>
    <n v="0"/>
    <n v="12421.538461538463"/>
    <n v="0"/>
    <n v="12421.538461538463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12421.538461538463"/>
    <n v="0"/>
    <m/>
    <m/>
    <x v="2"/>
    <m/>
  </r>
  <r>
    <x v="7"/>
    <x v="7"/>
    <s v="22"/>
    <s v="22-01"/>
    <m/>
    <s v="放汽管路"/>
    <s v="等径三通"/>
    <m/>
    <m/>
    <x v="11"/>
    <m/>
    <m/>
    <m/>
    <m/>
    <m/>
    <n v="46.2"/>
    <s v="ASME"/>
    <n v="0"/>
    <s v="OUT"/>
    <n v="0"/>
    <n v="46.2"/>
    <n v="0"/>
    <n v="46.2"/>
    <s v="等径三通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46.2"/>
    <n v="0"/>
    <n v="2369.2307692307695"/>
    <n v="0"/>
    <n v="2132.3076923076928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2132.3076923076928"/>
    <n v="0"/>
    <m/>
    <m/>
    <x v="0"/>
    <m/>
  </r>
  <r>
    <x v="7"/>
    <x v="7"/>
    <s v="22"/>
    <s v="22-01"/>
    <m/>
    <s v="放汽管路"/>
    <s v="弯头"/>
    <m/>
    <m/>
    <x v="11"/>
    <m/>
    <m/>
    <m/>
    <m/>
    <m/>
    <n v="72.599999999999994"/>
    <s v="ASME"/>
    <n v="0"/>
    <s v="OUT"/>
    <n v="0"/>
    <n v="72.599999999999994"/>
    <n v="0"/>
    <n v="72.599999999999994"/>
    <s v="弯头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72.599999999999994"/>
    <n v="0"/>
    <n v="3723.0769230769229"/>
    <n v="0"/>
    <n v="3350.7692307692309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3350.7692307692309"/>
    <n v="0"/>
    <m/>
    <m/>
    <x v="0"/>
    <m/>
  </r>
  <r>
    <x v="7"/>
    <x v="7"/>
    <s v="22"/>
    <s v="22-02"/>
    <m/>
    <s v="吹灰汽源管路"/>
    <n v="0"/>
    <m/>
    <m/>
    <x v="11"/>
    <m/>
    <m/>
    <m/>
    <m/>
    <m/>
    <n v="10950"/>
    <s v="ASME"/>
    <e v="#N/A"/>
    <e v="#N/A"/>
    <e v="#N/A"/>
    <e v="#N/A"/>
    <n v="0"/>
    <e v="#N/A"/>
    <s v=" 0-0"/>
    <x v="9"/>
    <e v="#N/A"/>
    <s v="Tubing"/>
    <m/>
    <m/>
    <m/>
    <n v="0"/>
    <x v="1"/>
    <x v="0"/>
    <x v="2"/>
    <x v="5"/>
    <n v="90"/>
    <x v="0"/>
    <s v="KG"/>
    <n v="9.1999999999999993"/>
    <n v="7.8632478632478628"/>
    <m/>
    <n v="7.863247863247862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n v="2"/>
    <m/>
    <x v="1"/>
    <m/>
  </r>
  <r>
    <x v="7"/>
    <x v="7"/>
    <s v="22"/>
    <s v="22-03"/>
    <m/>
    <s v="水位测量管路"/>
    <n v="0"/>
    <m/>
    <m/>
    <x v="11"/>
    <m/>
    <m/>
    <m/>
    <m/>
    <m/>
    <n v="642.20000000000005"/>
    <s v="ASME"/>
    <e v="#N/A"/>
    <e v="#N/A"/>
    <e v="#N/A"/>
    <e v="#N/A"/>
    <e v="#N/A"/>
    <e v="#N/A"/>
    <s v=" 0-0"/>
    <x v="9"/>
    <e v="#N/A"/>
    <s v="Tubing"/>
    <m/>
    <m/>
    <m/>
    <n v="0"/>
    <x v="1"/>
    <x v="0"/>
    <x v="2"/>
    <x v="5"/>
    <n v="90"/>
    <x v="0"/>
    <s v="KG"/>
    <n v="9.1999999999999993"/>
    <n v="7.8632478632478628"/>
    <m/>
    <n v="7.863247863247862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n v="6"/>
    <m/>
    <x v="1"/>
    <m/>
  </r>
  <r>
    <x v="7"/>
    <x v="7"/>
    <s v="22"/>
    <s v="22-03"/>
    <m/>
    <s v="水位测量管路"/>
    <n v="0"/>
    <m/>
    <m/>
    <x v="11"/>
    <m/>
    <m/>
    <m/>
    <m/>
    <m/>
    <n v="642.20000000000005"/>
    <s v="ASME"/>
    <e v="#N/A"/>
    <e v="#N/A"/>
    <e v="#N/A"/>
    <e v="#N/A"/>
    <n v="0"/>
    <e v="#N/A"/>
    <s v=" 0-0"/>
    <x v="9"/>
    <e v="#N/A"/>
    <s v="Tubing"/>
    <m/>
    <m/>
    <m/>
    <n v="0"/>
    <x v="1"/>
    <x v="0"/>
    <x v="2"/>
    <x v="5"/>
    <n v="90"/>
    <x v="0"/>
    <s v="KG"/>
    <n v="5.6"/>
    <n v="4.7863247863247862"/>
    <m/>
    <n v="4.7863247863247862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7"/>
    <x v="7"/>
    <s v="22"/>
    <s v="22-04"/>
    <m/>
    <s v="疏水管路"/>
    <n v="0"/>
    <m/>
    <m/>
    <x v="11"/>
    <m/>
    <m/>
    <m/>
    <m/>
    <m/>
    <n v="1712.39"/>
    <s v="ASME"/>
    <e v="#N/A"/>
    <e v="#N/A"/>
    <e v="#N/A"/>
    <e v="#N/A"/>
    <n v="0"/>
    <e v="#N/A"/>
    <s v=" 0-0"/>
    <x v="9"/>
    <e v="#N/A"/>
    <s v="Tubing"/>
    <m/>
    <m/>
    <m/>
    <n v="0"/>
    <x v="1"/>
    <x v="0"/>
    <x v="2"/>
    <x v="5"/>
    <n v="90"/>
    <x v="0"/>
    <s v="KG"/>
    <n v="5.6"/>
    <n v="4.7863247863247862"/>
    <m/>
    <n v="4.7863247863247862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203"/>
    <n v="90"/>
    <m/>
    <x v="1"/>
    <m/>
  </r>
  <r>
    <x v="7"/>
    <x v="7"/>
    <s v="22"/>
    <s v="22-04"/>
    <m/>
    <s v="疏水管路"/>
    <n v="0"/>
    <m/>
    <m/>
    <x v="11"/>
    <m/>
    <m/>
    <m/>
    <m/>
    <m/>
    <n v="1070.24"/>
    <s v="ASME"/>
    <e v="#N/A"/>
    <e v="#N/A"/>
    <e v="#N/A"/>
    <e v="#N/A"/>
    <e v="#N/A"/>
    <e v="#N/A"/>
    <s v=" 0-0"/>
    <x v="9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7"/>
    <x v="7"/>
    <s v="22"/>
    <s v="22-04"/>
    <m/>
    <s v="疏水管路"/>
    <n v="0"/>
    <m/>
    <m/>
    <x v="11"/>
    <m/>
    <m/>
    <m/>
    <m/>
    <m/>
    <n v="2343.69"/>
    <s v="ASME"/>
    <e v="#N/A"/>
    <e v="#N/A"/>
    <e v="#N/A"/>
    <e v="#N/A"/>
    <n v="0"/>
    <e v="#N/A"/>
    <s v=" 0-0"/>
    <x v="9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7"/>
    <x v="7"/>
    <s v="22"/>
    <s v="22-04"/>
    <m/>
    <s v="疏水管路"/>
    <n v="0"/>
    <m/>
    <m/>
    <x v="11"/>
    <m/>
    <m/>
    <m/>
    <m/>
    <m/>
    <n v="1171.8499999999999"/>
    <s v="ASME"/>
    <e v="#N/A"/>
    <e v="#N/A"/>
    <e v="#N/A"/>
    <e v="#N/A"/>
    <n v="0"/>
    <e v="#N/A"/>
    <s v=" 0-0"/>
    <x v="9"/>
    <e v="#N/A"/>
    <s v="Tubing"/>
    <m/>
    <m/>
    <m/>
    <n v="0"/>
    <x v="1"/>
    <x v="0"/>
    <x v="2"/>
    <x v="5"/>
    <n v="90"/>
    <x v="0"/>
    <s v="KG"/>
    <n v="9.1999999999999993"/>
    <n v="7.8632478632478628"/>
    <m/>
    <n v="7.863247863247862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7"/>
    <x v="7"/>
    <s v="22"/>
    <s v="22-04"/>
    <m/>
    <s v="疏水管路"/>
    <n v="0"/>
    <m/>
    <m/>
    <x v="11"/>
    <m/>
    <m/>
    <m/>
    <m/>
    <m/>
    <n v="2769.81"/>
    <s v="ASME"/>
    <e v="#N/A"/>
    <e v="#N/A"/>
    <e v="#N/A"/>
    <e v="#N/A"/>
    <n v="0"/>
    <e v="#N/A"/>
    <s v=" 0-0"/>
    <x v="9"/>
    <e v="#N/A"/>
    <s v="Tubing"/>
    <m/>
    <m/>
    <m/>
    <n v="0"/>
    <x v="1"/>
    <x v="0"/>
    <x v="2"/>
    <x v="5"/>
    <n v="90"/>
    <x v="0"/>
    <s v="KG"/>
    <n v="6.2720000000000002"/>
    <n v="5.3606837606837612"/>
    <m/>
    <n v="5.3606837606837612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7"/>
    <x v="7"/>
    <s v="22"/>
    <s v="22-04"/>
    <m/>
    <s v="疏水管路"/>
    <n v="0"/>
    <m/>
    <m/>
    <x v="11"/>
    <m/>
    <m/>
    <m/>
    <m/>
    <m/>
    <n v="2556.75"/>
    <s v="ASME"/>
    <e v="#N/A"/>
    <e v="#N/A"/>
    <e v="#N/A"/>
    <e v="#N/A"/>
    <n v="0"/>
    <e v="#N/A"/>
    <s v=" 0-0"/>
    <x v="9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7"/>
    <x v="7"/>
    <s v="22"/>
    <s v="22-04"/>
    <m/>
    <s v="疏水管路"/>
    <n v="0"/>
    <m/>
    <m/>
    <x v="11"/>
    <m/>
    <m/>
    <m/>
    <m/>
    <m/>
    <n v="2210"/>
    <s v="ASME"/>
    <e v="#N/A"/>
    <e v="#N/A"/>
    <e v="#N/A"/>
    <e v="#N/A"/>
    <n v="0"/>
    <e v="#N/A"/>
    <s v=" 0-0"/>
    <x v="9"/>
    <e v="#N/A"/>
    <s v="Tubing"/>
    <m/>
    <m/>
    <m/>
    <n v="0"/>
    <x v="1"/>
    <x v="0"/>
    <x v="2"/>
    <x v="5"/>
    <n v="90"/>
    <x v="0"/>
    <s v="KG"/>
    <n v="5.6"/>
    <n v="4.7863247863247862"/>
    <m/>
    <n v="4.7863247863247862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7"/>
    <x v="7"/>
    <s v="22"/>
    <s v="22-04"/>
    <m/>
    <s v="疏水管路"/>
    <n v="0"/>
    <m/>
    <m/>
    <x v="11"/>
    <m/>
    <m/>
    <m/>
    <m/>
    <m/>
    <n v="6076.22"/>
    <s v="ASME"/>
    <n v="0"/>
    <s v="OUT"/>
    <n v="0"/>
    <n v="6076.22"/>
    <n v="0"/>
    <n v="6076.22"/>
    <s v=" 0-0"/>
    <x v="9"/>
    <s v="Various"/>
    <s v="Piping"/>
    <m/>
    <m/>
    <m/>
    <n v="0"/>
    <x v="0"/>
    <x v="0"/>
    <x v="2"/>
    <x v="7"/>
    <n v="90"/>
    <x v="0"/>
    <s v="KG"/>
    <n v="7.92"/>
    <n v="6.7692307692307692"/>
    <m/>
    <n v="6.7692307692307692"/>
    <n v="6076.22"/>
    <n v="0"/>
    <n v="41131.335384615384"/>
    <n v="0"/>
    <n v="41131.335384615384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41131.335384615384"/>
    <n v="0"/>
    <m/>
    <m/>
    <x v="2"/>
    <m/>
  </r>
  <r>
    <x v="7"/>
    <x v="7"/>
    <s v="22"/>
    <s v="22-04"/>
    <m/>
    <s v="疏水管路"/>
    <s v="等径三通"/>
    <m/>
    <m/>
    <x v="11"/>
    <m/>
    <m/>
    <m/>
    <m/>
    <m/>
    <n v="0.7"/>
    <s v="ASME"/>
    <n v="0"/>
    <s v="OUT"/>
    <n v="0"/>
    <n v="0.7"/>
    <n v="0"/>
    <n v="0.7"/>
    <s v="等径三通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0.7"/>
    <n v="0"/>
    <n v="35.897435897435898"/>
    <n v="0"/>
    <n v="32.307692307692314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32.307692307692314"/>
    <n v="0"/>
    <m/>
    <m/>
    <x v="0"/>
    <m/>
  </r>
  <r>
    <x v="7"/>
    <x v="7"/>
    <s v="22"/>
    <s v="22-04"/>
    <m/>
    <s v="疏水管路"/>
    <s v="等径三通"/>
    <m/>
    <m/>
    <x v="11"/>
    <m/>
    <m/>
    <m/>
    <m/>
    <m/>
    <n v="3.9"/>
    <s v="ASME"/>
    <n v="0"/>
    <s v="OUT"/>
    <n v="0"/>
    <n v="3.9"/>
    <n v="0"/>
    <n v="3.9"/>
    <s v="等径三通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3.9"/>
    <n v="0"/>
    <n v="200"/>
    <n v="0"/>
    <n v="180.00000000000003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180.00000000000003"/>
    <n v="0"/>
    <m/>
    <m/>
    <x v="0"/>
    <m/>
  </r>
  <r>
    <x v="7"/>
    <x v="7"/>
    <s v="22"/>
    <s v="22-04"/>
    <m/>
    <s v="疏水管路"/>
    <s v="等径三通"/>
    <m/>
    <m/>
    <x v="11"/>
    <m/>
    <m/>
    <m/>
    <m/>
    <m/>
    <n v="0.94"/>
    <s v="ASME"/>
    <n v="0"/>
    <s v="OUT"/>
    <n v="0"/>
    <n v="0.94"/>
    <n v="0"/>
    <n v="0.94"/>
    <s v="等径三通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0.94"/>
    <n v="0"/>
    <n v="48.205128205128204"/>
    <n v="0"/>
    <n v="43.384615384615387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43.384615384615387"/>
    <n v="0"/>
    <m/>
    <m/>
    <x v="0"/>
    <m/>
  </r>
  <r>
    <x v="7"/>
    <x v="7"/>
    <s v="22"/>
    <s v="22-04"/>
    <m/>
    <s v="疏水管路"/>
    <s v="等径三通"/>
    <m/>
    <m/>
    <x v="11"/>
    <m/>
    <m/>
    <m/>
    <m/>
    <m/>
    <n v="0.94"/>
    <s v="ASME"/>
    <n v="0"/>
    <s v="OUT"/>
    <n v="0"/>
    <n v="0.94"/>
    <n v="0"/>
    <n v="0.94"/>
    <s v="等径三通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0.94"/>
    <n v="0"/>
    <n v="48.205128205128204"/>
    <n v="0"/>
    <n v="43.384615384615387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43.384615384615387"/>
    <n v="0"/>
    <m/>
    <m/>
    <x v="0"/>
    <m/>
  </r>
  <r>
    <x v="7"/>
    <x v="7"/>
    <s v="22"/>
    <s v="22-04"/>
    <m/>
    <s v="疏水管路"/>
    <s v="等径三通"/>
    <m/>
    <m/>
    <x v="11"/>
    <m/>
    <m/>
    <m/>
    <m/>
    <m/>
    <n v="1.18"/>
    <s v="ASME"/>
    <n v="0"/>
    <s v="OUT"/>
    <n v="0"/>
    <n v="1.18"/>
    <n v="0"/>
    <n v="1.18"/>
    <s v="等径三通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1.18"/>
    <n v="0"/>
    <n v="60.512820512820511"/>
    <n v="0"/>
    <n v="54.461538461538467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54.461538461538467"/>
    <n v="0"/>
    <m/>
    <m/>
    <x v="0"/>
    <m/>
  </r>
  <r>
    <x v="7"/>
    <x v="7"/>
    <s v="22"/>
    <s v="22-04"/>
    <m/>
    <s v="疏水管路"/>
    <s v="等径三通"/>
    <m/>
    <m/>
    <x v="11"/>
    <m/>
    <m/>
    <m/>
    <m/>
    <m/>
    <n v="0.77"/>
    <s v="ASME"/>
    <n v="0"/>
    <s v="OUT"/>
    <n v="0"/>
    <n v="0.77"/>
    <n v="0"/>
    <n v="0.77"/>
    <s v="等径三通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0.77"/>
    <n v="0"/>
    <n v="39.487179487179489"/>
    <n v="0"/>
    <n v="35.538461538461547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35.538461538461547"/>
    <n v="0"/>
    <m/>
    <m/>
    <x v="0"/>
    <m/>
  </r>
  <r>
    <x v="7"/>
    <x v="7"/>
    <s v="22"/>
    <s v="22-04"/>
    <m/>
    <s v="疏水管路"/>
    <s v="90°弯头"/>
    <m/>
    <m/>
    <x v="11"/>
    <m/>
    <m/>
    <m/>
    <m/>
    <m/>
    <n v="2"/>
    <s v="ASME"/>
    <n v="0"/>
    <s v="OUT"/>
    <n v="0"/>
    <n v="2"/>
    <n v="0"/>
    <n v="2"/>
    <s v="90°弯头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2"/>
    <n v="0"/>
    <n v="102.56410256410257"/>
    <n v="0"/>
    <n v="92.307692307692321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92.307692307692321"/>
    <n v="0"/>
    <m/>
    <m/>
    <x v="0"/>
    <m/>
  </r>
  <r>
    <x v="7"/>
    <x v="7"/>
    <s v="22"/>
    <s v="22-04"/>
    <m/>
    <s v="疏水管路"/>
    <s v="90°弯头"/>
    <m/>
    <m/>
    <x v="11"/>
    <m/>
    <m/>
    <m/>
    <m/>
    <m/>
    <n v="0.85000000000000009"/>
    <s v="ASME"/>
    <n v="0"/>
    <s v="OUT"/>
    <n v="0"/>
    <n v="0.85000000000000009"/>
    <n v="0"/>
    <n v="0.85000000000000009"/>
    <s v="90°弯头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0.85000000000000009"/>
    <n v="0"/>
    <n v="43.589743589743598"/>
    <n v="0"/>
    <n v="39.230769230769241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39.230769230769241"/>
    <n v="0"/>
    <m/>
    <m/>
    <x v="0"/>
    <m/>
  </r>
  <r>
    <x v="7"/>
    <x v="7"/>
    <s v="22"/>
    <s v="22-04"/>
    <m/>
    <s v="疏水管路"/>
    <s v="90°弯头"/>
    <m/>
    <m/>
    <x v="11"/>
    <m/>
    <m/>
    <m/>
    <m/>
    <m/>
    <n v="12.6"/>
    <s v="ASME"/>
    <n v="0"/>
    <s v="OUT"/>
    <n v="0"/>
    <n v="12.6"/>
    <n v="0"/>
    <n v="12.6"/>
    <s v="90°弯头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12.6"/>
    <n v="0"/>
    <n v="646.15384615384619"/>
    <n v="0"/>
    <n v="581.53846153846166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581.53846153846166"/>
    <n v="0"/>
    <m/>
    <m/>
    <x v="0"/>
    <m/>
  </r>
  <r>
    <x v="7"/>
    <x v="7"/>
    <s v="22"/>
    <s v="22-04"/>
    <m/>
    <s v="疏水管路"/>
    <s v="90°弯头"/>
    <m/>
    <m/>
    <x v="11"/>
    <m/>
    <m/>
    <m/>
    <m/>
    <m/>
    <n v="8.3999999999999986"/>
    <s v="ASME"/>
    <n v="0"/>
    <s v="OUT"/>
    <n v="0"/>
    <n v="8.3999999999999986"/>
    <n v="0"/>
    <n v="8.3999999999999986"/>
    <s v="90°弯头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8.3999999999999986"/>
    <n v="0"/>
    <n v="430.76923076923072"/>
    <n v="0"/>
    <n v="387.69230769230768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387.69230769230768"/>
    <n v="0"/>
    <m/>
    <m/>
    <x v="0"/>
    <m/>
  </r>
  <r>
    <x v="7"/>
    <x v="7"/>
    <s v="22"/>
    <s v="22-04"/>
    <m/>
    <s v="疏水管路"/>
    <s v="90°弯头"/>
    <m/>
    <m/>
    <x v="11"/>
    <m/>
    <m/>
    <m/>
    <m/>
    <m/>
    <n v="9.6999999999999993"/>
    <s v="ASME"/>
    <n v="0"/>
    <s v="OUT"/>
    <n v="0"/>
    <n v="9.6999999999999993"/>
    <n v="0"/>
    <n v="9.6999999999999993"/>
    <s v="90°弯头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9.6999999999999993"/>
    <n v="0"/>
    <n v="497.4358974358974"/>
    <n v="0"/>
    <n v="447.69230769230774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447.69230769230774"/>
    <n v="0"/>
    <m/>
    <m/>
    <x v="0"/>
    <m/>
  </r>
  <r>
    <x v="7"/>
    <x v="7"/>
    <s v="22"/>
    <s v="22-05"/>
    <m/>
    <s v="再热器喷水减温管路"/>
    <n v="0"/>
    <m/>
    <m/>
    <x v="11"/>
    <m/>
    <m/>
    <m/>
    <m/>
    <m/>
    <n v="2683"/>
    <s v="ASME"/>
    <e v="#N/A"/>
    <e v="#N/A"/>
    <e v="#N/A"/>
    <e v="#N/A"/>
    <n v="0"/>
    <e v="#N/A"/>
    <s v=" 0-0"/>
    <x v="9"/>
    <e v="#N/A"/>
    <s v="Tubing"/>
    <m/>
    <m/>
    <m/>
    <n v="0"/>
    <x v="1"/>
    <x v="0"/>
    <x v="2"/>
    <x v="5"/>
    <n v="90"/>
    <x v="0"/>
    <s v="KG"/>
    <n v="5.6"/>
    <n v="4.7863247863247862"/>
    <m/>
    <n v="4.7863247863247862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89"/>
    <n v="8"/>
    <m/>
    <x v="1"/>
    <m/>
  </r>
  <r>
    <x v="7"/>
    <x v="7"/>
    <s v="22"/>
    <s v="22-05"/>
    <m/>
    <s v="再热器喷水减温管路"/>
    <n v="0"/>
    <m/>
    <m/>
    <x v="11"/>
    <m/>
    <m/>
    <m/>
    <m/>
    <m/>
    <n v="1432"/>
    <s v="ASME"/>
    <n v="0"/>
    <s v="OUT"/>
    <n v="0"/>
    <n v="1432"/>
    <n v="0"/>
    <n v="1432"/>
    <s v=" 0-0"/>
    <x v="9"/>
    <s v="Various"/>
    <s v="Piping"/>
    <m/>
    <m/>
    <m/>
    <n v="0"/>
    <x v="0"/>
    <x v="0"/>
    <x v="2"/>
    <x v="7"/>
    <n v="90"/>
    <x v="0"/>
    <s v="KG"/>
    <n v="5.5"/>
    <n v="4.700854700854701"/>
    <m/>
    <n v="4.700854700854701"/>
    <n v="1432"/>
    <n v="0"/>
    <n v="6731.6239316239316"/>
    <n v="0"/>
    <n v="6731.6239316239316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6731.6239316239316"/>
    <n v="0"/>
    <m/>
    <m/>
    <x v="2"/>
    <m/>
  </r>
  <r>
    <x v="7"/>
    <x v="7"/>
    <s v="22"/>
    <s v="22-05"/>
    <m/>
    <s v="再热器喷水减温管路"/>
    <s v="管接头Φ34x5"/>
    <m/>
    <m/>
    <x v="11"/>
    <m/>
    <m/>
    <m/>
    <m/>
    <m/>
    <n v="8.8000000000000007"/>
    <s v="ASME"/>
    <n v="0"/>
    <s v="OUT"/>
    <n v="0"/>
    <n v="8.8000000000000007"/>
    <n v="0"/>
    <n v="8.8000000000000007"/>
    <s v="管接头Φ34x5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8.8000000000000007"/>
    <n v="0"/>
    <n v="451.28205128205133"/>
    <n v="0"/>
    <n v="406.15384615384625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406.15384615384625"/>
    <n v="0"/>
    <m/>
    <m/>
    <x v="0"/>
    <m/>
  </r>
  <r>
    <x v="7"/>
    <x v="7"/>
    <s v="22"/>
    <s v="22-05"/>
    <m/>
    <s v="再热器喷水减温管路"/>
    <s v="90°弯头"/>
    <m/>
    <m/>
    <x v="11"/>
    <m/>
    <m/>
    <m/>
    <m/>
    <m/>
    <n v="28.4"/>
    <s v="ASME"/>
    <n v="0"/>
    <s v="OUT"/>
    <n v="0"/>
    <n v="28.4"/>
    <n v="0"/>
    <n v="28.4"/>
    <s v="90°弯头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28.4"/>
    <n v="0"/>
    <n v="1456.4102564102564"/>
    <n v="0"/>
    <n v="1310.7692307692309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1310.7692307692309"/>
    <n v="0"/>
    <m/>
    <m/>
    <x v="0"/>
    <m/>
  </r>
  <r>
    <x v="7"/>
    <x v="7"/>
    <s v="22"/>
    <s v="22-05"/>
    <m/>
    <s v="再热器喷水减温管路"/>
    <s v="三通DN80"/>
    <m/>
    <m/>
    <x v="11"/>
    <m/>
    <m/>
    <m/>
    <m/>
    <m/>
    <n v="3.1"/>
    <s v="ASME"/>
    <n v="0"/>
    <s v="OUT"/>
    <n v="0"/>
    <n v="3.1"/>
    <n v="0"/>
    <n v="3.1"/>
    <s v="三通DN80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3.1"/>
    <n v="0"/>
    <n v="158.97435897435898"/>
    <n v="0"/>
    <n v="143.07692307692309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143.07692307692309"/>
    <n v="0"/>
    <m/>
    <m/>
    <x v="0"/>
    <m/>
  </r>
  <r>
    <x v="7"/>
    <x v="7"/>
    <s v="22"/>
    <s v="22-05"/>
    <m/>
    <s v="再热器喷水减温管路"/>
    <n v="0"/>
    <m/>
    <m/>
    <x v="11"/>
    <m/>
    <m/>
    <m/>
    <m/>
    <m/>
    <n v="805"/>
    <s v="ASME"/>
    <e v="#N/A"/>
    <e v="#N/A"/>
    <e v="#N/A"/>
    <e v="#N/A"/>
    <n v="0"/>
    <e v="#N/A"/>
    <s v=" 0-0"/>
    <x v="9"/>
    <e v="#N/A"/>
    <s v="Tubing"/>
    <m/>
    <m/>
    <m/>
    <n v="0"/>
    <x v="1"/>
    <x v="0"/>
    <x v="2"/>
    <x v="5"/>
    <n v="90"/>
    <x v="0"/>
    <s v="KG"/>
    <n v="9.1999999999999993"/>
    <n v="7.8632478632478628"/>
    <m/>
    <n v="7.863247863247862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7"/>
    <x v="7"/>
    <s v="22"/>
    <s v="22-06"/>
    <m/>
    <s v="过热器喷水减温管路"/>
    <n v="0"/>
    <m/>
    <m/>
    <x v="11"/>
    <m/>
    <m/>
    <m/>
    <m/>
    <m/>
    <n v="3629.95"/>
    <s v="ASME"/>
    <n v="0"/>
    <s v="OUT"/>
    <n v="0"/>
    <n v="3629.95"/>
    <n v="0"/>
    <n v="3629.95"/>
    <s v=" 0-0"/>
    <x v="9"/>
    <s v="Various"/>
    <s v="Piping"/>
    <m/>
    <m/>
    <m/>
    <n v="0"/>
    <x v="0"/>
    <x v="0"/>
    <x v="2"/>
    <x v="7"/>
    <n v="90"/>
    <x v="0"/>
    <s v="KG"/>
    <n v="5.5"/>
    <n v="4.700854700854701"/>
    <m/>
    <n v="4.700854700854701"/>
    <n v="3629.95"/>
    <n v="0"/>
    <n v="17063.86752136752"/>
    <n v="0"/>
    <n v="17063.86752136752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17063.86752136752"/>
    <n v="178"/>
    <n v="22"/>
    <m/>
    <x v="2"/>
    <m/>
  </r>
  <r>
    <x v="7"/>
    <x v="7"/>
    <s v="22"/>
    <s v="22-06"/>
    <m/>
    <s v="过热器喷水减温管路"/>
    <n v="0"/>
    <m/>
    <m/>
    <x v="11"/>
    <m/>
    <m/>
    <m/>
    <m/>
    <m/>
    <n v="8261.1"/>
    <s v="ASME"/>
    <n v="0"/>
    <s v="OUT"/>
    <n v="0"/>
    <n v="8261.1"/>
    <n v="0"/>
    <n v="8261.1"/>
    <s v=" 0-0"/>
    <x v="9"/>
    <s v="Various"/>
    <s v="Piping"/>
    <m/>
    <m/>
    <m/>
    <n v="0"/>
    <x v="0"/>
    <x v="0"/>
    <x v="2"/>
    <x v="7"/>
    <n v="90"/>
    <x v="0"/>
    <s v="KG"/>
    <n v="5.5"/>
    <n v="4.700854700854701"/>
    <m/>
    <n v="4.700854700854701"/>
    <n v="8261.1"/>
    <n v="0"/>
    <n v="38834.230769230773"/>
    <n v="0"/>
    <n v="38834.230769230773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38834.230769230773"/>
    <n v="0"/>
    <m/>
    <m/>
    <x v="2"/>
    <m/>
  </r>
  <r>
    <x v="7"/>
    <x v="7"/>
    <s v="22"/>
    <s v="22-06"/>
    <m/>
    <s v="过热器喷水减温管路"/>
    <n v="0"/>
    <m/>
    <m/>
    <x v="11"/>
    <m/>
    <m/>
    <m/>
    <m/>
    <m/>
    <n v="8389.33"/>
    <s v="ASME"/>
    <n v="0"/>
    <s v="OUT"/>
    <n v="0"/>
    <n v="8389.33"/>
    <n v="0"/>
    <n v="8389.33"/>
    <s v=" 0-0"/>
    <x v="9"/>
    <s v="Various"/>
    <s v="Piping"/>
    <m/>
    <m/>
    <m/>
    <n v="0"/>
    <x v="0"/>
    <x v="0"/>
    <x v="2"/>
    <x v="6"/>
    <n v="90"/>
    <x v="0"/>
    <s v="KG"/>
    <n v="6.6"/>
    <n v="5.6410256410256414"/>
    <m/>
    <n v="5.6410256410256414"/>
    <n v="8389.33"/>
    <n v="0"/>
    <n v="47324.425641025642"/>
    <n v="0"/>
    <n v="47324.425641025642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47324.425641025642"/>
    <n v="0"/>
    <m/>
    <m/>
    <x v="2"/>
    <m/>
  </r>
  <r>
    <x v="7"/>
    <x v="7"/>
    <s v="22"/>
    <s v="22-06"/>
    <m/>
    <s v="过热器喷水减温管路"/>
    <s v="管接头Φ34x6"/>
    <m/>
    <m/>
    <x v="11"/>
    <m/>
    <m/>
    <m/>
    <m/>
    <m/>
    <n v="13.200000000000001"/>
    <s v="ASME"/>
    <n v="0"/>
    <s v="OUT"/>
    <n v="0"/>
    <n v="13.200000000000001"/>
    <n v="0"/>
    <n v="13.200000000000001"/>
    <s v="管接头Φ34x6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13.200000000000001"/>
    <n v="0"/>
    <n v="676.92307692307702"/>
    <n v="0"/>
    <n v="609.2307692307694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609.2307692307694"/>
    <n v="0"/>
    <m/>
    <m/>
    <x v="0"/>
    <m/>
  </r>
  <r>
    <x v="7"/>
    <x v="7"/>
    <s v="22"/>
    <s v="22-06"/>
    <m/>
    <s v="过热器喷水减温管路"/>
    <s v="大小头Φ273/133"/>
    <m/>
    <m/>
    <x v="11"/>
    <m/>
    <m/>
    <m/>
    <m/>
    <m/>
    <n v="168"/>
    <s v="ASME"/>
    <n v="0"/>
    <s v="OUT"/>
    <n v="0"/>
    <n v="168"/>
    <n v="0"/>
    <n v="168"/>
    <s v="大小头Φ273/133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168"/>
    <n v="0"/>
    <n v="8615.3846153846152"/>
    <n v="0"/>
    <n v="7753.8461538461552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7753.8461538461552"/>
    <n v="0"/>
    <m/>
    <m/>
    <x v="0"/>
    <m/>
  </r>
  <r>
    <x v="7"/>
    <x v="7"/>
    <s v="22"/>
    <s v="22-06"/>
    <m/>
    <s v="过热器喷水减温管路"/>
    <s v="90°弯头"/>
    <m/>
    <m/>
    <x v="11"/>
    <m/>
    <m/>
    <m/>
    <m/>
    <m/>
    <n v="199.79999999999998"/>
    <s v="ASME"/>
    <n v="0"/>
    <s v="OUT"/>
    <n v="0"/>
    <n v="199.79999999999998"/>
    <n v="0"/>
    <n v="199.79999999999998"/>
    <s v="90°弯头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199.79999999999998"/>
    <n v="0"/>
    <n v="10246.153846153846"/>
    <n v="0"/>
    <n v="9221.5384615384628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9221.5384615384628"/>
    <n v="0"/>
    <m/>
    <m/>
    <x v="0"/>
    <m/>
  </r>
  <r>
    <x v="7"/>
    <x v="7"/>
    <s v="22"/>
    <s v="22-06"/>
    <m/>
    <s v="过热器喷水减温管路"/>
    <s v="90°弯头"/>
    <m/>
    <m/>
    <x v="11"/>
    <m/>
    <m/>
    <m/>
    <m/>
    <m/>
    <n v="183.4"/>
    <s v="ASME"/>
    <n v="0"/>
    <s v="OUT"/>
    <n v="0"/>
    <n v="183.4"/>
    <n v="0"/>
    <n v="183.4"/>
    <s v="90°弯头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183.4"/>
    <n v="0"/>
    <n v="9405.1282051282051"/>
    <n v="0"/>
    <n v="8464.6153846153866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8464.6153846153866"/>
    <n v="0"/>
    <m/>
    <m/>
    <x v="0"/>
    <m/>
  </r>
  <r>
    <x v="7"/>
    <x v="7"/>
    <s v="22"/>
    <s v="22-06"/>
    <m/>
    <s v="过热器喷水减温管路"/>
    <s v="三通DN159x159x25"/>
    <m/>
    <m/>
    <x v="11"/>
    <m/>
    <m/>
    <m/>
    <m/>
    <m/>
    <n v="41.4"/>
    <s v="ASME"/>
    <n v="0"/>
    <s v="OUT"/>
    <n v="0"/>
    <n v="41.4"/>
    <n v="0"/>
    <n v="41.4"/>
    <s v="三通DN159x159x25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41.4"/>
    <n v="0"/>
    <n v="2123.0769230769233"/>
    <n v="0"/>
    <n v="1910.7692307692309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1910.7692307692309"/>
    <n v="0"/>
    <m/>
    <m/>
    <x v="0"/>
    <m/>
  </r>
  <r>
    <x v="7"/>
    <x v="7"/>
    <s v="22"/>
    <s v="22-06"/>
    <m/>
    <s v="过热器喷水减温管路"/>
    <s v="三通DN250"/>
    <m/>
    <m/>
    <x v="11"/>
    <m/>
    <m/>
    <m/>
    <m/>
    <m/>
    <n v="446.70000000000005"/>
    <s v="ASME"/>
    <n v="0"/>
    <s v="OUT"/>
    <n v="0"/>
    <n v="446.70000000000005"/>
    <n v="0"/>
    <n v="446.70000000000005"/>
    <s v="三通DN250"/>
    <x v="9"/>
    <s v="Forgings"/>
    <s v="Forgings"/>
    <m/>
    <m/>
    <m/>
    <m/>
    <x v="0"/>
    <x v="0"/>
    <x v="1"/>
    <x v="4"/>
    <n v="90"/>
    <x v="0"/>
    <s v="KG"/>
    <n v="40"/>
    <n v="34.188034188034187"/>
    <n v="0.1"/>
    <n v="30.76923076923077"/>
    <n v="446.70000000000005"/>
    <n v="0"/>
    <n v="15271.794871794873"/>
    <n v="0"/>
    <n v="13744.615384615387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13744.615384615387"/>
    <n v="0"/>
    <m/>
    <m/>
    <x v="0"/>
    <m/>
  </r>
  <r>
    <x v="7"/>
    <x v="7"/>
    <s v="22"/>
    <s v="22-06"/>
    <m/>
    <s v="过热器喷水减温管路"/>
    <n v="0"/>
    <m/>
    <m/>
    <x v="11"/>
    <m/>
    <m/>
    <m/>
    <m/>
    <m/>
    <n v="1610"/>
    <s v="ASME"/>
    <e v="#N/A"/>
    <e v="#N/A"/>
    <e v="#N/A"/>
    <e v="#N/A"/>
    <n v="0"/>
    <e v="#N/A"/>
    <s v=" 0-0"/>
    <x v="9"/>
    <e v="#N/A"/>
    <s v="Tubing"/>
    <m/>
    <m/>
    <m/>
    <n v="0"/>
    <x v="1"/>
    <x v="0"/>
    <x v="2"/>
    <x v="5"/>
    <n v="90"/>
    <x v="0"/>
    <s v="KG"/>
    <n v="5.6"/>
    <n v="4.7863247863247862"/>
    <m/>
    <n v="4.7863247863247862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7"/>
    <x v="7"/>
    <s v="22"/>
    <s v="22-07"/>
    <m/>
    <s v="取样管路"/>
    <n v="0"/>
    <m/>
    <m/>
    <x v="11"/>
    <m/>
    <m/>
    <m/>
    <m/>
    <m/>
    <n v="2958"/>
    <s v="ASME"/>
    <e v="#N/A"/>
    <e v="#N/A"/>
    <e v="#N/A"/>
    <e v="#N/A"/>
    <n v="0"/>
    <e v="#N/A"/>
    <s v=" 0-0"/>
    <x v="9"/>
    <e v="#N/A"/>
    <s v="Tubing"/>
    <m/>
    <m/>
    <m/>
    <n v="0"/>
    <x v="1"/>
    <x v="0"/>
    <x v="2"/>
    <x v="8"/>
    <n v="90"/>
    <x v="0"/>
    <s v="KG"/>
    <n v="39.5"/>
    <n v="33.760683760683762"/>
    <m/>
    <n v="33.760683760683762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24"/>
    <n v="12"/>
    <m/>
    <x v="1"/>
    <m/>
  </r>
  <r>
    <x v="7"/>
    <x v="7"/>
    <s v="22"/>
    <s v="22-07"/>
    <m/>
    <s v="取样管路"/>
    <n v="0"/>
    <m/>
    <m/>
    <x v="11"/>
    <m/>
    <m/>
    <m/>
    <m/>
    <m/>
    <n v="0.97919999999999996"/>
    <s v="ASME"/>
    <n v="0"/>
    <s v="OUT"/>
    <n v="0"/>
    <n v="0.97919999999999996"/>
    <n v="0"/>
    <n v="0.97919999999999996"/>
    <s v="0"/>
    <x v="9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0.97919999999999996"/>
    <n v="0"/>
    <n v="50.215384615384615"/>
    <n v="0"/>
    <n v="45.19384615384616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45.19384615384616"/>
    <n v="0"/>
    <m/>
    <m/>
    <x v="2"/>
    <m/>
  </r>
  <r>
    <x v="7"/>
    <x v="7"/>
    <s v="22"/>
    <s v="22-07"/>
    <m/>
    <s v="取样管路"/>
    <s v="等径三通"/>
    <m/>
    <m/>
    <x v="11"/>
    <m/>
    <m/>
    <m/>
    <m/>
    <m/>
    <n v="2.3039999999999998"/>
    <s v="ASME"/>
    <n v="0"/>
    <s v="OUT"/>
    <n v="0"/>
    <n v="2.3039999999999998"/>
    <n v="0"/>
    <n v="2.3039999999999998"/>
    <s v="等径三通"/>
    <x v="9"/>
    <s v="Forgings"/>
    <s v="Forgings"/>
    <m/>
    <m/>
    <m/>
    <m/>
    <x v="0"/>
    <x v="0"/>
    <x v="1"/>
    <x v="4"/>
    <n v="90"/>
    <x v="0"/>
    <s v="KG"/>
    <n v="60"/>
    <n v="51.282051282051285"/>
    <n v="0.1"/>
    <n v="46.15384615384616"/>
    <n v="2.3039999999999998"/>
    <n v="0"/>
    <n v="118.15384615384615"/>
    <n v="0"/>
    <n v="106.33846153846154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106.33846153846154"/>
    <n v="0"/>
    <m/>
    <m/>
    <x v="0"/>
    <m/>
  </r>
  <r>
    <x v="8"/>
    <x v="8"/>
    <s v="26"/>
    <s v="26-02"/>
    <m/>
    <s v="WGZ1165/25.5-1型超临界锅炉"/>
    <n v="0"/>
    <m/>
    <m/>
    <x v="11"/>
    <m/>
    <m/>
    <m/>
    <m/>
    <m/>
    <n v="69.099999999999994"/>
    <s v="ASME"/>
    <n v="0"/>
    <s v="OUT"/>
    <n v="0"/>
    <n v="69.099999999999994"/>
    <n v="0"/>
    <n v="69.099999999999994"/>
    <s v="0"/>
    <x v="10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69.099999999999994"/>
    <n v="0"/>
    <n v="3543.5897435897436"/>
    <n v="0"/>
    <n v="3189.2307692307695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3189.2307692307695"/>
    <n v="0"/>
    <m/>
    <m/>
    <x v="2"/>
    <m/>
  </r>
  <r>
    <x v="8"/>
    <x v="8"/>
    <s v="26"/>
    <s v="26-03"/>
    <m/>
    <s v="固定座"/>
    <n v="0"/>
    <m/>
    <m/>
    <x v="11"/>
    <m/>
    <m/>
    <m/>
    <m/>
    <m/>
    <n v="13.41"/>
    <s v="ASME"/>
    <n v="0"/>
    <s v="OUT"/>
    <n v="0"/>
    <n v="13.41"/>
    <n v="0"/>
    <n v="13.41"/>
    <s v="0"/>
    <x v="10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13.41"/>
    <n v="0"/>
    <n v="687.69230769230774"/>
    <n v="0"/>
    <n v="618.92307692307702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618.92307692307702"/>
    <n v="0"/>
    <m/>
    <m/>
    <x v="2"/>
    <m/>
  </r>
  <r>
    <x v="8"/>
    <x v="8"/>
    <s v="26"/>
    <s v="26-03"/>
    <m/>
    <s v="螺栓"/>
    <n v="0"/>
    <m/>
    <m/>
    <x v="11"/>
    <m/>
    <m/>
    <m/>
    <m/>
    <m/>
    <n v="13.41"/>
    <s v="ASME"/>
    <n v="0"/>
    <s v="OUT"/>
    <n v="0"/>
    <n v="13.41"/>
    <n v="0"/>
    <n v="13.41"/>
    <s v="0"/>
    <x v="10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13.41"/>
    <n v="0"/>
    <n v="687.69230769230774"/>
    <n v="0"/>
    <n v="618.92307692307702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618.92307692307702"/>
    <n v="0"/>
    <m/>
    <m/>
    <x v="2"/>
    <m/>
  </r>
  <r>
    <x v="8"/>
    <x v="8"/>
    <s v="26"/>
    <s v="26-04"/>
    <m/>
    <s v="双向膨胀指示器"/>
    <n v="0"/>
    <m/>
    <m/>
    <x v="11"/>
    <m/>
    <m/>
    <m/>
    <m/>
    <m/>
    <n v="12.9"/>
    <s v="ASME"/>
    <n v="0"/>
    <s v="OUT"/>
    <n v="0"/>
    <n v="12.9"/>
    <n v="0"/>
    <n v="12.9"/>
    <s v="0"/>
    <x v="10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12.9"/>
    <n v="0"/>
    <n v="661.53846153846155"/>
    <n v="0"/>
    <n v="595.38461538461547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595.38461538461547"/>
    <n v="0"/>
    <m/>
    <m/>
    <x v="2"/>
    <m/>
  </r>
  <r>
    <x v="8"/>
    <x v="8"/>
    <s v="26"/>
    <s v="26-04"/>
    <m/>
    <s v="双向膨胀指示器"/>
    <n v="0"/>
    <m/>
    <m/>
    <x v="11"/>
    <m/>
    <m/>
    <m/>
    <m/>
    <m/>
    <n v="75.900000000000006"/>
    <s v="ASME"/>
    <n v="0"/>
    <s v="OUT"/>
    <n v="0"/>
    <n v="75.900000000000006"/>
    <n v="0"/>
    <n v="75.900000000000006"/>
    <s v="0"/>
    <x v="10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75.900000000000006"/>
    <n v="0"/>
    <n v="3892.3076923076928"/>
    <n v="0"/>
    <n v="3503.0769230769238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3503.0769230769238"/>
    <n v="0"/>
    <m/>
    <m/>
    <x v="2"/>
    <m/>
  </r>
  <r>
    <x v="8"/>
    <x v="8"/>
    <s v="26"/>
    <s v="26-04"/>
    <m/>
    <s v="双向膨胀指示器"/>
    <n v="0"/>
    <m/>
    <m/>
    <x v="11"/>
    <m/>
    <m/>
    <m/>
    <m/>
    <m/>
    <n v="6.3"/>
    <s v="ASME"/>
    <n v="0"/>
    <s v="OUT"/>
    <n v="0"/>
    <n v="6.3"/>
    <n v="0"/>
    <n v="6.3"/>
    <s v="0"/>
    <x v="10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6.3"/>
    <n v="0"/>
    <n v="323.07692307692309"/>
    <n v="0"/>
    <n v="290.76923076923083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290.76923076923083"/>
    <n v="0"/>
    <m/>
    <m/>
    <x v="2"/>
    <m/>
  </r>
  <r>
    <x v="8"/>
    <x v="8"/>
    <s v="26"/>
    <s v="26-04"/>
    <m/>
    <s v="双向膨胀指示器"/>
    <n v="0"/>
    <m/>
    <m/>
    <x v="11"/>
    <m/>
    <m/>
    <m/>
    <m/>
    <m/>
    <m/>
    <s v="ASME"/>
    <n v="0"/>
    <s v="OUT"/>
    <n v="0"/>
    <n v="0"/>
    <n v="0"/>
    <n v="0"/>
    <s v="0"/>
    <x v="10"/>
    <s v="Various"/>
    <s v="Various"/>
    <m/>
    <m/>
    <m/>
    <m/>
    <x v="0"/>
    <x v="0"/>
    <x v="1"/>
    <x v="4"/>
    <n v="90"/>
    <x v="0"/>
    <s v="Qty"/>
    <n v="3"/>
    <n v="2.5641025641025643"/>
    <n v="0.1"/>
    <n v="2.3076923076923079"/>
    <n v="0"/>
    <n v="0"/>
    <n v="0"/>
    <n v="0"/>
    <n v="0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0"/>
    <n v="0"/>
    <m/>
    <m/>
    <x v="2"/>
    <m/>
  </r>
  <r>
    <x v="8"/>
    <x v="8"/>
    <s v="26"/>
    <s v="26-04"/>
    <m/>
    <s v="垂直膨胀指示器"/>
    <n v="0"/>
    <m/>
    <m/>
    <x v="11"/>
    <m/>
    <m/>
    <m/>
    <m/>
    <m/>
    <n v="12.9"/>
    <s v="ASME"/>
    <n v="0"/>
    <s v="OUT"/>
    <n v="0"/>
    <n v="12.9"/>
    <n v="0"/>
    <n v="12.9"/>
    <s v="0"/>
    <x v="10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12.9"/>
    <n v="0"/>
    <n v="661.53846153846155"/>
    <n v="0"/>
    <n v="595.38461538461547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595.38461538461547"/>
    <n v="0"/>
    <m/>
    <m/>
    <x v="2"/>
    <m/>
  </r>
  <r>
    <x v="8"/>
    <x v="8"/>
    <s v="26"/>
    <s v="26-04"/>
    <m/>
    <s v="垂直膨胀指示器"/>
    <n v="0"/>
    <m/>
    <m/>
    <x v="11"/>
    <m/>
    <m/>
    <m/>
    <m/>
    <m/>
    <n v="75.3"/>
    <s v="ASME"/>
    <n v="0"/>
    <s v="OUT"/>
    <n v="0"/>
    <n v="75.3"/>
    <n v="0"/>
    <n v="75.3"/>
    <s v="0"/>
    <x v="10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75.3"/>
    <n v="0"/>
    <n v="3861.5384615384614"/>
    <n v="0"/>
    <n v="3475.3846153846157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3475.3846153846157"/>
    <n v="0"/>
    <m/>
    <m/>
    <x v="2"/>
    <m/>
  </r>
  <r>
    <x v="8"/>
    <x v="8"/>
    <s v="26"/>
    <s v="26-04"/>
    <m/>
    <s v="垂直膨胀指示器"/>
    <n v="0"/>
    <m/>
    <m/>
    <x v="11"/>
    <m/>
    <m/>
    <m/>
    <m/>
    <m/>
    <n v="24"/>
    <s v="ASME"/>
    <n v="0"/>
    <s v="OUT"/>
    <n v="0"/>
    <n v="24"/>
    <n v="0"/>
    <n v="24"/>
    <s v="0"/>
    <x v="10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24"/>
    <n v="0"/>
    <n v="1230.7692307692309"/>
    <n v="0"/>
    <n v="1107.6923076923078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1107.6923076923078"/>
    <n v="0"/>
    <m/>
    <m/>
    <x v="2"/>
    <m/>
  </r>
  <r>
    <x v="8"/>
    <x v="8"/>
    <s v="26"/>
    <s v="26-04"/>
    <m/>
    <s v="垂直膨胀指示器"/>
    <n v="0"/>
    <m/>
    <m/>
    <x v="11"/>
    <m/>
    <m/>
    <m/>
    <m/>
    <m/>
    <m/>
    <s v="ASME"/>
    <n v="0"/>
    <s v="OUT"/>
    <n v="0"/>
    <n v="0"/>
    <n v="0"/>
    <n v="0"/>
    <s v="0"/>
    <x v="10"/>
    <s v="Various"/>
    <s v="Various"/>
    <m/>
    <m/>
    <m/>
    <m/>
    <x v="0"/>
    <x v="0"/>
    <x v="1"/>
    <x v="4"/>
    <n v="90"/>
    <x v="0"/>
    <s v="Qty"/>
    <n v="3"/>
    <n v="2.5641025641025643"/>
    <n v="0.1"/>
    <n v="2.3076923076923079"/>
    <n v="0"/>
    <n v="0"/>
    <n v="0"/>
    <n v="0"/>
    <n v="0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0"/>
    <n v="0"/>
    <m/>
    <m/>
    <x v="2"/>
    <m/>
  </r>
  <r>
    <x v="8"/>
    <x v="8"/>
    <s v="26"/>
    <s v="26-04"/>
    <m/>
    <s v="三向膨胀指示器"/>
    <n v="0"/>
    <m/>
    <m/>
    <x v="11"/>
    <m/>
    <m/>
    <m/>
    <m/>
    <m/>
    <n v="2.7"/>
    <s v="ASME"/>
    <n v="0"/>
    <s v="OUT"/>
    <n v="0"/>
    <n v="2.7"/>
    <n v="0"/>
    <n v="2.7"/>
    <s v="0"/>
    <x v="10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2.7"/>
    <n v="0"/>
    <n v="138.46153846153848"/>
    <n v="0"/>
    <n v="124.61538461538464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124.61538461538464"/>
    <n v="0"/>
    <m/>
    <m/>
    <x v="2"/>
    <m/>
  </r>
  <r>
    <x v="8"/>
    <x v="8"/>
    <s v="26"/>
    <s v="26-04"/>
    <m/>
    <s v="三向膨胀指示器"/>
    <n v="0"/>
    <m/>
    <m/>
    <x v="11"/>
    <m/>
    <m/>
    <m/>
    <m/>
    <m/>
    <n v="5.8"/>
    <s v="ASME"/>
    <n v="0"/>
    <s v="OUT"/>
    <n v="0"/>
    <n v="5.8"/>
    <n v="0"/>
    <n v="5.8"/>
    <s v="0"/>
    <x v="10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5.8"/>
    <n v="0"/>
    <n v="297.43589743589746"/>
    <n v="0"/>
    <n v="267.69230769230774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267.69230769230774"/>
    <n v="0"/>
    <m/>
    <m/>
    <x v="2"/>
    <m/>
  </r>
  <r>
    <x v="8"/>
    <x v="8"/>
    <s v="26"/>
    <s v="26-04"/>
    <m/>
    <s v="三向膨胀指示器"/>
    <n v="0"/>
    <m/>
    <m/>
    <x v="11"/>
    <m/>
    <m/>
    <m/>
    <m/>
    <m/>
    <n v="2.7"/>
    <s v="ASME"/>
    <n v="0"/>
    <s v="OUT"/>
    <n v="0"/>
    <n v="2.7"/>
    <n v="0"/>
    <n v="2.7"/>
    <s v="0"/>
    <x v="10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2.7"/>
    <n v="0"/>
    <n v="138.46153846153848"/>
    <n v="0"/>
    <n v="124.61538461538464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124.61538461538464"/>
    <n v="0"/>
    <m/>
    <m/>
    <x v="2"/>
    <m/>
  </r>
  <r>
    <x v="8"/>
    <x v="8"/>
    <s v="26"/>
    <s v="26-04"/>
    <m/>
    <s v="三向膨胀指示器"/>
    <n v="0"/>
    <m/>
    <m/>
    <x v="11"/>
    <m/>
    <m/>
    <m/>
    <m/>
    <m/>
    <n v="17.899999999999999"/>
    <s v="ASME"/>
    <n v="0"/>
    <s v="OUT"/>
    <n v="0"/>
    <n v="17.899999999999999"/>
    <n v="0"/>
    <n v="17.899999999999999"/>
    <s v="0"/>
    <x v="10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17.899999999999999"/>
    <n v="0"/>
    <n v="917.9487179487179"/>
    <n v="0"/>
    <n v="826.15384615384619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826.15384615384619"/>
    <n v="0"/>
    <m/>
    <m/>
    <x v="2"/>
    <m/>
  </r>
  <r>
    <x v="8"/>
    <x v="8"/>
    <s v="26"/>
    <s v="26-04"/>
    <m/>
    <s v="三向膨胀指示器"/>
    <n v="0"/>
    <m/>
    <m/>
    <x v="11"/>
    <m/>
    <m/>
    <m/>
    <m/>
    <m/>
    <n v="50.7"/>
    <s v="ASME"/>
    <n v="0"/>
    <s v="OUT"/>
    <n v="0"/>
    <n v="50.7"/>
    <n v="0"/>
    <n v="50.7"/>
    <s v="0"/>
    <x v="10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50.7"/>
    <n v="0"/>
    <n v="2600.0000000000005"/>
    <n v="0"/>
    <n v="2340.0000000000005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2340.0000000000005"/>
    <n v="0"/>
    <m/>
    <m/>
    <x v="2"/>
    <m/>
  </r>
  <r>
    <x v="8"/>
    <x v="8"/>
    <s v="26"/>
    <s v="26-04"/>
    <m/>
    <s v="三向膨胀指示器"/>
    <n v="0"/>
    <m/>
    <m/>
    <x v="11"/>
    <m/>
    <m/>
    <m/>
    <m/>
    <m/>
    <n v="3.4"/>
    <s v="ASME"/>
    <n v="0"/>
    <s v="OUT"/>
    <n v="0"/>
    <n v="3.4"/>
    <n v="0"/>
    <n v="3.4"/>
    <s v="0"/>
    <x v="10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3.4"/>
    <n v="0"/>
    <n v="174.35897435897436"/>
    <n v="0"/>
    <n v="156.92307692307693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156.92307692307693"/>
    <n v="0"/>
    <m/>
    <m/>
    <x v="2"/>
    <m/>
  </r>
  <r>
    <x v="8"/>
    <x v="8"/>
    <s v="26"/>
    <s v="26-04"/>
    <m/>
    <s v="三向膨胀指示器"/>
    <n v="0"/>
    <m/>
    <m/>
    <x v="11"/>
    <m/>
    <m/>
    <m/>
    <m/>
    <m/>
    <m/>
    <s v="ASME"/>
    <n v="0"/>
    <s v="OUT"/>
    <n v="0"/>
    <n v="0"/>
    <n v="0"/>
    <n v="0"/>
    <s v="0"/>
    <x v="10"/>
    <s v="Various"/>
    <s v="Various"/>
    <m/>
    <m/>
    <m/>
    <m/>
    <x v="0"/>
    <x v="0"/>
    <x v="1"/>
    <x v="4"/>
    <n v="90"/>
    <x v="0"/>
    <s v="Qty"/>
    <n v="3"/>
    <n v="2.5641025641025643"/>
    <n v="0.1"/>
    <n v="2.3076923076923079"/>
    <n v="0"/>
    <n v="0"/>
    <n v="0"/>
    <n v="0"/>
    <n v="0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0"/>
    <n v="0"/>
    <m/>
    <m/>
    <x v="2"/>
    <m/>
  </r>
  <r>
    <x v="8"/>
    <x v="8"/>
    <s v="26"/>
    <s v="26-04"/>
    <m/>
    <s v="三向膨胀指示器"/>
    <n v="0"/>
    <m/>
    <m/>
    <x v="11"/>
    <m/>
    <m/>
    <m/>
    <m/>
    <m/>
    <m/>
    <s v="ASME"/>
    <n v="0"/>
    <s v="OUT"/>
    <n v="0"/>
    <n v="0"/>
    <n v="0"/>
    <n v="0"/>
    <s v="0"/>
    <x v="10"/>
    <s v="Various"/>
    <s v="Various"/>
    <m/>
    <m/>
    <m/>
    <m/>
    <x v="0"/>
    <x v="0"/>
    <x v="1"/>
    <x v="4"/>
    <n v="90"/>
    <x v="0"/>
    <s v="Qty"/>
    <n v="3"/>
    <n v="2.5641025641025643"/>
    <n v="0.1"/>
    <n v="2.3076923076923079"/>
    <n v="0"/>
    <n v="0"/>
    <n v="0"/>
    <n v="0"/>
    <n v="0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0"/>
    <n v="0"/>
    <m/>
    <m/>
    <x v="2"/>
    <m/>
  </r>
  <r>
    <x v="8"/>
    <x v="8"/>
    <s v="26"/>
    <s v="26-04"/>
    <m/>
    <s v="三向膨胀指示器"/>
    <n v="0"/>
    <m/>
    <m/>
    <x v="11"/>
    <m/>
    <m/>
    <m/>
    <m/>
    <m/>
    <m/>
    <s v="ASME"/>
    <n v="0"/>
    <s v="OUT"/>
    <n v="0"/>
    <n v="0"/>
    <n v="0"/>
    <n v="0"/>
    <s v="0"/>
    <x v="10"/>
    <s v="Various"/>
    <s v="Various"/>
    <m/>
    <m/>
    <m/>
    <m/>
    <x v="0"/>
    <x v="0"/>
    <x v="1"/>
    <x v="4"/>
    <n v="90"/>
    <x v="0"/>
    <s v="Qty"/>
    <n v="3"/>
    <n v="2.5641025641025643"/>
    <n v="0.1"/>
    <n v="2.3076923076923079"/>
    <n v="0"/>
    <n v="0"/>
    <n v="0"/>
    <n v="0"/>
    <n v="0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0"/>
    <n v="0"/>
    <m/>
    <m/>
    <x v="2"/>
    <m/>
  </r>
  <r>
    <x v="8"/>
    <x v="8"/>
    <s v="26"/>
    <s v="26-06"/>
    <m/>
    <s v="Transition Pipe Of Feed Water Bypass"/>
    <n v="0"/>
    <m/>
    <m/>
    <x v="11"/>
    <m/>
    <m/>
    <m/>
    <m/>
    <m/>
    <n v="366"/>
    <s v="ASME"/>
    <n v="0"/>
    <s v="OUT"/>
    <n v="0"/>
    <n v="366"/>
    <n v="0"/>
    <n v="366"/>
    <s v=" 0-0"/>
    <x v="10"/>
    <s v="Various"/>
    <s v="Piping"/>
    <m/>
    <m/>
    <m/>
    <m/>
    <x v="0"/>
    <x v="0"/>
    <x v="2"/>
    <x v="3"/>
    <n v="90"/>
    <x v="0"/>
    <s v="KG"/>
    <n v="14.850000000000001"/>
    <n v="12.692307692307695"/>
    <m/>
    <n v="12.692307692307695"/>
    <n v="366"/>
    <n v="0"/>
    <n v="4645.3846153846162"/>
    <n v="0"/>
    <n v="4645.3846153846162"/>
    <d v="2016-11-07T00:00:00"/>
    <n v="7"/>
    <d v="2016-11-14T00:00:00"/>
    <d v="2018-07-03T00:00:00"/>
    <d v="2018-12-29T00:00:00"/>
    <n v="5"/>
    <n v="7"/>
    <n v="0"/>
    <n v="0"/>
    <n v="0"/>
    <n v="0"/>
    <n v="0"/>
    <m/>
    <n v="0"/>
    <n v="4645.3846153846162"/>
    <n v="0"/>
    <m/>
    <m/>
    <x v="2"/>
    <m/>
  </r>
  <r>
    <x v="9"/>
    <x v="9"/>
    <s v="60"/>
    <s v="60-02"/>
    <m/>
    <s v="Water Wall"/>
    <n v="0"/>
    <m/>
    <m/>
    <x v="11"/>
    <m/>
    <m/>
    <m/>
    <m/>
    <m/>
    <n v="91.005263093250008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6.9"/>
    <n v="5.8974358974358978"/>
    <m/>
    <n v="5.897435897435897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n v="11"/>
    <n v="3"/>
    <x v="1"/>
    <m/>
  </r>
  <r>
    <x v="9"/>
    <x v="9"/>
    <s v="60"/>
    <s v="60-02"/>
    <m/>
    <s v="Water Wall"/>
    <n v="0"/>
    <m/>
    <m/>
    <x v="11"/>
    <m/>
    <m/>
    <m/>
    <m/>
    <m/>
    <n v="96.226353697320008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6.9"/>
    <n v="5.8974358974358978"/>
    <m/>
    <n v="5.897435897435897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"/>
    <m/>
    <s v="Water Wall"/>
    <n v="0"/>
    <m/>
    <m/>
    <x v="11"/>
    <m/>
    <m/>
    <m/>
    <m/>
    <m/>
    <n v="87.242522399999999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9.1999999999999993"/>
    <n v="7.8632478632478628"/>
    <m/>
    <n v="7.863247863247862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"/>
    <m/>
    <s v="Water Wall"/>
    <n v="0"/>
    <m/>
    <m/>
    <x v="11"/>
    <m/>
    <m/>
    <m/>
    <m/>
    <m/>
    <n v="125.49264453825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9.1999999999999993"/>
    <n v="7.8632478632478628"/>
    <m/>
    <n v="7.863247863247862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"/>
    <m/>
    <s v="Water Wall"/>
    <n v="0"/>
    <m/>
    <m/>
    <x v="11"/>
    <m/>
    <m/>
    <m/>
    <m/>
    <m/>
    <n v="133.91076124800003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6.9"/>
    <n v="5.8974358974358978"/>
    <m/>
    <n v="5.897435897435897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"/>
    <m/>
    <s v="Water Wall"/>
    <n v="0"/>
    <m/>
    <m/>
    <x v="11"/>
    <m/>
    <m/>
    <m/>
    <m/>
    <m/>
    <n v="214.52491364699998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6.9"/>
    <n v="5.8974358974358978"/>
    <m/>
    <n v="5.897435897435897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"/>
    <m/>
    <s v="Water Wall"/>
    <n v="0"/>
    <m/>
    <m/>
    <x v="11"/>
    <m/>
    <m/>
    <m/>
    <m/>
    <m/>
    <n v="306.65095559999997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6.9"/>
    <n v="5.8974358974358978"/>
    <m/>
    <n v="5.897435897435897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"/>
    <m/>
    <s v="Superheater"/>
    <n v="0"/>
    <m/>
    <m/>
    <x v="11"/>
    <m/>
    <m/>
    <m/>
    <m/>
    <m/>
    <n v="139.57175925000001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9.1999999999999993"/>
    <n v="7.8632478632478628"/>
    <m/>
    <n v="7.863247863247862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"/>
    <m/>
    <s v="Superheater"/>
    <n v="0"/>
    <m/>
    <m/>
    <x v="11"/>
    <m/>
    <m/>
    <m/>
    <m/>
    <m/>
    <n v="102.54251699999999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"/>
    <m/>
    <s v="Superheater"/>
    <n v="0"/>
    <m/>
    <m/>
    <x v="11"/>
    <m/>
    <m/>
    <m/>
    <m/>
    <m/>
    <n v="139.57175925000001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"/>
    <m/>
    <s v="Superheater"/>
    <n v="0"/>
    <m/>
    <m/>
    <x v="11"/>
    <m/>
    <m/>
    <m/>
    <m/>
    <m/>
    <n v="147.30313950000001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"/>
    <m/>
    <s v="Superheater"/>
    <n v="0"/>
    <m/>
    <m/>
    <x v="11"/>
    <m/>
    <m/>
    <m/>
    <m/>
    <m/>
    <n v="154.73611560000006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"/>
    <m/>
    <s v="Superheater"/>
    <n v="0"/>
    <m/>
    <m/>
    <x v="11"/>
    <m/>
    <m/>
    <m/>
    <m/>
    <m/>
    <n v="168.70685535000004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"/>
    <m/>
    <s v="Superheater"/>
    <n v="0"/>
    <m/>
    <m/>
    <x v="11"/>
    <m/>
    <m/>
    <m/>
    <m/>
    <m/>
    <n v="187.50631679999998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"/>
    <m/>
    <s v="Superheater"/>
    <n v="0"/>
    <m/>
    <m/>
    <x v="11"/>
    <m/>
    <m/>
    <m/>
    <m/>
    <m/>
    <n v="109.14809977500001"/>
    <s v="ASME"/>
    <e v="#N/A"/>
    <e v="#N/A"/>
    <e v="#N/A"/>
    <e v="#N/A"/>
    <n v="0"/>
    <e v="#N/A"/>
    <s v=" 0-0"/>
    <x v="12"/>
    <e v="#N/A"/>
    <s v="Tubing"/>
    <m/>
    <m/>
    <m/>
    <n v="0"/>
    <x v="1"/>
    <x v="1"/>
    <x v="2"/>
    <x v="1"/>
    <n v="180"/>
    <x v="1"/>
    <s v="KG"/>
    <n v="4.5"/>
    <n v="4.5"/>
    <m/>
    <n v="4.5"/>
    <e v="#N/A"/>
    <e v="#N/A"/>
    <e v="#N/A"/>
    <e v="#N/A"/>
    <e v="#N/A"/>
    <d v="2016-11-07T00:00:00"/>
    <n v="7"/>
    <d v="2016-11-14T00:00:00"/>
    <d v="2018-07-03T00:00:00"/>
    <d v="2018-12-29T00:00:00"/>
    <n v="5"/>
    <n v="7"/>
    <e v="#N/A"/>
    <e v="#N/A"/>
    <e v="#N/A"/>
    <e v="#N/A"/>
    <e v="#N/A"/>
    <m/>
    <e v="#N/A"/>
    <e v="#N/A"/>
    <n v="0"/>
    <m/>
    <m/>
    <x v="1"/>
    <m/>
  </r>
  <r>
    <x v="9"/>
    <x v="9"/>
    <s v="60"/>
    <s v="60-02"/>
    <m/>
    <s v="Superheater"/>
    <n v="0"/>
    <m/>
    <m/>
    <x v="11"/>
    <m/>
    <m/>
    <m/>
    <m/>
    <m/>
    <n v="102.54251699999999"/>
    <s v="ASME"/>
    <e v="#N/A"/>
    <e v="#N/A"/>
    <e v="#N/A"/>
    <e v="#N/A"/>
    <n v="0"/>
    <e v="#N/A"/>
    <s v=" 0-0"/>
    <x v="12"/>
    <e v="#N/A"/>
    <s v="Tubing"/>
    <m/>
    <m/>
    <m/>
    <n v="0"/>
    <x v="1"/>
    <x v="1"/>
    <x v="2"/>
    <x v="9"/>
    <n v="180"/>
    <x v="1"/>
    <s v="KG"/>
    <n v="7.67"/>
    <n v="7.67"/>
    <m/>
    <n v="7.67"/>
    <e v="#N/A"/>
    <e v="#N/A"/>
    <e v="#N/A"/>
    <e v="#N/A"/>
    <e v="#N/A"/>
    <d v="2016-11-07T00:00:00"/>
    <n v="7"/>
    <d v="2016-11-14T00:00:00"/>
    <d v="2018-07-03T00:00:00"/>
    <d v="2018-12-29T00:00:00"/>
    <n v="5"/>
    <n v="7"/>
    <e v="#N/A"/>
    <e v="#N/A"/>
    <e v="#N/A"/>
    <e v="#N/A"/>
    <e v="#N/A"/>
    <m/>
    <e v="#N/A"/>
    <e v="#N/A"/>
    <n v="0"/>
    <m/>
    <m/>
    <x v="1"/>
    <m/>
  </r>
  <r>
    <x v="9"/>
    <x v="9"/>
    <s v="60"/>
    <s v="60-02"/>
    <m/>
    <s v="Superheater"/>
    <n v="0"/>
    <m/>
    <m/>
    <x v="11"/>
    <m/>
    <m/>
    <m/>
    <m/>
    <m/>
    <n v="109.14809977500001"/>
    <s v="ASME"/>
    <e v="#N/A"/>
    <e v="#N/A"/>
    <e v="#N/A"/>
    <e v="#N/A"/>
    <n v="0"/>
    <e v="#N/A"/>
    <s v=" 0-0"/>
    <x v="12"/>
    <e v="#N/A"/>
    <s v="Tubing"/>
    <m/>
    <m/>
    <m/>
    <n v="0"/>
    <x v="1"/>
    <x v="1"/>
    <x v="2"/>
    <x v="9"/>
    <n v="180"/>
    <x v="1"/>
    <s v="KG"/>
    <n v="7.67"/>
    <n v="7.67"/>
    <m/>
    <n v="7.67"/>
    <e v="#N/A"/>
    <e v="#N/A"/>
    <e v="#N/A"/>
    <e v="#N/A"/>
    <e v="#N/A"/>
    <d v="2016-11-07T00:00:00"/>
    <n v="7"/>
    <d v="2016-11-14T00:00:00"/>
    <d v="2018-07-03T00:00:00"/>
    <d v="2018-12-29T00:00:00"/>
    <n v="5"/>
    <n v="7"/>
    <e v="#N/A"/>
    <e v="#N/A"/>
    <e v="#N/A"/>
    <e v="#N/A"/>
    <e v="#N/A"/>
    <m/>
    <e v="#N/A"/>
    <e v="#N/A"/>
    <n v="0"/>
    <m/>
    <m/>
    <x v="1"/>
    <m/>
  </r>
  <r>
    <x v="9"/>
    <x v="9"/>
    <s v="60"/>
    <s v="60-02"/>
    <m/>
    <s v="Reheater"/>
    <s v="Reheater"/>
    <m/>
    <m/>
    <x v="11"/>
    <m/>
    <m/>
    <m/>
    <m/>
    <m/>
    <n v="107.64251520000002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9.1999999999999993"/>
    <n v="7.8632478632478628"/>
    <m/>
    <n v="7.863247863247862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"/>
    <m/>
    <s v="Reheater"/>
    <s v="Reheater"/>
    <m/>
    <m/>
    <x v="11"/>
    <m/>
    <m/>
    <m/>
    <m/>
    <m/>
    <n v="107.64251520000002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"/>
    <m/>
    <s v="Reheater"/>
    <s v="Reheater"/>
    <m/>
    <m/>
    <x v="11"/>
    <m/>
    <m/>
    <m/>
    <m/>
    <m/>
    <n v="176.329725"/>
    <s v="ASME"/>
    <e v="#N/A"/>
    <e v="#N/A"/>
    <e v="#N/A"/>
    <e v="#N/A"/>
    <n v="0"/>
    <e v="#N/A"/>
    <s v=" 0-0"/>
    <x v="12"/>
    <e v="#N/A"/>
    <s v="Tubing"/>
    <m/>
    <m/>
    <m/>
    <n v="0"/>
    <x v="1"/>
    <x v="1"/>
    <x v="2"/>
    <x v="1"/>
    <n v="180"/>
    <x v="1"/>
    <s v="KG"/>
    <n v="4.5"/>
    <n v="4.5"/>
    <m/>
    <n v="4.5"/>
    <e v="#N/A"/>
    <e v="#N/A"/>
    <e v="#N/A"/>
    <e v="#N/A"/>
    <e v="#N/A"/>
    <d v="2016-11-07T00:00:00"/>
    <n v="7"/>
    <d v="2016-11-14T00:00:00"/>
    <d v="2018-07-03T00:00:00"/>
    <d v="2018-12-29T00:00:00"/>
    <n v="5"/>
    <n v="7"/>
    <e v="#N/A"/>
    <e v="#N/A"/>
    <e v="#N/A"/>
    <e v="#N/A"/>
    <e v="#N/A"/>
    <m/>
    <e v="#N/A"/>
    <e v="#N/A"/>
    <n v="0"/>
    <m/>
    <m/>
    <x v="1"/>
    <m/>
  </r>
  <r>
    <x v="9"/>
    <x v="9"/>
    <s v="60"/>
    <s v="60-02"/>
    <m/>
    <s v="Reheater"/>
    <s v="Reheater"/>
    <m/>
    <m/>
    <x v="11"/>
    <m/>
    <m/>
    <m/>
    <m/>
    <m/>
    <n v="107.64251520000002"/>
    <s v="ASME"/>
    <e v="#N/A"/>
    <e v="#N/A"/>
    <e v="#N/A"/>
    <e v="#N/A"/>
    <n v="0"/>
    <e v="#N/A"/>
    <s v=" 0-0"/>
    <x v="12"/>
    <e v="#N/A"/>
    <s v="Tubing"/>
    <m/>
    <m/>
    <m/>
    <n v="0"/>
    <x v="1"/>
    <x v="1"/>
    <x v="2"/>
    <x v="9"/>
    <n v="180"/>
    <x v="1"/>
    <s v="KG"/>
    <n v="7.67"/>
    <n v="7.67"/>
    <m/>
    <n v="7.67"/>
    <e v="#N/A"/>
    <e v="#N/A"/>
    <e v="#N/A"/>
    <e v="#N/A"/>
    <e v="#N/A"/>
    <d v="2016-11-07T00:00:00"/>
    <n v="7"/>
    <d v="2016-11-14T00:00:00"/>
    <d v="2018-07-03T00:00:00"/>
    <d v="2018-12-29T00:00:00"/>
    <n v="5"/>
    <n v="7"/>
    <e v="#N/A"/>
    <e v="#N/A"/>
    <e v="#N/A"/>
    <e v="#N/A"/>
    <e v="#N/A"/>
    <m/>
    <e v="#N/A"/>
    <e v="#N/A"/>
    <n v="0"/>
    <m/>
    <m/>
    <x v="1"/>
    <m/>
  </r>
  <r>
    <x v="9"/>
    <x v="9"/>
    <s v="60"/>
    <s v="60-02"/>
    <m/>
    <s v="Economizer"/>
    <n v="0"/>
    <m/>
    <m/>
    <x v="11"/>
    <m/>
    <m/>
    <m/>
    <m/>
    <m/>
    <n v="115.88932080000002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5.6"/>
    <n v="4.7863247863247862"/>
    <m/>
    <n v="4.7863247863247862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54.603157855949995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6.9"/>
    <n v="5.8974358974358978"/>
    <m/>
    <n v="5.897435897435897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37"/>
    <n v="22"/>
    <n v="2"/>
    <x v="1"/>
    <m/>
  </r>
  <r>
    <x v="9"/>
    <x v="9"/>
    <s v="60"/>
    <s v="60-02 (2)"/>
    <m/>
    <s v="Tubes"/>
    <n v="0"/>
    <m/>
    <m/>
    <x v="11"/>
    <m/>
    <m/>
    <m/>
    <m/>
    <m/>
    <n v="57.735812218392006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6.9"/>
    <n v="5.8974358974358978"/>
    <m/>
    <n v="5.897435897435897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52.345513440000005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6.9"/>
    <n v="5.8974358974358978"/>
    <m/>
    <n v="5.897435897435897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70.274177324999997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6.9"/>
    <n v="5.8974358974358978"/>
    <m/>
    <n v="5.897435897435897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74.57637600000001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6.9"/>
    <n v="5.8974358974358978"/>
    <m/>
    <n v="5.897435897435897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118.50541272000001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6.9"/>
    <n v="5.8974358974358978"/>
    <m/>
    <n v="5.897435897435897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171.52566479999996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6.9"/>
    <n v="5.8974358974358978"/>
    <m/>
    <n v="5.897435897435897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77.580146700000014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9.1999999999999993"/>
    <n v="7.8632478632478628"/>
    <m/>
    <n v="7.863247863247862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56.997658800000011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77.580146700000014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82.01181824999999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86.29552080000002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94.419018900000012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104.67327060000001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60.785665200000004"/>
    <s v="ASME"/>
    <e v="#N/A"/>
    <e v="#N/A"/>
    <e v="#N/A"/>
    <e v="#N/A"/>
    <n v="0"/>
    <e v="#N/A"/>
    <s v=" 0-0"/>
    <x v="12"/>
    <e v="#N/A"/>
    <s v="Tubing"/>
    <m/>
    <m/>
    <m/>
    <n v="0"/>
    <x v="1"/>
    <x v="1"/>
    <x v="2"/>
    <x v="1"/>
    <n v="180"/>
    <x v="1"/>
    <s v="KG"/>
    <n v="4.5"/>
    <n v="4.5"/>
    <m/>
    <n v="4.5"/>
    <e v="#N/A"/>
    <e v="#N/A"/>
    <e v="#N/A"/>
    <e v="#N/A"/>
    <e v="#N/A"/>
    <d v="2016-11-07T00:00:00"/>
    <n v="7"/>
    <d v="2016-11-14T00:00:00"/>
    <d v="2018-07-03T00:00:00"/>
    <d v="2018-12-29T00:00:00"/>
    <n v="5"/>
    <n v="7"/>
    <e v="#N/A"/>
    <e v="#N/A"/>
    <e v="#N/A"/>
    <e v="#N/A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56.997658800000011"/>
    <s v="ASME"/>
    <e v="#N/A"/>
    <e v="#N/A"/>
    <e v="#N/A"/>
    <e v="#N/A"/>
    <n v="0"/>
    <e v="#N/A"/>
    <s v=" 0-0"/>
    <x v="12"/>
    <e v="#N/A"/>
    <s v="Tubing"/>
    <m/>
    <m/>
    <m/>
    <n v="0"/>
    <x v="1"/>
    <x v="1"/>
    <x v="2"/>
    <x v="9"/>
    <n v="180"/>
    <x v="1"/>
    <s v="KG"/>
    <n v="7.67"/>
    <n v="7.67"/>
    <m/>
    <n v="7.67"/>
    <e v="#N/A"/>
    <e v="#N/A"/>
    <e v="#N/A"/>
    <e v="#N/A"/>
    <e v="#N/A"/>
    <d v="2016-11-07T00:00:00"/>
    <n v="7"/>
    <d v="2016-11-14T00:00:00"/>
    <d v="2018-07-03T00:00:00"/>
    <d v="2018-12-29T00:00:00"/>
    <n v="5"/>
    <n v="7"/>
    <e v="#N/A"/>
    <e v="#N/A"/>
    <e v="#N/A"/>
    <e v="#N/A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60.785665200000004"/>
    <s v="ASME"/>
    <e v="#N/A"/>
    <e v="#N/A"/>
    <e v="#N/A"/>
    <e v="#N/A"/>
    <n v="0"/>
    <e v="#N/A"/>
    <s v=" 0-0"/>
    <x v="12"/>
    <e v="#N/A"/>
    <s v="Tubing"/>
    <m/>
    <m/>
    <m/>
    <n v="0"/>
    <x v="1"/>
    <x v="1"/>
    <x v="2"/>
    <x v="9"/>
    <n v="180"/>
    <x v="1"/>
    <s v="KG"/>
    <n v="7.67"/>
    <n v="7.67"/>
    <m/>
    <n v="7.67"/>
    <e v="#N/A"/>
    <e v="#N/A"/>
    <e v="#N/A"/>
    <e v="#N/A"/>
    <e v="#N/A"/>
    <d v="2016-11-07T00:00:00"/>
    <n v="7"/>
    <d v="2016-11-14T00:00:00"/>
    <d v="2018-07-03T00:00:00"/>
    <d v="2018-12-29T00:00:00"/>
    <n v="5"/>
    <n v="7"/>
    <e v="#N/A"/>
    <e v="#N/A"/>
    <e v="#N/A"/>
    <e v="#N/A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59.187599999999989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9.1999999999999993"/>
    <n v="7.8632478632478628"/>
    <m/>
    <n v="7.8632478632478628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59.187599999999989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14.9"/>
    <n v="12.735042735042736"/>
    <m/>
    <n v="12.735042735042736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97.430188049999998"/>
    <s v="ASME"/>
    <e v="#N/A"/>
    <e v="#N/A"/>
    <e v="#N/A"/>
    <e v="#N/A"/>
    <n v="0"/>
    <e v="#N/A"/>
    <s v=" 0-0"/>
    <x v="12"/>
    <e v="#N/A"/>
    <s v="Tubing"/>
    <m/>
    <m/>
    <m/>
    <n v="0"/>
    <x v="1"/>
    <x v="1"/>
    <x v="2"/>
    <x v="1"/>
    <n v="180"/>
    <x v="1"/>
    <s v="KG"/>
    <n v="4.5"/>
    <n v="4.5"/>
    <m/>
    <n v="4.5"/>
    <e v="#N/A"/>
    <e v="#N/A"/>
    <e v="#N/A"/>
    <e v="#N/A"/>
    <e v="#N/A"/>
    <d v="2016-11-07T00:00:00"/>
    <n v="7"/>
    <d v="2016-11-14T00:00:00"/>
    <d v="2018-07-03T00:00:00"/>
    <d v="2018-12-29T00:00:00"/>
    <n v="5"/>
    <n v="7"/>
    <e v="#N/A"/>
    <e v="#N/A"/>
    <e v="#N/A"/>
    <e v="#N/A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59.187599999999989"/>
    <s v="ASME"/>
    <e v="#N/A"/>
    <e v="#N/A"/>
    <e v="#N/A"/>
    <e v="#N/A"/>
    <n v="0"/>
    <e v="#N/A"/>
    <s v=" 0-0"/>
    <x v="12"/>
    <e v="#N/A"/>
    <s v="Tubing"/>
    <m/>
    <m/>
    <m/>
    <n v="0"/>
    <x v="1"/>
    <x v="1"/>
    <x v="2"/>
    <x v="9"/>
    <n v="180"/>
    <x v="1"/>
    <s v="KG"/>
    <n v="7.67"/>
    <n v="7.67"/>
    <m/>
    <n v="7.67"/>
    <e v="#N/A"/>
    <e v="#N/A"/>
    <e v="#N/A"/>
    <e v="#N/A"/>
    <e v="#N/A"/>
    <d v="2016-11-07T00:00:00"/>
    <n v="7"/>
    <d v="2016-11-14T00:00:00"/>
    <d v="2018-07-03T00:00:00"/>
    <d v="2018-12-29T00:00:00"/>
    <n v="5"/>
    <n v="7"/>
    <e v="#N/A"/>
    <e v="#N/A"/>
    <e v="#N/A"/>
    <e v="#N/A"/>
    <e v="#N/A"/>
    <m/>
    <e v="#N/A"/>
    <e v="#N/A"/>
    <n v="0"/>
    <m/>
    <m/>
    <x v="1"/>
    <m/>
  </r>
  <r>
    <x v="9"/>
    <x v="9"/>
    <s v="60"/>
    <s v="60-02 (2)"/>
    <m/>
    <s v="Tubes"/>
    <n v="0"/>
    <m/>
    <m/>
    <x v="11"/>
    <m/>
    <m/>
    <m/>
    <m/>
    <m/>
    <n v="64.277733600000005"/>
    <s v="ASME"/>
    <e v="#N/A"/>
    <e v="#N/A"/>
    <e v="#N/A"/>
    <e v="#N/A"/>
    <n v="0"/>
    <e v="#N/A"/>
    <s v=" 0-0"/>
    <x v="11"/>
    <e v="#N/A"/>
    <s v="Tubing"/>
    <m/>
    <m/>
    <m/>
    <n v="0"/>
    <x v="1"/>
    <x v="0"/>
    <x v="2"/>
    <x v="5"/>
    <n v="90"/>
    <x v="0"/>
    <s v="KG"/>
    <n v="5.6"/>
    <n v="4.7863247863247862"/>
    <m/>
    <n v="4.7863247863247862"/>
    <e v="#N/A"/>
    <n v="0"/>
    <e v="#N/A"/>
    <n v="0"/>
    <e v="#N/A"/>
    <d v="2016-11-07T00:00:00"/>
    <n v="7"/>
    <d v="2016-11-14T00:00:00"/>
    <d v="2018-07-03T00:00:00"/>
    <d v="2018-12-29T00:00:00"/>
    <n v="5"/>
    <n v="7"/>
    <n v="0"/>
    <n v="0"/>
    <n v="0"/>
    <n v="0"/>
    <e v="#N/A"/>
    <m/>
    <e v="#N/A"/>
    <e v="#N/A"/>
    <n v="0"/>
    <m/>
    <m/>
    <x v="1"/>
    <m/>
  </r>
  <r>
    <x v="9"/>
    <x v="9"/>
    <s v="60"/>
    <s v="60-02 (3)"/>
    <m/>
    <m/>
    <s v="碳钢用焊接材料"/>
    <m/>
    <m/>
    <x v="11"/>
    <m/>
    <m/>
    <m/>
    <m/>
    <m/>
    <n v="20"/>
    <s v="ASME"/>
    <n v="0"/>
    <s v="OUT"/>
    <n v="0"/>
    <n v="20"/>
    <n v="0"/>
    <n v="20"/>
    <s v="碳钢用焊接材料"/>
    <x v="11"/>
    <s v="Various"/>
    <s v="Various"/>
    <m/>
    <m/>
    <m/>
    <n v="0"/>
    <x v="0"/>
    <x v="0"/>
    <x v="1"/>
    <x v="4"/>
    <n v="90"/>
    <x v="0"/>
    <s v="KG"/>
    <n v="60"/>
    <n v="51.282051282051285"/>
    <n v="0.1"/>
    <n v="46.15384615384616"/>
    <n v="20"/>
    <n v="0"/>
    <n v="1025.6410256410256"/>
    <n v="0"/>
    <n v="923.07692307692321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923.07692307692321"/>
    <n v="0"/>
    <m/>
    <m/>
    <x v="2"/>
    <m/>
  </r>
  <r>
    <x v="9"/>
    <x v="9"/>
    <s v="60"/>
    <s v="60-02 (3)"/>
    <m/>
    <m/>
    <s v="T12用焊接材料"/>
    <m/>
    <m/>
    <x v="11"/>
    <m/>
    <m/>
    <m/>
    <m/>
    <m/>
    <n v="20"/>
    <s v="ASME"/>
    <n v="0"/>
    <s v="OUT"/>
    <n v="0"/>
    <n v="20"/>
    <n v="0"/>
    <n v="20"/>
    <s v="T12用焊接材料"/>
    <x v="11"/>
    <s v="Various"/>
    <s v="Various"/>
    <m/>
    <m/>
    <m/>
    <n v="0"/>
    <x v="0"/>
    <x v="0"/>
    <x v="1"/>
    <x v="4"/>
    <n v="90"/>
    <x v="0"/>
    <s v="KG"/>
    <n v="60"/>
    <n v="51.282051282051285"/>
    <n v="0.1"/>
    <n v="46.15384615384616"/>
    <n v="20"/>
    <n v="0"/>
    <n v="1025.6410256410256"/>
    <n v="0"/>
    <n v="923.07692307692321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923.07692307692321"/>
    <n v="0"/>
    <m/>
    <m/>
    <x v="2"/>
    <m/>
  </r>
  <r>
    <x v="9"/>
    <x v="9"/>
    <s v="60"/>
    <s v="60-02 (3)"/>
    <m/>
    <m/>
    <s v="T22用焊接材料"/>
    <m/>
    <m/>
    <x v="11"/>
    <m/>
    <m/>
    <m/>
    <m/>
    <m/>
    <n v="20"/>
    <s v="ASME"/>
    <n v="0"/>
    <s v="OUT"/>
    <n v="0"/>
    <n v="20"/>
    <n v="0"/>
    <n v="20"/>
    <s v="T22用焊接材料"/>
    <x v="11"/>
    <s v="Various"/>
    <s v="Various"/>
    <m/>
    <m/>
    <m/>
    <n v="0"/>
    <x v="0"/>
    <x v="0"/>
    <x v="1"/>
    <x v="4"/>
    <n v="90"/>
    <x v="0"/>
    <s v="KG"/>
    <n v="60"/>
    <n v="51.282051282051285"/>
    <n v="0.1"/>
    <n v="46.15384615384616"/>
    <n v="20"/>
    <n v="0"/>
    <n v="1025.6410256410256"/>
    <n v="0"/>
    <n v="923.07692307692321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923.07692307692321"/>
    <n v="0"/>
    <m/>
    <m/>
    <x v="2"/>
    <m/>
  </r>
  <r>
    <x v="9"/>
    <x v="9"/>
    <s v="60"/>
    <s v="60-02 (3)"/>
    <m/>
    <m/>
    <s v="T91用焊接材料"/>
    <m/>
    <m/>
    <x v="11"/>
    <m/>
    <m/>
    <m/>
    <m/>
    <m/>
    <n v="20"/>
    <s v="ASME"/>
    <n v="0"/>
    <s v="OUT"/>
    <n v="0"/>
    <n v="20"/>
    <n v="0"/>
    <n v="20"/>
    <s v="T91用焊接材料"/>
    <x v="11"/>
    <s v="Various"/>
    <s v="Various"/>
    <m/>
    <m/>
    <m/>
    <n v="0"/>
    <x v="0"/>
    <x v="0"/>
    <x v="1"/>
    <x v="4"/>
    <n v="90"/>
    <x v="0"/>
    <s v="KG"/>
    <n v="60"/>
    <n v="51.282051282051285"/>
    <n v="0.1"/>
    <n v="46.15384615384616"/>
    <n v="20"/>
    <n v="0"/>
    <n v="1025.6410256410256"/>
    <n v="0"/>
    <n v="923.07692307692321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923.07692307692321"/>
    <n v="0"/>
    <m/>
    <m/>
    <x v="2"/>
    <m/>
  </r>
  <r>
    <x v="9"/>
    <x v="9"/>
    <s v="60"/>
    <s v="60-02 (3)"/>
    <m/>
    <m/>
    <s v="T92用焊接材料"/>
    <m/>
    <m/>
    <x v="11"/>
    <m/>
    <m/>
    <m/>
    <m/>
    <m/>
    <n v="20"/>
    <s v="ASME"/>
    <n v="0"/>
    <s v="OUT"/>
    <n v="0"/>
    <n v="20"/>
    <n v="0"/>
    <n v="20"/>
    <s v="T92用焊接材料"/>
    <x v="11"/>
    <s v="Various"/>
    <s v="Various"/>
    <m/>
    <m/>
    <m/>
    <n v="0"/>
    <x v="0"/>
    <x v="0"/>
    <x v="1"/>
    <x v="4"/>
    <n v="90"/>
    <x v="0"/>
    <s v="KG"/>
    <n v="60"/>
    <n v="51.282051282051285"/>
    <n v="0.1"/>
    <n v="46.15384615384616"/>
    <n v="20"/>
    <n v="0"/>
    <n v="1025.6410256410256"/>
    <n v="0"/>
    <n v="923.07692307692321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923.07692307692321"/>
    <n v="0"/>
    <m/>
    <m/>
    <x v="2"/>
    <m/>
  </r>
  <r>
    <x v="9"/>
    <x v="9"/>
    <s v="60"/>
    <s v="60-02 (3)"/>
    <m/>
    <m/>
    <s v="S304H用焊接材料"/>
    <m/>
    <m/>
    <x v="11"/>
    <m/>
    <m/>
    <m/>
    <m/>
    <m/>
    <n v="20"/>
    <s v="ASME"/>
    <n v="0"/>
    <s v="OUT"/>
    <n v="0"/>
    <n v="20"/>
    <n v="0"/>
    <n v="20"/>
    <s v="S304H用焊接材料"/>
    <x v="11"/>
    <s v="Various"/>
    <s v="Various"/>
    <m/>
    <m/>
    <m/>
    <n v="0"/>
    <x v="0"/>
    <x v="0"/>
    <x v="1"/>
    <x v="4"/>
    <n v="90"/>
    <x v="0"/>
    <s v="KG"/>
    <n v="60"/>
    <n v="51.282051282051285"/>
    <n v="0.1"/>
    <n v="46.15384615384616"/>
    <n v="20"/>
    <n v="0"/>
    <n v="1025.6410256410256"/>
    <n v="0"/>
    <n v="923.07692307692321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923.07692307692321"/>
    <n v="0"/>
    <m/>
    <m/>
    <x v="2"/>
    <m/>
  </r>
  <r>
    <x v="9"/>
    <x v="9"/>
    <s v="60"/>
    <s v="60-03"/>
    <m/>
    <s v="门类"/>
    <n v="0"/>
    <m/>
    <m/>
    <x v="11"/>
    <m/>
    <m/>
    <m/>
    <m/>
    <m/>
    <n v="69"/>
    <s v="ASME"/>
    <n v="0"/>
    <s v="OUT"/>
    <n v="0"/>
    <n v="69"/>
    <n v="0"/>
    <n v="69"/>
    <s v="0"/>
    <x v="11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69"/>
    <n v="0"/>
    <n v="3538.4615384615386"/>
    <n v="0"/>
    <n v="3184.6153846153852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3184.6153846153852"/>
    <n v="0"/>
    <m/>
    <m/>
    <x v="2"/>
    <m/>
  </r>
  <r>
    <x v="9"/>
    <x v="9"/>
    <s v="60"/>
    <s v="60-03"/>
    <m/>
    <s v="门类"/>
    <n v="0"/>
    <m/>
    <m/>
    <x v="11"/>
    <m/>
    <m/>
    <m/>
    <m/>
    <m/>
    <n v="295"/>
    <s v="ASME"/>
    <n v="0"/>
    <s v="OUT"/>
    <n v="0"/>
    <n v="295"/>
    <n v="0"/>
    <n v="295"/>
    <s v="0"/>
    <x v="11"/>
    <s v="Various"/>
    <s v="Various"/>
    <m/>
    <m/>
    <m/>
    <m/>
    <x v="0"/>
    <x v="0"/>
    <x v="1"/>
    <x v="4"/>
    <n v="90"/>
    <x v="0"/>
    <s v="KG"/>
    <n v="40"/>
    <n v="34.188034188034187"/>
    <n v="0.1"/>
    <n v="30.76923076923077"/>
    <n v="295"/>
    <n v="0"/>
    <n v="10085.470085470086"/>
    <n v="0"/>
    <n v="9076.923076923078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9076.923076923078"/>
    <n v="0"/>
    <m/>
    <m/>
    <x v="2"/>
    <m/>
  </r>
  <r>
    <x v="9"/>
    <x v="9"/>
    <s v="60"/>
    <s v="60-03"/>
    <m/>
    <s v="防磨瓦板"/>
    <n v="0"/>
    <m/>
    <m/>
    <x v="11"/>
    <m/>
    <m/>
    <m/>
    <m/>
    <m/>
    <n v="31.7"/>
    <s v="ASME"/>
    <n v="0"/>
    <s v="OUT"/>
    <n v="0"/>
    <n v="31.7"/>
    <n v="0"/>
    <n v="31.7"/>
    <s v="0"/>
    <x v="11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31.7"/>
    <n v="0"/>
    <n v="1625.6410256410256"/>
    <n v="0"/>
    <n v="1463.0769230769233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1463.0769230769233"/>
    <n v="0"/>
    <m/>
    <m/>
    <x v="2"/>
    <m/>
  </r>
  <r>
    <x v="9"/>
    <x v="9"/>
    <s v="60"/>
    <s v="60-03"/>
    <m/>
    <s v="防磨瓦板"/>
    <n v="0"/>
    <m/>
    <m/>
    <x v="11"/>
    <m/>
    <m/>
    <m/>
    <m/>
    <m/>
    <n v="4.45"/>
    <s v="ASME"/>
    <n v="0"/>
    <s v="OUT"/>
    <n v="0"/>
    <n v="4.45"/>
    <n v="0"/>
    <n v="4.45"/>
    <s v="0"/>
    <x v="11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4.45"/>
    <n v="0"/>
    <n v="228.20512820512823"/>
    <n v="0"/>
    <n v="205.38461538461542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205.38461538461542"/>
    <n v="0"/>
    <m/>
    <m/>
    <x v="2"/>
    <m/>
  </r>
  <r>
    <x v="9"/>
    <x v="9"/>
    <s v="60"/>
    <s v="60-03"/>
    <m/>
    <s v="防磨瓦板"/>
    <n v="0"/>
    <m/>
    <m/>
    <x v="11"/>
    <m/>
    <m/>
    <m/>
    <m/>
    <m/>
    <n v="12.7"/>
    <s v="ASME"/>
    <n v="0"/>
    <s v="OUT"/>
    <n v="0"/>
    <n v="12.7"/>
    <n v="0"/>
    <n v="12.7"/>
    <s v="0"/>
    <x v="11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12.7"/>
    <n v="0"/>
    <n v="651.28205128205127"/>
    <n v="0"/>
    <n v="586.15384615384619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586.15384615384619"/>
    <n v="0"/>
    <m/>
    <m/>
    <x v="2"/>
    <m/>
  </r>
  <r>
    <x v="9"/>
    <x v="9"/>
    <s v="60"/>
    <s v="60-03"/>
    <m/>
    <s v="防磨瓦板"/>
    <n v="0"/>
    <m/>
    <m/>
    <x v="11"/>
    <m/>
    <m/>
    <m/>
    <m/>
    <m/>
    <n v="7.25"/>
    <s v="ASME"/>
    <n v="0"/>
    <s v="OUT"/>
    <n v="0"/>
    <n v="7.25"/>
    <n v="0"/>
    <n v="7.25"/>
    <s v="0"/>
    <x v="11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7.25"/>
    <n v="0"/>
    <n v="371.79487179487182"/>
    <n v="0"/>
    <n v="334.61538461538464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334.61538461538464"/>
    <n v="0"/>
    <m/>
    <m/>
    <x v="2"/>
    <m/>
  </r>
  <r>
    <x v="9"/>
    <x v="9"/>
    <s v="60"/>
    <s v="60-03"/>
    <m/>
    <s v="防磨瓦板"/>
    <n v="0"/>
    <m/>
    <m/>
    <x v="11"/>
    <m/>
    <m/>
    <m/>
    <m/>
    <m/>
    <n v="13.4"/>
    <s v="ASME"/>
    <n v="0"/>
    <s v="OUT"/>
    <n v="0"/>
    <n v="13.4"/>
    <n v="0"/>
    <n v="13.4"/>
    <s v="0"/>
    <x v="11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13.4"/>
    <n v="0"/>
    <n v="687.17948717948718"/>
    <n v="0"/>
    <n v="618.46153846153857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618.46153846153857"/>
    <n v="0"/>
    <m/>
    <m/>
    <x v="2"/>
    <m/>
  </r>
  <r>
    <x v="9"/>
    <x v="9"/>
    <s v="60"/>
    <s v="60-03"/>
    <m/>
    <s v="防磨瓦板"/>
    <n v="0"/>
    <m/>
    <m/>
    <x v="11"/>
    <m/>
    <m/>
    <m/>
    <m/>
    <m/>
    <n v="32.700000000000003"/>
    <s v="ASME"/>
    <n v="0"/>
    <s v="OUT"/>
    <n v="0"/>
    <n v="32.700000000000003"/>
    <n v="0"/>
    <n v="32.700000000000003"/>
    <s v="0"/>
    <x v="11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32.700000000000003"/>
    <n v="0"/>
    <n v="1676.9230769230771"/>
    <n v="0"/>
    <n v="1509.2307692307695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1509.2307692307695"/>
    <n v="0"/>
    <m/>
    <m/>
    <x v="2"/>
    <m/>
  </r>
  <r>
    <x v="9"/>
    <x v="9"/>
    <s v="60"/>
    <s v="60-03"/>
    <m/>
    <s v="防磨瓦板"/>
    <n v="0"/>
    <m/>
    <m/>
    <x v="11"/>
    <m/>
    <m/>
    <m/>
    <m/>
    <m/>
    <n v="8.875"/>
    <s v="ASME"/>
    <n v="0"/>
    <s v="OUT"/>
    <n v="0"/>
    <n v="8.875"/>
    <n v="0"/>
    <n v="8.875"/>
    <s v="0"/>
    <x v="11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8.875"/>
    <n v="0"/>
    <n v="455.12820512820514"/>
    <n v="0"/>
    <n v="409.6153846153847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409.6153846153847"/>
    <n v="0"/>
    <m/>
    <m/>
    <x v="2"/>
    <m/>
  </r>
  <r>
    <x v="9"/>
    <x v="9"/>
    <s v="60"/>
    <s v="60-03"/>
    <m/>
    <s v="防磨瓦板"/>
    <n v="0"/>
    <m/>
    <m/>
    <x v="11"/>
    <m/>
    <m/>
    <m/>
    <m/>
    <m/>
    <n v="7.7"/>
    <s v="ASME"/>
    <n v="0"/>
    <s v="OUT"/>
    <n v="0"/>
    <n v="7.7"/>
    <n v="0"/>
    <n v="7.7"/>
    <s v="0"/>
    <x v="11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7.7"/>
    <n v="0"/>
    <n v="394.87179487179492"/>
    <n v="0"/>
    <n v="355.38461538461542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355.38461538461542"/>
    <n v="0"/>
    <m/>
    <m/>
    <x v="2"/>
    <m/>
  </r>
  <r>
    <x v="9"/>
    <x v="9"/>
    <s v="60"/>
    <s v="60-03"/>
    <m/>
    <s v="防磨瓦板"/>
    <n v="0"/>
    <m/>
    <m/>
    <x v="11"/>
    <m/>
    <m/>
    <m/>
    <m/>
    <m/>
    <n v="4.1500000000000004"/>
    <s v="ASME"/>
    <n v="0"/>
    <s v="OUT"/>
    <n v="0"/>
    <n v="4.1500000000000004"/>
    <n v="0"/>
    <n v="4.1500000000000004"/>
    <s v="0"/>
    <x v="11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4.1500000000000004"/>
    <n v="0"/>
    <n v="212.82051282051285"/>
    <n v="0"/>
    <n v="191.53846153846158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191.53846153846158"/>
    <n v="0"/>
    <m/>
    <m/>
    <x v="2"/>
    <m/>
  </r>
  <r>
    <x v="9"/>
    <x v="9"/>
    <s v="60"/>
    <s v="60-03"/>
    <m/>
    <s v="防磨瓦板"/>
    <n v="0"/>
    <m/>
    <m/>
    <x v="11"/>
    <m/>
    <m/>
    <m/>
    <m/>
    <m/>
    <n v="0.82"/>
    <s v="ASME"/>
    <n v="0"/>
    <s v="OUT"/>
    <n v="0"/>
    <n v="0.82"/>
    <n v="0"/>
    <n v="0.82"/>
    <s v="0"/>
    <x v="11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0.82"/>
    <n v="0"/>
    <n v="42.051282051282051"/>
    <n v="0"/>
    <n v="37.846153846153847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37.846153846153847"/>
    <n v="0"/>
    <m/>
    <m/>
    <x v="2"/>
    <m/>
  </r>
  <r>
    <x v="9"/>
    <x v="9"/>
    <s v="60"/>
    <s v="60-03"/>
    <m/>
    <s v="防磨瓦板"/>
    <n v="0"/>
    <m/>
    <m/>
    <x v="11"/>
    <m/>
    <m/>
    <m/>
    <m/>
    <m/>
    <n v="12.5"/>
    <s v="ASME"/>
    <n v="0"/>
    <s v="OUT"/>
    <n v="0"/>
    <n v="12.5"/>
    <n v="0"/>
    <n v="12.5"/>
    <s v="0"/>
    <x v="11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12.5"/>
    <n v="0"/>
    <n v="641.02564102564111"/>
    <n v="0"/>
    <n v="576.92307692307702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576.92307692307702"/>
    <n v="0"/>
    <m/>
    <m/>
    <x v="2"/>
    <m/>
  </r>
  <r>
    <x v="9"/>
    <x v="9"/>
    <s v="60"/>
    <s v="60-03"/>
    <m/>
    <s v="防磨瓦板"/>
    <n v="0"/>
    <m/>
    <m/>
    <x v="11"/>
    <m/>
    <m/>
    <m/>
    <m/>
    <m/>
    <n v="17.649999999999999"/>
    <s v="ASME"/>
    <n v="0"/>
    <s v="OUT"/>
    <n v="0"/>
    <n v="17.649999999999999"/>
    <n v="0"/>
    <n v="17.649999999999999"/>
    <s v="0"/>
    <x v="11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17.649999999999999"/>
    <n v="0"/>
    <n v="905.12820512820508"/>
    <n v="0"/>
    <n v="814.61538461538464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814.61538461538464"/>
    <n v="0"/>
    <m/>
    <m/>
    <x v="2"/>
    <m/>
  </r>
  <r>
    <x v="9"/>
    <x v="9"/>
    <s v="60"/>
    <s v="60-03"/>
    <m/>
    <s v="防磨瓦板"/>
    <n v="0"/>
    <m/>
    <m/>
    <x v="11"/>
    <m/>
    <m/>
    <m/>
    <m/>
    <m/>
    <n v="15.65"/>
    <s v="ASME"/>
    <n v="0"/>
    <s v="OUT"/>
    <n v="0"/>
    <n v="15.65"/>
    <n v="0"/>
    <n v="15.65"/>
    <s v="0"/>
    <x v="11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15.65"/>
    <n v="0"/>
    <n v="802.56410256410265"/>
    <n v="0"/>
    <n v="722.30769230769238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722.30769230769238"/>
    <n v="0"/>
    <m/>
    <m/>
    <x v="2"/>
    <m/>
  </r>
  <r>
    <x v="9"/>
    <x v="9"/>
    <s v="60"/>
    <s v="60-03"/>
    <m/>
    <s v="防磨瓦板"/>
    <n v="0"/>
    <m/>
    <m/>
    <x v="11"/>
    <m/>
    <m/>
    <m/>
    <m/>
    <m/>
    <n v="14.5"/>
    <s v="ASME"/>
    <n v="0"/>
    <s v="OUT"/>
    <n v="0"/>
    <n v="14.5"/>
    <n v="0"/>
    <n v="14.5"/>
    <s v="0"/>
    <x v="11"/>
    <s v="Various"/>
    <s v="Various"/>
    <m/>
    <m/>
    <m/>
    <m/>
    <x v="0"/>
    <x v="0"/>
    <x v="1"/>
    <x v="4"/>
    <n v="90"/>
    <x v="0"/>
    <s v="KG"/>
    <n v="60"/>
    <n v="51.282051282051285"/>
    <n v="0.1"/>
    <n v="46.15384615384616"/>
    <n v="14.5"/>
    <n v="0"/>
    <n v="743.58974358974365"/>
    <n v="0"/>
    <n v="669.23076923076928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669.23076923076928"/>
    <n v="0"/>
    <m/>
    <m/>
    <x v="2"/>
    <m/>
  </r>
  <r>
    <x v="9"/>
    <x v="9"/>
    <s v="60"/>
    <s v="60-03"/>
    <m/>
    <s v="防磨瓦板"/>
    <n v="0"/>
    <m/>
    <m/>
    <x v="11"/>
    <m/>
    <m/>
    <m/>
    <m/>
    <m/>
    <n v="170"/>
    <s v="ASME"/>
    <n v="0"/>
    <s v="OUT"/>
    <n v="0"/>
    <n v="170"/>
    <n v="0"/>
    <n v="170"/>
    <s v="0"/>
    <x v="11"/>
    <s v="Various"/>
    <s v="Various"/>
    <m/>
    <m/>
    <m/>
    <m/>
    <x v="0"/>
    <x v="0"/>
    <x v="1"/>
    <x v="4"/>
    <n v="90"/>
    <x v="0"/>
    <s v="KG"/>
    <n v="80"/>
    <n v="68.376068376068375"/>
    <n v="0.1"/>
    <n v="61.53846153846154"/>
    <n v="170"/>
    <n v="0"/>
    <n v="11623.931623931623"/>
    <n v="0"/>
    <n v="10461.538461538461"/>
    <d v="2016-11-07T00:00:00"/>
    <n v="7"/>
    <d v="2016-11-14T00:00:00"/>
    <d v="2018-08-07T00:00:00"/>
    <d v="2018-12-04T00:00:00"/>
    <n v="4"/>
    <n v="8"/>
    <n v="0"/>
    <n v="0"/>
    <n v="0"/>
    <n v="0"/>
    <n v="0"/>
    <m/>
    <n v="0"/>
    <n v="10461.538461538461"/>
    <n v="0"/>
    <m/>
    <m/>
    <x v="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1">
  <r>
    <x v="0"/>
    <x v="0"/>
    <n v="17632"/>
    <n v="296.98942992771333"/>
    <n v="15.01308531272994"/>
  </r>
  <r>
    <x v="1"/>
    <x v="1"/>
    <n v="26555.4"/>
    <n v="1001.3990514661588"/>
    <n v="43.30278232082641"/>
  </r>
  <r>
    <x v="1"/>
    <x v="1"/>
    <n v="362541.05738311872"/>
    <n v="7645.4632442813036"/>
    <n v="330.86325038788488"/>
  </r>
  <r>
    <x v="1"/>
    <x v="1"/>
    <n v="217524.63442987122"/>
    <n v="4587.2779465687818"/>
    <n v="198.51795023273093"/>
  </r>
  <r>
    <x v="1"/>
    <x v="1"/>
    <n v="217524.63442987122"/>
    <n v="7694.8404488554279"/>
    <n v="332.6425420960723"/>
  </r>
  <r>
    <x v="1"/>
    <x v="1"/>
    <m/>
    <n v="0"/>
    <n v="0"/>
  </r>
  <r>
    <x v="1"/>
    <x v="1"/>
    <m/>
    <n v="0"/>
    <n v="0"/>
  </r>
  <r>
    <x v="1"/>
    <x v="1"/>
    <n v="17887.100000000002"/>
    <n v="941.93761404362442"/>
    <n v="40.393590683472809"/>
  </r>
  <r>
    <x v="1"/>
    <x v="1"/>
    <n v="48556.604376000003"/>
    <n v="2577.9121558508796"/>
    <n v="98.512001566528767"/>
  </r>
  <r>
    <x v="1"/>
    <x v="1"/>
    <n v="5920.2"/>
    <n v="231.77556560817672"/>
    <n v="8.7170594972826443"/>
  </r>
  <r>
    <x v="1"/>
    <x v="1"/>
    <n v="18963.309455999999"/>
    <n v="210.20374203923268"/>
    <n v="8.1517015421563848"/>
  </r>
  <r>
    <x v="1"/>
    <x v="1"/>
    <n v="12477.3"/>
    <n v="216.45279088345913"/>
    <n v="8.0632400761292828"/>
  </r>
  <r>
    <x v="1"/>
    <x v="1"/>
    <n v="24096.3"/>
    <n v="1562.5629575476239"/>
    <n v="66.90294930184595"/>
  </r>
  <r>
    <x v="0"/>
    <x v="0"/>
    <n v="70350.546671146192"/>
    <n v="806.1171916022588"/>
    <n v="35.093091037206264"/>
  </r>
  <r>
    <x v="0"/>
    <x v="0"/>
    <n v="27581.326160472832"/>
    <n v="367.24961105031275"/>
    <n v="15.797430354476337"/>
  </r>
  <r>
    <x v="0"/>
    <x v="0"/>
    <n v="34577.139453849835"/>
    <n v="552.10466774400118"/>
    <n v="23.34474577429167"/>
  </r>
  <r>
    <x v="2"/>
    <x v="2"/>
    <n v="11046.31232187991"/>
    <n v="716.77416999885202"/>
    <n v="30.760163004251897"/>
  </r>
  <r>
    <x v="2"/>
    <x v="2"/>
    <n v="63.93424721637291"/>
    <n v="0"/>
    <n v="0"/>
  </r>
  <r>
    <x v="2"/>
    <x v="2"/>
    <n v="17175.130529115933"/>
    <n v="1001.9901283817625"/>
    <n v="41.493100417467772"/>
  </r>
  <r>
    <x v="2"/>
    <x v="2"/>
    <n v="2366.9672155583826"/>
    <n v="134.64255104029286"/>
    <n v="5.2938875252653403"/>
  </r>
  <r>
    <x v="2"/>
    <x v="2"/>
    <n v="753.51077076439492"/>
    <n v="43.980117185025769"/>
    <n v="1.9235523488887873"/>
  </r>
  <r>
    <x v="2"/>
    <x v="2"/>
    <n v="17175.130529115933"/>
    <n v="1679.9990662402313"/>
    <n v="69.082918617888581"/>
  </r>
  <r>
    <x v="2"/>
    <x v="2"/>
    <n v="8804.8137310447073"/>
    <n v="527.5800551126157"/>
    <n v="26.498011898349308"/>
  </r>
  <r>
    <x v="2"/>
    <x v="2"/>
    <n v="304.74939380839061"/>
    <n v="0"/>
    <n v="0"/>
  </r>
  <r>
    <x v="2"/>
    <x v="2"/>
    <n v="33183.553040865583"/>
    <n v="2544.6482586926222"/>
    <n v="102.96031368292473"/>
  </r>
  <r>
    <x v="2"/>
    <x v="2"/>
    <n v="3352.2433318922963"/>
    <n v="365.81197401504357"/>
    <n v="14.956621121200378"/>
  </r>
  <r>
    <x v="2"/>
    <x v="2"/>
    <n v="37295.968154928836"/>
    <n v="4333.4778947722443"/>
    <n v="174.6782929634534"/>
  </r>
  <r>
    <x v="2"/>
    <x v="2"/>
    <n v="7382.0823095373044"/>
    <n v="327.95171323254669"/>
    <n v="16.464551378414789"/>
  </r>
  <r>
    <x v="0"/>
    <x v="0"/>
    <n v="4897.6884598672195"/>
    <n v="252.36371227587546"/>
    <n v="11.334053819095695"/>
  </r>
  <r>
    <x v="2"/>
    <x v="2"/>
    <n v="11046.31232187991"/>
    <n v="341.17198484661509"/>
    <n v="14.849733864121607"/>
  </r>
  <r>
    <x v="2"/>
    <x v="2"/>
    <n v="63.93424721637291"/>
    <n v="0"/>
    <n v="0"/>
  </r>
  <r>
    <x v="2"/>
    <x v="2"/>
    <n v="17175.130529115933"/>
    <n v="1052.5686710449177"/>
    <n v="43.398944763370771"/>
  </r>
  <r>
    <x v="2"/>
    <x v="2"/>
    <n v="2366.9672155583826"/>
    <n v="134.64255104029286"/>
    <n v="5.2938875252653403"/>
  </r>
  <r>
    <x v="2"/>
    <x v="2"/>
    <n v="753.51077076439492"/>
    <n v="43.980117185025769"/>
    <n v="1.9235523488887873"/>
  </r>
  <r>
    <x v="2"/>
    <x v="2"/>
    <n v="17175.130529115933"/>
    <n v="1636.1738967818437"/>
    <n v="67.377289250693138"/>
  </r>
  <r>
    <x v="2"/>
    <x v="2"/>
    <n v="8804.8137310447073"/>
    <n v="531.83569630269494"/>
    <n v="26.711753926307043"/>
  </r>
  <r>
    <x v="2"/>
    <x v="2"/>
    <n v="304.74939380839061"/>
    <n v="0"/>
    <n v="0"/>
  </r>
  <r>
    <x v="2"/>
    <x v="2"/>
    <n v="3352.2433318922963"/>
    <n v="365.81197401504357"/>
    <n v="14.956621121200378"/>
  </r>
  <r>
    <x v="2"/>
    <x v="2"/>
    <n v="44132.864954470388"/>
    <n v="3180.3531097205032"/>
    <n v="127.87022079554532"/>
  </r>
  <r>
    <x v="2"/>
    <x v="2"/>
    <n v="21694.853942752892"/>
    <n v="600.74046551688821"/>
    <n v="23.95154839615423"/>
  </r>
  <r>
    <x v="2"/>
    <x v="2"/>
    <n v="10579.723937285658"/>
    <n v="256.40647881126716"/>
    <n v="10.011495765140925"/>
  </r>
  <r>
    <x v="2"/>
    <x v="2"/>
    <n v="7382.0823095373044"/>
    <n v="318.97521315878771"/>
    <n v="16.013893428785629"/>
  </r>
  <r>
    <x v="0"/>
    <x v="0"/>
    <n v="12430.471955385126"/>
    <n v="290.59120847900351"/>
    <n v="12.571283891988545"/>
  </r>
  <r>
    <x v="2"/>
    <x v="2"/>
    <n v="7756.757030966246"/>
    <n v="645.38328002602611"/>
    <n v="27.383939171070917"/>
  </r>
  <r>
    <x v="2"/>
    <x v="2"/>
    <n v="151.70856126176548"/>
    <n v="0"/>
    <n v="0"/>
  </r>
  <r>
    <x v="2"/>
    <x v="2"/>
    <n v="40017.650736374526"/>
    <n v="2314.3772027423665"/>
    <n v="94.981766280306857"/>
  </r>
  <r>
    <x v="2"/>
    <x v="2"/>
    <n v="1787.99375772795"/>
    <n v="96.310229868123912"/>
    <n v="3.7867339894779635"/>
  </r>
  <r>
    <x v="2"/>
    <x v="2"/>
    <n v="40017.650736374526"/>
    <n v="2032.2869047878694"/>
    <n v="83.714627789550889"/>
  </r>
  <r>
    <x v="2"/>
    <x v="2"/>
    <n v="16971.332611463637"/>
    <n v="927.61963842235457"/>
    <n v="39.727303819191512"/>
  </r>
  <r>
    <x v="2"/>
    <x v="2"/>
    <n v="632.62722032283045"/>
    <n v="0"/>
    <n v="0"/>
  </r>
  <r>
    <x v="2"/>
    <x v="2"/>
    <n v="68355.090034084307"/>
    <n v="4872.7537135576185"/>
    <n v="196.6558025815911"/>
  </r>
  <r>
    <x v="2"/>
    <x v="2"/>
    <n v="6958.8994235511354"/>
    <n v="759.14540760665795"/>
    <n v="30.910356693288609"/>
  </r>
  <r>
    <x v="2"/>
    <x v="2"/>
    <n v="76858.765017058569"/>
    <n v="9106.6411143137575"/>
    <n v="367.25049091848695"/>
  </r>
  <r>
    <x v="2"/>
    <x v="2"/>
    <n v="14091.634013933466"/>
    <n v="630.1453301993123"/>
    <n v="32.42683675665797"/>
  </r>
  <r>
    <x v="0"/>
    <x v="0"/>
    <n v="22637.78348843928"/>
    <n v="470.43314289415287"/>
    <n v="20.196738301629917"/>
  </r>
  <r>
    <x v="3"/>
    <x v="3"/>
    <n v="23329.036525476749"/>
    <n v="408.24452463496783"/>
    <n v="17.494916022724773"/>
  </r>
  <r>
    <x v="3"/>
    <x v="3"/>
    <n v="0"/>
    <n v="0"/>
    <n v="0"/>
  </r>
  <r>
    <x v="3"/>
    <x v="3"/>
    <n v="60669.698127573931"/>
    <n v="1061.6843110854643"/>
    <n v="45.497432896846881"/>
  </r>
  <r>
    <x v="3"/>
    <x v="3"/>
    <n v="0"/>
    <n v="0"/>
    <n v="0"/>
  </r>
  <r>
    <x v="3"/>
    <x v="3"/>
    <n v="7694.772597268794"/>
    <n v="114.23662020652996"/>
    <n v="5.9727568024471722"/>
  </r>
  <r>
    <x v="3"/>
    <x v="3"/>
    <n v="614.66210510593692"/>
    <n v="44.882237806917445"/>
    <n v="1.9252679523366054"/>
  </r>
  <r>
    <x v="3"/>
    <x v="3"/>
    <n v="6616.5233789341064"/>
    <n v="47.146144320874349"/>
    <n v="2.1622744465979671"/>
  </r>
  <r>
    <x v="3"/>
    <x v="3"/>
    <n v="3383.7865931050133"/>
    <n v="77.807072476652806"/>
    <n v="3.2507419437617622"/>
  </r>
  <r>
    <x v="3"/>
    <x v="3"/>
    <n v="1255.4213656099428"/>
    <n v="21.189997409426667"/>
    <n v="0.93663006212322619"/>
  </r>
  <r>
    <x v="3"/>
    <x v="3"/>
    <n v="4071.3612324324758"/>
    <n v="105.95663286591221"/>
    <n v="4.6581281520279951"/>
  </r>
  <r>
    <x v="3"/>
    <x v="3"/>
    <n v="2459.873819415518"/>
    <n v="171.8846148992159"/>
    <n v="7.5450735142886831"/>
  </r>
  <r>
    <x v="3"/>
    <x v="3"/>
    <n v="691.82691901849421"/>
    <n v="12.923083571015537"/>
    <n v="0.53023552862110679"/>
  </r>
  <r>
    <x v="3"/>
    <x v="3"/>
    <n v="691.82691901849421"/>
    <n v="12.923083571015537"/>
    <n v="0.53023552862110679"/>
  </r>
  <r>
    <x v="3"/>
    <x v="3"/>
    <n v="1587.2154808702726"/>
    <n v="56.98219271922239"/>
    <n v="2.6161974876326823"/>
  </r>
  <r>
    <x v="3"/>
    <x v="3"/>
    <n v="525.38369426281702"/>
    <n v="18.861657587667978"/>
    <n v="0.86598670283880708"/>
  </r>
  <r>
    <x v="3"/>
    <x v="3"/>
    <n v="525.38369426281702"/>
    <n v="13.543415974773426"/>
    <n v="0.74425457756092206"/>
  </r>
  <r>
    <x v="3"/>
    <x v="3"/>
    <n v="2450.4123905391316"/>
    <n v="90.484135159576383"/>
    <n v="3.7803835055804806"/>
  </r>
  <r>
    <x v="3"/>
    <x v="3"/>
    <n v="1506.561913554727"/>
    <n v="55.631432626882564"/>
    <n v="2.3242544112686998"/>
  </r>
  <r>
    <x v="3"/>
    <x v="3"/>
    <n v="7257.6006574145167"/>
    <n v="137.31805696777351"/>
    <n v="6.493131746880402"/>
  </r>
  <r>
    <x v="3"/>
    <x v="3"/>
    <n v="2188.299187293544"/>
    <n v="55.430367782202147"/>
    <n v="2.3158540190779426"/>
  </r>
  <r>
    <x v="3"/>
    <x v="3"/>
    <n v="2188.299187293544"/>
    <n v="48.955333415646244"/>
    <n v="2.0565992446038042"/>
  </r>
  <r>
    <x v="2"/>
    <x v="2"/>
    <n v="0"/>
    <n v="0"/>
    <n v="0"/>
  </r>
  <r>
    <x v="2"/>
    <x v="2"/>
    <n v="0"/>
    <n v="0"/>
    <n v="0"/>
  </r>
  <r>
    <x v="4"/>
    <x v="4"/>
    <n v="8692.5999999999985"/>
    <n v="1007.4500766239054"/>
    <n v="43.17743541808008"/>
  </r>
  <r>
    <x v="4"/>
    <x v="4"/>
    <n v="82648.194289474195"/>
    <n v="2345.3821908485438"/>
    <n v="92.575340503966956"/>
  </r>
  <r>
    <x v="4"/>
    <x v="4"/>
    <n v="82648.194289474195"/>
    <n v="1772.4915315705503"/>
    <n v="99.182480315269729"/>
  </r>
  <r>
    <x v="4"/>
    <x v="4"/>
    <n v="82648.194289474195"/>
    <n v="1772.4915315705503"/>
    <n v="99.182480315269729"/>
  </r>
  <r>
    <x v="4"/>
    <x v="4"/>
    <n v="16.021749401856002"/>
    <n v="1.0760471218334795"/>
    <n v="5.8375488955245823E-2"/>
  </r>
  <r>
    <x v="4"/>
    <x v="4"/>
    <n v="133334.5685435491"/>
    <n v="2720.7033695410814"/>
    <n v="153.49449454641922"/>
  </r>
  <r>
    <x v="4"/>
    <x v="4"/>
    <n v="82648.194289474195"/>
    <n v="1686.4435318318469"/>
    <n v="95.144439631899644"/>
  </r>
  <r>
    <x v="4"/>
    <x v="4"/>
    <n v="70542.901877839773"/>
    <n v="4949.4124743308466"/>
    <n v="188.70634236453279"/>
  </r>
  <r>
    <x v="4"/>
    <x v="4"/>
    <n v="11745.897013794449"/>
    <n v="550.34315990610639"/>
    <n v="20.965278942664064"/>
  </r>
  <r>
    <x v="4"/>
    <x v="4"/>
    <n v="30884.100000000002"/>
    <n v="1983.6781528304055"/>
    <n v="84.60830734624362"/>
  </r>
  <r>
    <x v="0"/>
    <x v="0"/>
    <n v="22000.5"/>
    <n v="187.89356657605666"/>
    <n v="8.1600418709716145"/>
  </r>
  <r>
    <x v="4"/>
    <x v="4"/>
    <n v="7150.7"/>
    <n v="334.19584254655803"/>
    <n v="17.260289148809786"/>
  </r>
  <r>
    <x v="0"/>
    <x v="0"/>
    <n v="59816.5"/>
    <n v="967.87263399542837"/>
    <n v="41.430447273747262"/>
  </r>
  <r>
    <x v="4"/>
    <x v="4"/>
    <n v="22331.282912000002"/>
    <n v="1084.8722147406784"/>
    <n v="46.706078764604278"/>
  </r>
  <r>
    <x v="4"/>
    <x v="4"/>
    <n v="91614.9"/>
    <n v="7398.0445637458151"/>
    <n v="282.48050211893582"/>
  </r>
  <r>
    <x v="4"/>
    <x v="4"/>
    <n v="7614.4677116147632"/>
    <n v="1032.7377030509306"/>
    <n v="39.376180463793212"/>
  </r>
  <r>
    <x v="4"/>
    <x v="4"/>
    <n v="10157.982569441763"/>
    <n v="1228.6424836446556"/>
    <n v="47.416505017653535"/>
  </r>
  <r>
    <x v="4"/>
    <x v="4"/>
    <n v="38265.081538000006"/>
    <n v="2180.352533633496"/>
    <n v="93.780184159719255"/>
  </r>
  <r>
    <x v="0"/>
    <x v="0"/>
    <n v="36462.008505969425"/>
    <n v="1459.4044696289805"/>
    <n v="62.644332265076756"/>
  </r>
  <r>
    <x v="5"/>
    <x v="5"/>
    <n v="8208.1999999999989"/>
    <n v="397.11024537865893"/>
    <n v="17.552875850438646"/>
  </r>
  <r>
    <x v="5"/>
    <x v="5"/>
    <n v="14890.32667278"/>
    <n v="718.92020899810473"/>
    <n v="28.745275261757687"/>
  </r>
  <r>
    <x v="5"/>
    <x v="5"/>
    <n v="37636.186897074003"/>
    <n v="2700.9429807575739"/>
    <n v="109.12079826627087"/>
  </r>
  <r>
    <x v="5"/>
    <x v="5"/>
    <n v="13724.64"/>
    <n v="514.88744629526411"/>
    <n v="22.005012092844293"/>
  </r>
  <r>
    <x v="6"/>
    <x v="6"/>
    <n v="8093.42"/>
    <n v="263.46470123088164"/>
    <n v="11.645539860773143"/>
  </r>
  <r>
    <x v="6"/>
    <x v="6"/>
    <n v="23199.898229980798"/>
    <n v="2822.5492164289044"/>
    <n v="113.90961659356887"/>
  </r>
  <r>
    <x v="6"/>
    <x v="6"/>
    <n v="16723.849865921999"/>
    <n v="1094.0808216708103"/>
    <n v="44.541684352327636"/>
  </r>
  <r>
    <x v="6"/>
    <x v="6"/>
    <n v="6080.72"/>
    <n v="358.90325301612381"/>
    <n v="15.273777840361507"/>
  </r>
  <r>
    <x v="6"/>
    <x v="6"/>
    <n v="28.86"/>
    <n v="1.7034081296368413"/>
    <n v="7.2491617517799395E-2"/>
  </r>
  <r>
    <x v="0"/>
    <x v="0"/>
    <n v="22183.7"/>
    <n v="456.32393805641692"/>
    <n v="19.85370267814875"/>
  </r>
  <r>
    <x v="6"/>
    <x v="6"/>
    <n v="7231.2"/>
    <n v="183.8760516119718"/>
    <n v="7.8827934438868894"/>
  </r>
  <r>
    <x v="6"/>
    <x v="6"/>
    <n v="30883.6188"/>
    <n v="1955.1168637625165"/>
    <n v="79.137712304587723"/>
  </r>
  <r>
    <x v="6"/>
    <x v="6"/>
    <n v="40015.143433439996"/>
    <n v="4970.0301699817583"/>
    <n v="198.46017261329862"/>
  </r>
  <r>
    <x v="6"/>
    <x v="6"/>
    <n v="13369.5"/>
    <n v="370.32338656281507"/>
    <n v="15.830209930816826"/>
  </r>
  <r>
    <x v="6"/>
    <x v="6"/>
    <n v="12442.8"/>
    <n v="289.90962421164136"/>
    <n v="12.601378820999013"/>
  </r>
  <r>
    <x v="6"/>
    <x v="6"/>
    <n v="54481.525482999998"/>
    <n v="2287.8953180251988"/>
    <n v="91.813675693733046"/>
  </r>
  <r>
    <x v="6"/>
    <x v="6"/>
    <n v="15372.12"/>
    <n v="904.27490751154005"/>
    <n v="36.279004479039422"/>
  </r>
  <r>
    <x v="6"/>
    <x v="6"/>
    <n v="11624.1"/>
    <n v="272.22187635692336"/>
    <n v="11.832552978070465"/>
  </r>
  <r>
    <x v="6"/>
    <x v="6"/>
    <n v="37752.053753"/>
    <n v="1730.4895592125035"/>
    <n v="70.30752353779549"/>
  </r>
  <r>
    <x v="6"/>
    <x v="6"/>
    <n v="37752.053753"/>
    <n v="6095.2785273518812"/>
    <n v="249.069696671179"/>
  </r>
  <r>
    <x v="6"/>
    <x v="6"/>
    <n v="16484.357271699999"/>
    <n v="1201.101487790316"/>
    <n v="48.643482437895614"/>
  </r>
  <r>
    <x v="6"/>
    <x v="6"/>
    <n v="26576.7"/>
    <n v="1431.5434127144654"/>
    <n v="62.076840148046855"/>
  </r>
  <r>
    <x v="6"/>
    <x v="6"/>
    <n v="11832.900000000001"/>
    <n v="479.41589015305686"/>
    <n v="21.870106172976421"/>
  </r>
  <r>
    <x v="0"/>
    <x v="0"/>
    <n v="18963.099999999999"/>
    <n v="240.71606370970619"/>
    <n v="10.520688261871625"/>
  </r>
  <r>
    <x v="0"/>
    <x v="0"/>
    <n v="6423.2000000000007"/>
    <n v="190.89602649068047"/>
    <n v="8.200207081264649"/>
  </r>
  <r>
    <x v="5"/>
    <x v="5"/>
    <n v="8679.3799999999992"/>
    <n v="629.29245771182229"/>
    <n v="27.329582899457645"/>
  </r>
  <r>
    <x v="5"/>
    <x v="5"/>
    <n v="107812.31999999999"/>
    <n v="3324.7879831026166"/>
    <n v="127.25098938679801"/>
  </r>
  <r>
    <x v="5"/>
    <x v="5"/>
    <n v="26632.799999999999"/>
    <n v="1289.5443930561391"/>
    <n v="48.804685271971955"/>
  </r>
  <r>
    <x v="5"/>
    <x v="5"/>
    <n v="26278.560000000001"/>
    <n v="1109.5577630848588"/>
    <n v="41.986388562645203"/>
  </r>
  <r>
    <x v="5"/>
    <x v="5"/>
    <n v="19984.100000000002"/>
    <n v="1002.5464587412715"/>
    <n v="42.759195971462553"/>
  </r>
  <r>
    <x v="0"/>
    <x v="0"/>
    <n v="9779.7000000000007"/>
    <n v="194.95718796277109"/>
    <n v="8.2411761404930353"/>
  </r>
  <r>
    <x v="5"/>
    <x v="5"/>
    <n v="6910"/>
    <n v="229.60188504507138"/>
    <n v="10.270536988871861"/>
  </r>
  <r>
    <x v="0"/>
    <x v="0"/>
    <n v="13686.199999999999"/>
    <n v="741.65225334923127"/>
    <n v="30.94733363146225"/>
  </r>
  <r>
    <x v="5"/>
    <x v="5"/>
    <n v="14388.33"/>
    <n v="745.99196015538837"/>
    <n v="32.289159606976504"/>
  </r>
  <r>
    <x v="5"/>
    <x v="5"/>
    <n v="119241.53"/>
    <n v="7968.4496659653596"/>
    <n v="304.39641806813518"/>
  </r>
  <r>
    <x v="5"/>
    <x v="5"/>
    <n v="407.33000000000004"/>
    <n v="39.120516695034432"/>
    <n v="1.4980705979874023"/>
  </r>
  <r>
    <x v="5"/>
    <x v="5"/>
    <n v="10156.799999999999"/>
    <n v="813.26335060940505"/>
    <n v="31.017565628087958"/>
  </r>
  <r>
    <x v="5"/>
    <x v="5"/>
    <n v="12044.13"/>
    <n v="577.91862578653297"/>
    <n v="24.569530823815253"/>
  </r>
  <r>
    <x v="0"/>
    <x v="0"/>
    <n v="20175.2"/>
    <n v="631.65820465920183"/>
    <n v="27.356838654393552"/>
  </r>
  <r>
    <x v="5"/>
    <x v="5"/>
    <n v="5404.2"/>
    <n v="314.04752366985258"/>
    <n v="13.342697103817699"/>
  </r>
  <r>
    <x v="0"/>
    <x v="0"/>
    <n v="16168.7"/>
    <n v="723.09868100664983"/>
    <n v="32.591853992773785"/>
  </r>
  <r>
    <x v="5"/>
    <x v="5"/>
    <n v="10475.9"/>
    <n v="819.6121406646098"/>
    <n v="35.388840152260343"/>
  </r>
  <r>
    <x v="5"/>
    <x v="5"/>
    <n v="101246.39999999999"/>
    <n v="5618.3608092016339"/>
    <n v="214.41525536154128"/>
  </r>
  <r>
    <x v="5"/>
    <x v="5"/>
    <n v="12196.8"/>
    <n v="1033.3412619243325"/>
    <n v="39.443935687987668"/>
  </r>
  <r>
    <x v="5"/>
    <x v="5"/>
    <n v="248572.79999999999"/>
    <n v="15548.738231194418"/>
    <n v="593.58161653360617"/>
  </r>
  <r>
    <x v="5"/>
    <x v="5"/>
    <n v="14652"/>
    <n v="1021.4229214241025"/>
    <n v="38.597694625323783"/>
  </r>
  <r>
    <x v="5"/>
    <x v="5"/>
    <n v="28729.100000000002"/>
    <n v="1674.4315091203498"/>
    <n v="72.233481872930881"/>
  </r>
  <r>
    <x v="5"/>
    <x v="5"/>
    <n v="26485.4"/>
    <n v="487.54334545701806"/>
    <n v="20.652233020135171"/>
  </r>
  <r>
    <x v="0"/>
    <x v="0"/>
    <n v="1409.3346224971435"/>
    <n v="8.5167680623895592"/>
    <n v="0"/>
  </r>
  <r>
    <x v="0"/>
    <x v="0"/>
    <n v="287.22357230068172"/>
    <n v="1.3408677672204645"/>
    <n v="0"/>
  </r>
  <r>
    <x v="0"/>
    <x v="0"/>
    <n v="1409.3346224971435"/>
    <n v="11.178258081886295"/>
    <n v="0"/>
  </r>
  <r>
    <x v="0"/>
    <x v="0"/>
    <n v="287.22357230068172"/>
    <n v="1.3408677672204645"/>
    <n v="0"/>
  </r>
  <r>
    <x v="0"/>
    <x v="0"/>
    <n v="287.22357230068172"/>
    <n v="1.3408677672204645"/>
    <n v="0"/>
  </r>
  <r>
    <x v="0"/>
    <x v="0"/>
    <n v="220.09497735496149"/>
    <n v="1.0274862139568393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">
  <r>
    <x v="0"/>
    <x v="0"/>
    <m/>
    <x v="0"/>
    <s v="Tube"/>
    <s v="Tube"/>
    <n v="16"/>
    <m/>
    <n v="63.5"/>
    <n v="6.6"/>
    <n v="8000"/>
    <n v="128000"/>
    <x v="0"/>
    <n v="1303.3413127680001"/>
    <s v="ASME"/>
    <n v="1.4999999999999999E-2"/>
    <s v="WBC"/>
    <m/>
    <n v="1322.89143245952"/>
    <m/>
    <n v="0"/>
    <n v="1322.89143245952"/>
    <s v="SA-210MC 63.5-6.6"/>
    <x v="0"/>
    <x v="0"/>
    <x v="0"/>
    <m/>
    <m/>
    <m/>
    <m/>
    <n v="0"/>
    <x v="0"/>
    <x v="0"/>
    <s v="Q"/>
    <x v="0"/>
    <n v="90"/>
    <x v="0"/>
    <s v="KG"/>
    <n v="7400"/>
    <n v="6.5486725663716827"/>
    <m/>
    <n v="6.5486725663716827"/>
    <n v="1322.89143245952"/>
    <n v="0"/>
    <n v="8663.1828320357963"/>
    <n v="0"/>
    <n v="8663.1828320357963"/>
    <d v="2019-06-14T00:00:00"/>
    <n v="7"/>
    <d v="2019-06-21T00:00:00"/>
    <d v="2019-06-28T00:00:00"/>
    <d v="2020-01-28T00:00:00"/>
    <n v="7"/>
    <n v="1"/>
    <n v="0"/>
    <n v="0"/>
    <n v="0"/>
    <n v="0"/>
    <n v="0"/>
    <m/>
    <n v="0"/>
    <n v="8663.1828320357963"/>
    <m/>
    <n v="12"/>
    <m/>
    <x v="0"/>
    <m/>
    <n v="0"/>
    <m/>
    <s v="Material"/>
    <s v="Category"/>
    <s v="Remark"/>
    <m/>
    <s v="Material"/>
    <s v="Category"/>
    <s v="Remark"/>
    <m/>
    <s v="Material"/>
    <s v="Category"/>
    <s v="Remark"/>
    <m/>
    <s v="Material"/>
    <s v="Category"/>
  </r>
  <r>
    <x v="0"/>
    <x v="0"/>
    <m/>
    <x v="0"/>
    <s v="Tube"/>
    <s v="Tube"/>
    <n v="25"/>
    <m/>
    <n v="76.2"/>
    <n v="7.11"/>
    <n v="8000"/>
    <n v="200000"/>
    <x v="0"/>
    <n v="1498.9925037780001"/>
    <s v="ASME"/>
    <n v="1.4999999999999999E-2"/>
    <s v="WBC"/>
    <m/>
    <n v="1521.4773913346701"/>
    <m/>
    <n v="0"/>
    <n v="1521.4773913346701"/>
    <s v="SA-210MC 76.2-7.11"/>
    <x v="0"/>
    <x v="0"/>
    <x v="0"/>
    <m/>
    <m/>
    <m/>
    <m/>
    <n v="0"/>
    <x v="0"/>
    <x v="0"/>
    <s v="Q"/>
    <x v="0"/>
    <n v="90"/>
    <x v="0"/>
    <s v="KG"/>
    <n v="7400"/>
    <n v="6.5486725663716827"/>
    <m/>
    <n v="6.5486725663716827"/>
    <n v="1521.4773913346701"/>
    <n v="0"/>
    <n v="9963.6572529881068"/>
    <n v="0"/>
    <n v="9963.6572529881068"/>
    <d v="2019-06-14T00:00:00"/>
    <n v="7"/>
    <d v="2019-06-21T00:00:00"/>
    <d v="2019-06-28T00:00:00"/>
    <d v="2020-01-28T00:00:00"/>
    <n v="7"/>
    <n v="1"/>
    <n v="0"/>
    <n v="0"/>
    <n v="0"/>
    <n v="0"/>
    <n v="0"/>
    <m/>
    <n v="0"/>
    <n v="9963.6572529881068"/>
    <m/>
    <m/>
    <m/>
    <x v="0"/>
    <m/>
    <n v="0"/>
    <m/>
    <s v="SA-210MC"/>
    <s v="Tubing-CS"/>
    <m/>
    <m/>
    <m/>
    <m/>
    <m/>
    <m/>
    <m/>
    <m/>
    <m/>
    <m/>
    <m/>
    <m/>
  </r>
  <r>
    <x v="0"/>
    <x v="0"/>
    <m/>
    <x v="1"/>
    <s v="Forging"/>
    <s v="Forging"/>
    <n v="50"/>
    <m/>
    <s v="2xOD57.15/OD76.2"/>
    <m/>
    <m/>
    <n v="0"/>
    <x v="1"/>
    <n v="250"/>
    <s v="ASME"/>
    <n v="0"/>
    <s v="OUT"/>
    <m/>
    <n v="250"/>
    <m/>
    <n v="0"/>
    <n v="250"/>
    <s v="ForgingSA-336M F122xOD57.15/OD76.2"/>
    <x v="0"/>
    <x v="1"/>
    <x v="1"/>
    <m/>
    <m/>
    <m/>
    <m/>
    <n v="0"/>
    <x v="0"/>
    <x v="0"/>
    <s v="Q"/>
    <x v="1"/>
    <n v="90"/>
    <x v="0"/>
    <s v="Qty"/>
    <n v="1500"/>
    <n v="1500"/>
    <m/>
    <n v="1500"/>
    <n v="250"/>
    <n v="0"/>
    <n v="75000"/>
    <n v="0"/>
    <n v="75000"/>
    <d v="2019-06-14T00:00:00"/>
    <n v="7"/>
    <d v="2019-06-21T00:00:00"/>
    <d v="2019-06-28T00:00:00"/>
    <d v="2020-01-28T00:00:00"/>
    <n v="7"/>
    <n v="1"/>
    <n v="0"/>
    <n v="0"/>
    <n v="0"/>
    <n v="0"/>
    <n v="0"/>
    <m/>
    <n v="0"/>
    <n v="75000"/>
    <m/>
    <m/>
    <m/>
    <x v="0"/>
    <m/>
    <n v="0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46:J48" firstHeaderRow="0" firstDataRow="1" firstDataCol="2"/>
  <pivotFields count="83">
    <pivotField compact="0" numFmtId="227" outline="0" showAll="0" defaultSubtota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38" outline="0" showAll="0"/>
    <pivotField compact="0" numFmtId="38" outline="0" showAll="0"/>
    <pivotField compact="0" numFmtId="227" outline="0" showAll="0"/>
    <pivotField dataField="1" compact="0" numFmtId="38" outline="0" showAll="0"/>
    <pivotField compact="0" numFmtId="227" outline="0" showAll="0"/>
    <pivotField compact="0" numFmtId="227" outline="0" showAll="0" defaultSubtotal="0"/>
    <pivotField axis="axisRow" compact="0" numFmtId="227" outline="0" showAll="0" defaultSubtotal="0">
      <items count="18">
        <item m="1" x="7"/>
        <item x="1"/>
        <item h="1" m="1" x="6"/>
        <item h="1" m="1" x="11"/>
        <item h="1" m="1" x="4"/>
        <item h="1" m="1" x="9"/>
        <item h="1" x="0"/>
        <item h="1" m="1" x="14"/>
        <item h="1" m="1" x="16"/>
        <item h="1" m="1" x="17"/>
        <item m="1" x="10"/>
        <item h="1" m="1" x="12"/>
        <item h="1" m="1" x="13"/>
        <item m="1" x="8"/>
        <item m="1" x="15"/>
        <item m="1" x="3"/>
        <item h="1" m="1" x="5"/>
        <item h="1" m="1" x="2"/>
      </items>
    </pivotField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dataField="1"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axis="axisRow" compact="0" numFmtId="227" outline="0" showAll="0" defaultSubtotal="0">
      <items count="2">
        <item m="1" x="1"/>
        <item x="0"/>
      </items>
    </pivotField>
    <pivotField compact="0" numFmtId="227" outline="0" showAll="0"/>
    <pivotField compact="0" numFmtId="43" outline="0" showAll="0"/>
    <pivotField compact="0" numFmtId="43" outline="0" showAll="0"/>
    <pivotField compact="0" numFmtId="227" outline="0" showAll="0"/>
    <pivotField compact="0" numFmtId="43" outline="0" showAll="0"/>
    <pivotField compact="0" numFmtId="38" outline="0" showAll="0"/>
    <pivotField dataField="1" compact="0" numFmtId="183" outline="0" showAll="0"/>
    <pivotField dataField="1" compact="0" numFmtId="183" outline="0" showAll="0"/>
    <pivotField dataField="1" compact="0" numFmtId="183" outline="0" showAll="0"/>
    <pivotField dataField="1" compact="0" numFmtId="183" outline="0" showAll="0"/>
    <pivotField compact="0" numFmtId="14" outline="0" showAll="0"/>
    <pivotField compact="0" numFmtId="227" outline="0" showAll="0"/>
    <pivotField compact="0" numFmtId="14" outline="0" showAll="0"/>
    <pivotField compact="0" numFmtId="14" outline="0" showAll="0"/>
    <pivotField compact="0" numFmtId="14" outline="0" showAll="0"/>
    <pivotField compact="0" numFmtId="1" outline="0" showAll="0"/>
    <pivotField compact="0" numFmtId="3" outline="0" showAll="0"/>
    <pivotField compact="0" numFmtId="9" outline="0" showAll="0"/>
    <pivotField compact="0" numFmtId="183" outline="0" showAll="0"/>
    <pivotField compact="0" numFmtId="183" outline="0" showAll="0"/>
    <pivotField compact="0" numFmtId="183" outline="0" showAll="0"/>
    <pivotField dataField="1" compact="0" numFmtId="183" outline="0" showAll="0"/>
    <pivotField compact="0" numFmtId="227" outline="0" showAll="0"/>
    <pivotField compact="0" numFmtId="227" outline="0" showAll="0"/>
    <pivotField dataField="1" compact="0" numFmtId="183" outline="0" showAll="0"/>
    <pivotField compact="0" numFmtId="227" outline="0" showAll="0"/>
    <pivotField compact="0" numFmtId="227" outline="0" showAll="0" defaultSubtotal="0"/>
    <pivotField compact="0" numFmtId="227" outline="0" showAll="0" defaultSubtotal="0"/>
    <pivotField compact="0" numFmtId="227" outline="0" showAll="0"/>
    <pivotField compact="0" numFmtId="227" outline="0" showAll="0"/>
    <pivotField compact="0" numFmtId="43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</pivotFields>
  <rowFields count="2">
    <field x="24"/>
    <field x="36"/>
  </rowFields>
  <rowItems count="2">
    <i>
      <x v="1"/>
      <x v="1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Purchase Wgt (kg) " fld="21" baseField="0" baseItem="0" numFmtId="227"/>
    <dataField name="Sum of Pchs _x000a_Cost/Fc" fld="45" baseField="0" baseItem="0" numFmtId="227"/>
    <dataField name="Sum of Pchs _x000a_Cost/Lc" fld="46" baseField="0" baseItem="0" numFmtId="227"/>
    <dataField name="Sum of Sourcing Pchs _x000a_Cost/Fc" fld="43" baseField="0" baseItem="0" numFmtId="227"/>
    <dataField name="Sum of Sourcing Pchs _x000a_Cost/Lc" fld="44" baseField="0" baseItem="0" numFmtId="227"/>
    <dataField name="Sum of Total cost" fld="61" baseField="0" baseItem="0" numFmtId="227"/>
    <dataField name="Sum of Process Cost" fld="58" baseField="0" baseItem="0" numFmtId="227"/>
    <dataField name="Sum of Inventory cost" fld="30" baseField="0" baseItem="0" numFmtId="227"/>
  </dataFields>
  <formats count="2">
    <format dxfId="57">
      <pivotArea outline="0" collapsedLevelsAreSubtotals="1" fieldPosition="0"/>
    </format>
    <format dxfId="5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3:J5" firstHeaderRow="0" firstDataRow="1" firstDataCol="4"/>
  <pivotFields count="83">
    <pivotField compact="0" numFmtId="227" outline="0" showAll="0" defaultSubtota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 defaultSubtotal="0"/>
    <pivotField compact="0" numFmtId="227" outline="0" showAll="0" defaultSubtotal="0"/>
    <pivotField compact="0" numFmtId="227" outline="0" showAll="0"/>
    <pivotField compact="0" numFmtId="227" outline="0" showAll="0"/>
    <pivotField axis="axisRow" compact="0" numFmtId="227" outline="0" showAll="0" defaultSubtotal="0">
      <items count="8">
        <item m="1" x="2"/>
        <item m="1" x="7"/>
        <item m="1" x="5"/>
        <item m="1" x="6"/>
        <item m="1" x="4"/>
        <item m="1"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38" outline="0" showAll="0"/>
    <pivotField compact="0" numFmtId="38" outline="0" showAll="0"/>
    <pivotField compact="0" numFmtId="227" outline="0" showAll="0"/>
    <pivotField dataField="1" compact="0" numFmtId="38" outline="0" showAll="0"/>
    <pivotField compact="0" numFmtId="227" outline="0" showAll="0"/>
    <pivotField compact="0" numFmtId="227" outline="0" showAll="0" defaultSubtotal="0"/>
    <pivotField axis="axisRow" compact="0" numFmtId="227" outline="0" showAll="0" defaultSubtotal="0">
      <items count="18">
        <item h="1" m="1" x="7"/>
        <item h="1" x="1"/>
        <item m="1" x="11"/>
        <item m="1" x="9"/>
        <item m="1" x="4"/>
        <item m="1" x="13"/>
        <item m="1" x="6"/>
        <item m="1" x="5"/>
        <item x="0"/>
        <item m="1" x="16"/>
        <item m="1" x="14"/>
        <item m="1" x="17"/>
        <item h="1" m="1" x="10"/>
        <item h="1" m="1" x="12"/>
        <item h="1" m="1" x="8"/>
        <item h="1" m="1" x="15"/>
        <item h="1" m="1" x="3"/>
        <item h="1" m="1" x="2"/>
      </items>
    </pivotField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axis="axisRow" compact="0" numFmtId="227" outline="0" showAll="0">
      <items count="4">
        <item m="1" x="2"/>
        <item x="1"/>
        <item x="0"/>
        <item t="default"/>
      </items>
    </pivotField>
    <pivotField compact="0" numFmtId="227" outline="0" showAll="0"/>
    <pivotField axis="axisRow" compact="0" numFmtId="227" outline="0" showAll="0" defaultSubtotal="0">
      <items count="2">
        <item m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/>
    <pivotField compact="0" numFmtId="43" outline="0" showAll="0"/>
    <pivotField compact="0" numFmtId="43" outline="0" showAll="0"/>
    <pivotField compact="0" numFmtId="227" outline="0" showAll="0"/>
    <pivotField compact="0" numFmtId="43" outline="0" showAll="0"/>
    <pivotField compact="0" numFmtId="38" outline="0" showAll="0"/>
    <pivotField dataField="1" compact="0" numFmtId="183" outline="0" showAll="0"/>
    <pivotField dataField="1" compact="0" numFmtId="183" outline="0" showAll="0"/>
    <pivotField dataField="1" compact="0" numFmtId="183" outline="0" showAll="0"/>
    <pivotField dataField="1" compact="0" numFmtId="183" outline="0" showAll="0"/>
    <pivotField compact="0" numFmtId="14" outline="0" showAll="0"/>
    <pivotField compact="0" numFmtId="227" outline="0" showAll="0"/>
    <pivotField compact="0" numFmtId="14" outline="0" showAll="0"/>
    <pivotField compact="0" numFmtId="14" outline="0" showAll="0"/>
    <pivotField compact="0" numFmtId="14" outline="0" showAll="0"/>
    <pivotField compact="0" numFmtId="1" outline="0" showAll="0"/>
    <pivotField compact="0" numFmtId="3" outline="0" showAll="0"/>
    <pivotField compact="0" numFmtId="9" outline="0" showAll="0"/>
    <pivotField compact="0" numFmtId="183" outline="0" showAll="0"/>
    <pivotField compact="0" numFmtId="183" outline="0" showAll="0"/>
    <pivotField compact="0" numFmtId="183" outline="0" showAll="0"/>
    <pivotField compact="0" numFmtId="183" outline="0" showAll="0"/>
    <pivotField compact="0" numFmtId="227" outline="0" showAll="0"/>
    <pivotField compact="0" numFmtId="227" outline="0" showAll="0" defaultSubtotal="0"/>
    <pivotField dataField="1" compact="0" numFmtId="183" outline="0" showAll="0"/>
    <pivotField compact="0" numFmtId="227" outline="0" showAll="0"/>
    <pivotField compact="0" numFmtId="227" outline="0" showAll="0" defaultSubtotal="0"/>
    <pivotField compact="0" numFmtId="227" outline="0" showAll="0" defaultSubtotal="0"/>
    <pivotField compact="0" numFmtId="227" outline="0" showAll="0"/>
    <pivotField compact="0" numFmtId="227" outline="0" showAll="0"/>
    <pivotField compact="0" numFmtId="43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</pivotFields>
  <rowFields count="4">
    <field x="24"/>
    <field x="12"/>
    <field x="36"/>
    <field x="34"/>
  </rowFields>
  <rowItems count="2">
    <i>
      <x v="8"/>
      <x v="6"/>
      <x v="1"/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Purchase Wgt (kg) " fld="21" baseField="0" baseItem="0" numFmtId="227"/>
    <dataField name="Sum of Pchs _x000a_Cost/Fc" fld="45" baseField="0" baseItem="0" numFmtId="227"/>
    <dataField name="Sum of Pchs _x000a_Cost/Lc" fld="46" baseField="0" baseItem="0" numFmtId="227"/>
    <dataField name="Sum of Sourcing Pchs _x000a_Cost/Fc" fld="43" baseField="0" baseItem="0" numFmtId="227"/>
    <dataField name="Sum of Sourcing Pchs _x000a_Cost/Lc" fld="44" baseField="0" baseItem="0" numFmtId="227"/>
    <dataField name="Sum of Total cost" fld="61" baseField="0" baseItem="0" numFmtId="227"/>
  </dataFields>
  <formats count="2">
    <format dxfId="59">
      <pivotArea outline="0" collapsedLevelsAreSubtotals="1" fieldPosition="0"/>
    </format>
    <format dxfId="5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F6" firstHeaderRow="0" firstDataRow="1" firstDataCol="1"/>
  <pivotFields count="83">
    <pivotField numFmtId="227" subtotalTop="0" showAll="0"/>
    <pivotField numFmtId="227" subtotalTop="0" showAll="0"/>
    <pivotField numFmtId="227" subtotalTop="0" showAll="0"/>
    <pivotField axis="axisRow" numFmtId="227" subtotalTop="0" showAll="0">
      <items count="61">
        <item m="1" x="23"/>
        <item m="1" x="31"/>
        <item m="1" x="8"/>
        <item m="1" x="25"/>
        <item m="1" x="6"/>
        <item m="1" x="17"/>
        <item m="1" x="47"/>
        <item m="1" x="40"/>
        <item m="1" x="34"/>
        <item m="1" x="35"/>
        <item m="1" x="4"/>
        <item m="1" x="57"/>
        <item m="1" x="49"/>
        <item m="1" x="20"/>
        <item m="1" x="5"/>
        <item m="1" x="33"/>
        <item m="1" x="53"/>
        <item m="1" x="36"/>
        <item m="1" x="11"/>
        <item m="1" x="27"/>
        <item m="1" x="16"/>
        <item m="1" x="45"/>
        <item m="1" x="22"/>
        <item m="1" x="14"/>
        <item m="1" x="24"/>
        <item m="1" x="10"/>
        <item m="1" x="21"/>
        <item m="1" x="15"/>
        <item m="1" x="29"/>
        <item m="1" x="30"/>
        <item m="1" x="58"/>
        <item m="1" x="44"/>
        <item m="1" x="59"/>
        <item m="1" x="18"/>
        <item m="1" x="39"/>
        <item m="1" x="3"/>
        <item m="1" x="19"/>
        <item m="1" x="46"/>
        <item m="1" x="9"/>
        <item m="1" x="26"/>
        <item m="1" x="42"/>
        <item m="1" x="12"/>
        <item m="1" x="48"/>
        <item m="1" x="2"/>
        <item m="1" x="50"/>
        <item m="1" x="51"/>
        <item m="1" x="52"/>
        <item m="1" x="43"/>
        <item m="1" x="55"/>
        <item m="1" x="41"/>
        <item m="1" x="54"/>
        <item m="1" x="7"/>
        <item m="1" x="37"/>
        <item m="1" x="13"/>
        <item m="1" x="56"/>
        <item m="1" x="32"/>
        <item m="1" x="38"/>
        <item m="1" x="28"/>
        <item x="0"/>
        <item x="1"/>
        <item t="default"/>
      </items>
    </pivotField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dataField="1" numFmtId="43" subtotalTop="0" showAll="0"/>
    <pivotField numFmtId="227" subtotalTop="0" showAll="0"/>
    <pivotField numFmtId="181" subtotalTop="0" showAll="0"/>
    <pivotField numFmtId="227" subtotalTop="0" showAll="0"/>
    <pivotField numFmtId="227" subtotalTop="0" showAll="0"/>
    <pivotField numFmtId="38" subtotalTop="0" showAll="0"/>
    <pivotField numFmtId="227" subtotalTop="0" showAll="0"/>
    <pivotField numFmtId="227" subtotalTop="0" showAll="0"/>
    <pivotField numFmtId="38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183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43" subtotalTop="0" showAll="0"/>
    <pivotField numFmtId="43" subtotalTop="0" showAll="0"/>
    <pivotField numFmtId="227" subtotalTop="0" showAll="0"/>
    <pivotField numFmtId="43" subtotalTop="0" showAll="0"/>
    <pivotField numFmtId="38" subtotalTop="0" showAll="0"/>
    <pivotField numFmtId="183" subtotalTop="0" showAll="0"/>
    <pivotField numFmtId="183" subtotalTop="0" showAll="0"/>
    <pivotField numFmtId="183" subtotalTop="0" showAll="0"/>
    <pivotField numFmtId="183" subtotalTop="0" showAll="0"/>
    <pivotField numFmtId="14" subtotalTop="0" showAll="0"/>
    <pivotField numFmtId="3" subtotalTop="0" showAll="0"/>
    <pivotField numFmtId="14" subtotalTop="0" showAll="0"/>
    <pivotField numFmtId="14" subtotalTop="0" showAll="0"/>
    <pivotField numFmtId="14" subtotalTop="0" showAll="0"/>
    <pivotField numFmtId="1" subtotalTop="0" showAll="0"/>
    <pivotField numFmtId="3" subtotalTop="0" showAll="0"/>
    <pivotField numFmtId="9" subtotalTop="0" showAll="0"/>
    <pivotField numFmtId="183" subtotalTop="0" showAll="0"/>
    <pivotField numFmtId="183" subtotalTop="0" showAll="0"/>
    <pivotField numFmtId="183" subtotalTop="0" showAll="0"/>
    <pivotField dataField="1" numFmtId="183" subtotalTop="0" showAll="0"/>
    <pivotField numFmtId="227" subtotalTop="0" showAll="0"/>
    <pivotField numFmtId="183" subtotalTop="0" showAll="0"/>
    <pivotField dataField="1" numFmtId="183" subtotalTop="0" showAll="0"/>
    <pivotField dataField="1" numFmtId="227" subtotalTop="0" showAll="0"/>
    <pivotField dataField="1" numFmtId="227" subtotalTop="0" showAll="0"/>
    <pivotField numFmtId="227" subtotalTop="0" showAll="0"/>
    <pivotField numFmtId="227" subtotalTop="0" showAll="0"/>
    <pivotField numFmtId="227" subtotalTop="0" showAll="0"/>
    <pivotField numFmtId="43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</pivotFields>
  <rowFields count="1">
    <field x="3"/>
  </rowFields>
  <rowItems count="3">
    <i>
      <x v="58"/>
    </i>
    <i>
      <x v="5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Total Net Weight (kg)" fld="13" baseField="0" baseItem="0" numFmtId="227"/>
    <dataField name="求和项:Total cost" fld="61" baseField="0" baseItem="0" numFmtId="183"/>
    <dataField name="求和项:Process Cost" fld="58" baseField="0" baseItem="0" numFmtId="183"/>
    <dataField name="求和项:Mhrs" fld="62" baseField="3" baseItem="3" numFmtId="227"/>
    <dataField name="求和项:P&amp;P" fld="63" baseField="3" baseItem="6" numFmtId="227"/>
  </dataFields>
  <formats count="4">
    <format dxfId="55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5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3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5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1:A3" firstHeaderRow="1" firstDataRow="1" firstDataCol="1"/>
  <pivotFields count="83"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axis="axisRow" numFmtId="227" subtotalTop="0" showAll="0">
      <items count="9">
        <item m="1" x="2"/>
        <item m="1" x="7"/>
        <item m="1" x="5"/>
        <item m="1" x="6"/>
        <item m="1" x="4"/>
        <item m="1" x="3"/>
        <item x="0"/>
        <item x="1"/>
        <item t="default"/>
      </items>
    </pivotField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38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>
      <items count="12">
        <item h="1" m="1" x="3"/>
        <item h="1" m="1" x="5"/>
        <item h="1" x="1"/>
        <item h="1" m="1" x="7"/>
        <item h="1" m="1" x="10"/>
        <item h="1" m="1" x="6"/>
        <item h="1" m="1" x="4"/>
        <item h="1" m="1" x="9"/>
        <item x="0"/>
        <item h="1" m="1" x="8"/>
        <item h="1" m="1" x="2"/>
        <item t="default"/>
      </items>
    </pivotField>
    <pivotField numFmtId="227" subtotalTop="0" showAll="0"/>
    <pivotField numFmtId="227" subtotalTop="0" showAll="0"/>
    <pivotField numFmtId="227" subtotalTop="0" showAll="0"/>
    <pivotField numFmtId="227" subtotalTop="0" showAll="0"/>
    <pivotField numFmtId="183" subtotalTop="0" showAll="0"/>
    <pivotField numFmtId="227" subtotalTop="0" showAll="0"/>
    <pivotField numFmtId="227" subtotalTop="0" showAll="0"/>
    <pivotField numFmtId="223" subtotalTop="0" showAll="0"/>
    <pivotField numFmtId="43" subtotalTop="0" showAll="0"/>
    <pivotField numFmtId="43" subtotalTop="0" showAll="0"/>
    <pivotField numFmtId="227" subtotalTop="0" showAll="0"/>
    <pivotField numFmtId="227" subtotalTop="0" showAll="0"/>
    <pivotField numFmtId="43" subtotalTop="0" showAll="0"/>
    <pivotField numFmtId="43" subtotalTop="0" showAll="0"/>
    <pivotField numFmtId="227" subtotalTop="0" showAll="0"/>
    <pivotField numFmtId="227" subtotalTop="0" showAll="0"/>
    <pivotField numFmtId="227" subtotalTop="0" showAll="0"/>
    <pivotField numFmtId="183" subtotalTop="0" showAll="0"/>
    <pivotField numFmtId="227" subtotalTop="0" showAll="0"/>
    <pivotField numFmtId="183" subtotalTop="0" showAll="0"/>
    <pivotField numFmtId="227" subtotalTop="0" showAll="0"/>
    <pivotField numFmtId="14" subtotalTop="0" showAll="0"/>
    <pivotField numFmtId="3" subtotalTop="0" showAll="0"/>
    <pivotField numFmtId="14" subtotalTop="0" showAll="0"/>
    <pivotField numFmtId="14" subtotalTop="0" showAll="0"/>
    <pivotField numFmtId="14" subtotalTop="0" showAll="0"/>
    <pivotField numFmtId="1" subtotalTop="0" showAll="0"/>
    <pivotField numFmtId="3" subtotalTop="0" showAll="0"/>
    <pivotField numFmtId="9" subtotalTop="0" showAll="0"/>
    <pivotField numFmtId="183" subtotalTop="0" showAll="0"/>
    <pivotField numFmtId="183" subtotalTop="0" showAll="0"/>
    <pivotField numFmtId="183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17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43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  <pivotField numFmtId="227" subtotalTop="0" showAll="0"/>
  </pivotFields>
  <rowFields count="1">
    <field x="12"/>
  </rowFields>
  <rowItems count="2">
    <i>
      <x v="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" cacheId="2" autoFormatId="4097" applyNumberFormats="1" applyBorderFormats="1" applyFontFormats="1" applyPatternFormats="1" applyAlignmentFormats="1" applyWidthHeightFormats="1" dataCaption="Data" updatedVersion="6" minRefreshableVersion="3" showMemberPropertyTips="0" useAutoFormatting="1" itemPrintTitles="1" createdVersion="4" indent="0" compact="0" compactData="0" gridDropZones="1">
  <location ref="B53:C55" firstHeaderRow="1" firstDataRow="1" firstDataCol="1"/>
  <pivotFields count="83">
    <pivotField compact="0" numFmtId="227" showAll="0" defaultSubtotal="0"/>
    <pivotField compact="0" numFmtId="227" showAll="0" defaultSubtotal="0"/>
    <pivotField compact="0" numFmtId="227" showAll="0"/>
    <pivotField compact="0" numFmtId="227" showAll="0"/>
    <pivotField compact="0" numFmtId="227" showAll="0"/>
    <pivotField compact="0" numFmtId="227" showAll="0" defaultSubtotal="0"/>
    <pivotField compact="0" numFmtId="227" showAll="0"/>
    <pivotField compact="0" numFmtId="227" showAll="0" defaultSubtotal="0"/>
    <pivotField compact="0" numFmtId="227" showAll="0" defaultSubtotal="0"/>
    <pivotField compact="0" numFmtId="227" showAll="0" defaultSubtotal="0"/>
    <pivotField compact="0" numFmtId="227" showAll="0"/>
    <pivotField compact="0" numFmtId="227" showAll="0"/>
    <pivotField compact="0" numFmtId="227" showAll="0" defaultSubtotal="0"/>
    <pivotField compact="0" numFmtId="227" showAll="0" defaultSubtotal="0"/>
    <pivotField compact="0" numFmtId="227" showAll="0" defaultSubtotal="0"/>
    <pivotField compact="0" numFmtId="227" showAll="0" defaultSubtotal="0"/>
    <pivotField compact="0" numFmtId="227" showAll="0" defaultSubtotal="0"/>
    <pivotField compact="0" numFmtId="227" showAll="0"/>
    <pivotField compact="0" numFmtId="38" subtotalTop="0" showAll="0" includeNewItemsInFilter="1"/>
    <pivotField compact="0" numFmtId="38" showAll="0"/>
    <pivotField compact="0" numFmtId="227" showAll="0"/>
    <pivotField compact="0" numFmtId="38" subtotalTop="0" showAll="0" includeNewItemsInFilter="1"/>
    <pivotField compact="0" numFmtId="227" subtotalTop="0" showAll="0" includeNewItemsInFilter="1" defaultSubtotal="0"/>
    <pivotField compact="0" numFmtId="227" showAll="0" defaultSubtota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ubtotalTop="0" showAll="0" includeNewItemsInFilter="1"/>
    <pivotField compact="0" numFmtId="227" subtotalTop="0" showAll="0" includeNewItemsInFilter="1"/>
    <pivotField compact="0" numFmtId="227" subtotalTop="0" showAll="0" includeNewItemsInFilter="1"/>
    <pivotField compact="0" numFmtId="227" subtotalTop="0" showAll="0" includeNewItemsInFilter="1"/>
    <pivotField compact="0" numFmtId="227" subtotalTop="0" showAll="0" includeNewItemsInFilter="1"/>
    <pivotField compact="0" numFmtId="227" subtotalTop="0" showAll="0" includeNewItemsInFilter="1"/>
    <pivotField compact="0" numFmtId="227" subtotalTop="0" showAll="0" includeNewItemsInFilter="1"/>
    <pivotField compact="0" numFmtId="227" subtotalTop="0" showAll="0" includeNewItemsInFilter="1"/>
    <pivotField compact="0" numFmtId="227" subtotalTop="0" showAll="0" includeNewItemsInFilter="1"/>
    <pivotField compact="0" numFmtId="227" subtotalTop="0" showAll="0" includeNewItemsInFilter="1"/>
    <pivotField compact="0" numFmtId="43" showAll="0"/>
    <pivotField compact="0" numFmtId="43" subtotalTop="0" showAll="0" includeNewItemsInFilter="1"/>
    <pivotField compact="0" numFmtId="9" subtotalTop="0" showAll="0" includeNewItemsInFilter="1"/>
    <pivotField compact="0" numFmtId="43" subtotalTop="0" showAll="0" includeNewItemsInFilter="1"/>
    <pivotField compact="0" numFmtId="38" subtotalTop="0" showAll="0" includeNewItemsInFilter="1"/>
    <pivotField compact="0" numFmtId="183" showAll="0" defaultSubtotal="0"/>
    <pivotField compact="0" numFmtId="183" showAll="0" defaultSubtotal="0"/>
    <pivotField compact="0" numFmtId="227" subtotalTop="0" showAll="0" includeNewItemsInFilter="1"/>
    <pivotField compact="0" numFmtId="183" subtotalTop="0" showAll="0" includeNewItemsInFilter="1"/>
    <pivotField compact="0" numFmtId="14" subtotalTop="0" showAll="0" includeNewItemsInFilter="1"/>
    <pivotField compact="0" numFmtId="227" subtotalTop="0" showAll="0" includeNewItemsInFilter="1"/>
    <pivotField compact="0" numFmtId="14" subtotalTop="0" showAll="0" includeNewItemsInFilter="1"/>
    <pivotField compact="0" numFmtId="183" subtotalTop="0" showAll="0" includeNewItemsInFilter="1"/>
    <pivotField compact="0" numFmtId="14" showAll="0" defaultSubtotal="0"/>
    <pivotField compact="0" numFmtId="227" showAll="0" defaultSubtotal="0"/>
    <pivotField compact="0" numFmtId="227" showAll="0" defaultSubtotal="0"/>
    <pivotField compact="0" numFmtId="9" subtotalTop="0" showAll="0" includeNewItemsInFilter="1"/>
    <pivotField compact="0" numFmtId="183" subtotalTop="0" showAll="0" includeNewItemsInFilter="1"/>
    <pivotField compact="0" numFmtId="183" subtotalTop="0" showAll="0" includeNewItemsInFilter="1"/>
    <pivotField compact="0" numFmtId="183" subtotalTop="0" showAll="0" includeNewItemsInFilter="1"/>
    <pivotField compact="0" numFmtId="183" subtotalTop="0" showAll="0" includeNewItemsInFilter="1"/>
    <pivotField compact="0" numFmtId="227" subtotalTop="0" showAll="0" includeNewItemsInFilter="1"/>
    <pivotField compact="0" numFmtId="227" showAll="0" defaultSubtotal="0"/>
    <pivotField dataField="1" compact="0" numFmtId="183" subtotalTop="0" showAll="0" includeNewItemsInFilter="1"/>
    <pivotField compact="0" numFmtId="227" subtotalTop="0" showAll="0" includeNewItemsInFilter="1"/>
    <pivotField compact="0" numFmtId="227" showAll="0" defaultSubtotal="0"/>
    <pivotField compact="0" numFmtId="227" showAll="0" defaultSubtotal="0"/>
    <pivotField axis="axisRow" compact="0" numFmtId="227" subtotalTop="0" showAll="0" includeNewItemsInFilter="1">
      <items count="2">
        <item x="0"/>
        <item t="default"/>
      </items>
    </pivotField>
    <pivotField compact="0" numFmtId="227" subtotalTop="0" showAll="0" includeNewItemsInFilter="1"/>
    <pivotField compact="0" numFmtId="43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</pivotFields>
  <rowFields count="1">
    <field x="65"/>
  </rowFields>
  <rowItems count="2">
    <i>
      <x/>
    </i>
    <i t="grand">
      <x/>
    </i>
  </rowItems>
  <colItems count="1">
    <i/>
  </colItems>
  <dataFields count="1">
    <dataField name="Sum of Total cost" fld="61" baseField="0" baseItem="0" numFmtId="184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1000000}" name="PivotTable12" cacheId="2" autoFormatId="4117" applyNumberFormats="1" applyBorderFormats="1" applyFontFormats="1" applyPatternFormats="1" applyAlignmentFormats="1" applyWidthHeightFormats="1" dataCaption="Data" updatedVersion="6" minRefreshableVersion="3" showMemberPropertyTips="0" useAutoFormatting="1" itemPrintTitles="1" createdVersion="4" indent="0" compact="0" compactData="0" gridDropZones="1">
  <location ref="C26:F27" firstHeaderRow="0" firstDataRow="1" firstDataCol="1"/>
  <pivotFields count="83"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8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8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27" outline="0" subtotalTop="0" showAll="0" includeNewItemsInFilter="1">
      <items count="5">
        <item h="1" x="0"/>
        <item m="1" x="3"/>
        <item m="1" x="2"/>
        <item m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8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1"/>
  </rowFields>
  <rowItems count="1"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 Net Weight (kg)" fld="13" baseField="39" baseItem="0" numFmtId="227"/>
    <dataField name="Sum of Purchase Wgt (kg) " fld="21" baseField="0" baseItem="0" numFmtId="227"/>
    <dataField name="Sum of Process Cost" fld="58" baseField="0" baseItem="0" numFmtId="227"/>
  </dataFields>
  <formats count="1">
    <format dxfId="31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4000000}" name="PivotTable3" cacheId="2" autoFormatId="4097" applyNumberFormats="1" applyBorderFormats="1" applyFontFormats="1" applyPatternFormats="1" applyAlignmentFormats="1" applyWidthHeightFormats="1" dataCaption="Data" updatedVersion="6" minRefreshableVersion="3" showMemberPropertyTips="0" useAutoFormatting="1" itemPrintTitles="1" createdVersion="4" indent="0" compact="0" compactData="0" gridDropZones="1">
  <location ref="B62:D64" firstHeaderRow="0" firstDataRow="1" firstDataCol="1"/>
  <pivotFields count="83">
    <pivotField compact="0" numFmtId="227" showAll="0" defaultSubtotal="0"/>
    <pivotField compact="0" numFmtId="227" showAll="0" defaultSubtotal="0"/>
    <pivotField compact="0" numFmtId="227" showAll="0"/>
    <pivotField compact="0" numFmtId="227" showAll="0"/>
    <pivotField compact="0" numFmtId="227" showAll="0"/>
    <pivotField compact="0" numFmtId="227" showAll="0" defaultSubtotal="0"/>
    <pivotField compact="0" numFmtId="227" showAll="0"/>
    <pivotField compact="0" numFmtId="227" showAll="0" defaultSubtotal="0"/>
    <pivotField compact="0" numFmtId="227" showAll="0" defaultSubtotal="0"/>
    <pivotField compact="0" numFmtId="227" showAll="0" defaultSubtotal="0"/>
    <pivotField compact="0" numFmtId="227" showAll="0"/>
    <pivotField compact="0" numFmtId="227" showAll="0"/>
    <pivotField compact="0" numFmtId="227" showAll="0" defaultSubtotal="0"/>
    <pivotField compact="0" numFmtId="227" showAll="0" defaultSubtotal="0"/>
    <pivotField compact="0" numFmtId="227" showAll="0" defaultSubtotal="0"/>
    <pivotField compact="0" numFmtId="227" showAll="0" defaultSubtotal="0"/>
    <pivotField compact="0" numFmtId="227" showAll="0" defaultSubtotal="0"/>
    <pivotField compact="0" numFmtId="227" showAll="0"/>
    <pivotField compact="0" numFmtId="38" subtotalTop="0" showAll="0" includeNewItemsInFilter="1"/>
    <pivotField compact="0" numFmtId="38" showAll="0"/>
    <pivotField compact="0" numFmtId="227" showAll="0"/>
    <pivotField dataField="1" compact="0" numFmtId="38" subtotalTop="0" showAll="0" includeNewItemsInFilter="1"/>
    <pivotField compact="0" numFmtId="227" subtotalTop="0" showAll="0" includeNewItemsInFilter="1" defaultSubtotal="0"/>
    <pivotField compact="0" numFmtId="227" showAll="0" defaultSubtota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ubtotalTop="0" showAll="0" includeNewItemsInFilter="1"/>
    <pivotField compact="0" numFmtId="227" subtotalTop="0" showAll="0" includeNewItemsInFilter="1"/>
    <pivotField compact="0" numFmtId="227" subtotalTop="0" showAll="0" includeNewItemsInFilter="1"/>
    <pivotField compact="0" numFmtId="227" subtotalTop="0" showAll="0" includeNewItemsInFilter="1"/>
    <pivotField axis="axisRow" compact="0" numFmtId="227" subtotalTop="0" showAll="0" includeNewItemsInFilter="1">
      <items count="5">
        <item x="0"/>
        <item m="1" x="3"/>
        <item m="1" x="2"/>
        <item m="1" x="1"/>
        <item t="default"/>
      </items>
    </pivotField>
    <pivotField compact="0" numFmtId="227" subtotalTop="0" showAll="0" includeNewItemsInFilter="1"/>
    <pivotField compact="0" numFmtId="227" subtotalTop="0" showAll="0" includeNewItemsInFilter="1"/>
    <pivotField compact="0" numFmtId="227" subtotalTop="0" showAll="0" includeNewItemsInFilter="1"/>
    <pivotField compact="0" numFmtId="227" subtotalTop="0" showAll="0" includeNewItemsInFilter="1"/>
    <pivotField compact="0" numFmtId="227" subtotalTop="0" showAll="0" includeNewItemsInFilter="1"/>
    <pivotField compact="0" numFmtId="43" showAll="0"/>
    <pivotField compact="0" numFmtId="43" subtotalTop="0" showAll="0" includeNewItemsInFilter="1"/>
    <pivotField compact="0" numFmtId="9" subtotalTop="0" showAll="0" includeNewItemsInFilter="1"/>
    <pivotField compact="0" numFmtId="43" subtotalTop="0" showAll="0" includeNewItemsInFilter="1"/>
    <pivotField compact="0" numFmtId="38" subtotalTop="0" showAll="0" includeNewItemsInFilter="1"/>
    <pivotField compact="0" numFmtId="183" showAll="0" defaultSubtotal="0"/>
    <pivotField compact="0" numFmtId="183" showAll="0" defaultSubtotal="0"/>
    <pivotField compact="0" numFmtId="227" subtotalTop="0" showAll="0" includeNewItemsInFilter="1"/>
    <pivotField compact="0" numFmtId="183" subtotalTop="0" showAll="0" includeNewItemsInFilter="1"/>
    <pivotField compact="0" numFmtId="14" subtotalTop="0" showAll="0" includeNewItemsInFilter="1"/>
    <pivotField compact="0" numFmtId="227" subtotalTop="0" showAll="0" includeNewItemsInFilter="1"/>
    <pivotField compact="0" numFmtId="14" subtotalTop="0" showAll="0" includeNewItemsInFilter="1"/>
    <pivotField compact="0" numFmtId="183" subtotalTop="0" showAll="0" includeNewItemsInFilter="1"/>
    <pivotField compact="0" numFmtId="14" showAll="0" defaultSubtotal="0"/>
    <pivotField compact="0" numFmtId="227" showAll="0" defaultSubtotal="0"/>
    <pivotField compact="0" numFmtId="227" showAll="0" defaultSubtotal="0"/>
    <pivotField compact="0" numFmtId="9" subtotalTop="0" showAll="0" includeNewItemsInFilter="1"/>
    <pivotField compact="0" numFmtId="183" subtotalTop="0" showAll="0" includeNewItemsInFilter="1"/>
    <pivotField compact="0" numFmtId="183" subtotalTop="0" showAll="0" includeNewItemsInFilter="1"/>
    <pivotField compact="0" numFmtId="183" subtotalTop="0" showAll="0" includeNewItemsInFilter="1"/>
    <pivotField compact="0" numFmtId="183" subtotalTop="0" showAll="0" includeNewItemsInFilter="1"/>
    <pivotField compact="0" numFmtId="227" subtotalTop="0" showAll="0" includeNewItemsInFilter="1"/>
    <pivotField compact="0" numFmtId="227" showAll="0" defaultSubtotal="0"/>
    <pivotField dataField="1" compact="0" numFmtId="183" subtotalTop="0" showAll="0" includeNewItemsInFilter="1"/>
    <pivotField compact="0" numFmtId="227" subtotalTop="0" showAll="0" includeNewItemsInFilter="1"/>
    <pivotField compact="0" numFmtId="227" showAll="0" defaultSubtotal="0"/>
    <pivotField compact="0" numFmtId="227" showAll="0" defaultSubtotal="0"/>
    <pivotField compact="0" numFmtId="227" subtotalTop="0" showAll="0" includeNewItemsInFilter="1"/>
    <pivotField compact="0" numFmtId="227" subtotalTop="0" showAll="0" includeNewItemsInFilter="1"/>
    <pivotField compact="0" numFmtId="43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  <pivotField compact="0" numFmtId="227" showAll="0"/>
  </pivotFields>
  <rowFields count="1">
    <field x="32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ost" fld="61" baseField="0" baseItem="0" numFmtId="184"/>
    <dataField name="Sum of Purchase Wgt (kg) " fld="21" baseField="32" baseItem="1" numFmtId="227"/>
  </dataFields>
  <formats count="2">
    <format dxfId="33">
      <pivotArea collapsedLevelsAreSubtotals="1" fieldPosition="0">
        <references count="2">
          <reference field="4294967294" count="1" selected="0">
            <x v="1"/>
          </reference>
          <reference field="32" count="0"/>
        </references>
      </pivotArea>
    </format>
    <format dxfId="32">
      <pivotArea field="32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2000000}" name="PivotTable13" cacheId="2" autoFormatId="4117" applyNumberFormats="1" applyBorderFormats="1" applyFontFormats="1" applyPatternFormats="1" applyAlignmentFormats="1" applyWidthHeightFormats="1" dataCaption="Data" updatedVersion="6" minRefreshableVersion="3" showMemberPropertyTips="0" useAutoFormatting="1" itemPrintTitles="1" createdVersion="4" indent="0" compact="0" compactData="0" gridDropZones="1">
  <location ref="B34:H36" firstHeaderRow="0" firstDataRow="1" firstDataCol="2"/>
  <pivotFields count="83">
    <pivotField axis="axisRow" compact="0" numFmtId="227" outline="0" showAll="0" defaultSubtotal="0">
      <items count="16">
        <item m="1" x="14"/>
        <item m="1" x="15"/>
        <item m="1" x="3"/>
        <item m="1" x="5"/>
        <item m="1" x="8"/>
        <item m="1" x="12"/>
        <item m="1" x="2"/>
        <item m="1" x="6"/>
        <item m="1" x="7"/>
        <item x="0"/>
        <item m="1" x="13"/>
        <item m="1" x="10"/>
        <item m="1" x="11"/>
        <item m="1" x="9"/>
        <item m="1" x="1"/>
        <item m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27" outline="0" showAll="0" defaultSubtotal="0">
      <items count="14">
        <item m="1" x="13"/>
        <item m="1" x="4"/>
        <item m="1" x="3"/>
        <item m="1" x="10"/>
        <item m="1" x="5"/>
        <item m="1" x="12"/>
        <item m="1" x="11"/>
        <item m="1" x="7"/>
        <item m="1" x="6"/>
        <item x="0"/>
        <item m="1" x="9"/>
        <item m="1" x="2"/>
        <item m="1" x="1"/>
        <item m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8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8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8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2">
    <i>
      <x v="9"/>
      <x v="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Purchase Wgt (kg) " fld="21" baseField="0" baseItem="0" numFmtId="184"/>
    <dataField name="Sum of Mhrs" fld="62" baseField="0" baseItem="0" numFmtId="183"/>
    <dataField name="Sum of P&amp;P" fld="63" baseField="4" baseItem="9" numFmtId="183"/>
    <dataField name="Sum of Shot-peening" fld="64" baseField="4" baseItem="9" numFmtId="211"/>
    <dataField name="求和项:Non-Recoverable" fld="67" baseField="0" baseItem="0" numFmtId="183"/>
  </dataFields>
  <formats count="6">
    <format dxfId="39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38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3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6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3000000}" name="PivotTable2" cacheId="2" autoFormatId="4117" applyNumberFormats="1" applyBorderFormats="1" applyFontFormats="1" applyPatternFormats="1" applyAlignmentFormats="1" applyWidthHeightFormats="1" dataCaption="Data" updatedVersion="6" minRefreshableVersion="3" showMemberPropertyTips="0" useAutoFormatting="1" itemPrintTitles="1" createdVersion="4" indent="0" compact="0" compactData="0" gridDropZones="1">
  <location ref="B4:M6" firstHeaderRow="0" firstDataRow="1" firstDataCol="4"/>
  <pivotFields count="83">
    <pivotField axis="axisRow" compact="0" numFmtId="227" outline="0" showAll="0" defaultSubtotal="0">
      <items count="16">
        <item m="1" x="14"/>
        <item m="1" x="15"/>
        <item m="1" x="3"/>
        <item m="1" x="5"/>
        <item m="1" x="8"/>
        <item m="1" x="12"/>
        <item m="1" x="2"/>
        <item m="1" x="6"/>
        <item m="1" x="7"/>
        <item x="0"/>
        <item m="1" x="13"/>
        <item m="1" x="10"/>
        <item m="1" x="11"/>
        <item m="1" x="9"/>
        <item m="1" x="1"/>
        <item m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27" outline="0" showAll="0" defaultSubtotal="0">
      <items count="14">
        <item m="1" x="13"/>
        <item m="1" x="4"/>
        <item m="1" x="3"/>
        <item m="1" x="10"/>
        <item m="1" x="5"/>
        <item m="1" x="12"/>
        <item m="1" x="11"/>
        <item m="1" x="7"/>
        <item m="1" x="6"/>
        <item x="0"/>
        <item m="1" x="9"/>
        <item m="1" x="2"/>
        <item m="1" x="1"/>
        <item m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8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8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27" outline="0" showAll="0" defaultSubtotal="0">
      <items count="29">
        <item m="1" x="16"/>
        <item m="1" x="2"/>
        <item m="1" x="17"/>
        <item m="1" x="25"/>
        <item m="1" x="11"/>
        <item m="1" x="14"/>
        <item m="1" x="12"/>
        <item m="1" x="3"/>
        <item m="1" x="9"/>
        <item m="1" x="10"/>
        <item m="1" x="6"/>
        <item m="1" x="20"/>
        <item m="1" x="19"/>
        <item x="0"/>
        <item m="1" x="5"/>
        <item m="1" x="15"/>
        <item m="1" x="26"/>
        <item m="1" x="23"/>
        <item m="1" x="21"/>
        <item m="1" x="28"/>
        <item m="1" x="13"/>
        <item m="1" x="8"/>
        <item m="1" x="22"/>
        <item m="1" x="7"/>
        <item m="1" x="18"/>
        <item m="1" x="24"/>
        <item m="1" x="4"/>
        <item m="1" x="1"/>
        <item m="1" x="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27" outline="0" subtotalTop="0" showAll="0" includeNewItemsInFilter="1">
      <items count="3">
        <item m="1"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8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83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0"/>
    <field x="23"/>
    <field x="1"/>
    <field x="36"/>
  </rowFields>
  <rowItems count="2">
    <i>
      <x v="9"/>
      <x v="13"/>
      <x v="9"/>
      <x v="1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Purchase Wgt (kg) " fld="21" baseField="0" baseItem="0" numFmtId="184"/>
    <dataField name="Sum of Inventory cost" fld="30" baseField="39" baseItem="0" numFmtId="211"/>
    <dataField name="Sum of Pchs _x000a_Cost/Fc" fld="45" baseField="0" baseItem="0" numFmtId="227"/>
    <dataField name="Sum of Pchs _x000a_Cost/Lc" fld="46" baseField="0" baseItem="0" numFmtId="183"/>
    <dataField name="Sum of Process Cost" fld="58" baseField="0" baseItem="0" numFmtId="227"/>
    <dataField name="Sum of Custom Cost/Lc" fld="55" baseField="0" baseItem="0" numFmtId="227"/>
    <dataField name="Sum of Commodity Inspection Fees" fld="56" baseField="0" baseItem="0" numFmtId="227"/>
    <dataField name="Sum of Total cost" fld="61" baseField="0" baseItem="0" numFmtId="227"/>
  </dataFields>
  <formats count="4">
    <format dxfId="4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multipleFieldFilters="0">
  <location ref="A3:C5" firstHeaderRow="1" firstDataRow="1" firstDataCol="2"/>
  <pivotFields count="83">
    <pivotField axis="axisRow" compact="0" numFmtId="227" outline="0" subtotalTop="0" showAll="0" defaultSubtotal="0">
      <items count="16">
        <item m="1" x="14"/>
        <item m="1" x="15"/>
        <item m="1" x="2"/>
        <item m="1" x="3"/>
        <item m="1" x="5"/>
        <item m="1" x="8"/>
        <item m="1" x="12"/>
        <item m="1" x="6"/>
        <item m="1" x="7"/>
        <item x="0"/>
        <item m="1" x="13"/>
        <item m="1" x="10"/>
        <item m="1" x="11"/>
        <item m="1" x="9"/>
        <item m="1" x="1"/>
        <item m="1" x="4"/>
      </items>
    </pivotField>
    <pivotField axis="axisRow" compact="0" numFmtId="227" outline="0" subtotalTop="0" showAll="0">
      <items count="15">
        <item m="1" x="13"/>
        <item m="1" x="4"/>
        <item m="1" x="3"/>
        <item m="1" x="10"/>
        <item m="1" x="11"/>
        <item m="1" x="5"/>
        <item m="1" x="12"/>
        <item m="1" x="7"/>
        <item m="1" x="6"/>
        <item x="0"/>
        <item m="1" x="9"/>
        <item m="1" x="2"/>
        <item m="1" x="1"/>
        <item m="1" x="8"/>
        <item t="default"/>
      </items>
    </pivotField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dataField="1" compact="0" numFmtId="227" outline="0" subtotalTop="0" showAll="0"/>
    <pivotField compact="0" numFmtId="227" outline="0" subtotalTop="0" showAll="0"/>
    <pivotField compact="0" numFmtId="181" outline="0" subtotalTop="0" showAll="0"/>
    <pivotField compact="0" numFmtId="227" outline="0" subtotalTop="0" showAll="0"/>
    <pivotField compact="0" numFmtId="227" outline="0" subtotalTop="0" showAll="0"/>
    <pivotField compact="0" numFmtId="38" outline="0" subtotalTop="0" showAll="0"/>
    <pivotField compact="0" numFmtId="38" outline="0" subtotalTop="0" showAll="0"/>
    <pivotField compact="0" numFmtId="227" outline="0" subtotalTop="0" showAll="0"/>
    <pivotField compact="0" numFmtId="38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183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43" outline="0" subtotalTop="0" showAll="0"/>
    <pivotField compact="0" numFmtId="227" outline="0" subtotalTop="0" showAll="0"/>
    <pivotField compact="0" numFmtId="227" outline="0" subtotalTop="0" showAll="0"/>
    <pivotField compact="0" numFmtId="43" outline="0" subtotalTop="0" showAll="0"/>
    <pivotField compact="0" numFmtId="43" outline="0" subtotalTop="0" showAll="0"/>
    <pivotField compact="0" numFmtId="9" outline="0" subtotalTop="0" showAll="0"/>
    <pivotField compact="0" numFmtId="43" outline="0" subtotalTop="0" showAll="0"/>
    <pivotField compact="0" numFmtId="38" outline="0" subtotalTop="0" showAll="0"/>
    <pivotField compact="0" numFmtId="183" outline="0" subtotalTop="0" showAll="0"/>
    <pivotField compact="0" numFmtId="183" outline="0" subtotalTop="0" showAll="0"/>
    <pivotField compact="0" numFmtId="183" outline="0" subtotalTop="0" showAll="0"/>
    <pivotField compact="0" numFmtId="183" outline="0" subtotalTop="0" showAll="0"/>
    <pivotField compact="0" numFmtId="14" outline="0" subtotalTop="0" showAll="0"/>
    <pivotField compact="0" numFmtId="3" outline="0" subtotalTop="0" showAll="0"/>
    <pivotField compact="0" numFmtId="14" outline="0" subtotalTop="0" showAll="0"/>
    <pivotField compact="0" numFmtId="14" outline="0" subtotalTop="0" showAll="0"/>
    <pivotField compact="0" numFmtId="14" outline="0" subtotalTop="0" showAll="0"/>
    <pivotField compact="0" numFmtId="1" outline="0" subtotalTop="0" showAll="0"/>
    <pivotField compact="0" numFmtId="3" outline="0" subtotalTop="0" showAll="0"/>
    <pivotField compact="0" numFmtId="9" outline="0" subtotalTop="0" showAll="0"/>
    <pivotField compact="0" numFmtId="183" outline="0" subtotalTop="0" showAll="0"/>
    <pivotField compact="0" numFmtId="183" outline="0" subtotalTop="0" showAll="0"/>
    <pivotField compact="0" numFmtId="183" outline="0" subtotalTop="0" showAll="0"/>
    <pivotField compact="0" numFmtId="183" outline="0" subtotalTop="0" showAll="0"/>
    <pivotField compact="0" numFmtId="227" outline="0" subtotalTop="0" showAll="0"/>
    <pivotField compact="0" numFmtId="183" outline="0" subtotalTop="0" showAll="0"/>
    <pivotField compact="0" numFmtId="183" outline="0" subtotalTop="0" showAll="0"/>
    <pivotField compact="0" numFmtId="177" outline="0" subtotalTop="0" showAll="0"/>
    <pivotField compact="0" numFmtId="227" outline="0" subtotalTop="0" showAll="0"/>
    <pivotField compact="0" numFmtId="227" outline="0" subtotalTop="0" showAll="0"/>
    <pivotField compact="0" numFmtId="183" outline="0" subtotalTop="0" showAll="0"/>
    <pivotField compact="0" numFmtId="227" outline="0" subtotalTop="0" showAll="0"/>
    <pivotField compact="0" numFmtId="43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</pivotFields>
  <rowFields count="2">
    <field x="0"/>
    <field x="1"/>
  </rowFields>
  <rowItems count="2">
    <i>
      <x v="9"/>
      <x v="9"/>
    </i>
    <i t="grand">
      <x/>
    </i>
  </rowItems>
  <colItems count="1">
    <i/>
  </colItems>
  <dataFields count="1">
    <dataField name="Net Weight (kg)" fld="13" baseField="6" baseItem="27" numFmtId="183"/>
  </dataFields>
  <formats count="6">
    <format dxfId="10">
      <pivotArea outline="0" collapsedLevelsAreSubtotals="1" fieldPosition="0"/>
    </format>
    <format dxfId="9">
      <pivotArea dataOnly="0" labelOnly="1" outline="0" axis="axisValues" fieldPosition="0"/>
    </format>
    <format dxfId="8">
      <pivotArea dataOnly="0" labelOnly="1" outline="0" axis="axisValues" fieldPosition="0"/>
    </format>
    <format dxfId="7">
      <pivotArea outline="0" collapsedLevelsAreSubtotals="1" fieldPosition="0"/>
    </format>
    <format dxfId="6">
      <pivotArea dataOnly="0" labelOnly="1" outline="0" axis="axisValues" fieldPosition="0"/>
    </format>
    <format dxfId="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1000000}" name="数据透视表2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multipleFieldFilters="0">
  <location ref="E3:J4" firstHeaderRow="1" firstDataRow="1" firstDataCol="5"/>
  <pivotFields count="83"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axis="axisRow" compact="0" numFmtId="227" outline="0" subtotalTop="0" showAll="0" defaultSubtotal="0">
      <items count="8">
        <item m="1" x="2"/>
        <item m="1" x="7"/>
        <item m="1" x="5"/>
        <item m="1" x="6"/>
        <item m="1" x="4"/>
        <item m="1" x="3"/>
        <item x="0"/>
        <item x="1"/>
      </items>
    </pivotField>
    <pivotField compact="0" numFmtId="227" outline="0" subtotalTop="0" showAll="0"/>
    <pivotField compact="0" numFmtId="227" outline="0" subtotalTop="0" showAll="0"/>
    <pivotField compact="0" numFmtId="181" outline="0" subtotalTop="0" showAll="0"/>
    <pivotField compact="0" numFmtId="227" outline="0" subtotalTop="0" showAll="0"/>
    <pivotField compact="0" numFmtId="227" outline="0" subtotalTop="0" showAll="0"/>
    <pivotField compact="0" numFmtId="38" outline="0" subtotalTop="0" showAll="0"/>
    <pivotField compact="0" numFmtId="38" outline="0" subtotalTop="0" showAll="0"/>
    <pivotField compact="0" numFmtId="227" outline="0" subtotalTop="0" showAll="0"/>
    <pivotField dataField="1" compact="0" numFmtId="38" outline="0" subtotalTop="0" showAll="0"/>
    <pivotField compact="0" numFmtId="227" outline="0" subtotalTop="0" showAll="0"/>
    <pivotField compact="0" numFmtId="227" outline="0" subtotalTop="0" showAll="0"/>
    <pivotField name="Category" axis="axisRow" compact="0" numFmtId="227" outline="0" subtotalTop="0" showAll="0" defaultSubtotal="0">
      <items count="18">
        <item m="1" x="4"/>
        <item m="1" x="5"/>
        <item x="1"/>
        <item m="1" x="6"/>
        <item m="1" x="11"/>
        <item m="1" x="9"/>
        <item x="0"/>
        <item m="1" x="14"/>
        <item m="1" x="16"/>
        <item m="1" x="17"/>
        <item m="1" x="7"/>
        <item m="1" x="10"/>
        <item m="1" x="12"/>
        <item m="1" x="13"/>
        <item m="1" x="8"/>
        <item m="1" x="15"/>
        <item m="1" x="3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183" outline="0" subtotalTop="0" showAll="0"/>
    <pivotField compact="0" numFmtId="227" outline="0" subtotalTop="0" showAll="0"/>
    <pivotField name="Materialsource" axis="axisRow" compact="0" numFmtId="227" outline="0" subtotalTop="0" showAll="0" defaultSubtotal="0">
      <items count="4">
        <item h="1" x="0"/>
        <item m="1" x="3"/>
        <item h="1" m="1" x="2"/>
        <item h="1" m="1" x="1"/>
      </items>
    </pivotField>
    <pivotField compact="0" numFmtId="227" outline="0" subtotalTop="0" showAll="0"/>
    <pivotField axis="axisRow" compact="0" numFmtId="227" outline="0" subtotalTop="0" showAll="0" defaultSubtotal="0">
      <items count="3">
        <item m="1" x="2"/>
        <item x="1"/>
        <item x="0"/>
      </items>
    </pivotField>
    <pivotField compact="0" numFmtId="43" outline="0" subtotalTop="0" showAll="0"/>
    <pivotField axis="axisRow" compact="0" numFmtId="227" outline="0" subtotalTop="0" showAll="0" defaultSubtotal="0">
      <items count="2">
        <item m="1" x="1"/>
        <item x="0"/>
      </items>
    </pivotField>
    <pivotField compact="0" numFmtId="227" outline="0" subtotalTop="0" showAll="0"/>
    <pivotField compact="0" numFmtId="43" outline="0" subtotalTop="0" showAll="0"/>
    <pivotField compact="0" numFmtId="43" outline="0" subtotalTop="0" showAll="0"/>
    <pivotField compact="0" numFmtId="9" outline="0" subtotalTop="0" showAll="0"/>
    <pivotField compact="0" numFmtId="43" outline="0" subtotalTop="0" showAll="0"/>
    <pivotField compact="0" numFmtId="38" outline="0" subtotalTop="0" showAll="0"/>
    <pivotField compact="0" numFmtId="183" outline="0" subtotalTop="0" showAll="0"/>
    <pivotField compact="0" numFmtId="183" outline="0" subtotalTop="0" showAll="0"/>
    <pivotField compact="0" numFmtId="183" outline="0" subtotalTop="0" showAll="0"/>
    <pivotField compact="0" numFmtId="183" outline="0" subtotalTop="0" showAll="0"/>
    <pivotField compact="0" numFmtId="14" outline="0" subtotalTop="0" showAll="0"/>
    <pivotField compact="0" numFmtId="3" outline="0" subtotalTop="0" showAll="0"/>
    <pivotField compact="0" numFmtId="14" outline="0" subtotalTop="0" showAll="0"/>
    <pivotField compact="0" numFmtId="14" outline="0" subtotalTop="0" showAll="0"/>
    <pivotField compact="0" numFmtId="14" outline="0" subtotalTop="0" showAll="0"/>
    <pivotField compact="0" numFmtId="1" outline="0" subtotalTop="0" showAll="0"/>
    <pivotField compact="0" numFmtId="3" outline="0" subtotalTop="0" showAll="0"/>
    <pivotField compact="0" numFmtId="9" outline="0" subtotalTop="0" showAll="0"/>
    <pivotField compact="0" numFmtId="183" outline="0" subtotalTop="0" showAll="0"/>
    <pivotField compact="0" numFmtId="183" outline="0" subtotalTop="0" showAll="0"/>
    <pivotField compact="0" numFmtId="183" outline="0" subtotalTop="0" showAll="0"/>
    <pivotField compact="0" numFmtId="183" outline="0" subtotalTop="0" showAll="0"/>
    <pivotField compact="0" numFmtId="227" outline="0" subtotalTop="0" showAll="0"/>
    <pivotField compact="0" numFmtId="183" outline="0" subtotalTop="0" showAll="0"/>
    <pivotField compact="0" numFmtId="183" outline="0" subtotalTop="0" showAll="0"/>
    <pivotField compact="0" numFmtId="177" outline="0" subtotalTop="0" showAll="0"/>
    <pivotField compact="0" numFmtId="227" outline="0" subtotalTop="0" showAll="0"/>
    <pivotField compact="0" numFmtId="227" outline="0" subtotalTop="0" showAll="0"/>
    <pivotField compact="0" numFmtId="183" outline="0" subtotalTop="0" showAll="0"/>
    <pivotField compact="0" numFmtId="227" outline="0" subtotalTop="0" showAll="0"/>
    <pivotField compact="0" numFmtId="43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  <pivotField compact="0" numFmtId="227" outline="0" subtotalTop="0" showAll="0"/>
  </pivotFields>
  <rowFields count="5">
    <field x="32"/>
    <field x="24"/>
    <field x="12"/>
    <field x="36"/>
    <field x="34"/>
  </rowFields>
  <rowItems count="1">
    <i t="grand">
      <x/>
    </i>
  </rowItems>
  <colItems count="1">
    <i/>
  </colItems>
  <dataFields count="1">
    <dataField name="求和项:Purchase Wgt (kg) " fld="21" baseField="0" baseItem="0" numFmtId="227"/>
  </dataFields>
  <formats count="6">
    <format dxfId="16">
      <pivotArea outline="0" collapsedLevelsAreSubtotals="1" fieldPosition="0"/>
    </format>
    <format dxfId="15">
      <pivotArea dataOnly="0" labelOnly="1" outline="0" axis="axisValues" fieldPosition="0"/>
    </format>
    <format dxfId="14">
      <pivotArea dataOnly="0" labelOnly="1" outline="0" axis="axisValues" fieldPosition="0"/>
    </format>
    <format dxfId="13">
      <pivotArea outline="0" collapsedLevelsAreSubtotals="1" fieldPosition="0"/>
    </format>
    <format dxfId="12">
      <pivotArea dataOnly="0" labelOnly="1" outline="0" axis="axisValues" fieldPosition="0"/>
    </format>
    <format dxfId="11">
      <pivotArea dataOnly="0" labelOnly="1" outline="0" axis="axisValues" fieldPosition="0"/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2000000}" name="数据透视表3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multipleFieldFilters="0">
  <location ref="A250:D258" firstHeaderRow="0" firstDataRow="1" firstDataCol="2"/>
  <pivotFields count="5">
    <pivotField axis="axisRow" compact="0" numFmtId="227" outline="0" subtotalTop="0" showAll="0" defaultSubtotal="0">
      <items count="7">
        <item x="2"/>
        <item x="5"/>
        <item x="6"/>
        <item x="4"/>
        <item x="1"/>
        <item x="0"/>
        <item x="3"/>
      </items>
    </pivotField>
    <pivotField axis="axisRow" compact="0" numFmtId="227" outline="0" subtotalTop="0" showAll="0">
      <items count="8">
        <item x="1"/>
        <item x="4"/>
        <item x="0"/>
        <item x="3"/>
        <item x="6"/>
        <item x="5"/>
        <item x="2"/>
        <item t="default"/>
      </items>
    </pivotField>
    <pivotField compact="0" numFmtId="227" outline="0" subtotalTop="0" showAll="0"/>
    <pivotField dataField="1" compact="0" numFmtId="183" outline="0" subtotalTop="0" showAll="0"/>
    <pivotField dataField="1" compact="0" numFmtId="183" outline="0" subtotalTop="0" showAll="0"/>
  </pivotFields>
  <rowFields count="2">
    <field x="0"/>
    <field x="1"/>
  </rowFields>
  <rowItems count="8">
    <i>
      <x/>
      <x v="6"/>
    </i>
    <i>
      <x v="1"/>
      <x v="5"/>
    </i>
    <i>
      <x v="2"/>
      <x v="4"/>
    </i>
    <i>
      <x v="3"/>
      <x v="1"/>
    </i>
    <i>
      <x v="4"/>
      <x/>
    </i>
    <i>
      <x v="5"/>
      <x v="2"/>
    </i>
    <i>
      <x v="6"/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m-hrs" fld="3" baseField="0" baseItem="0" numFmtId="227"/>
    <dataField name="求和项:PP m-hrs" fld="4" baseField="0" baseItem="0" numFmtId="227"/>
  </dataFields>
  <formats count="6">
    <format dxfId="22">
      <pivotArea outline="0" collapsedLevelsAreSubtotals="1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">
      <pivotArea outline="0" collapsedLevelsAreSubtotals="1" fieldPosition="0"/>
    </format>
    <format dxfId="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">
      <pivotArea outline="0" collapsedLevelsAreSubtotals="1" fieldPosition="0"/>
    </format>
    <format dxfId="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I116:J120" firstHeaderRow="1" firstDataRow="1" firstDataCol="1"/>
  <pivotFields count="67">
    <pivotField compact="0" numFmtId="227" outline="0" showAll="0" defaultSubtotal="0"/>
    <pivotField compact="0" numFmtId="227" outline="0" showAll="0" defaultSubtota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 defaultSubtota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 defaultSubtotal="0"/>
    <pivotField compact="0" numFmtId="38" outline="0" showAll="0"/>
    <pivotField compact="0" numFmtId="38" outline="0" showAll="0"/>
    <pivotField compact="0" numFmtId="38" outline="0" showAll="0"/>
    <pivotField compact="0" numFmtId="227" outline="0" showAl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axis="axisRow" compact="0" numFmtId="227" outline="0" showAll="0">
      <items count="4">
        <item x="1"/>
        <item x="2"/>
        <item x="0"/>
        <item t="default"/>
      </items>
    </pivotField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43" outline="0" showAll="0"/>
    <pivotField compact="0" numFmtId="43" outline="0" showAll="0"/>
    <pivotField compact="0" numFmtId="227" outline="0" showAll="0"/>
    <pivotField compact="0" numFmtId="43" outline="0" showAll="0"/>
    <pivotField compact="0" numFmtId="38" outline="0" showAll="0"/>
    <pivotField compact="0" numFmtId="183" outline="0" showAll="0"/>
    <pivotField compact="0" numFmtId="183" outline="0" showAll="0"/>
    <pivotField compact="0" numFmtId="183" outline="0" showAll="0"/>
    <pivotField compact="0" numFmtId="183" outline="0" showAll="0"/>
    <pivotField compact="0" numFmtId="14" outline="0" showAll="0"/>
    <pivotField compact="0" numFmtId="3" outline="0" showAll="0"/>
    <pivotField compact="0" numFmtId="14" outline="0" showAll="0"/>
    <pivotField compact="0" numFmtId="14" outline="0" showAll="0"/>
    <pivotField compact="0" numFmtId="14" outline="0" showAll="0"/>
    <pivotField compact="0" numFmtId="1" outline="0" showAll="0"/>
    <pivotField compact="0" numFmtId="3" outline="0" showAll="0"/>
    <pivotField compact="0" numFmtId="9" outline="0" showAll="0"/>
    <pivotField compact="0" numFmtId="183" outline="0" showAll="0"/>
    <pivotField compact="0" numFmtId="183" outline="0" showAll="0"/>
    <pivotField compact="0" numFmtId="183" outline="0" showAll="0"/>
    <pivotField compact="0" numFmtId="183" outline="0" showAll="0"/>
    <pivotField compact="0" numFmtId="227" outline="0" showAll="0"/>
    <pivotField compact="0" numFmtId="227" outline="0" showAll="0" defaultSubtotal="0"/>
    <pivotField dataField="1" compact="0" numFmtId="183" outline="0" showAll="0"/>
    <pivotField compact="0" numFmtId="177" outline="0" showAll="0"/>
    <pivotField compact="0" numFmtId="227" outline="0" showAll="0" defaultSubtotal="0"/>
    <pivotField compact="0" numFmtId="227" outline="0" showAll="0" defaultSubtotal="0"/>
    <pivotField compact="0" numFmtId="227" outline="0" showAll="0"/>
    <pivotField compact="0" numFmtId="227" outline="0" showAll="0"/>
  </pivotFields>
  <rowFields count="1">
    <field x="3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cost" fld="61" baseField="0" baseItem="0" numFmtId="227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2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N122:N123" firstHeaderRow="1" firstDataRow="1" firstDataCol="0"/>
  <pivotFields count="67">
    <pivotField compact="0" numFmtId="227" outline="0" showAll="0" defaultSubtotal="0"/>
    <pivotField compact="0" numFmtId="227" outline="0" showAll="0" defaultSubtota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 defaultSubtota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 defaultSubtotal="0"/>
    <pivotField compact="0" numFmtId="38" outline="0" showAll="0"/>
    <pivotField compact="0" numFmtId="38" outline="0" showAll="0"/>
    <pivotField compact="0" numFmtId="38" outline="0" showAll="0"/>
    <pivotField compact="0" numFmtId="227" outline="0" showAl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43" outline="0" showAll="0"/>
    <pivotField compact="0" numFmtId="43" outline="0" showAll="0"/>
    <pivotField compact="0" numFmtId="227" outline="0" showAll="0"/>
    <pivotField compact="0" numFmtId="43" outline="0" showAll="0"/>
    <pivotField compact="0" numFmtId="38" outline="0" showAll="0"/>
    <pivotField compact="0" numFmtId="183" outline="0" showAll="0"/>
    <pivotField compact="0" numFmtId="183" outline="0" showAll="0"/>
    <pivotField compact="0" numFmtId="183" outline="0" showAll="0"/>
    <pivotField compact="0" numFmtId="183" outline="0" showAll="0"/>
    <pivotField compact="0" numFmtId="14" outline="0" showAll="0"/>
    <pivotField compact="0" numFmtId="3" outline="0" showAll="0"/>
    <pivotField compact="0" numFmtId="14" outline="0" showAll="0"/>
    <pivotField compact="0" numFmtId="14" outline="0" showAll="0"/>
    <pivotField compact="0" numFmtId="14" outline="0" showAll="0"/>
    <pivotField compact="0" numFmtId="1" outline="0" showAll="0"/>
    <pivotField compact="0" numFmtId="3" outline="0" showAll="0"/>
    <pivotField compact="0" numFmtId="9" outline="0" showAll="0"/>
    <pivotField compact="0" numFmtId="183" outline="0" showAll="0"/>
    <pivotField compact="0" numFmtId="183" outline="0" showAll="0"/>
    <pivotField compact="0" numFmtId="183" outline="0" showAll="0"/>
    <pivotField compact="0" numFmtId="183" outline="0" showAll="0"/>
    <pivotField compact="0" numFmtId="227" outline="0" showAll="0"/>
    <pivotField compact="0" numFmtId="227" outline="0" showAll="0" defaultSubtotal="0"/>
    <pivotField dataField="1" compact="0" numFmtId="183" outline="0" showAll="0"/>
    <pivotField compact="0" numFmtId="177" outline="0" showAll="0"/>
    <pivotField compact="0" numFmtId="227" outline="0" showAll="0" defaultSubtotal="0"/>
    <pivotField compact="0" numFmtId="227" outline="0" showAll="0" defaultSubtotal="0"/>
    <pivotField compact="0" numFmtId="227" outline="0" showAll="0"/>
    <pivotField compact="0" numFmtId="227" outline="0" showAll="0"/>
  </pivotFields>
  <rowItems count="1">
    <i/>
  </rowItems>
  <colItems count="1">
    <i/>
  </colItems>
  <dataFields count="1">
    <dataField name="Sum of Total cost" fld="61" baseField="0" baseItem="0" numFmtId="227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1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B116:C120" firstHeaderRow="1" firstDataRow="1" firstDataCol="1"/>
  <pivotFields count="67">
    <pivotField compact="0" numFmtId="227" outline="0" showAll="0" defaultSubtotal="0"/>
    <pivotField compact="0" numFmtId="227" outline="0" showAll="0" defaultSubtota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 defaultSubtota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 defaultSubtotal="0"/>
    <pivotField compact="0" numFmtId="38" outline="0" showAll="0"/>
    <pivotField compact="0" numFmtId="38" outline="0" showAll="0"/>
    <pivotField compact="0" numFmtId="38" outline="0" showAll="0"/>
    <pivotField compact="0" numFmtId="227" outline="0" showAll="0"/>
    <pivotField compact="0" numFmtId="227" outline="0" showAll="0" defaultSubtota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axis="axisRow" compact="0" numFmtId="227" outline="0" showAll="0">
      <items count="4">
        <item x="1"/>
        <item x="2"/>
        <item x="0"/>
        <item t="default"/>
      </items>
    </pivotField>
    <pivotField compact="0" numFmtId="227" outline="0" showAll="0"/>
    <pivotField compact="0" numFmtId="227" outline="0" showAll="0"/>
    <pivotField compact="0" numFmtId="227" outline="0" showAll="0"/>
    <pivotField compact="0" numFmtId="227" outline="0" showAll="0"/>
    <pivotField compact="0" numFmtId="43" outline="0" showAll="0"/>
    <pivotField compact="0" numFmtId="43" outline="0" showAll="0"/>
    <pivotField compact="0" numFmtId="227" outline="0" showAll="0"/>
    <pivotField compact="0" numFmtId="43" outline="0" showAll="0"/>
    <pivotField compact="0" numFmtId="38" outline="0" showAll="0"/>
    <pivotField compact="0" numFmtId="183" outline="0" showAll="0"/>
    <pivotField compact="0" numFmtId="183" outline="0" showAll="0"/>
    <pivotField compact="0" numFmtId="183" outline="0" showAll="0"/>
    <pivotField compact="0" numFmtId="183" outline="0" showAll="0"/>
    <pivotField compact="0" numFmtId="14" outline="0" showAll="0"/>
    <pivotField compact="0" numFmtId="3" outline="0" showAll="0"/>
    <pivotField compact="0" numFmtId="14" outline="0" showAll="0"/>
    <pivotField compact="0" numFmtId="14" outline="0" showAll="0"/>
    <pivotField compact="0" numFmtId="14" outline="0" showAll="0"/>
    <pivotField compact="0" numFmtId="1" outline="0" showAll="0"/>
    <pivotField compact="0" numFmtId="3" outline="0" showAll="0"/>
    <pivotField compact="0" numFmtId="9" outline="0" showAll="0"/>
    <pivotField compact="0" numFmtId="183" outline="0" showAll="0"/>
    <pivotField compact="0" numFmtId="183" outline="0" showAll="0"/>
    <pivotField compact="0" numFmtId="183" outline="0" showAll="0"/>
    <pivotField compact="0" numFmtId="183" outline="0" showAll="0"/>
    <pivotField compact="0" numFmtId="227" outline="0" showAll="0"/>
    <pivotField compact="0" numFmtId="227" outline="0" showAll="0" defaultSubtotal="0"/>
    <pivotField dataField="1" compact="0" numFmtId="183" outline="0" showAll="0"/>
    <pivotField compact="0" numFmtId="177" outline="0" showAll="0"/>
    <pivotField compact="0" numFmtId="227" outline="0" showAll="0" defaultSubtotal="0"/>
    <pivotField compact="0" numFmtId="227" outline="0" showAll="0" defaultSubtotal="0"/>
    <pivotField compact="0" numFmtId="227" outline="0" showAll="0"/>
    <pivotField compact="0" numFmtId="227" outline="0" showAll="0"/>
  </pivotFields>
  <rowFields count="1">
    <field x="3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cost" fld="61" baseField="0" baseItem="0" numFmtId="227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Material_Category1" xr10:uid="{00000000-0013-0000-FFFF-FFFF01000000}" sourceName="Material Category1">
  <pivotTables>
    <pivotTable tabId="71" name="数据透视表1"/>
  </pivotTables>
  <data>
    <tabular pivotCacheId="1">
      <items count="11">
        <i x="1"/>
        <i x="0" s="1"/>
        <i x="3" nd="1"/>
        <i x="5" nd="1"/>
        <i x="7" nd="1"/>
        <i x="10" nd="1"/>
        <i x="6" nd="1"/>
        <i x="4" nd="1"/>
        <i x="9" nd="1"/>
        <i x="8" nd="1"/>
        <i x="2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terial Category1" xr10:uid="{00000000-0014-0000-FFFF-FFFF01000000}" cache="切片器_Material_Category1" caption="Material Category1" rowHeight="2254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rinterSettings" Target="../printerSettings/printerSettings7.bin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2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online.alstom.com/Functions/Finance/Applications/Teranga/Pages/Teranga.aspx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9"/>
  <dimension ref="A1:I59"/>
  <sheetViews>
    <sheetView showZeros="0" zoomScaleNormal="100" workbookViewId="0">
      <pane ySplit="4" topLeftCell="A5" activePane="bottomLeft" state="frozen"/>
      <selection activeCell="H20" sqref="H20"/>
      <selection pane="bottomLeft" activeCell="I10" sqref="I10"/>
    </sheetView>
  </sheetViews>
  <sheetFormatPr defaultRowHeight="12.75"/>
  <cols>
    <col min="1" max="1" width="2.7109375" style="353" customWidth="1"/>
    <col min="2" max="2" width="8.140625" style="353" customWidth="1"/>
    <col min="3" max="3" width="10.5703125" style="353" bestFit="1" customWidth="1"/>
    <col min="4" max="4" width="10.42578125" style="353" bestFit="1" customWidth="1"/>
    <col min="5" max="5" width="31.28515625" style="353" customWidth="1"/>
    <col min="6" max="6" width="16.28515625" style="354" customWidth="1"/>
    <col min="7" max="7" width="21.85546875" style="354" customWidth="1"/>
    <col min="8" max="8" width="12.140625" style="353" customWidth="1"/>
    <col min="9" max="16384" width="9.140625" style="353"/>
  </cols>
  <sheetData>
    <row r="1" spans="1:9" ht="20.25">
      <c r="A1" s="352"/>
      <c r="B1" s="361"/>
      <c r="C1" s="951">
        <f>'Estimate Summary'!AT5</f>
        <v>0</v>
      </c>
    </row>
    <row r="4" spans="1:9" ht="25.5">
      <c r="B4" s="1417" t="s">
        <v>274</v>
      </c>
      <c r="C4" s="1417" t="s">
        <v>93</v>
      </c>
      <c r="D4" s="1418" t="s">
        <v>434</v>
      </c>
      <c r="E4" s="1418" t="s">
        <v>435</v>
      </c>
      <c r="F4" s="1416" t="s">
        <v>641</v>
      </c>
      <c r="G4" s="1416" t="s">
        <v>642</v>
      </c>
      <c r="H4" s="1416" t="s">
        <v>643</v>
      </c>
      <c r="I4" s="1416" t="s">
        <v>178</v>
      </c>
    </row>
    <row r="5" spans="1:9" ht="25.5">
      <c r="A5" s="355"/>
      <c r="B5" s="1420">
        <v>1</v>
      </c>
      <c r="C5" s="1421">
        <v>43574</v>
      </c>
      <c r="D5" s="1422"/>
      <c r="E5" s="2505" t="s">
        <v>1674</v>
      </c>
      <c r="F5" s="2505" t="s">
        <v>1656</v>
      </c>
      <c r="G5" s="1422" t="s">
        <v>1657</v>
      </c>
      <c r="H5" s="1424"/>
      <c r="I5" s="1424"/>
    </row>
    <row r="6" spans="1:9" ht="25.5">
      <c r="A6" s="355"/>
      <c r="B6" s="1420">
        <v>2</v>
      </c>
      <c r="C6" s="1421">
        <v>43636</v>
      </c>
      <c r="D6" s="1422"/>
      <c r="E6" s="2505" t="s">
        <v>1676</v>
      </c>
      <c r="F6" s="2505" t="s">
        <v>1656</v>
      </c>
      <c r="G6" s="1422" t="s">
        <v>1657</v>
      </c>
      <c r="H6" s="1424"/>
      <c r="I6" s="1424"/>
    </row>
    <row r="7" spans="1:9" ht="38.25">
      <c r="A7" s="355"/>
      <c r="B7" s="1425">
        <v>3</v>
      </c>
      <c r="C7" s="1421">
        <v>43669</v>
      </c>
      <c r="D7" s="1422"/>
      <c r="E7" s="1422" t="s">
        <v>1677</v>
      </c>
      <c r="F7" s="2505" t="s">
        <v>1656</v>
      </c>
      <c r="G7" s="1422" t="s">
        <v>1657</v>
      </c>
      <c r="H7" s="1424"/>
      <c r="I7" s="1424"/>
    </row>
    <row r="8" spans="1:9" ht="38.25">
      <c r="A8" s="355"/>
      <c r="B8" s="1425">
        <v>4</v>
      </c>
      <c r="C8" s="1421">
        <v>43669</v>
      </c>
      <c r="D8" s="1422"/>
      <c r="E8" s="1422" t="s">
        <v>1678</v>
      </c>
      <c r="F8" s="2505" t="s">
        <v>1656</v>
      </c>
      <c r="G8" s="1422" t="s">
        <v>1657</v>
      </c>
      <c r="H8" s="1424"/>
      <c r="I8" s="1424"/>
    </row>
    <row r="9" spans="1:9">
      <c r="A9" s="355"/>
      <c r="B9" s="1425"/>
      <c r="C9" s="1426"/>
      <c r="D9" s="1422"/>
      <c r="E9" s="1422"/>
      <c r="F9" s="1454"/>
      <c r="G9" s="1419"/>
      <c r="H9" s="1424"/>
      <c r="I9" s="1424"/>
    </row>
    <row r="10" spans="1:9">
      <c r="A10" s="355"/>
      <c r="B10" s="1425"/>
      <c r="C10" s="1426"/>
      <c r="D10" s="1422"/>
      <c r="E10" s="1423"/>
      <c r="F10" s="1419"/>
      <c r="G10" s="1419"/>
      <c r="H10" s="1424"/>
      <c r="I10" s="1424"/>
    </row>
    <row r="11" spans="1:9">
      <c r="A11" s="355"/>
      <c r="B11" s="1425"/>
      <c r="C11" s="1426"/>
      <c r="D11" s="1422"/>
      <c r="E11" s="1423"/>
      <c r="F11" s="1419"/>
      <c r="G11" s="1419"/>
      <c r="H11" s="1424"/>
      <c r="I11" s="1424"/>
    </row>
    <row r="12" spans="1:9">
      <c r="A12" s="355"/>
      <c r="B12" s="1425"/>
      <c r="C12" s="1426"/>
      <c r="D12" s="1422"/>
      <c r="E12" s="1423"/>
      <c r="F12" s="1419"/>
      <c r="G12" s="1419"/>
      <c r="H12" s="1424"/>
      <c r="I12" s="1424"/>
    </row>
    <row r="13" spans="1:9">
      <c r="A13" s="355"/>
      <c r="B13" s="1425"/>
      <c r="C13" s="1426"/>
      <c r="D13" s="1422"/>
      <c r="E13" s="1422"/>
      <c r="F13" s="1419"/>
      <c r="G13" s="1419"/>
      <c r="H13" s="1424"/>
      <c r="I13" s="1424"/>
    </row>
    <row r="14" spans="1:9">
      <c r="A14" s="355"/>
      <c r="B14" s="1425"/>
      <c r="C14" s="1426"/>
      <c r="D14" s="1422"/>
      <c r="E14" s="1422"/>
      <c r="F14" s="1419"/>
      <c r="G14" s="1419"/>
      <c r="H14" s="1424"/>
      <c r="I14" s="1424"/>
    </row>
    <row r="15" spans="1:9">
      <c r="A15" s="355"/>
      <c r="B15" s="1425"/>
      <c r="C15" s="1426"/>
      <c r="D15" s="1422"/>
      <c r="E15" s="1422"/>
      <c r="F15" s="1419"/>
      <c r="G15" s="1419"/>
      <c r="H15" s="1424"/>
      <c r="I15" s="1424"/>
    </row>
    <row r="16" spans="1:9">
      <c r="A16" s="355"/>
      <c r="B16" s="1420"/>
      <c r="C16" s="1421"/>
      <c r="D16" s="1422"/>
      <c r="E16" s="1422"/>
      <c r="F16" s="1419"/>
      <c r="G16" s="1419"/>
      <c r="H16" s="1424"/>
      <c r="I16" s="1424"/>
    </row>
    <row r="17" spans="1:9">
      <c r="A17" s="355"/>
      <c r="B17" s="1425"/>
      <c r="C17" s="1426"/>
      <c r="D17" s="1422"/>
      <c r="E17" s="1422"/>
      <c r="F17" s="1419"/>
      <c r="G17" s="1419"/>
      <c r="H17" s="1424"/>
      <c r="I17" s="1424"/>
    </row>
    <row r="18" spans="1:9">
      <c r="A18" s="355"/>
      <c r="B18" s="1425"/>
      <c r="C18" s="1426"/>
      <c r="D18" s="1422"/>
      <c r="E18" s="1422"/>
      <c r="F18" s="1419"/>
      <c r="G18" s="1419"/>
      <c r="H18" s="1424"/>
      <c r="I18" s="1424"/>
    </row>
    <row r="19" spans="1:9">
      <c r="A19" s="355"/>
      <c r="B19" s="1425"/>
      <c r="C19" s="1426"/>
      <c r="D19" s="1422"/>
      <c r="E19" s="1422"/>
      <c r="F19" s="1419"/>
      <c r="G19" s="1419"/>
      <c r="H19" s="1424"/>
      <c r="I19" s="1424"/>
    </row>
    <row r="20" spans="1:9">
      <c r="A20" s="355"/>
      <c r="B20" s="1425"/>
      <c r="C20" s="1426"/>
      <c r="D20" s="1422"/>
      <c r="E20" s="1422"/>
      <c r="F20" s="1419"/>
      <c r="G20" s="1419"/>
      <c r="H20" s="1424"/>
      <c r="I20" s="1424"/>
    </row>
    <row r="21" spans="1:9">
      <c r="A21" s="355"/>
      <c r="B21" s="1425"/>
      <c r="C21" s="1426"/>
      <c r="D21" s="1422"/>
      <c r="E21" s="1422"/>
      <c r="F21" s="1419"/>
      <c r="G21" s="1419"/>
      <c r="H21" s="1424"/>
      <c r="I21" s="1424"/>
    </row>
    <row r="22" spans="1:9">
      <c r="A22" s="355"/>
      <c r="B22" s="1425"/>
      <c r="C22" s="1426"/>
      <c r="D22" s="1422"/>
      <c r="E22" s="1423"/>
      <c r="F22" s="1419"/>
      <c r="G22" s="1419"/>
      <c r="H22" s="1424"/>
      <c r="I22" s="1424"/>
    </row>
    <row r="23" spans="1:9">
      <c r="A23" s="355"/>
      <c r="B23" s="1425"/>
      <c r="C23" s="1426"/>
      <c r="D23" s="1422"/>
      <c r="E23" s="1423"/>
      <c r="F23" s="1419"/>
      <c r="G23" s="1419"/>
      <c r="H23" s="1424"/>
      <c r="I23" s="1424"/>
    </row>
    <row r="24" spans="1:9">
      <c r="A24" s="355"/>
      <c r="B24" s="1425"/>
      <c r="C24" s="1426"/>
      <c r="D24" s="1423"/>
      <c r="E24" s="1423"/>
      <c r="F24" s="1419"/>
      <c r="G24" s="1419"/>
      <c r="H24" s="1424"/>
      <c r="I24" s="1424"/>
    </row>
    <row r="25" spans="1:9">
      <c r="A25" s="355"/>
      <c r="B25" s="1425"/>
      <c r="C25" s="1426"/>
      <c r="D25" s="1423"/>
      <c r="E25" s="1423"/>
      <c r="F25" s="1419"/>
      <c r="G25" s="1419"/>
      <c r="H25" s="1424"/>
      <c r="I25" s="1424"/>
    </row>
    <row r="26" spans="1:9">
      <c r="A26" s="355"/>
      <c r="B26" s="1425"/>
      <c r="C26" s="1426"/>
      <c r="D26" s="1423"/>
      <c r="E26" s="1423"/>
      <c r="F26" s="1419"/>
      <c r="G26" s="1419"/>
      <c r="H26" s="1424"/>
      <c r="I26" s="1424"/>
    </row>
    <row r="27" spans="1:9">
      <c r="A27" s="355"/>
      <c r="B27" s="1425"/>
      <c r="C27" s="1426"/>
      <c r="D27" s="1423"/>
      <c r="E27" s="1423"/>
      <c r="F27" s="1419"/>
      <c r="G27" s="1419"/>
      <c r="H27" s="1424"/>
      <c r="I27" s="1424"/>
    </row>
    <row r="28" spans="1:9">
      <c r="A28" s="355"/>
      <c r="B28" s="1425"/>
      <c r="C28" s="1426"/>
      <c r="D28" s="1423"/>
      <c r="E28" s="1423"/>
      <c r="F28" s="1419"/>
      <c r="G28" s="1419"/>
      <c r="H28" s="1424"/>
      <c r="I28" s="1424"/>
    </row>
    <row r="29" spans="1:9">
      <c r="A29" s="355"/>
      <c r="B29" s="1425"/>
      <c r="C29" s="1426"/>
      <c r="D29" s="1423"/>
      <c r="E29" s="1423"/>
      <c r="F29" s="1419"/>
      <c r="G29" s="1419"/>
      <c r="H29" s="1424"/>
      <c r="I29" s="1424"/>
    </row>
    <row r="30" spans="1:9">
      <c r="A30" s="355"/>
      <c r="B30" s="1425"/>
      <c r="C30" s="1426"/>
      <c r="D30" s="1423"/>
      <c r="E30" s="1423"/>
      <c r="F30" s="1419"/>
      <c r="G30" s="1419"/>
      <c r="H30" s="1424"/>
      <c r="I30" s="1424"/>
    </row>
    <row r="31" spans="1:9">
      <c r="A31" s="355"/>
      <c r="B31" s="1425"/>
      <c r="C31" s="1426"/>
      <c r="D31" s="1423"/>
      <c r="E31" s="1423"/>
      <c r="F31" s="1419"/>
      <c r="G31" s="1419"/>
      <c r="H31" s="1424"/>
      <c r="I31" s="1424"/>
    </row>
    <row r="32" spans="1:9">
      <c r="A32" s="355"/>
      <c r="B32" s="1425"/>
      <c r="C32" s="1426"/>
      <c r="D32" s="1423"/>
      <c r="E32" s="1423"/>
      <c r="F32" s="1419"/>
      <c r="G32" s="1419"/>
      <c r="H32" s="1424"/>
      <c r="I32" s="1424"/>
    </row>
    <row r="33" spans="1:9">
      <c r="A33" s="355"/>
      <c r="B33" s="1425"/>
      <c r="C33" s="1426"/>
      <c r="D33" s="1423"/>
      <c r="E33" s="1423"/>
      <c r="F33" s="1419"/>
      <c r="G33" s="1419"/>
      <c r="H33" s="1424"/>
      <c r="I33" s="1424"/>
    </row>
    <row r="34" spans="1:9">
      <c r="A34" s="355"/>
      <c r="B34" s="1425"/>
      <c r="C34" s="1426"/>
      <c r="D34" s="1423"/>
      <c r="E34" s="1423"/>
      <c r="F34" s="1419"/>
      <c r="G34" s="1419"/>
      <c r="H34" s="1424"/>
      <c r="I34" s="1424"/>
    </row>
    <row r="35" spans="1:9">
      <c r="A35" s="355"/>
      <c r="B35" s="1425"/>
      <c r="C35" s="1426"/>
      <c r="D35" s="1423"/>
      <c r="E35" s="1423"/>
      <c r="F35" s="1419"/>
      <c r="G35" s="1419"/>
      <c r="H35" s="1424"/>
      <c r="I35" s="1424"/>
    </row>
    <row r="36" spans="1:9">
      <c r="A36" s="355"/>
      <c r="B36" s="1425"/>
      <c r="C36" s="1426"/>
      <c r="D36" s="1423"/>
      <c r="E36" s="1423"/>
      <c r="F36" s="1419"/>
      <c r="G36" s="1419"/>
      <c r="H36" s="1424"/>
      <c r="I36" s="1424"/>
    </row>
    <row r="37" spans="1:9">
      <c r="A37" s="355"/>
      <c r="B37" s="1425"/>
      <c r="C37" s="1426"/>
      <c r="D37" s="1423"/>
      <c r="E37" s="1423"/>
      <c r="F37" s="1419"/>
      <c r="G37" s="1419"/>
      <c r="H37" s="1424"/>
      <c r="I37" s="1424"/>
    </row>
    <row r="38" spans="1:9">
      <c r="A38" s="355"/>
      <c r="B38" s="1425"/>
      <c r="C38" s="1426"/>
      <c r="D38" s="1423"/>
      <c r="E38" s="1423"/>
      <c r="F38" s="1419"/>
      <c r="G38" s="1419"/>
      <c r="H38" s="1424"/>
      <c r="I38" s="1424"/>
    </row>
    <row r="39" spans="1:9">
      <c r="A39" s="355"/>
      <c r="B39" s="1425"/>
      <c r="C39" s="1426"/>
      <c r="D39" s="1423"/>
      <c r="E39" s="1423"/>
      <c r="F39" s="1419"/>
      <c r="G39" s="1419"/>
      <c r="H39" s="1424"/>
      <c r="I39" s="1424"/>
    </row>
    <row r="40" spans="1:9">
      <c r="A40" s="355"/>
      <c r="B40" s="1425"/>
      <c r="C40" s="1426"/>
      <c r="D40" s="1423"/>
      <c r="E40" s="1423"/>
      <c r="F40" s="1419"/>
      <c r="G40" s="1419"/>
      <c r="H40" s="1424"/>
      <c r="I40" s="1424"/>
    </row>
    <row r="41" spans="1:9">
      <c r="A41" s="355"/>
      <c r="B41" s="1425"/>
      <c r="C41" s="1426"/>
      <c r="D41" s="1423"/>
      <c r="E41" s="1423"/>
      <c r="F41" s="1419"/>
      <c r="G41" s="1419"/>
      <c r="H41" s="1424"/>
      <c r="I41" s="1424"/>
    </row>
    <row r="42" spans="1:9">
      <c r="A42" s="355"/>
      <c r="B42" s="1425"/>
      <c r="C42" s="1426"/>
      <c r="D42" s="1423"/>
      <c r="E42" s="1423"/>
      <c r="F42" s="1419"/>
      <c r="G42" s="1419"/>
      <c r="H42" s="1424"/>
      <c r="I42" s="1424"/>
    </row>
    <row r="43" spans="1:9">
      <c r="A43" s="355"/>
      <c r="B43" s="1425"/>
      <c r="C43" s="1426"/>
      <c r="D43" s="1423"/>
      <c r="E43" s="1423"/>
      <c r="F43" s="1419"/>
      <c r="G43" s="1419"/>
      <c r="H43" s="1424"/>
      <c r="I43" s="1424"/>
    </row>
    <row r="44" spans="1:9">
      <c r="A44" s="355"/>
      <c r="B44" s="1425"/>
      <c r="C44" s="1426"/>
      <c r="D44" s="1423"/>
      <c r="E44" s="1423"/>
      <c r="F44" s="1419"/>
      <c r="G44" s="1419"/>
      <c r="H44" s="1424"/>
      <c r="I44" s="1424"/>
    </row>
    <row r="45" spans="1:9">
      <c r="A45" s="355"/>
      <c r="B45" s="1425"/>
      <c r="C45" s="1426"/>
      <c r="D45" s="1423"/>
      <c r="E45" s="1423"/>
      <c r="F45" s="1419"/>
      <c r="G45" s="1419"/>
      <c r="H45" s="1424"/>
      <c r="I45" s="1424"/>
    </row>
    <row r="46" spans="1:9">
      <c r="A46" s="355"/>
      <c r="B46" s="1425"/>
      <c r="C46" s="1426"/>
      <c r="D46" s="1423"/>
      <c r="E46" s="1423"/>
      <c r="F46" s="1419"/>
      <c r="G46" s="1419"/>
      <c r="H46" s="1424"/>
      <c r="I46" s="1424"/>
    </row>
    <row r="47" spans="1:9">
      <c r="A47" s="355"/>
      <c r="B47" s="1425"/>
      <c r="C47" s="1426"/>
      <c r="D47" s="1423"/>
      <c r="E47" s="1423"/>
      <c r="F47" s="1419"/>
      <c r="G47" s="1419"/>
      <c r="H47" s="1424"/>
      <c r="I47" s="1424"/>
    </row>
    <row r="59" spans="8:8">
      <c r="H59" s="353" t="e">
        <f>G59/F59</f>
        <v>#DIV/0!</v>
      </c>
    </row>
  </sheetData>
  <phoneticPr fontId="4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9"/>
  <sheetViews>
    <sheetView zoomScaleNormal="100" workbookViewId="0">
      <selection activeCell="M15" sqref="M15"/>
    </sheetView>
  </sheetViews>
  <sheetFormatPr defaultRowHeight="13.5" outlineLevelRow="1" outlineLevelCol="1"/>
  <cols>
    <col min="1" max="1" width="44.5703125" style="2432" customWidth="1"/>
    <col min="2" max="3" width="9.7109375" style="2432" customWidth="1"/>
    <col min="4" max="5" width="9.7109375" style="2432" hidden="1" customWidth="1" outlineLevel="1"/>
    <col min="6" max="6" width="7.85546875" style="2432" customWidth="1" collapsed="1"/>
    <col min="7" max="7" width="8.7109375" style="2432" hidden="1" customWidth="1" outlineLevel="1"/>
    <col min="8" max="8" width="7.85546875" style="2432" hidden="1" customWidth="1" outlineLevel="1"/>
    <col min="9" max="9" width="3.28515625" style="2432" customWidth="1" collapsed="1"/>
    <col min="10" max="10" width="9.5703125" style="2432" hidden="1" customWidth="1"/>
    <col min="11" max="11" width="9.140625" style="2432"/>
    <col min="12" max="12" width="15.85546875" style="2432" customWidth="1"/>
    <col min="13" max="13" width="22.140625" style="2432" customWidth="1"/>
    <col min="14" max="14" width="14.140625" style="2515" customWidth="1"/>
    <col min="15" max="16384" width="9.140625" style="2432"/>
  </cols>
  <sheetData>
    <row r="1" spans="1:14" ht="20.25">
      <c r="A1" s="2428">
        <v>1</v>
      </c>
      <c r="B1" s="2429">
        <v>0.78195586006333873</v>
      </c>
      <c r="C1" s="2429"/>
      <c r="D1" s="2429"/>
      <c r="E1" s="2429"/>
      <c r="F1" s="2430"/>
      <c r="G1" s="2431"/>
      <c r="H1" s="2430"/>
    </row>
    <row r="2" spans="1:14" ht="14.25">
      <c r="A2" s="2433"/>
      <c r="B2" s="2434" t="s">
        <v>1635</v>
      </c>
      <c r="C2" s="2485" t="s">
        <v>1636</v>
      </c>
      <c r="D2" s="2485" t="s">
        <v>1637</v>
      </c>
      <c r="E2" s="2485" t="s">
        <v>1638</v>
      </c>
      <c r="F2" s="2435"/>
      <c r="G2" s="2488"/>
      <c r="H2" s="2435"/>
      <c r="J2" s="2434"/>
    </row>
    <row r="3" spans="1:14" ht="14.25">
      <c r="A3" s="2436" t="s">
        <v>1609</v>
      </c>
      <c r="B3" s="2437" t="s">
        <v>1610</v>
      </c>
      <c r="C3" s="2486" t="s">
        <v>1610</v>
      </c>
      <c r="D3" s="2486" t="s">
        <v>1610</v>
      </c>
      <c r="E3" s="2486" t="s">
        <v>1610</v>
      </c>
      <c r="F3" s="2438" t="s">
        <v>90</v>
      </c>
      <c r="G3" s="2489" t="s">
        <v>1610</v>
      </c>
      <c r="H3" s="2438" t="s">
        <v>90</v>
      </c>
      <c r="J3" s="2439"/>
    </row>
    <row r="4" spans="1:14" ht="15" thickBot="1">
      <c r="A4" s="2440" t="s">
        <v>438</v>
      </c>
      <c r="B4" s="2441" t="s">
        <v>1611</v>
      </c>
      <c r="C4" s="2487" t="s">
        <v>1611</v>
      </c>
      <c r="D4" s="2487" t="s">
        <v>1611</v>
      </c>
      <c r="E4" s="2487" t="s">
        <v>1611</v>
      </c>
      <c r="F4" s="2442"/>
      <c r="G4" s="2490" t="s">
        <v>1130</v>
      </c>
      <c r="H4" s="2442"/>
      <c r="J4" s="2441" t="s">
        <v>1612</v>
      </c>
    </row>
    <row r="5" spans="1:14" ht="15" thickTop="1">
      <c r="A5" s="2443" t="s">
        <v>781</v>
      </c>
      <c r="B5" s="2444">
        <f ca="1">C5</f>
        <v>202.81717578253011</v>
      </c>
      <c r="C5" s="2444">
        <f ca="1">C45*1.15</f>
        <v>202.81717578253011</v>
      </c>
      <c r="D5" s="2444">
        <f t="shared" ref="D5" ca="1" si="0">D45</f>
        <v>0</v>
      </c>
      <c r="E5" s="2444">
        <f ca="1">E45</f>
        <v>0</v>
      </c>
      <c r="F5" s="2445"/>
      <c r="G5" s="2491">
        <f ca="1">B5*$A$1</f>
        <v>202.81717578253011</v>
      </c>
      <c r="H5" s="2445">
        <f ca="1">IF(G$5=0,"",+G5/G$5)</f>
        <v>1</v>
      </c>
      <c r="J5" s="2443">
        <f ca="1">+G5*1.17</f>
        <v>237.29609566556022</v>
      </c>
      <c r="L5" s="2525"/>
      <c r="M5" s="2446"/>
    </row>
    <row r="6" spans="1:14" ht="14.25">
      <c r="A6" s="2447"/>
      <c r="B6" s="2447"/>
      <c r="C6" s="2447"/>
      <c r="D6" s="2447"/>
      <c r="E6" s="2447"/>
      <c r="F6" s="2496"/>
      <c r="G6" s="2447">
        <v>0</v>
      </c>
      <c r="H6" s="2448"/>
    </row>
    <row r="7" spans="1:14" ht="14.25">
      <c r="A7" s="2449" t="s">
        <v>256</v>
      </c>
      <c r="B7" s="2449">
        <f>SUM(C7:E7)</f>
        <v>5.4037478356012549</v>
      </c>
      <c r="C7" s="2449">
        <f>'Estimate Summary'!F26+'Estimate Summary'!F37</f>
        <v>5.4037478356012549</v>
      </c>
      <c r="D7" s="2449">
        <f>'Estimate Summary'!G26+'Estimate Summary'!G37</f>
        <v>0</v>
      </c>
      <c r="E7" s="2449">
        <f>'Estimate Summary'!H26+'Estimate Summary'!H37</f>
        <v>0</v>
      </c>
      <c r="F7" s="2450">
        <f ca="1">IF(B$45=0,"",+B7/B$45)</f>
        <v>3.0639959298145003E-2</v>
      </c>
      <c r="G7" s="2491">
        <f>B7*$A$1</f>
        <v>5.4037478356012549</v>
      </c>
      <c r="H7" s="2450">
        <f t="shared" ref="H7:H24" ca="1" si="1">IF(G$5=0,"",+G7/G$5)</f>
        <v>2.6643442867952175E-2</v>
      </c>
      <c r="J7" s="2446"/>
      <c r="L7" s="2511"/>
      <c r="M7" s="2512"/>
      <c r="N7" s="2516"/>
    </row>
    <row r="8" spans="1:14" ht="14.25">
      <c r="A8" s="2449" t="s">
        <v>756</v>
      </c>
      <c r="B8" s="2449">
        <f t="shared" ref="B8:B16" si="2">SUM(C8:E8)</f>
        <v>0</v>
      </c>
      <c r="C8" s="2449"/>
      <c r="D8" s="2449"/>
      <c r="E8" s="2449"/>
      <c r="F8" s="2450">
        <f t="shared" ref="F8:F44" ca="1" si="3">IF(B$45=0,"",+B8/B$45)</f>
        <v>0</v>
      </c>
      <c r="G8" s="2491">
        <f t="shared" ref="G8:G16" si="4">B8*$A$1</f>
        <v>0</v>
      </c>
      <c r="H8" s="2450">
        <f t="shared" ca="1" si="1"/>
        <v>0</v>
      </c>
      <c r="L8" s="2513"/>
      <c r="M8" s="2513"/>
      <c r="N8" s="2516"/>
    </row>
    <row r="9" spans="1:14" ht="14.25">
      <c r="A9" s="2449" t="s">
        <v>334</v>
      </c>
      <c r="B9" s="2449">
        <f t="shared" si="2"/>
        <v>93.6268400850239</v>
      </c>
      <c r="C9" s="2449">
        <f>'Estimate Summary'!F27</f>
        <v>93.6268400850239</v>
      </c>
      <c r="D9" s="2449">
        <f>'Estimate Summary'!G27</f>
        <v>0</v>
      </c>
      <c r="E9" s="2449">
        <f>'Estimate Summary'!H27</f>
        <v>0</v>
      </c>
      <c r="F9" s="2450">
        <f t="shared" ca="1" si="3"/>
        <v>0.53087646883135342</v>
      </c>
      <c r="G9" s="2491">
        <f t="shared" si="4"/>
        <v>93.6268400850239</v>
      </c>
      <c r="H9" s="2450">
        <f t="shared" ca="1" si="1"/>
        <v>0.46163171202726389</v>
      </c>
      <c r="L9" s="2514"/>
      <c r="M9" s="2512"/>
      <c r="N9" s="2516"/>
    </row>
    <row r="10" spans="1:14" ht="14.25">
      <c r="A10" s="2449" t="s">
        <v>122</v>
      </c>
      <c r="B10" s="2449">
        <f t="shared" si="2"/>
        <v>2.4</v>
      </c>
      <c r="C10" s="2449">
        <f>'Estimate Summary'!F38</f>
        <v>2.4</v>
      </c>
      <c r="D10" s="2449">
        <f>'Estimate Summary'!G38</f>
        <v>0</v>
      </c>
      <c r="E10" s="2449">
        <f>'Estimate Summary'!H38</f>
        <v>0</v>
      </c>
      <c r="F10" s="2450">
        <f t="shared" ca="1" si="3"/>
        <v>1.3608314923778441E-2</v>
      </c>
      <c r="G10" s="2491">
        <f t="shared" si="4"/>
        <v>2.4</v>
      </c>
      <c r="H10" s="2450">
        <f t="shared" ca="1" si="1"/>
        <v>1.1833317325024731E-2</v>
      </c>
      <c r="L10" s="2514"/>
      <c r="M10" s="2512"/>
      <c r="N10" s="2516"/>
    </row>
    <row r="11" spans="1:14" ht="14.25">
      <c r="A11" s="2449" t="s">
        <v>123</v>
      </c>
      <c r="B11" s="2449">
        <f t="shared" si="2"/>
        <v>39.655000000000001</v>
      </c>
      <c r="C11" s="2449">
        <f>'Estimate Summary'!F39</f>
        <v>39.655000000000001</v>
      </c>
      <c r="D11" s="2449">
        <f>'Estimate Summary'!G39</f>
        <v>0</v>
      </c>
      <c r="E11" s="2449">
        <f>'Estimate Summary'!H39</f>
        <v>0</v>
      </c>
      <c r="F11" s="2450">
        <f t="shared" ca="1" si="3"/>
        <v>0.22484905345934753</v>
      </c>
      <c r="G11" s="2491">
        <f t="shared" si="4"/>
        <v>39.655000000000001</v>
      </c>
      <c r="H11" s="2450">
        <f t="shared" ca="1" si="1"/>
        <v>0.19552091605160657</v>
      </c>
      <c r="L11" s="2511"/>
      <c r="M11" s="2512"/>
      <c r="N11" s="2516"/>
    </row>
    <row r="12" spans="1:14" ht="14.25">
      <c r="A12" s="2449" t="s">
        <v>238</v>
      </c>
      <c r="B12" s="2449">
        <f t="shared" si="2"/>
        <v>28</v>
      </c>
      <c r="C12" s="2449">
        <f>'Estimate Summary'!F40</f>
        <v>28</v>
      </c>
      <c r="D12" s="2449">
        <f>'Estimate Summary'!G40</f>
        <v>0</v>
      </c>
      <c r="E12" s="2449">
        <f>'Estimate Summary'!H40</f>
        <v>0</v>
      </c>
      <c r="F12" s="2450">
        <f t="shared" ca="1" si="3"/>
        <v>0.15876367411074849</v>
      </c>
      <c r="G12" s="2491">
        <f t="shared" si="4"/>
        <v>28</v>
      </c>
      <c r="H12" s="2450">
        <f t="shared" ca="1" si="1"/>
        <v>0.13805536879195521</v>
      </c>
      <c r="L12" s="2513"/>
      <c r="M12" s="2513"/>
      <c r="N12" s="2516"/>
    </row>
    <row r="13" spans="1:14" ht="14.25">
      <c r="A13" s="2449" t="s">
        <v>239</v>
      </c>
      <c r="B13" s="2449">
        <f t="shared" si="2"/>
        <v>0</v>
      </c>
      <c r="C13" s="2449"/>
      <c r="D13" s="2449"/>
      <c r="E13" s="2449"/>
      <c r="F13" s="2450">
        <f t="shared" ca="1" si="3"/>
        <v>0</v>
      </c>
      <c r="G13" s="2491">
        <f t="shared" si="4"/>
        <v>0</v>
      </c>
      <c r="H13" s="2450">
        <f t="shared" ca="1" si="1"/>
        <v>0</v>
      </c>
      <c r="L13" s="2514"/>
      <c r="M13" s="2512"/>
      <c r="N13" s="2516"/>
    </row>
    <row r="14" spans="1:14" ht="14.25">
      <c r="A14" s="2449" t="s">
        <v>74</v>
      </c>
      <c r="B14" s="2449">
        <f t="shared" si="2"/>
        <v>0</v>
      </c>
      <c r="C14" s="2449"/>
      <c r="D14" s="2449"/>
      <c r="E14" s="2449"/>
      <c r="F14" s="2450">
        <f t="shared" ca="1" si="3"/>
        <v>0</v>
      </c>
      <c r="G14" s="2491">
        <f t="shared" si="4"/>
        <v>0</v>
      </c>
      <c r="H14" s="2450">
        <f t="shared" ca="1" si="1"/>
        <v>0</v>
      </c>
      <c r="L14" s="2514"/>
      <c r="M14" s="2512"/>
      <c r="N14" s="2516"/>
    </row>
    <row r="15" spans="1:14" ht="14.25">
      <c r="A15" s="2449" t="s">
        <v>240</v>
      </c>
      <c r="B15" s="2449">
        <f t="shared" si="2"/>
        <v>0</v>
      </c>
      <c r="C15" s="2449"/>
      <c r="D15" s="2449"/>
      <c r="E15" s="2449"/>
      <c r="F15" s="2450">
        <f t="shared" ca="1" si="3"/>
        <v>0</v>
      </c>
      <c r="G15" s="2491">
        <f t="shared" si="4"/>
        <v>0</v>
      </c>
      <c r="H15" s="2450">
        <f t="shared" ca="1" si="1"/>
        <v>0</v>
      </c>
      <c r="L15" s="2514"/>
      <c r="M15" s="2512"/>
      <c r="N15" s="2516"/>
    </row>
    <row r="16" spans="1:14" ht="14.25">
      <c r="A16" s="2449" t="s">
        <v>757</v>
      </c>
      <c r="B16" s="2449">
        <f t="shared" si="2"/>
        <v>0</v>
      </c>
      <c r="C16" s="2449"/>
      <c r="D16" s="2449"/>
      <c r="E16" s="2449"/>
      <c r="F16" s="2450">
        <f t="shared" ca="1" si="3"/>
        <v>0</v>
      </c>
      <c r="G16" s="2491">
        <f t="shared" si="4"/>
        <v>0</v>
      </c>
      <c r="H16" s="2450">
        <f t="shared" ca="1" si="1"/>
        <v>0</v>
      </c>
      <c r="L16" s="2513"/>
      <c r="M16" s="2512"/>
      <c r="N16" s="2516"/>
    </row>
    <row r="17" spans="1:10" ht="11.25" customHeight="1" thickBot="1">
      <c r="A17" s="2451"/>
      <c r="B17" s="2452"/>
      <c r="C17" s="2452"/>
      <c r="D17" s="2452"/>
      <c r="E17" s="2452"/>
      <c r="F17" s="2497"/>
      <c r="G17" s="2452"/>
      <c r="H17" s="2453"/>
    </row>
    <row r="18" spans="1:10" ht="15" thickTop="1">
      <c r="A18" s="2443" t="s">
        <v>1613</v>
      </c>
      <c r="B18" s="2443">
        <f>SUM(B7:B16)</f>
        <v>169.08558792062516</v>
      </c>
      <c r="C18" s="2462">
        <f t="shared" ref="C18:E18" si="5">SUM(C7:C16)</f>
        <v>169.08558792062516</v>
      </c>
      <c r="D18" s="2462">
        <f t="shared" si="5"/>
        <v>0</v>
      </c>
      <c r="E18" s="2462">
        <f t="shared" si="5"/>
        <v>0</v>
      </c>
      <c r="F18" s="2479">
        <f t="shared" ca="1" si="3"/>
        <v>0.95873747062337289</v>
      </c>
      <c r="G18" s="2492">
        <f>SUM(G7:G16)</f>
        <v>169.08558792062516</v>
      </c>
      <c r="H18" s="2479">
        <f ca="1">IF(G$5=0,"",+G18/G$5)</f>
        <v>0.83368475706380252</v>
      </c>
      <c r="J18" s="2446"/>
    </row>
    <row r="19" spans="1:10" ht="9" customHeight="1" thickBot="1">
      <c r="A19" s="2451"/>
      <c r="B19" s="2452"/>
      <c r="C19" s="2452"/>
      <c r="D19" s="2452"/>
      <c r="E19" s="2452"/>
      <c r="F19" s="2497"/>
      <c r="G19" s="2452"/>
      <c r="H19" s="2453"/>
    </row>
    <row r="20" spans="1:10" ht="15" thickTop="1">
      <c r="A20" s="2449" t="s">
        <v>759</v>
      </c>
      <c r="B20" s="2449">
        <f t="shared" ref="B20:B24" si="6">SUM(C20:E20)</f>
        <v>0</v>
      </c>
      <c r="C20" s="2449"/>
      <c r="D20" s="2449"/>
      <c r="E20" s="2449"/>
      <c r="F20" s="2450">
        <f t="shared" ca="1" si="3"/>
        <v>0</v>
      </c>
      <c r="G20" s="2491">
        <f t="shared" ref="G20:G23" si="7">B20*$A$1</f>
        <v>0</v>
      </c>
      <c r="H20" s="2450">
        <f t="shared" ca="1" si="1"/>
        <v>0</v>
      </c>
    </row>
    <row r="21" spans="1:10" ht="14.25">
      <c r="A21" s="2449" t="s">
        <v>242</v>
      </c>
      <c r="B21" s="2449">
        <f ca="1">SUM(C21:E21)</f>
        <v>5.2908828465007858</v>
      </c>
      <c r="C21" s="2449">
        <f ca="1">C45*3%</f>
        <v>5.2908828465007858</v>
      </c>
      <c r="D21" s="2449">
        <f t="shared" ref="D21" ca="1" si="8">D5*3%</f>
        <v>0</v>
      </c>
      <c r="E21" s="2449">
        <f ca="1">E5*3%</f>
        <v>0</v>
      </c>
      <c r="F21" s="2450">
        <f t="shared" ca="1" si="3"/>
        <v>0.03</v>
      </c>
      <c r="G21" s="2491">
        <f t="shared" ca="1" si="7"/>
        <v>5.2908828465007858</v>
      </c>
      <c r="H21" s="2450">
        <f t="shared" ca="1" si="1"/>
        <v>2.6086956521739132E-2</v>
      </c>
    </row>
    <row r="22" spans="1:10" ht="14.25">
      <c r="A22" s="2449" t="s">
        <v>1640</v>
      </c>
      <c r="B22" s="2449">
        <f t="shared" si="6"/>
        <v>0</v>
      </c>
      <c r="C22" s="2449"/>
      <c r="D22" s="2449"/>
      <c r="E22" s="2449"/>
      <c r="F22" s="2450">
        <f t="shared" ca="1" si="3"/>
        <v>0</v>
      </c>
      <c r="G22" s="2491">
        <f t="shared" si="7"/>
        <v>0</v>
      </c>
      <c r="H22" s="2450">
        <f t="shared" ca="1" si="1"/>
        <v>0</v>
      </c>
    </row>
    <row r="23" spans="1:10" ht="14.25">
      <c r="A23" s="2449" t="s">
        <v>75</v>
      </c>
      <c r="B23" s="2449">
        <f t="shared" ca="1" si="6"/>
        <v>5.290882846500785E-2</v>
      </c>
      <c r="C23" s="2628">
        <f ca="1">C45*0.03%</f>
        <v>5.290882846500785E-2</v>
      </c>
      <c r="D23" s="2449"/>
      <c r="E23" s="2449"/>
      <c r="F23" s="2475">
        <f ca="1">IF(B$45=0,"",+B23/B$45)</f>
        <v>2.9999999999999997E-4</v>
      </c>
      <c r="G23" s="2491">
        <f t="shared" ca="1" si="7"/>
        <v>5.290882846500785E-2</v>
      </c>
      <c r="H23" s="2450">
        <f t="shared" ca="1" si="1"/>
        <v>2.6086956521739128E-4</v>
      </c>
    </row>
    <row r="24" spans="1:10" ht="14.25">
      <c r="A24" s="2455" t="s">
        <v>776</v>
      </c>
      <c r="B24" s="2449">
        <f t="shared" ca="1" si="6"/>
        <v>174.42937959559094</v>
      </c>
      <c r="C24" s="2449">
        <f t="shared" ref="C24:D24" ca="1" si="9">SUM(C18,C20:C23)</f>
        <v>174.42937959559094</v>
      </c>
      <c r="D24" s="2449">
        <f t="shared" ca="1" si="9"/>
        <v>0</v>
      </c>
      <c r="E24" s="2449">
        <f ca="1">SUM(E18,E20:E23)</f>
        <v>0</v>
      </c>
      <c r="F24" s="2445">
        <f t="shared" ca="1" si="3"/>
        <v>0.98903747062337288</v>
      </c>
      <c r="G24" s="2491">
        <f ca="1">SUM(G18,G20:G23)</f>
        <v>174.42937959559094</v>
      </c>
      <c r="H24" s="2445">
        <f t="shared" ca="1" si="1"/>
        <v>0.86003258315075903</v>
      </c>
    </row>
    <row r="25" spans="1:10" ht="7.5" customHeight="1" thickBot="1">
      <c r="A25" s="2451"/>
      <c r="B25" s="2452"/>
      <c r="C25" s="2452"/>
      <c r="D25" s="2452"/>
      <c r="E25" s="2452"/>
      <c r="F25" s="2497"/>
      <c r="G25" s="2452"/>
      <c r="H25" s="2453"/>
    </row>
    <row r="26" spans="1:10" ht="15.75" thickTop="1" thickBot="1">
      <c r="A26" s="2483" t="s">
        <v>777</v>
      </c>
      <c r="B26" s="2481">
        <f ca="1">B5-B24</f>
        <v>28.38779618693917</v>
      </c>
      <c r="C26" s="2481">
        <f t="shared" ref="C26:D26" ca="1" si="10">C5-C24</f>
        <v>28.38779618693917</v>
      </c>
      <c r="D26" s="2481">
        <f t="shared" ca="1" si="10"/>
        <v>0</v>
      </c>
      <c r="E26" s="2481">
        <f ca="1">E5-E24</f>
        <v>0</v>
      </c>
      <c r="F26" s="2482">
        <f t="shared" ca="1" si="3"/>
        <v>0.16096252937662708</v>
      </c>
      <c r="G26" s="2493">
        <f ca="1">G5-G24</f>
        <v>28.38779618693917</v>
      </c>
      <c r="H26" s="2482">
        <f ca="1">IF(G$5=0,"",+G26/G$5)</f>
        <v>0.13996741684924097</v>
      </c>
    </row>
    <row r="27" spans="1:10" ht="9" customHeight="1" thickTop="1" thickBot="1">
      <c r="A27" s="2451"/>
      <c r="B27" s="2456">
        <v>0.84318016046681254</v>
      </c>
      <c r="C27" s="2456"/>
      <c r="D27" s="2456"/>
      <c r="E27" s="2456"/>
      <c r="F27" s="2498">
        <f t="shared" ca="1" si="3"/>
        <v>4.7809421504643439E-3</v>
      </c>
      <c r="G27" s="2453"/>
      <c r="H27" s="2456"/>
    </row>
    <row r="28" spans="1:10" ht="15" thickTop="1">
      <c r="A28" s="2449" t="s">
        <v>241</v>
      </c>
      <c r="B28" s="2449">
        <f t="shared" ref="B28:B32" ca="1" si="11">SUM(C28:E28)</f>
        <v>6.0845152734759031E-2</v>
      </c>
      <c r="C28" s="2449">
        <f ca="1">C5*0.03%</f>
        <v>6.0845152734759031E-2</v>
      </c>
      <c r="D28" s="2449">
        <f t="shared" ref="D28" ca="1" si="12">D5*0.03%</f>
        <v>0</v>
      </c>
      <c r="E28" s="2449">
        <f ca="1">E5*0.03%</f>
        <v>0</v>
      </c>
      <c r="F28" s="2475">
        <f t="shared" ca="1" si="3"/>
        <v>3.4499999999999998E-4</v>
      </c>
      <c r="G28" s="2491">
        <f t="shared" ref="G28:G32" ca="1" si="13">B28*$A$1</f>
        <v>6.0845152734759031E-2</v>
      </c>
      <c r="H28" s="2450">
        <f t="shared" ref="H28:H32" ca="1" si="14">IF(G$5=0,"",+G28/G$5)</f>
        <v>2.9999999999999997E-4</v>
      </c>
    </row>
    <row r="29" spans="1:10" ht="14.25">
      <c r="A29" s="2449" t="s">
        <v>761</v>
      </c>
      <c r="B29" s="2449">
        <f t="shared" si="11"/>
        <v>1.872536801700478</v>
      </c>
      <c r="C29" s="2449">
        <f>'Estimate Detail'!H48*2%</f>
        <v>1.872536801700478</v>
      </c>
      <c r="D29" s="2449"/>
      <c r="E29" s="2449"/>
      <c r="F29" s="2450">
        <f t="shared" ca="1" si="3"/>
        <v>1.0617529376627069E-2</v>
      </c>
      <c r="G29" s="2491">
        <f t="shared" si="13"/>
        <v>1.872536801700478</v>
      </c>
      <c r="H29" s="2450">
        <f t="shared" ca="1" si="14"/>
        <v>9.2326342405452781E-3</v>
      </c>
    </row>
    <row r="30" spans="1:10" ht="14.25">
      <c r="A30" s="2449" t="s">
        <v>762</v>
      </c>
      <c r="B30" s="2449">
        <f t="shared" si="11"/>
        <v>0</v>
      </c>
      <c r="C30" s="2449"/>
      <c r="D30" s="2449"/>
      <c r="E30" s="2449"/>
      <c r="F30" s="2450">
        <f t="shared" ca="1" si="3"/>
        <v>0</v>
      </c>
      <c r="G30" s="2491">
        <f t="shared" si="13"/>
        <v>0</v>
      </c>
      <c r="H30" s="2450">
        <f t="shared" ca="1" si="14"/>
        <v>0</v>
      </c>
    </row>
    <row r="31" spans="1:10" ht="14.25">
      <c r="A31" s="2449" t="s">
        <v>763</v>
      </c>
      <c r="B31" s="2449">
        <f t="shared" si="11"/>
        <v>0</v>
      </c>
      <c r="C31" s="2449"/>
      <c r="D31" s="2449"/>
      <c r="E31" s="2449"/>
      <c r="F31" s="2450">
        <f t="shared" ca="1" si="3"/>
        <v>0</v>
      </c>
      <c r="G31" s="2491">
        <f t="shared" si="13"/>
        <v>0</v>
      </c>
      <c r="H31" s="2450">
        <f t="shared" ca="1" si="14"/>
        <v>0</v>
      </c>
    </row>
    <row r="32" spans="1:10" ht="14.25">
      <c r="A32" s="2449" t="s">
        <v>75</v>
      </c>
      <c r="B32" s="2449">
        <f t="shared" si="11"/>
        <v>0</v>
      </c>
      <c r="C32" s="2449"/>
      <c r="D32" s="2449"/>
      <c r="E32" s="2449"/>
      <c r="F32" s="2450">
        <f t="shared" ca="1" si="3"/>
        <v>0</v>
      </c>
      <c r="G32" s="2491">
        <f t="shared" si="13"/>
        <v>0</v>
      </c>
      <c r="H32" s="2450">
        <f t="shared" ca="1" si="14"/>
        <v>0</v>
      </c>
    </row>
    <row r="33" spans="1:10" ht="15" thickBot="1">
      <c r="A33" s="2457" t="s">
        <v>778</v>
      </c>
      <c r="B33" s="2457">
        <f ca="1">SUM(B24,B28:B32)</f>
        <v>176.36276155002619</v>
      </c>
      <c r="C33" s="2457">
        <f t="shared" ref="C33:D33" ca="1" si="15">SUM(C24,C28:C32)</f>
        <v>176.36276155002619</v>
      </c>
      <c r="D33" s="2457">
        <f t="shared" ca="1" si="15"/>
        <v>0</v>
      </c>
      <c r="E33" s="2457">
        <f ca="1">SUM(E24,E28:E32)</f>
        <v>0</v>
      </c>
      <c r="F33" s="2458">
        <f t="shared" ca="1" si="3"/>
        <v>1</v>
      </c>
      <c r="G33" s="2494">
        <f ca="1">SUM(G24,G28:G32)</f>
        <v>176.36276155002619</v>
      </c>
      <c r="H33" s="2458">
        <f ca="1">IF(G$5=0,"",+G33/G$5)</f>
        <v>0.86956521739130432</v>
      </c>
    </row>
    <row r="34" spans="1:10" ht="15.75" thickTop="1" thickBot="1">
      <c r="A34" s="2451"/>
      <c r="B34" s="2451"/>
      <c r="C34" s="2451"/>
      <c r="D34" s="2451"/>
      <c r="E34" s="2451"/>
      <c r="F34" s="2499"/>
      <c r="G34" s="2451">
        <v>0</v>
      </c>
      <c r="H34" s="2459"/>
    </row>
    <row r="35" spans="1:10" ht="15.75" thickTop="1" thickBot="1">
      <c r="A35" s="2484" t="s">
        <v>779</v>
      </c>
      <c r="B35" s="2481">
        <f ca="1">B5-B33</f>
        <v>26.454414232503922</v>
      </c>
      <c r="C35" s="2457">
        <f t="shared" ref="C35:D35" ca="1" si="16">C5-C33</f>
        <v>26.454414232503922</v>
      </c>
      <c r="D35" s="2457">
        <f t="shared" ca="1" si="16"/>
        <v>0</v>
      </c>
      <c r="E35" s="2457">
        <f ca="1">E5-E33</f>
        <v>0</v>
      </c>
      <c r="F35" s="2458">
        <f ca="1">IF(B$45=0,"",+B35/B$45)</f>
        <v>0.14999999999999997</v>
      </c>
      <c r="G35" s="2494">
        <f ca="1">G5-G33</f>
        <v>26.454414232503922</v>
      </c>
      <c r="H35" s="2458">
        <f ca="1">IF(G$5=0,"",+G35/G$5)</f>
        <v>0.13043478260869562</v>
      </c>
      <c r="J35" s="2446"/>
    </row>
    <row r="36" spans="1:10" ht="15.75" thickTop="1" thickBot="1">
      <c r="A36" s="2460"/>
      <c r="B36" s="2460"/>
      <c r="C36" s="2460"/>
      <c r="D36" s="2460"/>
      <c r="E36" s="2460"/>
      <c r="F36" s="2496"/>
      <c r="G36" s="2460">
        <v>0</v>
      </c>
      <c r="H36" s="2448"/>
    </row>
    <row r="37" spans="1:10" ht="15" thickTop="1">
      <c r="A37" s="2461" t="s">
        <v>243</v>
      </c>
      <c r="B37" s="2461">
        <f t="shared" ref="B37:B44" si="17">SUM(C37:E37)</f>
        <v>0</v>
      </c>
      <c r="C37" s="2461"/>
      <c r="D37" s="2461"/>
      <c r="E37" s="2461"/>
      <c r="F37" s="2463">
        <f t="shared" ca="1" si="3"/>
        <v>0</v>
      </c>
      <c r="G37" s="2492">
        <f t="shared" ref="G37:G42" si="18">B37*$A$1</f>
        <v>0</v>
      </c>
      <c r="H37" s="2463">
        <f t="shared" ref="H37:H45" ca="1" si="19">IF(G$5=0,"",+G37/G$5)</f>
        <v>0</v>
      </c>
    </row>
    <row r="38" spans="1:10" ht="14.25">
      <c r="A38" s="2449" t="s">
        <v>766</v>
      </c>
      <c r="B38" s="2449">
        <f t="shared" si="17"/>
        <v>0</v>
      </c>
      <c r="C38" s="2464"/>
      <c r="D38" s="2464"/>
      <c r="E38" s="2464"/>
      <c r="F38" s="2450">
        <f t="shared" ca="1" si="3"/>
        <v>0</v>
      </c>
      <c r="G38" s="2491">
        <f t="shared" si="18"/>
        <v>0</v>
      </c>
      <c r="H38" s="2450">
        <f t="shared" ca="1" si="19"/>
        <v>0</v>
      </c>
    </row>
    <row r="39" spans="1:10" ht="14.25">
      <c r="A39" s="2449" t="s">
        <v>767</v>
      </c>
      <c r="B39" s="2449">
        <f t="shared" si="17"/>
        <v>0</v>
      </c>
      <c r="C39" s="2464"/>
      <c r="D39" s="2464"/>
      <c r="E39" s="2464"/>
      <c r="F39" s="2450">
        <f t="shared" ca="1" si="3"/>
        <v>0</v>
      </c>
      <c r="G39" s="2491">
        <f t="shared" si="18"/>
        <v>0</v>
      </c>
      <c r="H39" s="2450">
        <f t="shared" ca="1" si="19"/>
        <v>0</v>
      </c>
    </row>
    <row r="40" spans="1:10" ht="14.25">
      <c r="A40" s="2449" t="s">
        <v>768</v>
      </c>
      <c r="B40" s="2449">
        <f t="shared" si="17"/>
        <v>0</v>
      </c>
      <c r="C40" s="2464"/>
      <c r="D40" s="2464"/>
      <c r="E40" s="2464"/>
      <c r="F40" s="2450">
        <f t="shared" ca="1" si="3"/>
        <v>0</v>
      </c>
      <c r="G40" s="2491">
        <f t="shared" si="18"/>
        <v>0</v>
      </c>
      <c r="H40" s="2450">
        <f t="shared" ca="1" si="19"/>
        <v>0</v>
      </c>
    </row>
    <row r="41" spans="1:10" ht="14.25">
      <c r="A41" s="2449" t="s">
        <v>769</v>
      </c>
      <c r="B41" s="2449">
        <f t="shared" si="17"/>
        <v>0</v>
      </c>
      <c r="C41" s="2464"/>
      <c r="D41" s="2464"/>
      <c r="E41" s="2464"/>
      <c r="F41" s="2450">
        <f t="shared" ca="1" si="3"/>
        <v>0</v>
      </c>
      <c r="G41" s="2491">
        <f t="shared" si="18"/>
        <v>0</v>
      </c>
      <c r="H41" s="2450">
        <f t="shared" ca="1" si="19"/>
        <v>0</v>
      </c>
    </row>
    <row r="42" spans="1:10" ht="14.25">
      <c r="A42" s="2449" t="s">
        <v>1614</v>
      </c>
      <c r="B42" s="2449">
        <f t="shared" ca="1" si="17"/>
        <v>0</v>
      </c>
      <c r="C42" s="2449"/>
      <c r="D42" s="2449">
        <f t="shared" ref="D42" ca="1" si="20">D5*13.4%</f>
        <v>0</v>
      </c>
      <c r="E42" s="2449">
        <f ca="1">E5*13.4%</f>
        <v>0</v>
      </c>
      <c r="F42" s="2450">
        <f t="shared" ca="1" si="3"/>
        <v>0</v>
      </c>
      <c r="G42" s="2491">
        <f t="shared" ca="1" si="18"/>
        <v>0</v>
      </c>
      <c r="H42" s="2450">
        <f t="shared" ca="1" si="19"/>
        <v>0</v>
      </c>
    </row>
    <row r="43" spans="1:10" ht="14.25">
      <c r="A43" s="2449" t="s">
        <v>75</v>
      </c>
      <c r="B43" s="2449">
        <f t="shared" si="17"/>
        <v>0</v>
      </c>
      <c r="C43" s="2464"/>
      <c r="D43" s="2464"/>
      <c r="E43" s="2464"/>
      <c r="F43" s="2450">
        <f t="shared" ca="1" si="3"/>
        <v>0</v>
      </c>
      <c r="G43" s="2491">
        <v>0</v>
      </c>
      <c r="H43" s="2450">
        <f t="shared" ca="1" si="19"/>
        <v>0</v>
      </c>
    </row>
    <row r="44" spans="1:10" ht="14.25">
      <c r="A44" s="2449" t="s">
        <v>75</v>
      </c>
      <c r="B44" s="2449">
        <f t="shared" si="17"/>
        <v>0</v>
      </c>
      <c r="C44" s="2464"/>
      <c r="D44" s="2464"/>
      <c r="E44" s="2464"/>
      <c r="F44" s="2450">
        <f t="shared" ca="1" si="3"/>
        <v>0</v>
      </c>
      <c r="G44" s="2491">
        <v>0</v>
      </c>
      <c r="H44" s="2450">
        <f t="shared" ca="1" si="19"/>
        <v>0</v>
      </c>
    </row>
    <row r="45" spans="1:10" ht="15" thickBot="1">
      <c r="A45" s="2465" t="s">
        <v>780</v>
      </c>
      <c r="B45" s="2457">
        <f ca="1">SUM(B33,B37:B43)</f>
        <v>176.36276155002619</v>
      </c>
      <c r="C45" s="2457">
        <f ca="1">SUM(C33,C37:C43)</f>
        <v>176.36276155002619</v>
      </c>
      <c r="D45" s="2457">
        <f t="shared" ref="D45" ca="1" si="21">SUM(D33,D37:D43)</f>
        <v>0</v>
      </c>
      <c r="E45" s="2457">
        <f ca="1">SUM(E33,E37:E43)</f>
        <v>0</v>
      </c>
      <c r="F45" s="2454">
        <f ca="1">IF(B$45=0,"",+B45/B$45)</f>
        <v>1</v>
      </c>
      <c r="G45" s="2494">
        <f ca="1">SUM(G33,G37:G43)</f>
        <v>176.36276155002619</v>
      </c>
      <c r="H45" s="2454">
        <f t="shared" ca="1" si="19"/>
        <v>0.86956521739130432</v>
      </c>
    </row>
    <row r="46" spans="1:10" ht="15.75" thickTop="1" thickBot="1">
      <c r="A46" s="2451"/>
      <c r="B46" s="2451"/>
      <c r="C46" s="2451"/>
      <c r="D46" s="2451"/>
      <c r="E46" s="2451"/>
      <c r="F46" s="2499"/>
      <c r="G46" s="2451"/>
      <c r="H46" s="2459"/>
    </row>
    <row r="47" spans="1:10" ht="15.75" hidden="1" outlineLevel="1" thickTop="1" thickBot="1">
      <c r="A47" s="2483" t="s">
        <v>782</v>
      </c>
      <c r="B47" s="2481"/>
      <c r="C47" s="2465"/>
      <c r="D47" s="2465">
        <f t="shared" ref="D47:E47" ca="1" si="22">D5-D45</f>
        <v>0</v>
      </c>
      <c r="E47" s="2465">
        <f t="shared" ca="1" si="22"/>
        <v>0</v>
      </c>
      <c r="F47" s="2454">
        <f ca="1">IF(B$5=0,"",+B47/B$5)</f>
        <v>0</v>
      </c>
      <c r="G47" s="2495">
        <f ca="1">G5-G45</f>
        <v>26.454414232503922</v>
      </c>
      <c r="H47" s="2454">
        <f ca="1">IF(G$5=0,"",+G47/G$5)</f>
        <v>0.13043478260869562</v>
      </c>
    </row>
    <row r="48" spans="1:10" ht="14.25" collapsed="1" thickTop="1"/>
    <row r="49" spans="1:8" ht="14.25">
      <c r="A49" s="2449" t="s">
        <v>1659</v>
      </c>
      <c r="B49" s="2466">
        <v>0.15</v>
      </c>
      <c r="C49" s="2480"/>
      <c r="D49" s="2480"/>
      <c r="E49" s="2480"/>
    </row>
    <row r="50" spans="1:8" ht="14.25">
      <c r="A50" s="2449"/>
    </row>
    <row r="59" spans="1:8">
      <c r="H59" s="2432" t="e">
        <f>G59/F59</f>
        <v>#DIV/0!</v>
      </c>
    </row>
  </sheetData>
  <phoneticPr fontId="42" type="noConversion"/>
  <conditionalFormatting sqref="A33:A34 A45:A46 A1:A4 F1:F4 A6">
    <cfRule type="cellIs" dxfId="137" priority="85" stopIfTrue="1" operator="lessThan">
      <formula>-0.5</formula>
    </cfRule>
  </conditionalFormatting>
  <conditionalFormatting sqref="A7:A16">
    <cfRule type="cellIs" dxfId="136" priority="82" stopIfTrue="1" operator="lessThan">
      <formula>-0.5</formula>
    </cfRule>
  </conditionalFormatting>
  <conditionalFormatting sqref="A28:A29">
    <cfRule type="cellIs" dxfId="135" priority="81" stopIfTrue="1" operator="lessThan">
      <formula>0</formula>
    </cfRule>
  </conditionalFormatting>
  <conditionalFormatting sqref="A25 A27">
    <cfRule type="cellIs" dxfId="134" priority="80" stopIfTrue="1" operator="lessThan">
      <formula>0</formula>
    </cfRule>
  </conditionalFormatting>
  <conditionalFormatting sqref="A47">
    <cfRule type="cellIs" dxfId="133" priority="78" stopIfTrue="1" operator="lessThan">
      <formula>0</formula>
    </cfRule>
  </conditionalFormatting>
  <conditionalFormatting sqref="A35">
    <cfRule type="cellIs" dxfId="132" priority="79" stopIfTrue="1" operator="lessThan">
      <formula>0</formula>
    </cfRule>
  </conditionalFormatting>
  <conditionalFormatting sqref="A36">
    <cfRule type="cellIs" dxfId="131" priority="77" stopIfTrue="1" operator="lessThan">
      <formula>-0.5</formula>
    </cfRule>
  </conditionalFormatting>
  <conditionalFormatting sqref="A38">
    <cfRule type="cellIs" dxfId="130" priority="76" stopIfTrue="1" operator="lessThan">
      <formula>0</formula>
    </cfRule>
  </conditionalFormatting>
  <conditionalFormatting sqref="A38">
    <cfRule type="cellIs" dxfId="129" priority="75" stopIfTrue="1" operator="lessThan">
      <formula>0</formula>
    </cfRule>
  </conditionalFormatting>
  <conditionalFormatting sqref="A37">
    <cfRule type="cellIs" dxfId="128" priority="74" stopIfTrue="1" operator="lessThan">
      <formula>-0.5</formula>
    </cfRule>
  </conditionalFormatting>
  <conditionalFormatting sqref="A17">
    <cfRule type="cellIs" dxfId="127" priority="73" stopIfTrue="1" operator="lessThan">
      <formula>0</formula>
    </cfRule>
  </conditionalFormatting>
  <conditionalFormatting sqref="A19">
    <cfRule type="cellIs" dxfId="126" priority="72" stopIfTrue="1" operator="lessThan">
      <formula>0</formula>
    </cfRule>
  </conditionalFormatting>
  <conditionalFormatting sqref="A24">
    <cfRule type="cellIs" dxfId="125" priority="71" stopIfTrue="1" operator="lessThan">
      <formula>0</formula>
    </cfRule>
  </conditionalFormatting>
  <conditionalFormatting sqref="A18">
    <cfRule type="cellIs" dxfId="124" priority="70" stopIfTrue="1" operator="lessThan">
      <formula>0</formula>
    </cfRule>
  </conditionalFormatting>
  <conditionalFormatting sqref="A20:A21">
    <cfRule type="cellIs" dxfId="123" priority="69" stopIfTrue="1" operator="lessThan">
      <formula>-0.5</formula>
    </cfRule>
  </conditionalFormatting>
  <conditionalFormatting sqref="A26">
    <cfRule type="cellIs" dxfId="122" priority="66" stopIfTrue="1" operator="lessThan">
      <formula>0</formula>
    </cfRule>
  </conditionalFormatting>
  <conditionalFormatting sqref="A23">
    <cfRule type="cellIs" dxfId="121" priority="65" stopIfTrue="1" operator="lessThan">
      <formula>0</formula>
    </cfRule>
  </conditionalFormatting>
  <conditionalFormatting sqref="A44">
    <cfRule type="cellIs" dxfId="120" priority="64" stopIfTrue="1" operator="lessThan">
      <formula>0</formula>
    </cfRule>
  </conditionalFormatting>
  <conditionalFormatting sqref="A43">
    <cfRule type="cellIs" dxfId="119" priority="63" stopIfTrue="1" operator="lessThan">
      <formula>0</formula>
    </cfRule>
  </conditionalFormatting>
  <conditionalFormatting sqref="A39:A41">
    <cfRule type="cellIs" dxfId="118" priority="62" stopIfTrue="1" operator="lessThan">
      <formula>0</formula>
    </cfRule>
  </conditionalFormatting>
  <conditionalFormatting sqref="A39:A41">
    <cfRule type="cellIs" dxfId="117" priority="61" stopIfTrue="1" operator="lessThan">
      <formula>0</formula>
    </cfRule>
  </conditionalFormatting>
  <conditionalFormatting sqref="A30">
    <cfRule type="cellIs" dxfId="116" priority="60" stopIfTrue="1" operator="lessThan">
      <formula>0</formula>
    </cfRule>
  </conditionalFormatting>
  <conditionalFormatting sqref="A32">
    <cfRule type="cellIs" dxfId="115" priority="59" stopIfTrue="1" operator="lessThan">
      <formula>0</formula>
    </cfRule>
  </conditionalFormatting>
  <conditionalFormatting sqref="A31">
    <cfRule type="cellIs" dxfId="114" priority="58" stopIfTrue="1" operator="lessThan">
      <formula>0</formula>
    </cfRule>
  </conditionalFormatting>
  <conditionalFormatting sqref="A22">
    <cfRule type="cellIs" dxfId="113" priority="57" stopIfTrue="1" operator="lessThan">
      <formula>0</formula>
    </cfRule>
  </conditionalFormatting>
  <conditionalFormatting sqref="B46:E46 C31:E32 B34:E34 B36:E36 B1:E4 C22:E23 B6:E6 D5">
    <cfRule type="cellIs" dxfId="112" priority="56" stopIfTrue="1" operator="lessThan">
      <formula>-0.5</formula>
    </cfRule>
  </conditionalFormatting>
  <conditionalFormatting sqref="B27:E27 B25:E25">
    <cfRule type="cellIs" dxfId="111" priority="55" stopIfTrue="1" operator="lessThan">
      <formula>0</formula>
    </cfRule>
  </conditionalFormatting>
  <conditionalFormatting sqref="C43:E44">
    <cfRule type="cellIs" dxfId="110" priority="54" stopIfTrue="1" operator="lessThan">
      <formula>-0.5</formula>
    </cfRule>
  </conditionalFormatting>
  <conditionalFormatting sqref="H20:H24 H1:H16 H28:H42">
    <cfRule type="cellIs" dxfId="109" priority="53" stopIfTrue="1" operator="lessThan">
      <formula>-0.5</formula>
    </cfRule>
  </conditionalFormatting>
  <conditionalFormatting sqref="H45:H47">
    <cfRule type="cellIs" dxfId="108" priority="52" stopIfTrue="1" operator="lessThan">
      <formula>-0.5</formula>
    </cfRule>
  </conditionalFormatting>
  <conditionalFormatting sqref="H43:H44">
    <cfRule type="cellIs" dxfId="107" priority="51" stopIfTrue="1" operator="lessThan">
      <formula>-0.5</formula>
    </cfRule>
  </conditionalFormatting>
  <conditionalFormatting sqref="H27 H25 H17 H19">
    <cfRule type="cellIs" dxfId="106" priority="50" stopIfTrue="1" operator="lessThan">
      <formula>0</formula>
    </cfRule>
  </conditionalFormatting>
  <conditionalFormatting sqref="H26">
    <cfRule type="cellIs" dxfId="105" priority="48" stopIfTrue="1" operator="lessThan">
      <formula>-0.5</formula>
    </cfRule>
  </conditionalFormatting>
  <conditionalFormatting sqref="H18">
    <cfRule type="cellIs" dxfId="104" priority="49" stopIfTrue="1" operator="lessThan">
      <formula>-0.5</formula>
    </cfRule>
  </conditionalFormatting>
  <conditionalFormatting sqref="B18:E18 C20:E20">
    <cfRule type="cellIs" dxfId="103" priority="47" stopIfTrue="1" operator="lessThan">
      <formula>-0.5</formula>
    </cfRule>
  </conditionalFormatting>
  <conditionalFormatting sqref="B17:E17 B19:E19">
    <cfRule type="cellIs" dxfId="102" priority="46" stopIfTrue="1" operator="lessThan">
      <formula>0</formula>
    </cfRule>
  </conditionalFormatting>
  <conditionalFormatting sqref="B7:E16">
    <cfRule type="cellIs" dxfId="101" priority="45" stopIfTrue="1" operator="lessThan">
      <formula>-0.5</formula>
    </cfRule>
  </conditionalFormatting>
  <conditionalFormatting sqref="D21:E21">
    <cfRule type="cellIs" dxfId="100" priority="44" stopIfTrue="1" operator="lessThan">
      <formula>-0.5</formula>
    </cfRule>
  </conditionalFormatting>
  <conditionalFormatting sqref="C29:E30 D28:E28">
    <cfRule type="cellIs" dxfId="99" priority="43" stopIfTrue="1" operator="lessThan">
      <formula>-0.5</formula>
    </cfRule>
  </conditionalFormatting>
  <conditionalFormatting sqref="C37:E41">
    <cfRule type="cellIs" dxfId="98" priority="42" stopIfTrue="1" operator="lessThan">
      <formula>-0.5</formula>
    </cfRule>
  </conditionalFormatting>
  <conditionalFormatting sqref="B26:E26">
    <cfRule type="cellIs" dxfId="97" priority="41" stopIfTrue="1" operator="lessThan">
      <formula>0</formula>
    </cfRule>
  </conditionalFormatting>
  <conditionalFormatting sqref="C33:E33">
    <cfRule type="cellIs" dxfId="96" priority="40" stopIfTrue="1" operator="lessThan">
      <formula>-0.5</formula>
    </cfRule>
  </conditionalFormatting>
  <conditionalFormatting sqref="B35:E35">
    <cfRule type="cellIs" dxfId="95" priority="39" stopIfTrue="1" operator="lessThan">
      <formula>-0.5</formula>
    </cfRule>
  </conditionalFormatting>
  <conditionalFormatting sqref="B45:E45">
    <cfRule type="cellIs" dxfId="94" priority="38" stopIfTrue="1" operator="lessThan">
      <formula>-0.5</formula>
    </cfRule>
  </conditionalFormatting>
  <conditionalFormatting sqref="B47:E47">
    <cfRule type="cellIs" dxfId="93" priority="37" stopIfTrue="1" operator="lessThan">
      <formula>-0.5</formula>
    </cfRule>
  </conditionalFormatting>
  <conditionalFormatting sqref="G18">
    <cfRule type="cellIs" dxfId="92" priority="36" stopIfTrue="1" operator="lessThan">
      <formula>-0.5</formula>
    </cfRule>
  </conditionalFormatting>
  <conditionalFormatting sqref="G24">
    <cfRule type="cellIs" dxfId="91" priority="35" stopIfTrue="1" operator="lessThan">
      <formula>-0.5</formula>
    </cfRule>
  </conditionalFormatting>
  <conditionalFormatting sqref="G26">
    <cfRule type="cellIs" dxfId="90" priority="34" stopIfTrue="1" operator="lessThan">
      <formula>0</formula>
    </cfRule>
  </conditionalFormatting>
  <conditionalFormatting sqref="G33">
    <cfRule type="cellIs" dxfId="89" priority="33" stopIfTrue="1" operator="lessThan">
      <formula>-0.5</formula>
    </cfRule>
  </conditionalFormatting>
  <conditionalFormatting sqref="G35">
    <cfRule type="cellIs" dxfId="88" priority="32" stopIfTrue="1" operator="lessThan">
      <formula>-0.5</formula>
    </cfRule>
  </conditionalFormatting>
  <conditionalFormatting sqref="G45">
    <cfRule type="cellIs" dxfId="87" priority="31" stopIfTrue="1" operator="lessThan">
      <formula>-0.5</formula>
    </cfRule>
  </conditionalFormatting>
  <conditionalFormatting sqref="G47">
    <cfRule type="cellIs" dxfId="86" priority="30" stopIfTrue="1" operator="lessThan">
      <formula>-0.5</formula>
    </cfRule>
  </conditionalFormatting>
  <conditionalFormatting sqref="C42:E42">
    <cfRule type="cellIs" dxfId="85" priority="29" stopIfTrue="1" operator="lessThan">
      <formula>-0.5</formula>
    </cfRule>
  </conditionalFormatting>
  <conditionalFormatting sqref="A42">
    <cfRule type="cellIs" dxfId="84" priority="28" stopIfTrue="1" operator="lessThan">
      <formula>0</formula>
    </cfRule>
  </conditionalFormatting>
  <conditionalFormatting sqref="A49:E49">
    <cfRule type="cellIs" dxfId="83" priority="27" stopIfTrue="1" operator="lessThan">
      <formula>0</formula>
    </cfRule>
  </conditionalFormatting>
  <conditionalFormatting sqref="A50">
    <cfRule type="cellIs" dxfId="82" priority="26" stopIfTrue="1" operator="lessThan">
      <formula>0</formula>
    </cfRule>
  </conditionalFormatting>
  <conditionalFormatting sqref="C24:E24">
    <cfRule type="cellIs" dxfId="81" priority="25" stopIfTrue="1" operator="lessThan">
      <formula>-0.5</formula>
    </cfRule>
  </conditionalFormatting>
  <conditionalFormatting sqref="F46:F47">
    <cfRule type="cellIs" dxfId="80" priority="20" stopIfTrue="1" operator="lessThan">
      <formula>-0.5</formula>
    </cfRule>
  </conditionalFormatting>
  <conditionalFormatting sqref="C21">
    <cfRule type="cellIs" dxfId="79" priority="16" stopIfTrue="1" operator="lessThan">
      <formula>-0.5</formula>
    </cfRule>
  </conditionalFormatting>
  <conditionalFormatting sqref="B20:B24">
    <cfRule type="cellIs" dxfId="78" priority="15" stopIfTrue="1" operator="lessThan">
      <formula>-0.5</formula>
    </cfRule>
  </conditionalFormatting>
  <conditionalFormatting sqref="C28">
    <cfRule type="cellIs" dxfId="77" priority="14" stopIfTrue="1" operator="lessThan">
      <formula>-0.5</formula>
    </cfRule>
  </conditionalFormatting>
  <conditionalFormatting sqref="B28:B32">
    <cfRule type="cellIs" dxfId="76" priority="13" stopIfTrue="1" operator="lessThan">
      <formula>-0.5</formula>
    </cfRule>
  </conditionalFormatting>
  <conditionalFormatting sqref="B33">
    <cfRule type="cellIs" dxfId="75" priority="12" stopIfTrue="1" operator="lessThan">
      <formula>-0.5</formula>
    </cfRule>
  </conditionalFormatting>
  <conditionalFormatting sqref="B38:B44">
    <cfRule type="cellIs" dxfId="74" priority="11" stopIfTrue="1" operator="lessThan">
      <formula>-0.5</formula>
    </cfRule>
  </conditionalFormatting>
  <conditionalFormatting sqref="B5:C5">
    <cfRule type="cellIs" dxfId="73" priority="10" stopIfTrue="1" operator="lessThan">
      <formula>-0.5</formula>
    </cfRule>
  </conditionalFormatting>
  <conditionalFormatting sqref="B37">
    <cfRule type="cellIs" dxfId="72" priority="9" stopIfTrue="1" operator="lessThan">
      <formula>-0.5</formula>
    </cfRule>
  </conditionalFormatting>
  <conditionalFormatting sqref="A5">
    <cfRule type="cellIs" dxfId="71" priority="8" stopIfTrue="1" operator="lessThan">
      <formula>-0.5</formula>
    </cfRule>
  </conditionalFormatting>
  <conditionalFormatting sqref="E5">
    <cfRule type="cellIs" dxfId="70" priority="7" stopIfTrue="1" operator="lessThan">
      <formula>-0.5</formula>
    </cfRule>
  </conditionalFormatting>
  <conditionalFormatting sqref="F20:F24 F5:F16 F28:F42">
    <cfRule type="cellIs" dxfId="69" priority="5" stopIfTrue="1" operator="lessThan">
      <formula>-0.5</formula>
    </cfRule>
  </conditionalFormatting>
  <conditionalFormatting sqref="F45">
    <cfRule type="cellIs" dxfId="68" priority="4" stopIfTrue="1" operator="lessThan">
      <formula>-0.5</formula>
    </cfRule>
  </conditionalFormatting>
  <conditionalFormatting sqref="F43:F44">
    <cfRule type="cellIs" dxfId="67" priority="3" stopIfTrue="1" operator="lessThan">
      <formula>-0.5</formula>
    </cfRule>
  </conditionalFormatting>
  <conditionalFormatting sqref="F27 F25 F17 F19">
    <cfRule type="cellIs" dxfId="66" priority="2" stopIfTrue="1" operator="lessThan">
      <formula>0</formula>
    </cfRule>
  </conditionalFormatting>
  <conditionalFormatting sqref="F26">
    <cfRule type="cellIs" dxfId="65" priority="1" stopIfTrue="1" operator="lessThan">
      <formula>-0.5</formula>
    </cfRule>
  </conditionalFormatting>
  <conditionalFormatting sqref="F18">
    <cfRule type="cellIs" dxfId="64" priority="6" stopIfTrue="1" operator="lessThan">
      <formula>-0.5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3">
    <pageSetUpPr fitToPage="1"/>
  </sheetPr>
  <dimension ref="B1:AA91"/>
  <sheetViews>
    <sheetView showGridLines="0" showZeros="0" topLeftCell="A49" zoomScale="79" zoomScaleNormal="79" workbookViewId="0">
      <selection activeCell="G72" sqref="G72"/>
    </sheetView>
  </sheetViews>
  <sheetFormatPr defaultColWidth="8.85546875" defaultRowHeight="12.75" outlineLevelCol="1"/>
  <cols>
    <col min="1" max="1" width="2.5703125" style="2" customWidth="1"/>
    <col min="2" max="2" width="6.28515625" style="2" customWidth="1"/>
    <col min="3" max="3" width="16.28515625" style="2" customWidth="1"/>
    <col min="4" max="4" width="23.85546875" style="2" bestFit="1" customWidth="1"/>
    <col min="5" max="5" width="13.140625" style="2" customWidth="1"/>
    <col min="6" max="6" width="14" style="2" customWidth="1"/>
    <col min="7" max="7" width="13.140625" style="2" customWidth="1"/>
    <col min="8" max="8" width="13.140625" style="1292" customWidth="1"/>
    <col min="9" max="9" width="13.140625" style="123" customWidth="1"/>
    <col min="10" max="10" width="13.140625" style="1292" customWidth="1"/>
    <col min="11" max="12" width="13.140625" style="123" customWidth="1"/>
    <col min="13" max="13" width="11.5703125" style="2" bestFit="1" customWidth="1"/>
    <col min="14" max="14" width="11.85546875" style="123" customWidth="1"/>
    <col min="15" max="15" width="13.140625" style="2" customWidth="1"/>
    <col min="16" max="16" width="11.5703125" style="123" customWidth="1"/>
    <col min="17" max="17" width="11" style="2" customWidth="1"/>
    <col min="18" max="18" width="11.28515625" style="2" customWidth="1"/>
    <col min="19" max="19" width="12.140625" style="2" hidden="1" customWidth="1" outlineLevel="1"/>
    <col min="20" max="20" width="11" style="2" hidden="1" customWidth="1" outlineLevel="1"/>
    <col min="21" max="21" width="10.140625" style="2" hidden="1" customWidth="1" outlineLevel="1"/>
    <col min="22" max="22" width="11.85546875" style="2" hidden="1" customWidth="1" outlineLevel="1"/>
    <col min="23" max="23" width="13.7109375" style="2" bestFit="1" customWidth="1" collapsed="1"/>
    <col min="24" max="16384" width="8.85546875" style="2"/>
  </cols>
  <sheetData>
    <row r="1" spans="2:27" ht="18">
      <c r="B1" s="1"/>
      <c r="C1" s="1"/>
      <c r="D1" s="1"/>
      <c r="E1" s="1"/>
      <c r="F1" s="1"/>
      <c r="G1" s="1"/>
      <c r="M1" s="1"/>
      <c r="N1" s="2"/>
      <c r="O1" s="599"/>
      <c r="P1" s="601"/>
      <c r="Q1" s="599"/>
      <c r="R1" s="601" t="s">
        <v>301</v>
      </c>
    </row>
    <row r="2" spans="2:27" ht="21" customHeight="1">
      <c r="B2" s="1" t="s">
        <v>48</v>
      </c>
      <c r="C2" s="1"/>
      <c r="D2" s="1"/>
      <c r="E2" s="1"/>
      <c r="F2" s="1"/>
      <c r="G2" s="1"/>
      <c r="H2" s="1293"/>
      <c r="I2" s="429"/>
      <c r="J2" s="1293"/>
      <c r="K2" s="429"/>
      <c r="L2" s="429"/>
      <c r="M2" s="1"/>
      <c r="N2" s="429"/>
      <c r="O2" s="1"/>
      <c r="P2" s="429"/>
      <c r="Q2" s="1"/>
      <c r="R2" s="1"/>
    </row>
    <row r="3" spans="2:27" ht="11.25" customHeight="1" thickBot="1">
      <c r="B3" s="3"/>
      <c r="C3" s="4"/>
      <c r="D3" s="5"/>
      <c r="E3" s="5"/>
      <c r="F3" s="5"/>
      <c r="G3" s="5"/>
      <c r="H3" s="1294"/>
      <c r="I3" s="430"/>
      <c r="J3" s="1294"/>
      <c r="K3" s="430"/>
      <c r="L3" s="430"/>
      <c r="M3" s="5"/>
      <c r="N3" s="430"/>
      <c r="O3" s="5"/>
      <c r="P3" s="430"/>
      <c r="Q3" s="5"/>
      <c r="R3" s="5"/>
    </row>
    <row r="4" spans="2:27" ht="18" customHeight="1">
      <c r="B4" s="23"/>
      <c r="C4" s="2051" t="s">
        <v>325</v>
      </c>
      <c r="D4" s="2052">
        <f>'Estimate Summary'!AT5</f>
        <v>0</v>
      </c>
      <c r="E4" s="24"/>
      <c r="F4" s="24"/>
      <c r="G4" s="2051" t="s">
        <v>208</v>
      </c>
      <c r="H4" s="2053">
        <f>'Estimate Summary'!AT8</f>
        <v>0</v>
      </c>
      <c r="I4" s="2054"/>
      <c r="J4" s="2053"/>
      <c r="K4" s="2054"/>
      <c r="L4" s="2054"/>
      <c r="M4" s="2051"/>
      <c r="N4" s="2055"/>
      <c r="O4" s="2056"/>
      <c r="P4" s="2055"/>
      <c r="Q4" s="2056"/>
      <c r="R4" s="956"/>
      <c r="S4" s="23"/>
      <c r="T4" s="956"/>
      <c r="U4" s="23"/>
      <c r="V4" s="956"/>
    </row>
    <row r="5" spans="2:27" ht="18" customHeight="1">
      <c r="B5" s="6"/>
      <c r="C5" s="8" t="s">
        <v>209</v>
      </c>
      <c r="D5" s="9">
        <f>'Estimate Summary'!AT6</f>
        <v>0</v>
      </c>
      <c r="E5" s="5"/>
      <c r="F5" s="15"/>
      <c r="G5" s="8" t="s">
        <v>210</v>
      </c>
      <c r="H5" s="1295"/>
      <c r="I5" s="431"/>
      <c r="J5" s="1295"/>
      <c r="K5" s="431"/>
      <c r="L5" s="431"/>
      <c r="M5" s="8"/>
      <c r="N5" s="431"/>
      <c r="O5" s="15"/>
      <c r="P5" s="431"/>
      <c r="Q5" s="15"/>
      <c r="R5" s="7"/>
      <c r="S5" s="6"/>
      <c r="T5" s="7"/>
      <c r="U5" s="6"/>
      <c r="V5" s="7"/>
      <c r="AA5" s="472"/>
    </row>
    <row r="6" spans="2:27" ht="18" customHeight="1">
      <c r="B6" s="6"/>
      <c r="C6" s="8" t="s">
        <v>211</v>
      </c>
      <c r="D6" s="9">
        <f>'Estimate Summary'!D11</f>
        <v>0</v>
      </c>
      <c r="E6" s="5"/>
      <c r="F6" s="14"/>
      <c r="G6" s="14"/>
      <c r="H6" s="1296"/>
      <c r="I6" s="621"/>
      <c r="J6" s="1296"/>
      <c r="K6" s="621"/>
      <c r="L6" s="621"/>
      <c r="M6" s="621"/>
      <c r="N6" s="621"/>
      <c r="O6" s="14"/>
      <c r="P6" s="1279"/>
      <c r="Q6" s="14"/>
      <c r="R6" s="1318"/>
      <c r="S6" s="6"/>
      <c r="T6" s="7"/>
      <c r="U6" s="6"/>
      <c r="V6" s="7"/>
      <c r="AA6" s="473"/>
    </row>
    <row r="7" spans="2:27" ht="18" customHeight="1">
      <c r="B7" s="6"/>
      <c r="C7" s="8" t="s">
        <v>212</v>
      </c>
      <c r="D7" s="830">
        <f>'Estimate Summary'!D8</f>
        <v>0</v>
      </c>
      <c r="E7" s="12"/>
      <c r="F7" s="14"/>
      <c r="G7" s="14"/>
      <c r="H7" s="1297"/>
      <c r="I7" s="622"/>
      <c r="J7" s="1297"/>
      <c r="K7" s="622"/>
      <c r="L7" s="622"/>
      <c r="M7" s="623"/>
      <c r="N7" s="624"/>
      <c r="O7" s="14"/>
      <c r="P7" s="1279"/>
      <c r="Q7" s="14"/>
      <c r="R7" s="1318"/>
      <c r="S7" s="6"/>
      <c r="T7" s="7"/>
      <c r="U7" s="6"/>
      <c r="V7" s="7"/>
    </row>
    <row r="8" spans="2:27" ht="18" customHeight="1">
      <c r="B8" s="6"/>
      <c r="C8" s="8" t="s">
        <v>213</v>
      </c>
      <c r="D8" s="830">
        <v>1</v>
      </c>
      <c r="E8" s="12"/>
      <c r="F8" s="11"/>
      <c r="G8" s="11"/>
      <c r="H8" s="1298"/>
      <c r="I8" s="625"/>
      <c r="J8" s="1298"/>
      <c r="K8" s="625"/>
      <c r="L8" s="625"/>
      <c r="M8" s="626"/>
      <c r="N8" s="621"/>
      <c r="O8" s="11"/>
      <c r="P8" s="1280"/>
      <c r="Q8" s="11"/>
      <c r="R8" s="1319"/>
      <c r="S8" s="6"/>
      <c r="T8" s="7"/>
      <c r="U8" s="6"/>
      <c r="V8" s="7"/>
    </row>
    <row r="9" spans="2:27" ht="18" customHeight="1">
      <c r="B9" s="6"/>
      <c r="C9" s="8" t="s">
        <v>214</v>
      </c>
      <c r="D9" s="16">
        <f>'Estimate Summary'!AT7</f>
        <v>0</v>
      </c>
      <c r="E9" s="5"/>
      <c r="F9" s="4"/>
      <c r="G9" s="4"/>
      <c r="H9" s="1296"/>
      <c r="I9" s="621"/>
      <c r="J9" s="1296"/>
      <c r="K9" s="621"/>
      <c r="L9" s="621"/>
      <c r="M9" s="621"/>
      <c r="N9" s="621"/>
      <c r="O9" s="4"/>
      <c r="P9" s="1281"/>
      <c r="Q9" s="4"/>
      <c r="R9" s="1320"/>
      <c r="S9" s="6"/>
      <c r="T9" s="7"/>
      <c r="U9" s="6"/>
      <c r="V9" s="7"/>
    </row>
    <row r="10" spans="2:27" ht="18" customHeight="1">
      <c r="B10" s="6"/>
      <c r="C10" s="8" t="s">
        <v>215</v>
      </c>
      <c r="D10" s="16">
        <f>'Estimate Summary'!D12</f>
        <v>43574</v>
      </c>
      <c r="E10" s="16"/>
      <c r="F10" s="15"/>
      <c r="G10" s="15"/>
      <c r="H10" s="1297"/>
      <c r="I10" s="622"/>
      <c r="J10" s="1297"/>
      <c r="K10" s="622"/>
      <c r="L10" s="622"/>
      <c r="M10" s="627"/>
      <c r="N10" s="627"/>
      <c r="O10" s="15"/>
      <c r="P10" s="431"/>
      <c r="Q10" s="15"/>
      <c r="R10" s="1321"/>
      <c r="S10" s="6"/>
      <c r="T10" s="7"/>
      <c r="U10" s="6"/>
      <c r="V10" s="7"/>
    </row>
    <row r="11" spans="2:27" ht="18" customHeight="1">
      <c r="B11" s="6"/>
      <c r="C11" s="8" t="s">
        <v>216</v>
      </c>
      <c r="D11" s="16">
        <f>'Estimate Summary'!D13</f>
        <v>43604</v>
      </c>
      <c r="E11" s="17"/>
      <c r="F11" s="432"/>
      <c r="G11" s="432"/>
      <c r="H11" s="1298"/>
      <c r="I11" s="625"/>
      <c r="J11" s="1298"/>
      <c r="K11" s="625"/>
      <c r="L11" s="625"/>
      <c r="M11" s="627"/>
      <c r="N11" s="627"/>
      <c r="O11" s="432"/>
      <c r="P11" s="433"/>
      <c r="Q11" s="432"/>
      <c r="R11" s="1322"/>
      <c r="S11" s="6"/>
      <c r="T11" s="7"/>
      <c r="U11" s="6"/>
      <c r="V11" s="7"/>
    </row>
    <row r="12" spans="2:27" ht="18" customHeight="1">
      <c r="B12" s="6"/>
      <c r="C12" s="8" t="s">
        <v>217</v>
      </c>
      <c r="D12" s="16">
        <f>'Estimate Summary'!D14</f>
        <v>43591</v>
      </c>
      <c r="E12" s="17"/>
      <c r="F12" s="432"/>
      <c r="G12" s="432"/>
      <c r="H12" s="1299"/>
      <c r="I12" s="433"/>
      <c r="J12" s="1299"/>
      <c r="K12" s="433"/>
      <c r="L12" s="433"/>
      <c r="M12" s="13"/>
      <c r="N12" s="433"/>
      <c r="O12" s="432"/>
      <c r="P12" s="433"/>
      <c r="Q12" s="432"/>
      <c r="R12" s="1322"/>
      <c r="S12" s="6"/>
      <c r="T12" s="7"/>
      <c r="U12" s="6"/>
      <c r="V12" s="7"/>
    </row>
    <row r="13" spans="2:27" ht="18" customHeight="1">
      <c r="B13" s="6"/>
      <c r="C13" s="5"/>
      <c r="D13" s="1283" t="s">
        <v>586</v>
      </c>
      <c r="E13" s="1284">
        <f>1/'Estimate Detail'!T7</f>
        <v>0.14425018752524377</v>
      </c>
      <c r="F13" s="13" t="str">
        <f>'Estimate Detail'!Q4</f>
        <v>Based on 2. Mar. 2018 spot Rate</v>
      </c>
      <c r="G13" s="13"/>
      <c r="H13" s="1300"/>
      <c r="I13" s="434"/>
      <c r="J13" s="1300"/>
      <c r="K13" s="434"/>
      <c r="L13" s="434"/>
      <c r="M13" s="13"/>
      <c r="N13" s="434"/>
      <c r="O13" s="13"/>
      <c r="P13" s="434"/>
      <c r="Q13" s="13"/>
      <c r="R13" s="1323"/>
      <c r="S13" s="6"/>
      <c r="T13" s="7"/>
      <c r="U13" s="6"/>
      <c r="V13" s="7"/>
    </row>
    <row r="14" spans="2:27" ht="18" customHeight="1" thickBot="1">
      <c r="B14" s="19"/>
      <c r="C14" s="20"/>
      <c r="D14" s="600" t="s">
        <v>201</v>
      </c>
      <c r="E14" s="21">
        <f>1/'Estimate Detail'!T5</f>
        <v>0.12535883967857994</v>
      </c>
      <c r="F14" s="22" t="str">
        <f>'Estimate Detail'!Q4</f>
        <v>Based on 2. Mar. 2018 spot Rate</v>
      </c>
      <c r="G14" s="22"/>
      <c r="H14" s="1301"/>
      <c r="I14" s="435"/>
      <c r="J14" s="1301"/>
      <c r="K14" s="435"/>
      <c r="L14" s="435"/>
      <c r="M14" s="20"/>
      <c r="N14" s="435"/>
      <c r="O14" s="22"/>
      <c r="P14" s="435"/>
      <c r="Q14" s="22"/>
      <c r="R14" s="1324"/>
      <c r="S14" s="19"/>
      <c r="T14" s="7"/>
      <c r="U14" s="6"/>
      <c r="V14" s="7"/>
    </row>
    <row r="15" spans="2:27" ht="18" customHeight="1">
      <c r="B15" s="23"/>
      <c r="C15" s="24"/>
      <c r="D15" s="24"/>
      <c r="E15" s="25"/>
      <c r="F15" s="25"/>
      <c r="G15" s="25"/>
      <c r="H15" s="1314"/>
      <c r="I15" s="436"/>
      <c r="J15" s="1302"/>
      <c r="K15" s="436"/>
      <c r="L15" s="436"/>
      <c r="M15" s="2660" t="s">
        <v>427</v>
      </c>
      <c r="N15" s="2661"/>
      <c r="O15" s="2661"/>
      <c r="P15" s="2661"/>
      <c r="Q15" s="2661"/>
      <c r="R15" s="2662"/>
      <c r="S15" s="2656" t="s">
        <v>428</v>
      </c>
      <c r="T15" s="2657"/>
      <c r="U15" s="963"/>
      <c r="V15" s="964"/>
    </row>
    <row r="16" spans="2:27" ht="18" customHeight="1" thickBot="1">
      <c r="B16" s="26"/>
      <c r="C16" s="27"/>
      <c r="D16" s="20"/>
      <c r="E16" s="27"/>
      <c r="F16" s="437" t="s">
        <v>49</v>
      </c>
      <c r="G16" s="437"/>
      <c r="H16" s="1315"/>
      <c r="I16" s="438"/>
      <c r="J16" s="1303"/>
      <c r="K16" s="438"/>
      <c r="L16" s="438"/>
      <c r="M16" s="2663"/>
      <c r="N16" s="2664"/>
      <c r="O16" s="2664"/>
      <c r="P16" s="2664"/>
      <c r="Q16" s="2664"/>
      <c r="R16" s="2665"/>
      <c r="S16" s="2658"/>
      <c r="T16" s="2659"/>
      <c r="U16" s="965"/>
      <c r="V16" s="966"/>
    </row>
    <row r="17" spans="2:22" ht="35.25" customHeight="1" thickBot="1">
      <c r="B17" s="6"/>
      <c r="C17" s="5"/>
      <c r="D17" s="28"/>
      <c r="E17" s="29"/>
      <c r="F17" s="2646" t="s">
        <v>50</v>
      </c>
      <c r="G17" s="2647"/>
      <c r="H17" s="2648"/>
      <c r="I17" s="2651" t="s">
        <v>431</v>
      </c>
      <c r="J17" s="2652"/>
      <c r="K17" s="2651" t="s">
        <v>432</v>
      </c>
      <c r="L17" s="2652"/>
      <c r="M17" s="2653" t="s">
        <v>583</v>
      </c>
      <c r="N17" s="2654"/>
      <c r="O17" s="2655" t="s">
        <v>617</v>
      </c>
      <c r="P17" s="2650"/>
      <c r="Q17" s="2649" t="s">
        <v>1131</v>
      </c>
      <c r="R17" s="2650"/>
      <c r="S17" s="2649" t="s">
        <v>437</v>
      </c>
      <c r="T17" s="2650"/>
      <c r="U17" s="2649" t="s">
        <v>1133</v>
      </c>
      <c r="V17" s="2650"/>
    </row>
    <row r="18" spans="2:22" ht="18" customHeight="1" thickBot="1">
      <c r="B18" s="30"/>
      <c r="C18" s="31"/>
      <c r="D18" s="32"/>
      <c r="E18" s="33"/>
      <c r="F18" s="47" t="s">
        <v>60</v>
      </c>
      <c r="G18" s="34" t="s">
        <v>748</v>
      </c>
      <c r="H18" s="1316" t="s">
        <v>61</v>
      </c>
      <c r="I18" s="47" t="s">
        <v>60</v>
      </c>
      <c r="J18" s="439" t="s">
        <v>61</v>
      </c>
      <c r="K18" s="47" t="s">
        <v>60</v>
      </c>
      <c r="L18" s="439" t="s">
        <v>61</v>
      </c>
      <c r="M18" s="47" t="s">
        <v>60</v>
      </c>
      <c r="N18" s="439" t="s">
        <v>61</v>
      </c>
      <c r="O18" s="47" t="s">
        <v>60</v>
      </c>
      <c r="P18" s="439" t="s">
        <v>61</v>
      </c>
      <c r="Q18" s="47" t="s">
        <v>60</v>
      </c>
      <c r="R18" s="952" t="s">
        <v>61</v>
      </c>
      <c r="S18" s="47" t="s">
        <v>60</v>
      </c>
      <c r="T18" s="952" t="s">
        <v>61</v>
      </c>
      <c r="U18" s="47" t="s">
        <v>60</v>
      </c>
      <c r="V18" s="952" t="s">
        <v>61</v>
      </c>
    </row>
    <row r="19" spans="2:22" ht="18" customHeight="1" thickBot="1">
      <c r="B19" s="676">
        <v>1</v>
      </c>
      <c r="C19" s="45" t="s">
        <v>1134</v>
      </c>
      <c r="D19" s="45"/>
      <c r="E19" s="1499"/>
      <c r="F19" s="36">
        <f>I19+K19</f>
        <v>169.08558792062516</v>
      </c>
      <c r="G19" s="443">
        <f>F19*E$13</f>
        <v>24.390627765366272</v>
      </c>
      <c r="H19" s="967"/>
      <c r="I19" s="940">
        <f>M19+O19+Q19</f>
        <v>169.08558792062516</v>
      </c>
      <c r="J19" s="1305"/>
      <c r="K19" s="940">
        <f>S19+U19</f>
        <v>0</v>
      </c>
      <c r="L19" s="939"/>
      <c r="M19" s="38">
        <f>'Estimate Summary'!AJ50</f>
        <v>169.08558792062516</v>
      </c>
      <c r="N19" s="444"/>
      <c r="O19" s="38">
        <f>'Estimate Summary'!AS50</f>
        <v>0</v>
      </c>
      <c r="P19" s="444"/>
      <c r="Q19" s="38">
        <f>'Estimate Summary'!BB50</f>
        <v>0</v>
      </c>
      <c r="R19" s="39"/>
      <c r="S19" s="38">
        <f>'Estimate Summary'!AB50</f>
        <v>0</v>
      </c>
      <c r="T19" s="39"/>
      <c r="U19" s="38">
        <f>'Estimate Summary'!BJ50</f>
        <v>0</v>
      </c>
      <c r="V19" s="39"/>
    </row>
    <row r="20" spans="2:22" ht="8.25" customHeight="1" thickBot="1">
      <c r="B20" s="1501"/>
      <c r="C20" s="45"/>
      <c r="D20" s="45"/>
      <c r="E20" s="46"/>
      <c r="F20" s="1502"/>
      <c r="G20" s="1502">
        <f t="shared" ref="G20:G61" si="0">F20*E$13</f>
        <v>0</v>
      </c>
      <c r="H20" s="1503"/>
      <c r="I20" s="1504"/>
      <c r="J20" s="1505"/>
      <c r="K20" s="1504"/>
      <c r="L20" s="945"/>
      <c r="M20" s="1502"/>
      <c r="N20" s="1506"/>
      <c r="O20" s="1502"/>
      <c r="P20" s="1506"/>
      <c r="Q20" s="1502"/>
      <c r="R20" s="1507"/>
      <c r="S20" s="1502"/>
      <c r="T20" s="1507"/>
      <c r="U20" s="1502"/>
      <c r="V20" s="1507"/>
    </row>
    <row r="21" spans="2:22" ht="18" customHeight="1">
      <c r="B21" s="1500">
        <v>2</v>
      </c>
      <c r="C21" s="679" t="s">
        <v>256</v>
      </c>
      <c r="D21" s="679"/>
      <c r="E21" s="33"/>
      <c r="F21" s="40">
        <f t="shared" ref="F21:F40" si="1">I21+K21</f>
        <v>5.4037478356012549</v>
      </c>
      <c r="G21" s="445">
        <f t="shared" si="0"/>
        <v>0.77949163862461113</v>
      </c>
      <c r="H21" s="1317">
        <f t="shared" ref="H21:H29" si="2">F21/F$19</f>
        <v>3.1958654206164325E-2</v>
      </c>
      <c r="I21" s="40">
        <f>'Estimate Summary'!L26+'Estimate Summary'!L28+'Estimate Summary'!L37</f>
        <v>5.4037478356012549</v>
      </c>
      <c r="J21" s="446">
        <f>IF($I$19=0,0,I21/I$19)</f>
        <v>3.1958654206164325E-2</v>
      </c>
      <c r="K21" s="40">
        <f>'Estimate Summary'!T26+'Estimate Summary'!T28+'Estimate Summary'!T37</f>
        <v>0</v>
      </c>
      <c r="L21" s="446">
        <f>IF($K$19=0,0,K21/K$19)</f>
        <v>0</v>
      </c>
      <c r="M21" s="40">
        <f>'Estimate Summary'!AJ26+'Estimate Summary'!AJ28+'Estimate Summary'!AJ37</f>
        <v>5.4037478356012549</v>
      </c>
      <c r="N21" s="446">
        <f>IF($M$19=0,0,M21/M$19)</f>
        <v>3.1958654206164325E-2</v>
      </c>
      <c r="O21" s="40">
        <f>'Estimate Summary'!AS26+'Estimate Summary'!AS28+'Estimate Summary'!AS37</f>
        <v>0</v>
      </c>
      <c r="P21" s="446">
        <f>IF($O$19=0,0,O21/O$19)</f>
        <v>0</v>
      </c>
      <c r="Q21" s="40">
        <f>'Estimate Summary'!BB26+'Estimate Summary'!BB28+'Estimate Summary'!BB37</f>
        <v>0</v>
      </c>
      <c r="R21" s="1340">
        <f t="shared" ref="R21:R38" si="3">IF($Q$19=0,0,Q21/Q$19)</f>
        <v>0</v>
      </c>
      <c r="S21" s="40">
        <f>'Estimate Summary'!AB26+'Estimate Summary'!AB28+'Estimate Summary'!AB37</f>
        <v>0</v>
      </c>
      <c r="T21" s="1340">
        <f>IF($S$19=0,0,S21/S$19)</f>
        <v>0</v>
      </c>
      <c r="U21" s="40">
        <f>'Estimate Summary'!BJ26+'Estimate Summary'!BJ28+'Estimate Summary'!BJ37</f>
        <v>0</v>
      </c>
      <c r="V21" s="1340">
        <f>IF($U$19=0,0,U21/U$19)</f>
        <v>0</v>
      </c>
    </row>
    <row r="22" spans="2:22" ht="18" customHeight="1">
      <c r="B22" s="675">
        <v>2.1</v>
      </c>
      <c r="C22" s="48" t="s">
        <v>756</v>
      </c>
      <c r="D22" s="48"/>
      <c r="E22" s="35"/>
      <c r="F22" s="36"/>
      <c r="G22" s="440">
        <f t="shared" si="0"/>
        <v>0</v>
      </c>
      <c r="H22" s="904"/>
      <c r="I22" s="36"/>
      <c r="J22" s="1307">
        <f t="shared" ref="J22:J40" si="4">IF($I$19=0,0,I22/I$19)</f>
        <v>0</v>
      </c>
      <c r="K22" s="36"/>
      <c r="L22" s="942">
        <f t="shared" ref="L22:L37" si="5">IF($K$19=0,0,K22/K$19)</f>
        <v>0</v>
      </c>
      <c r="M22" s="36"/>
      <c r="N22" s="441">
        <f t="shared" ref="N22:N40" si="6">IF($M$19=0,0,M22/M$19)</f>
        <v>0</v>
      </c>
      <c r="O22" s="36"/>
      <c r="P22" s="441">
        <f t="shared" ref="P22:P40" si="7">IF($O$19=0,0,O22/O$19)</f>
        <v>0</v>
      </c>
      <c r="Q22" s="36"/>
      <c r="R22" s="41"/>
      <c r="S22" s="36"/>
      <c r="T22" s="41">
        <f t="shared" ref="T22:T61" si="8">IF($S$19=0,0,S22/S$19)</f>
        <v>0</v>
      </c>
      <c r="U22" s="36"/>
      <c r="V22" s="41">
        <f t="shared" ref="V22:V40" si="9">IF($U$19=0,0,U22/U$19)</f>
        <v>0</v>
      </c>
    </row>
    <row r="23" spans="2:22" ht="18" customHeight="1">
      <c r="B23" s="675">
        <v>2.2000000000000002</v>
      </c>
      <c r="C23" s="48" t="s">
        <v>334</v>
      </c>
      <c r="D23" s="48"/>
      <c r="E23" s="35"/>
      <c r="F23" s="36">
        <f t="shared" si="1"/>
        <v>93.6268400850239</v>
      </c>
      <c r="G23" s="440">
        <f t="shared" si="0"/>
        <v>13.505689239660708</v>
      </c>
      <c r="H23" s="904">
        <f t="shared" si="2"/>
        <v>0.55372454409878913</v>
      </c>
      <c r="I23" s="36">
        <f>'Estimate Summary'!L27</f>
        <v>93.6268400850239</v>
      </c>
      <c r="J23" s="1307">
        <f t="shared" si="4"/>
        <v>0.55372454409878913</v>
      </c>
      <c r="K23" s="36">
        <f>'Estimate Summary'!T27</f>
        <v>0</v>
      </c>
      <c r="L23" s="942">
        <f t="shared" si="5"/>
        <v>0</v>
      </c>
      <c r="M23" s="36">
        <f>'Estimate Summary'!AJ27</f>
        <v>93.6268400850239</v>
      </c>
      <c r="N23" s="441">
        <f t="shared" si="6"/>
        <v>0.55372454409878913</v>
      </c>
      <c r="O23" s="36">
        <f>'Estimate Summary'!AS27</f>
        <v>0</v>
      </c>
      <c r="P23" s="441">
        <f t="shared" si="7"/>
        <v>0</v>
      </c>
      <c r="Q23" s="36">
        <f>'Estimate Summary'!BB27</f>
        <v>0</v>
      </c>
      <c r="R23" s="41">
        <f t="shared" si="3"/>
        <v>0</v>
      </c>
      <c r="S23" s="36">
        <f>'Estimate Summary'!AB27</f>
        <v>0</v>
      </c>
      <c r="T23" s="41">
        <f t="shared" si="8"/>
        <v>0</v>
      </c>
      <c r="U23" s="36">
        <f>'Estimate Summary'!BJ27</f>
        <v>0</v>
      </c>
      <c r="V23" s="41">
        <f t="shared" si="9"/>
        <v>0</v>
      </c>
    </row>
    <row r="24" spans="2:22" ht="18" customHeight="1">
      <c r="B24" s="675">
        <v>3</v>
      </c>
      <c r="C24" s="48" t="s">
        <v>122</v>
      </c>
      <c r="D24" s="48"/>
      <c r="E24" s="35"/>
      <c r="F24" s="36">
        <f t="shared" si="1"/>
        <v>2.4</v>
      </c>
      <c r="G24" s="440">
        <f t="shared" si="0"/>
        <v>0.34620045006058503</v>
      </c>
      <c r="H24" s="904">
        <f t="shared" si="2"/>
        <v>1.4193995061995739E-2</v>
      </c>
      <c r="I24" s="36">
        <f>'Estimate Summary'!L38</f>
        <v>2.4</v>
      </c>
      <c r="J24" s="1307">
        <f t="shared" si="4"/>
        <v>1.4193995061995739E-2</v>
      </c>
      <c r="K24" s="36">
        <f>'Estimate Summary'!T38</f>
        <v>0</v>
      </c>
      <c r="L24" s="942">
        <f t="shared" si="5"/>
        <v>0</v>
      </c>
      <c r="M24" s="42">
        <f>'Estimate Summary'!AJ38</f>
        <v>2.4</v>
      </c>
      <c r="N24" s="441">
        <f t="shared" si="6"/>
        <v>1.4193995061995739E-2</v>
      </c>
      <c r="O24" s="42">
        <f>'Estimate Summary'!AS38</f>
        <v>0</v>
      </c>
      <c r="P24" s="441">
        <f t="shared" si="7"/>
        <v>0</v>
      </c>
      <c r="Q24" s="42">
        <f>'Estimate Summary'!BB38</f>
        <v>0</v>
      </c>
      <c r="R24" s="607">
        <f t="shared" si="3"/>
        <v>0</v>
      </c>
      <c r="S24" s="42">
        <f>'Estimate Summary'!AB38</f>
        <v>0</v>
      </c>
      <c r="T24" s="607">
        <f t="shared" si="8"/>
        <v>0</v>
      </c>
      <c r="U24" s="42">
        <f>'Estimate Summary'!BJ38</f>
        <v>0</v>
      </c>
      <c r="V24" s="607">
        <f t="shared" si="9"/>
        <v>0</v>
      </c>
    </row>
    <row r="25" spans="2:22" ht="18" customHeight="1">
      <c r="B25" s="675">
        <v>4</v>
      </c>
      <c r="C25" s="48" t="s">
        <v>123</v>
      </c>
      <c r="D25" s="48"/>
      <c r="E25" s="35"/>
      <c r="F25" s="36">
        <f t="shared" si="1"/>
        <v>39.655000000000001</v>
      </c>
      <c r="G25" s="440">
        <f t="shared" si="0"/>
        <v>5.7202411863135421</v>
      </c>
      <c r="H25" s="904">
        <f t="shared" si="2"/>
        <v>0.23452619757643378</v>
      </c>
      <c r="I25" s="36">
        <f>'Estimate Summary'!L39</f>
        <v>39.655000000000001</v>
      </c>
      <c r="J25" s="1307">
        <f t="shared" si="4"/>
        <v>0.23452619757643378</v>
      </c>
      <c r="K25" s="36">
        <f>'Estimate Summary'!T39</f>
        <v>0</v>
      </c>
      <c r="L25" s="942">
        <f t="shared" si="5"/>
        <v>0</v>
      </c>
      <c r="M25" s="42">
        <f>'Estimate Summary'!AJ39</f>
        <v>39.655000000000001</v>
      </c>
      <c r="N25" s="441">
        <f t="shared" si="6"/>
        <v>0.23452619757643378</v>
      </c>
      <c r="O25" s="42">
        <f>'Estimate Summary'!AS39</f>
        <v>0</v>
      </c>
      <c r="P25" s="441">
        <f t="shared" si="7"/>
        <v>0</v>
      </c>
      <c r="Q25" s="42">
        <f>'Estimate Summary'!BB39</f>
        <v>0</v>
      </c>
      <c r="R25" s="607">
        <f t="shared" si="3"/>
        <v>0</v>
      </c>
      <c r="S25" s="42">
        <f>'Estimate Summary'!AB39</f>
        <v>0</v>
      </c>
      <c r="T25" s="607">
        <f t="shared" si="8"/>
        <v>0</v>
      </c>
      <c r="U25" s="42">
        <f>'Estimate Summary'!BJ39</f>
        <v>0</v>
      </c>
      <c r="V25" s="607">
        <f t="shared" si="9"/>
        <v>0</v>
      </c>
    </row>
    <row r="26" spans="2:22" ht="18" customHeight="1">
      <c r="B26" s="675">
        <v>5</v>
      </c>
      <c r="C26" s="48" t="s">
        <v>238</v>
      </c>
      <c r="D26" s="48"/>
      <c r="E26" s="35"/>
      <c r="F26" s="36">
        <f t="shared" si="1"/>
        <v>28</v>
      </c>
      <c r="G26" s="440">
        <f t="shared" si="0"/>
        <v>4.0390052507068255</v>
      </c>
      <c r="H26" s="904">
        <f t="shared" si="2"/>
        <v>0.16559660905661697</v>
      </c>
      <c r="I26" s="36">
        <f>'Estimate Summary'!L40</f>
        <v>28</v>
      </c>
      <c r="J26" s="1307">
        <f t="shared" si="4"/>
        <v>0.16559660905661697</v>
      </c>
      <c r="K26" s="36">
        <f>'Estimate Summary'!T40</f>
        <v>0</v>
      </c>
      <c r="L26" s="942">
        <f t="shared" si="5"/>
        <v>0</v>
      </c>
      <c r="M26" s="42">
        <f>'Estimate Summary'!AJ40</f>
        <v>28</v>
      </c>
      <c r="N26" s="441">
        <f t="shared" si="6"/>
        <v>0.16559660905661697</v>
      </c>
      <c r="O26" s="42">
        <f>'Estimate Summary'!AS40</f>
        <v>0</v>
      </c>
      <c r="P26" s="441">
        <f t="shared" si="7"/>
        <v>0</v>
      </c>
      <c r="Q26" s="42">
        <f>'Estimate Summary'!BB40</f>
        <v>0</v>
      </c>
      <c r="R26" s="607">
        <f t="shared" si="3"/>
        <v>0</v>
      </c>
      <c r="S26" s="42">
        <f>'Estimate Summary'!AB40</f>
        <v>0</v>
      </c>
      <c r="T26" s="607">
        <f t="shared" si="8"/>
        <v>0</v>
      </c>
      <c r="U26" s="42">
        <f>'Estimate Summary'!BJ40</f>
        <v>0</v>
      </c>
      <c r="V26" s="607">
        <f t="shared" si="9"/>
        <v>0</v>
      </c>
    </row>
    <row r="27" spans="2:22" ht="18" customHeight="1">
      <c r="B27" s="675">
        <v>6</v>
      </c>
      <c r="C27" s="48" t="s">
        <v>239</v>
      </c>
      <c r="D27" s="48"/>
      <c r="E27" s="35"/>
      <c r="F27" s="36">
        <f t="shared" si="1"/>
        <v>0</v>
      </c>
      <c r="G27" s="440">
        <f t="shared" si="0"/>
        <v>0</v>
      </c>
      <c r="H27" s="904">
        <f t="shared" si="2"/>
        <v>0</v>
      </c>
      <c r="I27" s="36">
        <f>'Estimate Summary'!L41</f>
        <v>0</v>
      </c>
      <c r="J27" s="1307">
        <f t="shared" si="4"/>
        <v>0</v>
      </c>
      <c r="K27" s="36">
        <f>'Estimate Summary'!T41</f>
        <v>0</v>
      </c>
      <c r="L27" s="942">
        <f t="shared" si="5"/>
        <v>0</v>
      </c>
      <c r="M27" s="42">
        <f>'Estimate Summary'!AJ41</f>
        <v>0</v>
      </c>
      <c r="N27" s="441">
        <f t="shared" si="6"/>
        <v>0</v>
      </c>
      <c r="O27" s="42">
        <f>'Estimate Summary'!AS41</f>
        <v>0</v>
      </c>
      <c r="P27" s="441">
        <f t="shared" si="7"/>
        <v>0</v>
      </c>
      <c r="Q27" s="42">
        <f>'Estimate Summary'!BB41</f>
        <v>0</v>
      </c>
      <c r="R27" s="607">
        <f t="shared" si="3"/>
        <v>0</v>
      </c>
      <c r="S27" s="42">
        <f>'Estimate Summary'!AB41</f>
        <v>0</v>
      </c>
      <c r="T27" s="607">
        <f t="shared" si="8"/>
        <v>0</v>
      </c>
      <c r="U27" s="42">
        <f>'Estimate Summary'!BJ41</f>
        <v>0</v>
      </c>
      <c r="V27" s="607">
        <f t="shared" si="9"/>
        <v>0</v>
      </c>
    </row>
    <row r="28" spans="2:22" ht="18" customHeight="1">
      <c r="B28" s="675">
        <v>7</v>
      </c>
      <c r="C28" s="48" t="s">
        <v>74</v>
      </c>
      <c r="D28" s="48"/>
      <c r="E28" s="35"/>
      <c r="F28" s="36">
        <f t="shared" si="1"/>
        <v>0</v>
      </c>
      <c r="G28" s="440">
        <f t="shared" si="0"/>
        <v>0</v>
      </c>
      <c r="H28" s="904"/>
      <c r="I28" s="36">
        <f>'Estimate Summary'!L42</f>
        <v>0</v>
      </c>
      <c r="J28" s="1307">
        <f t="shared" si="4"/>
        <v>0</v>
      </c>
      <c r="K28" s="36">
        <f>'Estimate Summary'!T42</f>
        <v>0</v>
      </c>
      <c r="L28" s="942">
        <f t="shared" si="5"/>
        <v>0</v>
      </c>
      <c r="M28" s="42">
        <f>'Estimate Summary'!AJ42</f>
        <v>0</v>
      </c>
      <c r="N28" s="441">
        <f t="shared" si="6"/>
        <v>0</v>
      </c>
      <c r="O28" s="42">
        <f>'Estimate Summary'!AS42</f>
        <v>0</v>
      </c>
      <c r="P28" s="441">
        <f t="shared" si="7"/>
        <v>0</v>
      </c>
      <c r="Q28" s="42">
        <f>'Estimate Summary'!BB42</f>
        <v>0</v>
      </c>
      <c r="R28" s="607"/>
      <c r="S28" s="42">
        <f>'Estimate Summary'!AB42</f>
        <v>0</v>
      </c>
      <c r="T28" s="607">
        <f t="shared" si="8"/>
        <v>0</v>
      </c>
      <c r="U28" s="42">
        <f>'Estimate Summary'!BJ42</f>
        <v>0</v>
      </c>
      <c r="V28" s="607">
        <f t="shared" si="9"/>
        <v>0</v>
      </c>
    </row>
    <row r="29" spans="2:22" ht="18" customHeight="1">
      <c r="B29" s="675">
        <v>8</v>
      </c>
      <c r="C29" s="48" t="s">
        <v>240</v>
      </c>
      <c r="D29" s="48"/>
      <c r="E29" s="35"/>
      <c r="F29" s="36">
        <f t="shared" si="1"/>
        <v>0</v>
      </c>
      <c r="G29" s="440">
        <f t="shared" si="0"/>
        <v>0</v>
      </c>
      <c r="H29" s="904">
        <f t="shared" si="2"/>
        <v>0</v>
      </c>
      <c r="I29" s="36">
        <f>'Estimate Summary'!L43</f>
        <v>0</v>
      </c>
      <c r="J29" s="1307">
        <f t="shared" si="4"/>
        <v>0</v>
      </c>
      <c r="K29" s="36">
        <f>'Estimate Summary'!T43</f>
        <v>0</v>
      </c>
      <c r="L29" s="942">
        <f t="shared" si="5"/>
        <v>0</v>
      </c>
      <c r="M29" s="42">
        <f>'Estimate Summary'!AJ43</f>
        <v>0</v>
      </c>
      <c r="N29" s="441">
        <f t="shared" si="6"/>
        <v>0</v>
      </c>
      <c r="O29" s="42">
        <f>'Estimate Summary'!AS43</f>
        <v>0</v>
      </c>
      <c r="P29" s="441">
        <f t="shared" si="7"/>
        <v>0</v>
      </c>
      <c r="Q29" s="42">
        <f>'Estimate Summary'!BB43</f>
        <v>0</v>
      </c>
      <c r="R29" s="607">
        <f t="shared" si="3"/>
        <v>0</v>
      </c>
      <c r="S29" s="42">
        <f>'Estimate Summary'!AB43</f>
        <v>0</v>
      </c>
      <c r="T29" s="607">
        <f t="shared" si="8"/>
        <v>0</v>
      </c>
      <c r="U29" s="42">
        <f>'Estimate Summary'!BJ43</f>
        <v>0</v>
      </c>
      <c r="V29" s="607">
        <f t="shared" si="9"/>
        <v>0</v>
      </c>
    </row>
    <row r="30" spans="2:22" ht="18" customHeight="1" thickBot="1">
      <c r="B30" s="675">
        <v>9</v>
      </c>
      <c r="C30" s="48" t="s">
        <v>757</v>
      </c>
      <c r="D30" s="48"/>
      <c r="E30" s="35"/>
      <c r="F30" s="36">
        <f t="shared" si="1"/>
        <v>0</v>
      </c>
      <c r="G30" s="442">
        <f t="shared" si="0"/>
        <v>0</v>
      </c>
      <c r="H30" s="904"/>
      <c r="I30" s="36">
        <f>'Estimate Summary'!L44</f>
        <v>0</v>
      </c>
      <c r="J30" s="1307">
        <f t="shared" si="4"/>
        <v>0</v>
      </c>
      <c r="K30" s="36">
        <f>'Estimate Summary'!T44</f>
        <v>0</v>
      </c>
      <c r="L30" s="942">
        <f t="shared" si="5"/>
        <v>0</v>
      </c>
      <c r="M30" s="37">
        <f>'Estimate Summary'!AJ44</f>
        <v>0</v>
      </c>
      <c r="N30" s="441">
        <f t="shared" si="6"/>
        <v>0</v>
      </c>
      <c r="O30" s="37">
        <f>'Estimate Summary'!AS44</f>
        <v>0</v>
      </c>
      <c r="P30" s="441">
        <f t="shared" si="7"/>
        <v>0</v>
      </c>
      <c r="Q30" s="37">
        <f>'Estimate Summary'!BB44</f>
        <v>0</v>
      </c>
      <c r="R30" s="607"/>
      <c r="S30" s="37">
        <f>'Estimate Summary'!AB44</f>
        <v>0</v>
      </c>
      <c r="T30" s="607">
        <f t="shared" si="8"/>
        <v>0</v>
      </c>
      <c r="U30" s="37">
        <f>'Estimate Summary'!BJ44</f>
        <v>0</v>
      </c>
      <c r="V30" s="607">
        <f t="shared" si="9"/>
        <v>0</v>
      </c>
    </row>
    <row r="31" spans="2:22" ht="8.25" customHeight="1" thickBot="1">
      <c r="B31" s="1501"/>
      <c r="C31" s="45"/>
      <c r="D31" s="45"/>
      <c r="E31" s="46"/>
      <c r="F31" s="1508"/>
      <c r="G31" s="1502">
        <f t="shared" si="0"/>
        <v>0</v>
      </c>
      <c r="H31" s="1503"/>
      <c r="I31" s="1508"/>
      <c r="J31" s="1505">
        <f t="shared" si="4"/>
        <v>0</v>
      </c>
      <c r="K31" s="1508"/>
      <c r="L31" s="945">
        <f t="shared" si="5"/>
        <v>0</v>
      </c>
      <c r="M31" s="1502"/>
      <c r="N31" s="1506">
        <f t="shared" si="6"/>
        <v>0</v>
      </c>
      <c r="O31" s="1502"/>
      <c r="P31" s="1506">
        <f t="shared" si="7"/>
        <v>0</v>
      </c>
      <c r="Q31" s="1502"/>
      <c r="R31" s="1509"/>
      <c r="S31" s="1502"/>
      <c r="T31" s="1509">
        <f t="shared" si="8"/>
        <v>0</v>
      </c>
      <c r="U31" s="1502"/>
      <c r="V31" s="1509">
        <f t="shared" si="9"/>
        <v>0</v>
      </c>
    </row>
    <row r="32" spans="2:22" ht="18" customHeight="1" thickBot="1">
      <c r="B32" s="676">
        <v>10</v>
      </c>
      <c r="C32" s="45" t="s">
        <v>758</v>
      </c>
      <c r="D32" s="45"/>
      <c r="E32" s="46"/>
      <c r="F32" s="677">
        <f t="shared" si="1"/>
        <v>169.08558792062516</v>
      </c>
      <c r="G32" s="448">
        <f t="shared" si="0"/>
        <v>24.390627765366272</v>
      </c>
      <c r="H32" s="1316"/>
      <c r="I32" s="677">
        <f>SUM(I21:I29)</f>
        <v>169.08558792062516</v>
      </c>
      <c r="J32" s="1308">
        <f t="shared" si="4"/>
        <v>1</v>
      </c>
      <c r="K32" s="677">
        <f>SUM(K21:K29)</f>
        <v>0</v>
      </c>
      <c r="L32" s="943">
        <f t="shared" si="5"/>
        <v>0</v>
      </c>
      <c r="M32" s="677">
        <f>SUM(M21:M29)</f>
        <v>169.08558792062516</v>
      </c>
      <c r="N32" s="946">
        <f t="shared" si="6"/>
        <v>1</v>
      </c>
      <c r="O32" s="677">
        <f>SUM(O21:O29)</f>
        <v>0</v>
      </c>
      <c r="P32" s="439">
        <f t="shared" si="7"/>
        <v>0</v>
      </c>
      <c r="Q32" s="677">
        <f>SUM(Q21:Q29)</f>
        <v>0</v>
      </c>
      <c r="R32" s="678"/>
      <c r="S32" s="677">
        <f>SUM(S21:S29)</f>
        <v>0</v>
      </c>
      <c r="T32" s="678">
        <f t="shared" si="8"/>
        <v>0</v>
      </c>
      <c r="U32" s="677">
        <f>SUM(U21:U29)</f>
        <v>0</v>
      </c>
      <c r="V32" s="678">
        <f t="shared" si="9"/>
        <v>0</v>
      </c>
    </row>
    <row r="33" spans="2:22" ht="10.5" customHeight="1" thickBot="1">
      <c r="B33" s="1501"/>
      <c r="C33" s="45"/>
      <c r="D33" s="45"/>
      <c r="E33" s="46"/>
      <c r="F33" s="1508">
        <f t="shared" si="1"/>
        <v>0</v>
      </c>
      <c r="G33" s="1502">
        <f t="shared" si="0"/>
        <v>0</v>
      </c>
      <c r="H33" s="1503"/>
      <c r="I33" s="1508"/>
      <c r="J33" s="1505">
        <f t="shared" si="4"/>
        <v>0</v>
      </c>
      <c r="K33" s="1508"/>
      <c r="L33" s="945">
        <f t="shared" si="5"/>
        <v>0</v>
      </c>
      <c r="M33" s="1502"/>
      <c r="N33" s="1506">
        <f t="shared" si="6"/>
        <v>0</v>
      </c>
      <c r="O33" s="1502"/>
      <c r="P33" s="1506">
        <f t="shared" si="7"/>
        <v>0</v>
      </c>
      <c r="Q33" s="1502"/>
      <c r="R33" s="1509"/>
      <c r="S33" s="1502"/>
      <c r="T33" s="1509">
        <f t="shared" si="8"/>
        <v>0</v>
      </c>
      <c r="U33" s="1502"/>
      <c r="V33" s="1509">
        <f t="shared" si="9"/>
        <v>0</v>
      </c>
    </row>
    <row r="34" spans="2:22" ht="18" customHeight="1">
      <c r="B34" s="675">
        <v>11</v>
      </c>
      <c r="C34" s="48" t="s">
        <v>759</v>
      </c>
      <c r="D34" s="48"/>
      <c r="E34" s="35"/>
      <c r="F34" s="36">
        <f t="shared" si="1"/>
        <v>0</v>
      </c>
      <c r="G34" s="440">
        <f t="shared" si="0"/>
        <v>0</v>
      </c>
      <c r="H34" s="904">
        <f>F34/F$19</f>
        <v>0</v>
      </c>
      <c r="I34" s="36">
        <f>'Estimate Summary'!L46</f>
        <v>0</v>
      </c>
      <c r="J34" s="1307">
        <f t="shared" si="4"/>
        <v>0</v>
      </c>
      <c r="K34" s="36">
        <f>'Estimate Summary'!T46</f>
        <v>0</v>
      </c>
      <c r="L34" s="942">
        <f t="shared" si="5"/>
        <v>0</v>
      </c>
      <c r="M34" s="36">
        <f>'Estimate Summary'!AJ46</f>
        <v>0</v>
      </c>
      <c r="N34" s="441">
        <f t="shared" si="6"/>
        <v>0</v>
      </c>
      <c r="O34" s="36">
        <f>'Estimate Summary'!AS46</f>
        <v>0</v>
      </c>
      <c r="P34" s="441">
        <f t="shared" si="7"/>
        <v>0</v>
      </c>
      <c r="Q34" s="36">
        <f>'Estimate Summary'!BB46</f>
        <v>0</v>
      </c>
      <c r="R34" s="607">
        <f t="shared" si="3"/>
        <v>0</v>
      </c>
      <c r="S34" s="36">
        <f>'Estimate Summary'!AB46</f>
        <v>0</v>
      </c>
      <c r="T34" s="607">
        <f t="shared" si="8"/>
        <v>0</v>
      </c>
      <c r="U34" s="36">
        <f>'Estimate Summary'!BJ46</f>
        <v>0</v>
      </c>
      <c r="V34" s="607">
        <f t="shared" si="9"/>
        <v>0</v>
      </c>
    </row>
    <row r="35" spans="2:22" ht="18" customHeight="1">
      <c r="B35" s="675">
        <v>12</v>
      </c>
      <c r="C35" s="48" t="s">
        <v>242</v>
      </c>
      <c r="D35" s="48"/>
      <c r="E35" s="35"/>
      <c r="F35" s="36">
        <f t="shared" si="1"/>
        <v>0</v>
      </c>
      <c r="G35" s="440">
        <f t="shared" si="0"/>
        <v>0</v>
      </c>
      <c r="H35" s="904">
        <f t="shared" ref="H35:H40" si="10">F35/F$19</f>
        <v>0</v>
      </c>
      <c r="I35" s="36">
        <f>'Estimate Summary'!L47</f>
        <v>0</v>
      </c>
      <c r="J35" s="1307">
        <f t="shared" si="4"/>
        <v>0</v>
      </c>
      <c r="K35" s="36">
        <f>'Estimate Summary'!T47</f>
        <v>0</v>
      </c>
      <c r="L35" s="942">
        <f t="shared" si="5"/>
        <v>0</v>
      </c>
      <c r="M35" s="36">
        <f>'Estimate Summary'!AJ47</f>
        <v>0</v>
      </c>
      <c r="N35" s="441">
        <f t="shared" si="6"/>
        <v>0</v>
      </c>
      <c r="O35" s="36">
        <f>'Estimate Summary'!AS47</f>
        <v>0</v>
      </c>
      <c r="P35" s="441">
        <f t="shared" si="7"/>
        <v>0</v>
      </c>
      <c r="Q35" s="36">
        <f>'Estimate Summary'!BB47</f>
        <v>0</v>
      </c>
      <c r="R35" s="607">
        <f>IF($Q$19=0,0,Q35/Q$19)</f>
        <v>0</v>
      </c>
      <c r="S35" s="36">
        <f>'Estimate Summary'!AB47</f>
        <v>0</v>
      </c>
      <c r="T35" s="607">
        <f t="shared" si="8"/>
        <v>0</v>
      </c>
      <c r="U35" s="36">
        <f>'Estimate Summary'!BJ47</f>
        <v>0</v>
      </c>
      <c r="V35" s="607">
        <f t="shared" si="9"/>
        <v>0</v>
      </c>
    </row>
    <row r="36" spans="2:22" ht="18" customHeight="1">
      <c r="B36" s="675">
        <v>13</v>
      </c>
      <c r="C36" s="48" t="s">
        <v>75</v>
      </c>
      <c r="D36" s="48"/>
      <c r="E36" s="35"/>
      <c r="F36" s="36">
        <f t="shared" si="1"/>
        <v>0</v>
      </c>
      <c r="G36" s="440">
        <f t="shared" si="0"/>
        <v>0</v>
      </c>
      <c r="H36" s="904">
        <f t="shared" si="10"/>
        <v>0</v>
      </c>
      <c r="I36" s="36">
        <f>'Estimate Summary'!L48</f>
        <v>0</v>
      </c>
      <c r="J36" s="1307">
        <f t="shared" si="4"/>
        <v>0</v>
      </c>
      <c r="K36" s="36">
        <f>'Estimate Summary'!T48</f>
        <v>0</v>
      </c>
      <c r="L36" s="942">
        <f t="shared" si="5"/>
        <v>0</v>
      </c>
      <c r="M36" s="36">
        <f>'Estimate Summary'!AJ48</f>
        <v>0</v>
      </c>
      <c r="N36" s="441">
        <f t="shared" si="6"/>
        <v>0</v>
      </c>
      <c r="O36" s="36">
        <f>'Estimate Summary'!AS48</f>
        <v>0</v>
      </c>
      <c r="P36" s="441">
        <f t="shared" si="7"/>
        <v>0</v>
      </c>
      <c r="Q36" s="36">
        <f>'Estimate Summary'!BB48</f>
        <v>0</v>
      </c>
      <c r="R36" s="607">
        <f>IF($Q$19=0,0,Q36/Q$19)</f>
        <v>0</v>
      </c>
      <c r="S36" s="36">
        <f>'Estimate Summary'!AB48</f>
        <v>0</v>
      </c>
      <c r="T36" s="607">
        <f t="shared" si="8"/>
        <v>0</v>
      </c>
      <c r="U36" s="36">
        <f>'Estimate Summary'!BJ48</f>
        <v>0</v>
      </c>
      <c r="V36" s="607">
        <f t="shared" si="9"/>
        <v>0</v>
      </c>
    </row>
    <row r="37" spans="2:22" ht="18" customHeight="1" thickBot="1">
      <c r="B37" s="675">
        <v>14</v>
      </c>
      <c r="C37" s="48" t="s">
        <v>75</v>
      </c>
      <c r="D37" s="48"/>
      <c r="E37" s="35"/>
      <c r="F37" s="36">
        <f t="shared" si="1"/>
        <v>0</v>
      </c>
      <c r="G37" s="440">
        <f t="shared" si="0"/>
        <v>0</v>
      </c>
      <c r="H37" s="904">
        <f t="shared" si="10"/>
        <v>0</v>
      </c>
      <c r="I37" s="36">
        <f>'Estimate Summary'!L49</f>
        <v>0</v>
      </c>
      <c r="J37" s="1307">
        <f t="shared" si="4"/>
        <v>0</v>
      </c>
      <c r="K37" s="36">
        <f>'Estimate Summary'!T49</f>
        <v>0</v>
      </c>
      <c r="L37" s="942">
        <f t="shared" si="5"/>
        <v>0</v>
      </c>
      <c r="M37" s="36">
        <f>'Estimate Summary'!AJ49</f>
        <v>0</v>
      </c>
      <c r="N37" s="904">
        <f t="shared" si="6"/>
        <v>0</v>
      </c>
      <c r="O37" s="36">
        <f>'Estimate Summary'!AS49</f>
        <v>0</v>
      </c>
      <c r="P37" s="904">
        <f t="shared" si="7"/>
        <v>0</v>
      </c>
      <c r="Q37" s="36">
        <f>'Estimate Summary'!BB49</f>
        <v>0</v>
      </c>
      <c r="R37" s="607">
        <f>IF($Q$19=0,0,Q37/Q$19)</f>
        <v>0</v>
      </c>
      <c r="S37" s="36">
        <f>'Estimate Summary'!AB49</f>
        <v>0</v>
      </c>
      <c r="T37" s="607">
        <f t="shared" si="8"/>
        <v>0</v>
      </c>
      <c r="U37" s="36">
        <f>'Estimate Summary'!BJ49</f>
        <v>0</v>
      </c>
      <c r="V37" s="607">
        <f t="shared" si="9"/>
        <v>0</v>
      </c>
    </row>
    <row r="38" spans="2:22" ht="18" customHeight="1" thickBot="1">
      <c r="B38" s="676">
        <v>15</v>
      </c>
      <c r="C38" s="45" t="s">
        <v>760</v>
      </c>
      <c r="D38" s="45"/>
      <c r="E38" s="46"/>
      <c r="F38" s="677">
        <f>SUM(F32:F37)</f>
        <v>169.08558792062516</v>
      </c>
      <c r="G38" s="448">
        <f t="shared" si="0"/>
        <v>24.390627765366272</v>
      </c>
      <c r="H38" s="1316">
        <f t="shared" si="10"/>
        <v>1</v>
      </c>
      <c r="I38" s="677">
        <f>SUM(I32:I37)</f>
        <v>169.08558792062516</v>
      </c>
      <c r="J38" s="943">
        <f t="shared" si="4"/>
        <v>1</v>
      </c>
      <c r="K38" s="677">
        <f>SUM(K32:K37)</f>
        <v>0</v>
      </c>
      <c r="L38" s="943">
        <f t="shared" ref="L38:L61" si="11">IF($K$19=0,0,K38/K$19)</f>
        <v>0</v>
      </c>
      <c r="M38" s="677">
        <f>SUM(M32:M37)</f>
        <v>169.08558792062516</v>
      </c>
      <c r="N38" s="439">
        <f t="shared" si="6"/>
        <v>1</v>
      </c>
      <c r="O38" s="677">
        <f>SUM(O32:O37)</f>
        <v>0</v>
      </c>
      <c r="P38" s="439">
        <f t="shared" si="7"/>
        <v>0</v>
      </c>
      <c r="Q38" s="677">
        <f>SUM(Q32:Q37)</f>
        <v>0</v>
      </c>
      <c r="R38" s="678">
        <f t="shared" si="3"/>
        <v>0</v>
      </c>
      <c r="S38" s="677">
        <f>SUM(S32:S37)</f>
        <v>0</v>
      </c>
      <c r="T38" s="678">
        <f t="shared" si="8"/>
        <v>0</v>
      </c>
      <c r="U38" s="677">
        <f>SUM(U32:U37)</f>
        <v>0</v>
      </c>
      <c r="V38" s="678">
        <f t="shared" si="9"/>
        <v>0</v>
      </c>
    </row>
    <row r="39" spans="2:22" ht="10.5" customHeight="1" thickBot="1">
      <c r="B39" s="675"/>
      <c r="C39" s="48"/>
      <c r="D39" s="48"/>
      <c r="E39" s="43"/>
      <c r="F39" s="36"/>
      <c r="G39" s="447">
        <f t="shared" si="0"/>
        <v>0</v>
      </c>
      <c r="H39" s="904">
        <f t="shared" si="10"/>
        <v>0</v>
      </c>
      <c r="I39" s="36"/>
      <c r="J39" s="1307">
        <f t="shared" si="4"/>
        <v>0</v>
      </c>
      <c r="K39" s="36"/>
      <c r="L39" s="942">
        <f t="shared" si="11"/>
        <v>0</v>
      </c>
      <c r="M39" s="36"/>
      <c r="N39" s="441">
        <f t="shared" si="6"/>
        <v>0</v>
      </c>
      <c r="O39" s="36"/>
      <c r="P39" s="441">
        <f t="shared" si="7"/>
        <v>0</v>
      </c>
      <c r="Q39" s="36"/>
      <c r="R39" s="607"/>
      <c r="S39" s="36"/>
      <c r="T39" s="607">
        <f t="shared" si="8"/>
        <v>0</v>
      </c>
      <c r="U39" s="36"/>
      <c r="V39" s="607">
        <f t="shared" si="9"/>
        <v>0</v>
      </c>
    </row>
    <row r="40" spans="2:22" ht="18" customHeight="1" thickBot="1">
      <c r="B40" s="676">
        <v>16</v>
      </c>
      <c r="C40" s="45" t="s">
        <v>1132</v>
      </c>
      <c r="D40" s="45"/>
      <c r="E40" s="1510"/>
      <c r="F40" s="47">
        <f t="shared" si="1"/>
        <v>0</v>
      </c>
      <c r="G40" s="1511">
        <f t="shared" si="0"/>
        <v>0</v>
      </c>
      <c r="H40" s="1316">
        <f t="shared" si="10"/>
        <v>0</v>
      </c>
      <c r="I40" s="47">
        <f>I19-I38</f>
        <v>0</v>
      </c>
      <c r="J40" s="439">
        <f t="shared" si="4"/>
        <v>0</v>
      </c>
      <c r="K40" s="47">
        <f>K19-K38</f>
        <v>0</v>
      </c>
      <c r="L40" s="439">
        <f t="shared" si="11"/>
        <v>0</v>
      </c>
      <c r="M40" s="47">
        <f>M19-M38</f>
        <v>0</v>
      </c>
      <c r="N40" s="439">
        <f t="shared" si="6"/>
        <v>0</v>
      </c>
      <c r="O40" s="47"/>
      <c r="P40" s="439">
        <f t="shared" si="7"/>
        <v>0</v>
      </c>
      <c r="Q40" s="47"/>
      <c r="R40" s="678"/>
      <c r="S40" s="47"/>
      <c r="T40" s="678">
        <f t="shared" si="8"/>
        <v>0</v>
      </c>
      <c r="U40" s="47"/>
      <c r="V40" s="678">
        <f t="shared" si="9"/>
        <v>0</v>
      </c>
    </row>
    <row r="41" spans="2:22" ht="8.25" customHeight="1" thickBot="1">
      <c r="B41" s="1501"/>
      <c r="C41" s="45"/>
      <c r="D41" s="45"/>
      <c r="E41" s="1510"/>
      <c r="F41" s="1512"/>
      <c r="G41" s="1512">
        <f t="shared" si="0"/>
        <v>0</v>
      </c>
      <c r="H41" s="1503"/>
      <c r="I41" s="1512"/>
      <c r="J41" s="1505"/>
      <c r="K41" s="1512"/>
      <c r="L41" s="945">
        <f t="shared" si="11"/>
        <v>0</v>
      </c>
      <c r="M41" s="1512"/>
      <c r="N41" s="1506"/>
      <c r="O41" s="1512"/>
      <c r="P41" s="1506"/>
      <c r="Q41" s="1512"/>
      <c r="R41" s="1509"/>
      <c r="S41" s="1512"/>
      <c r="T41" s="1509">
        <f t="shared" si="8"/>
        <v>0</v>
      </c>
      <c r="U41" s="1512"/>
      <c r="V41" s="1509"/>
    </row>
    <row r="42" spans="2:22" ht="24.95" customHeight="1">
      <c r="B42" s="675">
        <v>17</v>
      </c>
      <c r="C42" s="48" t="s">
        <v>241</v>
      </c>
      <c r="D42" s="679"/>
      <c r="E42" s="33"/>
      <c r="F42" s="49"/>
      <c r="G42" s="445">
        <f t="shared" si="0"/>
        <v>0</v>
      </c>
      <c r="H42" s="1317"/>
      <c r="I42" s="49"/>
      <c r="J42" s="1306"/>
      <c r="K42" s="49"/>
      <c r="L42" s="941">
        <f t="shared" si="11"/>
        <v>0</v>
      </c>
      <c r="M42" s="49"/>
      <c r="N42" s="446"/>
      <c r="O42" s="49"/>
      <c r="P42" s="446"/>
      <c r="Q42" s="49"/>
      <c r="R42" s="608"/>
      <c r="S42" s="49"/>
      <c r="T42" s="608">
        <f t="shared" si="8"/>
        <v>0</v>
      </c>
      <c r="U42" s="49"/>
      <c r="V42" s="608"/>
    </row>
    <row r="43" spans="2:22" ht="24.95" customHeight="1">
      <c r="B43" s="675">
        <v>18</v>
      </c>
      <c r="C43" s="48" t="s">
        <v>761</v>
      </c>
      <c r="D43" s="4"/>
      <c r="E43" s="35"/>
      <c r="F43" s="42"/>
      <c r="G43" s="440">
        <f t="shared" si="0"/>
        <v>0</v>
      </c>
      <c r="H43" s="904"/>
      <c r="I43" s="42"/>
      <c r="J43" s="1307"/>
      <c r="K43" s="42"/>
      <c r="L43" s="942">
        <f t="shared" si="11"/>
        <v>0</v>
      </c>
      <c r="M43" s="42"/>
      <c r="N43" s="441"/>
      <c r="O43" s="42"/>
      <c r="P43" s="441"/>
      <c r="Q43" s="42"/>
      <c r="R43" s="607"/>
      <c r="S43" s="42"/>
      <c r="T43" s="607">
        <f t="shared" si="8"/>
        <v>0</v>
      </c>
      <c r="U43" s="42"/>
      <c r="V43" s="607"/>
    </row>
    <row r="44" spans="2:22" ht="18" customHeight="1">
      <c r="B44" s="675">
        <v>19</v>
      </c>
      <c r="C44" s="48" t="s">
        <v>762</v>
      </c>
      <c r="D44" s="48"/>
      <c r="E44" s="35"/>
      <c r="F44" s="42"/>
      <c r="G44" s="1513">
        <f t="shared" si="0"/>
        <v>0</v>
      </c>
      <c r="H44" s="1514"/>
      <c r="I44" s="42"/>
      <c r="J44" s="1304"/>
      <c r="K44" s="42"/>
      <c r="L44" s="938">
        <f t="shared" si="11"/>
        <v>0</v>
      </c>
      <c r="M44" s="42"/>
      <c r="N44" s="1515"/>
      <c r="O44" s="42"/>
      <c r="P44" s="1515"/>
      <c r="Q44" s="42"/>
      <c r="R44" s="1516"/>
      <c r="S44" s="42"/>
      <c r="T44" s="1516">
        <f t="shared" si="8"/>
        <v>0</v>
      </c>
      <c r="U44" s="42"/>
      <c r="V44" s="1516"/>
    </row>
    <row r="45" spans="2:22" ht="18" customHeight="1">
      <c r="B45" s="675">
        <v>20</v>
      </c>
      <c r="C45" s="48" t="s">
        <v>763</v>
      </c>
      <c r="D45" s="48"/>
      <c r="E45" s="35"/>
      <c r="F45" s="36"/>
      <c r="G45" s="440">
        <f t="shared" si="0"/>
        <v>0</v>
      </c>
      <c r="H45" s="904"/>
      <c r="I45" s="36"/>
      <c r="J45" s="1307"/>
      <c r="K45" s="36"/>
      <c r="L45" s="942">
        <f t="shared" si="11"/>
        <v>0</v>
      </c>
      <c r="M45" s="36"/>
      <c r="N45" s="441"/>
      <c r="O45" s="36"/>
      <c r="P45" s="441"/>
      <c r="Q45" s="36"/>
      <c r="R45" s="607"/>
      <c r="S45" s="36"/>
      <c r="T45" s="607">
        <f t="shared" si="8"/>
        <v>0</v>
      </c>
      <c r="U45" s="36"/>
      <c r="V45" s="607"/>
    </row>
    <row r="46" spans="2:22" ht="18" customHeight="1" thickBot="1">
      <c r="B46" s="675">
        <v>21</v>
      </c>
      <c r="C46" s="48" t="s">
        <v>75</v>
      </c>
      <c r="D46" s="48"/>
      <c r="E46" s="35"/>
      <c r="F46" s="37"/>
      <c r="G46" s="1517">
        <f t="shared" si="0"/>
        <v>0</v>
      </c>
      <c r="H46" s="904"/>
      <c r="I46" s="944"/>
      <c r="J46" s="1307"/>
      <c r="K46" s="944"/>
      <c r="L46" s="942">
        <f t="shared" si="11"/>
        <v>0</v>
      </c>
      <c r="M46" s="36"/>
      <c r="N46" s="441"/>
      <c r="O46" s="36"/>
      <c r="P46" s="441"/>
      <c r="Q46" s="36"/>
      <c r="R46" s="607"/>
      <c r="S46" s="36"/>
      <c r="T46" s="607">
        <f t="shared" si="8"/>
        <v>0</v>
      </c>
      <c r="U46" s="36"/>
      <c r="V46" s="607"/>
    </row>
    <row r="47" spans="2:22" ht="18" customHeight="1" thickBot="1">
      <c r="B47" s="676">
        <v>22</v>
      </c>
      <c r="C47" s="45" t="s">
        <v>764</v>
      </c>
      <c r="D47" s="45"/>
      <c r="E47" s="46"/>
      <c r="F47" s="677"/>
      <c r="G47" s="448">
        <f t="shared" si="0"/>
        <v>0</v>
      </c>
      <c r="H47" s="1316"/>
      <c r="I47" s="47"/>
      <c r="J47" s="1308"/>
      <c r="K47" s="47"/>
      <c r="L47" s="1518">
        <f t="shared" si="11"/>
        <v>0</v>
      </c>
      <c r="M47" s="47"/>
      <c r="N47" s="1316"/>
      <c r="O47" s="47"/>
      <c r="P47" s="1519"/>
      <c r="Q47" s="47"/>
      <c r="R47" s="959"/>
      <c r="S47" s="47"/>
      <c r="T47" s="959">
        <f t="shared" si="8"/>
        <v>0</v>
      </c>
      <c r="U47" s="47"/>
      <c r="V47" s="959"/>
    </row>
    <row r="48" spans="2:22" ht="6.75" customHeight="1" thickBot="1">
      <c r="B48" s="1520"/>
      <c r="C48" s="45"/>
      <c r="D48" s="45"/>
      <c r="E48" s="46"/>
      <c r="F48" s="1512"/>
      <c r="G48" s="1512">
        <f t="shared" si="0"/>
        <v>0</v>
      </c>
      <c r="H48" s="1503"/>
      <c r="I48" s="1512"/>
      <c r="J48" s="1505"/>
      <c r="K48" s="1512"/>
      <c r="L48" s="945">
        <f t="shared" si="11"/>
        <v>0</v>
      </c>
      <c r="M48" s="1512"/>
      <c r="N48" s="1506"/>
      <c r="O48" s="1512"/>
      <c r="P48" s="1506"/>
      <c r="Q48" s="1512"/>
      <c r="R48" s="1521"/>
      <c r="S48" s="1512"/>
      <c r="T48" s="1521">
        <f t="shared" si="8"/>
        <v>0</v>
      </c>
      <c r="U48" s="1512"/>
      <c r="V48" s="1521"/>
    </row>
    <row r="49" spans="2:22" ht="24.75" customHeight="1" thickBot="1">
      <c r="B49" s="676">
        <v>23</v>
      </c>
      <c r="C49" s="45" t="s">
        <v>765</v>
      </c>
      <c r="D49" s="45"/>
      <c r="E49" s="46"/>
      <c r="F49" s="47"/>
      <c r="G49" s="448">
        <f t="shared" si="0"/>
        <v>0</v>
      </c>
      <c r="H49" s="967"/>
      <c r="I49" s="47"/>
      <c r="J49" s="950"/>
      <c r="K49" s="47"/>
      <c r="L49" s="958">
        <f t="shared" si="11"/>
        <v>0</v>
      </c>
      <c r="M49" s="47"/>
      <c r="N49" s="947"/>
      <c r="O49" s="47"/>
      <c r="P49" s="947"/>
      <c r="Q49" s="47"/>
      <c r="R49" s="41"/>
      <c r="S49" s="47"/>
      <c r="T49" s="959">
        <f t="shared" si="8"/>
        <v>0</v>
      </c>
      <c r="U49" s="47"/>
      <c r="V49" s="959"/>
    </row>
    <row r="50" spans="2:22" ht="8.25" customHeight="1" thickBot="1">
      <c r="B50" s="50"/>
      <c r="C50" s="50"/>
      <c r="D50" s="50"/>
      <c r="E50" s="50"/>
      <c r="F50" s="50"/>
      <c r="G50" s="50">
        <f t="shared" si="0"/>
        <v>0</v>
      </c>
      <c r="L50" s="123">
        <f t="shared" si="11"/>
        <v>0</v>
      </c>
      <c r="M50" s="50"/>
      <c r="O50" s="50"/>
      <c r="Q50" s="50"/>
      <c r="R50" s="25"/>
      <c r="T50" s="2">
        <f t="shared" si="8"/>
        <v>0</v>
      </c>
    </row>
    <row r="51" spans="2:22" ht="18" customHeight="1">
      <c r="B51" s="1500">
        <v>24</v>
      </c>
      <c r="C51" s="679" t="s">
        <v>243</v>
      </c>
      <c r="D51" s="679"/>
      <c r="E51" s="1522"/>
      <c r="F51" s="51"/>
      <c r="G51" s="1528">
        <f t="shared" si="0"/>
        <v>0</v>
      </c>
      <c r="H51" s="1314"/>
      <c r="I51" s="1531"/>
      <c r="J51" s="1537"/>
      <c r="K51" s="1540"/>
      <c r="L51" s="1534">
        <f t="shared" si="11"/>
        <v>0</v>
      </c>
      <c r="M51" s="1543"/>
      <c r="N51" s="1534"/>
      <c r="O51" s="1543"/>
      <c r="P51" s="1534"/>
      <c r="Q51" s="1543"/>
      <c r="R51" s="1522"/>
      <c r="S51" s="1547"/>
      <c r="T51" s="956">
        <f t="shared" si="8"/>
        <v>0</v>
      </c>
      <c r="U51" s="1547"/>
      <c r="V51" s="956"/>
    </row>
    <row r="52" spans="2:22" ht="18" customHeight="1">
      <c r="B52" s="675">
        <v>25</v>
      </c>
      <c r="C52" s="48" t="s">
        <v>766</v>
      </c>
      <c r="D52" s="4"/>
      <c r="E52" s="1523"/>
      <c r="F52" s="52"/>
      <c r="G52" s="1529">
        <f t="shared" si="0"/>
        <v>0</v>
      </c>
      <c r="H52" s="1526"/>
      <c r="I52" s="1532"/>
      <c r="J52" s="1538"/>
      <c r="K52" s="1541"/>
      <c r="L52" s="1535">
        <f t="shared" si="11"/>
        <v>0</v>
      </c>
      <c r="M52" s="1544"/>
      <c r="N52" s="1535"/>
      <c r="O52" s="1544"/>
      <c r="P52" s="1535"/>
      <c r="Q52" s="1544"/>
      <c r="R52" s="1523"/>
      <c r="S52" s="1548"/>
      <c r="T52" s="7">
        <f t="shared" si="8"/>
        <v>0</v>
      </c>
      <c r="U52" s="1548"/>
      <c r="V52" s="7"/>
    </row>
    <row r="53" spans="2:22" ht="18" customHeight="1">
      <c r="B53" s="675">
        <v>26</v>
      </c>
      <c r="C53" s="48" t="s">
        <v>767</v>
      </c>
      <c r="D53" s="48"/>
      <c r="E53" s="1523"/>
      <c r="F53" s="52"/>
      <c r="G53" s="1529">
        <f t="shared" si="0"/>
        <v>0</v>
      </c>
      <c r="H53" s="1526"/>
      <c r="I53" s="1532"/>
      <c r="J53" s="1538"/>
      <c r="K53" s="1541"/>
      <c r="L53" s="1535">
        <f t="shared" si="11"/>
        <v>0</v>
      </c>
      <c r="M53" s="1544"/>
      <c r="N53" s="1535"/>
      <c r="O53" s="1544"/>
      <c r="P53" s="1535"/>
      <c r="Q53" s="1544"/>
      <c r="R53" s="1523"/>
      <c r="S53" s="1548"/>
      <c r="T53" s="7">
        <f t="shared" si="8"/>
        <v>0</v>
      </c>
      <c r="U53" s="1548"/>
      <c r="V53" s="7"/>
    </row>
    <row r="54" spans="2:22" ht="18" customHeight="1">
      <c r="B54" s="675">
        <v>27</v>
      </c>
      <c r="C54" s="48" t="s">
        <v>768</v>
      </c>
      <c r="D54" s="48"/>
      <c r="E54" s="1523"/>
      <c r="F54" s="52"/>
      <c r="G54" s="1529">
        <f t="shared" si="0"/>
        <v>0</v>
      </c>
      <c r="H54" s="1526"/>
      <c r="I54" s="1532"/>
      <c r="J54" s="1538"/>
      <c r="K54" s="1541"/>
      <c r="L54" s="1535">
        <f t="shared" si="11"/>
        <v>0</v>
      </c>
      <c r="M54" s="1544"/>
      <c r="N54" s="1535"/>
      <c r="O54" s="1544"/>
      <c r="P54" s="1535"/>
      <c r="Q54" s="1544"/>
      <c r="R54" s="1523"/>
      <c r="S54" s="1548"/>
      <c r="T54" s="7">
        <f t="shared" si="8"/>
        <v>0</v>
      </c>
      <c r="U54" s="1548"/>
      <c r="V54" s="7"/>
    </row>
    <row r="55" spans="2:22" ht="18" customHeight="1">
      <c r="B55" s="675">
        <v>28</v>
      </c>
      <c r="C55" s="48" t="s">
        <v>769</v>
      </c>
      <c r="D55" s="48"/>
      <c r="E55" s="1523"/>
      <c r="F55" s="52"/>
      <c r="G55" s="1529">
        <f t="shared" si="0"/>
        <v>0</v>
      </c>
      <c r="H55" s="1526"/>
      <c r="I55" s="1532"/>
      <c r="J55" s="1538"/>
      <c r="K55" s="1541"/>
      <c r="L55" s="1535">
        <f t="shared" si="11"/>
        <v>0</v>
      </c>
      <c r="M55" s="1544"/>
      <c r="N55" s="1535"/>
      <c r="O55" s="1544"/>
      <c r="P55" s="1535"/>
      <c r="Q55" s="1544"/>
      <c r="R55" s="1523"/>
      <c r="S55" s="1548"/>
      <c r="T55" s="7">
        <f t="shared" si="8"/>
        <v>0</v>
      </c>
      <c r="U55" s="1548"/>
      <c r="V55" s="7"/>
    </row>
    <row r="56" spans="2:22" ht="18" customHeight="1">
      <c r="B56" s="675">
        <v>29</v>
      </c>
      <c r="C56" s="48" t="s">
        <v>75</v>
      </c>
      <c r="D56" s="48"/>
      <c r="E56" s="1523"/>
      <c r="F56" s="52"/>
      <c r="G56" s="1529">
        <f t="shared" si="0"/>
        <v>0</v>
      </c>
      <c r="H56" s="1526"/>
      <c r="I56" s="1532"/>
      <c r="J56" s="1538"/>
      <c r="K56" s="1541"/>
      <c r="L56" s="1535">
        <f t="shared" si="11"/>
        <v>0</v>
      </c>
      <c r="M56" s="1544"/>
      <c r="N56" s="1535"/>
      <c r="O56" s="1544"/>
      <c r="P56" s="1535"/>
      <c r="Q56" s="1544"/>
      <c r="R56" s="1523"/>
      <c r="S56" s="1548"/>
      <c r="T56" s="7">
        <f t="shared" si="8"/>
        <v>0</v>
      </c>
      <c r="U56" s="1548"/>
      <c r="V56" s="7"/>
    </row>
    <row r="57" spans="2:22" ht="18" customHeight="1">
      <c r="B57" s="675">
        <v>30</v>
      </c>
      <c r="C57" s="48" t="s">
        <v>75</v>
      </c>
      <c r="D57" s="48"/>
      <c r="E57" s="1523"/>
      <c r="F57" s="52"/>
      <c r="G57" s="1529">
        <f t="shared" si="0"/>
        <v>0</v>
      </c>
      <c r="H57" s="1526"/>
      <c r="I57" s="1532"/>
      <c r="J57" s="1538"/>
      <c r="K57" s="1541"/>
      <c r="L57" s="1535">
        <f t="shared" si="11"/>
        <v>0</v>
      </c>
      <c r="M57" s="1544"/>
      <c r="N57" s="1535"/>
      <c r="O57" s="1544"/>
      <c r="P57" s="1535"/>
      <c r="Q57" s="1544"/>
      <c r="R57" s="1523"/>
      <c r="S57" s="1548"/>
      <c r="T57" s="7">
        <f t="shared" si="8"/>
        <v>0</v>
      </c>
      <c r="U57" s="1548"/>
      <c r="V57" s="7"/>
    </row>
    <row r="58" spans="2:22" ht="18" customHeight="1" thickBot="1">
      <c r="B58" s="675">
        <v>31</v>
      </c>
      <c r="C58" s="48" t="s">
        <v>75</v>
      </c>
      <c r="D58" s="4"/>
      <c r="E58" s="1523"/>
      <c r="F58" s="52"/>
      <c r="G58" s="1529">
        <f t="shared" si="0"/>
        <v>0</v>
      </c>
      <c r="H58" s="1526"/>
      <c r="I58" s="1532"/>
      <c r="J58" s="1538"/>
      <c r="K58" s="1541"/>
      <c r="L58" s="1535">
        <f t="shared" si="11"/>
        <v>0</v>
      </c>
      <c r="M58" s="1544"/>
      <c r="N58" s="1535"/>
      <c r="O58" s="1544"/>
      <c r="P58" s="1535"/>
      <c r="Q58" s="1544"/>
      <c r="R58" s="1523"/>
      <c r="S58" s="1548"/>
      <c r="T58" s="7">
        <f t="shared" si="8"/>
        <v>0</v>
      </c>
      <c r="U58" s="1548"/>
      <c r="V58" s="7"/>
    </row>
    <row r="59" spans="2:22" ht="18" customHeight="1" thickBot="1">
      <c r="B59" s="676">
        <v>32</v>
      </c>
      <c r="C59" s="45" t="s">
        <v>770</v>
      </c>
      <c r="D59" s="45"/>
      <c r="E59" s="1524"/>
      <c r="F59" s="1525"/>
      <c r="G59" s="1530">
        <f t="shared" si="0"/>
        <v>0</v>
      </c>
      <c r="H59" s="1527"/>
      <c r="I59" s="1533"/>
      <c r="J59" s="1539"/>
      <c r="K59" s="1542"/>
      <c r="L59" s="1536">
        <f t="shared" si="11"/>
        <v>0</v>
      </c>
      <c r="M59" s="1545"/>
      <c r="N59" s="1536"/>
      <c r="O59" s="1545"/>
      <c r="P59" s="1536"/>
      <c r="Q59" s="1545"/>
      <c r="R59" s="1524"/>
      <c r="S59" s="1549"/>
      <c r="T59" s="1546">
        <f t="shared" si="8"/>
        <v>0</v>
      </c>
      <c r="U59" s="1549"/>
      <c r="V59" s="1546"/>
    </row>
    <row r="60" spans="2:22" ht="6.75" customHeight="1" thickBot="1">
      <c r="B60" s="449"/>
      <c r="C60" s="449"/>
      <c r="D60" s="449"/>
      <c r="E60" s="449"/>
      <c r="F60" s="449"/>
      <c r="G60" s="449">
        <f t="shared" si="0"/>
        <v>0</v>
      </c>
      <c r="H60" s="1550"/>
      <c r="I60" s="1551"/>
      <c r="J60" s="1550"/>
      <c r="K60" s="1551"/>
      <c r="L60" s="1551">
        <f t="shared" si="11"/>
        <v>0</v>
      </c>
      <c r="M60" s="449"/>
      <c r="N60" s="1551"/>
      <c r="O60" s="449"/>
      <c r="P60" s="1551"/>
      <c r="Q60" s="449"/>
      <c r="R60" s="449"/>
      <c r="S60" s="1552"/>
      <c r="T60" s="1552">
        <f t="shared" si="8"/>
        <v>0</v>
      </c>
      <c r="U60" s="1552"/>
      <c r="V60" s="1552"/>
    </row>
    <row r="61" spans="2:22" ht="18" customHeight="1" thickBot="1">
      <c r="B61" s="676">
        <v>33</v>
      </c>
      <c r="C61" s="45" t="s">
        <v>771</v>
      </c>
      <c r="D61" s="45"/>
      <c r="E61" s="1524"/>
      <c r="F61" s="1525"/>
      <c r="G61" s="1530">
        <f t="shared" si="0"/>
        <v>0</v>
      </c>
      <c r="H61" s="1527"/>
      <c r="I61" s="1533"/>
      <c r="J61" s="1539"/>
      <c r="K61" s="1542"/>
      <c r="L61" s="1536">
        <f t="shared" si="11"/>
        <v>0</v>
      </c>
      <c r="M61" s="1545"/>
      <c r="N61" s="1536"/>
      <c r="O61" s="1545"/>
      <c r="P61" s="1536"/>
      <c r="Q61" s="1545"/>
      <c r="R61" s="1524"/>
      <c r="S61" s="1549"/>
      <c r="T61" s="1546">
        <f t="shared" si="8"/>
        <v>0</v>
      </c>
      <c r="U61" s="1549"/>
      <c r="V61" s="1546"/>
    </row>
    <row r="62" spans="2:22" ht="18" customHeight="1" thickBot="1">
      <c r="B62" s="50"/>
      <c r="C62" s="50"/>
      <c r="D62" s="50"/>
      <c r="E62" s="50"/>
      <c r="F62" s="50"/>
      <c r="G62" s="50"/>
      <c r="M62" s="50"/>
      <c r="O62" s="50"/>
      <c r="Q62" s="50"/>
      <c r="R62" s="18"/>
    </row>
    <row r="63" spans="2:22" ht="18" customHeight="1">
      <c r="B63" s="51"/>
      <c r="C63" s="25"/>
      <c r="D63" s="24"/>
      <c r="E63" s="25"/>
      <c r="F63" s="25"/>
      <c r="G63" s="25"/>
      <c r="H63" s="1302"/>
      <c r="I63" s="436"/>
      <c r="J63" s="1302"/>
      <c r="K63" s="436"/>
      <c r="L63" s="436"/>
      <c r="M63" s="25"/>
      <c r="N63" s="436"/>
      <c r="O63" s="25"/>
      <c r="P63" s="436"/>
      <c r="Q63" s="25"/>
      <c r="R63" s="1340"/>
      <c r="S63" s="24"/>
      <c r="T63" s="24"/>
      <c r="U63" s="24"/>
      <c r="V63" s="956"/>
    </row>
    <row r="64" spans="2:22" ht="18" customHeight="1">
      <c r="B64" s="52"/>
      <c r="C64" s="53" t="s">
        <v>51</v>
      </c>
      <c r="D64" s="54"/>
      <c r="E64" s="54"/>
      <c r="F64" s="54"/>
      <c r="G64" s="54"/>
      <c r="H64" s="1309"/>
      <c r="I64" s="450"/>
      <c r="J64" s="1309"/>
      <c r="K64" s="450"/>
      <c r="L64" s="450"/>
      <c r="M64" s="53"/>
      <c r="N64" s="450"/>
      <c r="O64" s="54"/>
      <c r="P64" s="450"/>
      <c r="Q64" s="54"/>
      <c r="R64" s="41"/>
      <c r="S64" s="5"/>
      <c r="T64" s="5"/>
      <c r="U64" s="5"/>
      <c r="V64" s="7"/>
    </row>
    <row r="65" spans="2:22" ht="18" customHeight="1">
      <c r="B65" s="52"/>
      <c r="C65" s="53"/>
      <c r="D65" s="55"/>
      <c r="E65" s="55"/>
      <c r="F65" s="54"/>
      <c r="G65" s="54"/>
      <c r="H65" s="1309"/>
      <c r="I65" s="450"/>
      <c r="J65" s="1309"/>
      <c r="K65" s="450"/>
      <c r="L65" s="450"/>
      <c r="M65" s="53"/>
      <c r="N65" s="450"/>
      <c r="O65" s="54"/>
      <c r="P65" s="450"/>
      <c r="Q65" s="54"/>
      <c r="R65" s="41"/>
      <c r="S65" s="5"/>
      <c r="T65" s="5"/>
      <c r="U65" s="5"/>
      <c r="V65" s="7"/>
    </row>
    <row r="66" spans="2:22" ht="18" customHeight="1">
      <c r="B66" s="52"/>
      <c r="C66" s="53"/>
      <c r="D66" s="55"/>
      <c r="E66" s="55"/>
      <c r="F66" s="54"/>
      <c r="G66" s="54"/>
      <c r="H66" s="1309"/>
      <c r="I66" s="450"/>
      <c r="J66" s="1309"/>
      <c r="K66" s="450"/>
      <c r="L66" s="450"/>
      <c r="M66" s="53"/>
      <c r="N66" s="450"/>
      <c r="O66" s="54"/>
      <c r="P66" s="450"/>
      <c r="Q66" s="54"/>
      <c r="R66" s="41"/>
      <c r="S66" s="5"/>
      <c r="T66" s="5"/>
      <c r="U66" s="5"/>
      <c r="V66" s="7"/>
    </row>
    <row r="67" spans="2:22" ht="18" customHeight="1">
      <c r="B67" s="52"/>
      <c r="C67" s="53"/>
      <c r="D67" s="55"/>
      <c r="E67" s="55"/>
      <c r="F67" s="54"/>
      <c r="G67" s="54"/>
      <c r="H67" s="1309"/>
      <c r="I67" s="450"/>
      <c r="J67" s="1309"/>
      <c r="K67" s="450"/>
      <c r="L67" s="450"/>
      <c r="M67" s="53"/>
      <c r="N67" s="450"/>
      <c r="O67" s="54"/>
      <c r="P67" s="450"/>
      <c r="Q67" s="54"/>
      <c r="R67" s="41"/>
      <c r="S67" s="5"/>
      <c r="T67" s="5"/>
      <c r="U67" s="5"/>
      <c r="V67" s="7"/>
    </row>
    <row r="68" spans="2:22" ht="18" customHeight="1">
      <c r="B68" s="52"/>
      <c r="C68" s="53"/>
      <c r="D68" s="55"/>
      <c r="E68" s="55"/>
      <c r="F68" s="54"/>
      <c r="G68" s="54"/>
      <c r="H68" s="1309"/>
      <c r="I68" s="450"/>
      <c r="J68" s="1309"/>
      <c r="K68" s="450"/>
      <c r="L68" s="450"/>
      <c r="M68" s="53"/>
      <c r="N68" s="450"/>
      <c r="O68" s="54"/>
      <c r="P68" s="450"/>
      <c r="Q68" s="54"/>
      <c r="R68" s="41"/>
      <c r="S68" s="5"/>
      <c r="T68" s="5"/>
      <c r="U68" s="5"/>
      <c r="V68" s="7"/>
    </row>
    <row r="69" spans="2:22" ht="18" customHeight="1">
      <c r="B69" s="52"/>
      <c r="C69" s="53"/>
      <c r="D69" s="55"/>
      <c r="E69" s="55"/>
      <c r="F69" s="54"/>
      <c r="G69" s="54"/>
      <c r="H69" s="1309"/>
      <c r="I69" s="450"/>
      <c r="J69" s="1309"/>
      <c r="K69" s="450"/>
      <c r="L69" s="450"/>
      <c r="M69" s="53"/>
      <c r="N69" s="450"/>
      <c r="O69" s="54"/>
      <c r="P69" s="450"/>
      <c r="Q69" s="54"/>
      <c r="R69" s="41"/>
      <c r="S69" s="5"/>
      <c r="T69" s="5"/>
      <c r="U69" s="5"/>
      <c r="V69" s="7"/>
    </row>
    <row r="70" spans="2:22" ht="18" customHeight="1">
      <c r="B70" s="52"/>
      <c r="C70" s="53"/>
      <c r="D70" s="55"/>
      <c r="E70" s="55"/>
      <c r="F70" s="54"/>
      <c r="G70" s="54"/>
      <c r="H70" s="1309"/>
      <c r="I70" s="450"/>
      <c r="J70" s="1309"/>
      <c r="K70" s="450"/>
      <c r="L70" s="450"/>
      <c r="M70" s="53"/>
      <c r="N70" s="450"/>
      <c r="O70" s="54"/>
      <c r="P70" s="450"/>
      <c r="Q70" s="54"/>
      <c r="R70" s="41"/>
      <c r="S70" s="5"/>
      <c r="T70" s="5"/>
      <c r="U70" s="5"/>
      <c r="V70" s="7"/>
    </row>
    <row r="71" spans="2:22" ht="18" customHeight="1">
      <c r="B71" s="52"/>
      <c r="C71" s="53"/>
      <c r="D71" s="55"/>
      <c r="E71" s="55"/>
      <c r="F71" s="54"/>
      <c r="G71" s="54"/>
      <c r="H71" s="1309"/>
      <c r="I71" s="450"/>
      <c r="J71" s="1309"/>
      <c r="K71" s="450"/>
      <c r="L71" s="450"/>
      <c r="M71" s="53"/>
      <c r="N71" s="450"/>
      <c r="O71" s="54"/>
      <c r="P71" s="450"/>
      <c r="Q71" s="54"/>
      <c r="R71" s="41"/>
      <c r="S71" s="5"/>
      <c r="T71" s="5"/>
      <c r="U71" s="5"/>
      <c r="V71" s="7"/>
    </row>
    <row r="72" spans="2:22" ht="18" customHeight="1">
      <c r="B72" s="52"/>
      <c r="C72" s="53"/>
      <c r="D72" s="55"/>
      <c r="E72" s="55"/>
      <c r="F72" s="54"/>
      <c r="G72" s="54"/>
      <c r="H72" s="1309"/>
      <c r="I72" s="450"/>
      <c r="J72" s="1309"/>
      <c r="K72" s="450"/>
      <c r="L72" s="450"/>
      <c r="M72" s="53"/>
      <c r="N72" s="450"/>
      <c r="O72" s="54"/>
      <c r="P72" s="450"/>
      <c r="Q72" s="54"/>
      <c r="R72" s="41"/>
      <c r="S72" s="5"/>
      <c r="T72" s="5"/>
      <c r="U72" s="5"/>
      <c r="V72" s="7"/>
    </row>
    <row r="73" spans="2:22" ht="18" customHeight="1">
      <c r="B73" s="52"/>
      <c r="C73" s="53"/>
      <c r="D73" s="55"/>
      <c r="E73" s="55"/>
      <c r="F73" s="54"/>
      <c r="G73" s="54"/>
      <c r="H73" s="1309"/>
      <c r="I73" s="450"/>
      <c r="J73" s="1309"/>
      <c r="K73" s="450"/>
      <c r="L73" s="450"/>
      <c r="M73" s="53"/>
      <c r="N73" s="450"/>
      <c r="O73" s="54"/>
      <c r="P73" s="450"/>
      <c r="Q73" s="54"/>
      <c r="R73" s="41"/>
      <c r="S73" s="5"/>
      <c r="T73" s="5"/>
      <c r="U73" s="5"/>
      <c r="V73" s="7"/>
    </row>
    <row r="74" spans="2:22" ht="18" customHeight="1">
      <c r="B74" s="52"/>
      <c r="C74" s="53"/>
      <c r="D74" s="55"/>
      <c r="E74" s="55"/>
      <c r="F74" s="54"/>
      <c r="G74" s="54"/>
      <c r="H74" s="1309"/>
      <c r="I74" s="450"/>
      <c r="J74" s="1309"/>
      <c r="K74" s="450"/>
      <c r="L74" s="450"/>
      <c r="M74" s="53"/>
      <c r="N74" s="450"/>
      <c r="O74" s="54"/>
      <c r="P74" s="450"/>
      <c r="Q74" s="54"/>
      <c r="R74" s="41"/>
      <c r="S74" s="5"/>
      <c r="T74" s="5"/>
      <c r="U74" s="5"/>
      <c r="V74" s="7"/>
    </row>
    <row r="75" spans="2:22" ht="18" customHeight="1">
      <c r="B75" s="52"/>
      <c r="C75" s="53"/>
      <c r="D75" s="55"/>
      <c r="E75" s="55"/>
      <c r="F75" s="54"/>
      <c r="G75" s="54"/>
      <c r="H75" s="1309"/>
      <c r="I75" s="450"/>
      <c r="J75" s="1309"/>
      <c r="K75" s="450"/>
      <c r="L75" s="450"/>
      <c r="M75" s="53"/>
      <c r="N75" s="450"/>
      <c r="O75" s="54"/>
      <c r="P75" s="450"/>
      <c r="Q75" s="54"/>
      <c r="R75" s="41"/>
      <c r="S75" s="5"/>
      <c r="T75" s="5"/>
      <c r="U75" s="5"/>
      <c r="V75" s="7"/>
    </row>
    <row r="76" spans="2:22" ht="18" customHeight="1">
      <c r="B76" s="6"/>
      <c r="C76" s="5"/>
      <c r="D76" s="5"/>
      <c r="E76" s="5"/>
      <c r="F76" s="56"/>
      <c r="G76" s="56"/>
      <c r="H76" s="1310"/>
      <c r="I76" s="451"/>
      <c r="J76" s="1310"/>
      <c r="K76" s="451"/>
      <c r="L76" s="451"/>
      <c r="M76" s="56"/>
      <c r="N76" s="451"/>
      <c r="O76" s="56"/>
      <c r="P76" s="451"/>
      <c r="Q76" s="56"/>
      <c r="R76" s="41"/>
      <c r="S76" s="5"/>
      <c r="T76" s="5"/>
      <c r="U76" s="5"/>
      <c r="V76" s="7"/>
    </row>
    <row r="77" spans="2:22" ht="18" customHeight="1">
      <c r="B77" s="6"/>
      <c r="C77" s="57" t="s">
        <v>52</v>
      </c>
      <c r="D77" s="58"/>
      <c r="E77" s="58"/>
      <c r="H77" s="1294"/>
      <c r="I77" s="430"/>
      <c r="J77" s="1294"/>
      <c r="K77" s="430"/>
      <c r="L77" s="430"/>
      <c r="M77" s="56"/>
      <c r="P77" s="430"/>
      <c r="Q77" s="5"/>
      <c r="R77" s="41"/>
      <c r="S77" s="5"/>
      <c r="T77" s="5"/>
      <c r="U77" s="5"/>
      <c r="V77" s="7"/>
    </row>
    <row r="78" spans="2:22" ht="13.5" thickBot="1">
      <c r="B78" s="19"/>
      <c r="C78" s="20"/>
      <c r="D78" s="20"/>
      <c r="E78" s="20"/>
      <c r="F78" s="20"/>
      <c r="G78" s="20"/>
      <c r="H78" s="1303"/>
      <c r="I78" s="438"/>
      <c r="J78" s="1303"/>
      <c r="K78" s="438"/>
      <c r="L78" s="438"/>
      <c r="M78" s="20"/>
      <c r="N78" s="438"/>
      <c r="O78" s="20"/>
      <c r="P78" s="438"/>
      <c r="Q78" s="20"/>
      <c r="R78" s="44"/>
      <c r="S78" s="5"/>
      <c r="T78" s="5"/>
      <c r="U78" s="5"/>
      <c r="V78" s="7"/>
    </row>
    <row r="79" spans="2:22" ht="18" customHeight="1">
      <c r="B79" s="51"/>
      <c r="C79" s="25"/>
      <c r="D79" s="24"/>
      <c r="E79" s="25"/>
      <c r="F79" s="25"/>
      <c r="G79" s="25"/>
      <c r="H79" s="1302"/>
      <c r="I79" s="436"/>
      <c r="J79" s="1302"/>
      <c r="K79" s="436"/>
      <c r="L79" s="436"/>
      <c r="M79" s="25"/>
      <c r="N79" s="436"/>
      <c r="O79" s="25"/>
      <c r="P79" s="436"/>
      <c r="Q79" s="25"/>
      <c r="R79" s="41"/>
      <c r="S79" s="24"/>
      <c r="T79" s="24"/>
      <c r="U79" s="24"/>
      <c r="V79" s="956"/>
    </row>
    <row r="80" spans="2:22" ht="18" customHeight="1">
      <c r="B80" s="52"/>
      <c r="C80" s="18"/>
      <c r="D80" s="18"/>
      <c r="E80" s="18"/>
      <c r="F80" s="54"/>
      <c r="G80" s="54"/>
      <c r="H80" s="1309"/>
      <c r="I80" s="450"/>
      <c r="J80" s="1309"/>
      <c r="K80" s="450"/>
      <c r="L80" s="450"/>
      <c r="M80" s="53"/>
      <c r="N80" s="450" t="s">
        <v>53</v>
      </c>
      <c r="O80" s="960"/>
      <c r="P80" s="1282"/>
      <c r="Q80" s="960"/>
      <c r="R80" s="1341"/>
      <c r="S80" s="961"/>
      <c r="T80" s="961"/>
      <c r="U80" s="5"/>
      <c r="V80" s="7"/>
    </row>
    <row r="81" spans="2:22" ht="18" customHeight="1">
      <c r="B81" s="6"/>
      <c r="C81" s="5"/>
      <c r="D81" s="5"/>
      <c r="E81" s="5"/>
      <c r="F81" s="56"/>
      <c r="G81" s="56"/>
      <c r="H81" s="1310"/>
      <c r="I81" s="451"/>
      <c r="J81" s="1310"/>
      <c r="K81" s="451"/>
      <c r="L81" s="451"/>
      <c r="M81" s="56"/>
      <c r="N81" s="451"/>
      <c r="O81" s="56"/>
      <c r="P81" s="451"/>
      <c r="Q81" s="56"/>
      <c r="R81" s="41"/>
      <c r="S81" s="5"/>
      <c r="T81" s="5"/>
      <c r="U81" s="5"/>
      <c r="V81" s="7"/>
    </row>
    <row r="82" spans="2:22" ht="18" customHeight="1">
      <c r="B82" s="6"/>
      <c r="C82" s="5"/>
      <c r="D82" s="5"/>
      <c r="E82" s="5"/>
      <c r="F82" s="57"/>
      <c r="G82" s="57"/>
      <c r="H82" s="1309"/>
      <c r="I82" s="450"/>
      <c r="J82" s="1309"/>
      <c r="K82" s="450"/>
      <c r="L82" s="450"/>
      <c r="M82" s="56"/>
      <c r="N82" s="450" t="s">
        <v>52</v>
      </c>
      <c r="O82" s="962"/>
      <c r="P82" s="1282"/>
      <c r="Q82" s="962"/>
      <c r="R82" s="1341"/>
      <c r="S82" s="961"/>
      <c r="T82" s="961"/>
      <c r="U82" s="5"/>
      <c r="V82" s="7"/>
    </row>
    <row r="83" spans="2:22" ht="18" customHeight="1" thickBot="1">
      <c r="B83" s="19"/>
      <c r="C83" s="20"/>
      <c r="D83" s="20"/>
      <c r="E83" s="20"/>
      <c r="F83" s="20"/>
      <c r="G83" s="20"/>
      <c r="H83" s="1303"/>
      <c r="I83" s="438"/>
      <c r="J83" s="1303"/>
      <c r="K83" s="438"/>
      <c r="L83" s="438"/>
      <c r="M83" s="20"/>
      <c r="N83" s="438"/>
      <c r="O83" s="20"/>
      <c r="P83" s="438"/>
      <c r="Q83" s="20"/>
      <c r="R83" s="44"/>
      <c r="S83" s="20"/>
      <c r="T83" s="20"/>
      <c r="U83" s="20"/>
      <c r="V83" s="957"/>
    </row>
    <row r="88" spans="2:22">
      <c r="F88" s="60"/>
      <c r="G88" s="60"/>
      <c r="H88" s="1311"/>
      <c r="I88" s="133"/>
      <c r="J88" s="1311"/>
      <c r="K88" s="133"/>
      <c r="L88" s="133"/>
      <c r="M88" s="59"/>
      <c r="N88" s="133"/>
      <c r="O88" s="60"/>
      <c r="P88" s="133"/>
      <c r="Q88" s="60"/>
      <c r="R88" s="60"/>
    </row>
    <row r="89" spans="2:22">
      <c r="F89" s="62"/>
      <c r="G89" s="62"/>
      <c r="H89" s="1312"/>
      <c r="I89" s="452"/>
      <c r="J89" s="1312"/>
      <c r="K89" s="452"/>
      <c r="L89" s="452"/>
      <c r="M89" s="61"/>
      <c r="N89" s="452"/>
      <c r="O89" s="62"/>
      <c r="P89" s="452"/>
      <c r="Q89" s="62"/>
      <c r="R89" s="62"/>
    </row>
    <row r="90" spans="2:22">
      <c r="F90" s="62"/>
      <c r="G90" s="62"/>
      <c r="H90" s="1312"/>
      <c r="I90" s="452"/>
      <c r="J90" s="1312"/>
      <c r="K90" s="452"/>
      <c r="L90" s="452"/>
      <c r="M90" s="61"/>
      <c r="N90" s="452"/>
      <c r="O90" s="62"/>
      <c r="P90" s="452"/>
      <c r="Q90" s="62"/>
      <c r="R90" s="62"/>
    </row>
    <row r="91" spans="2:22">
      <c r="F91" s="64"/>
      <c r="G91" s="64"/>
      <c r="H91" s="1313"/>
      <c r="I91" s="453"/>
      <c r="J91" s="1313"/>
      <c r="K91" s="453"/>
      <c r="L91" s="453"/>
      <c r="M91" s="63"/>
      <c r="N91" s="453"/>
      <c r="O91" s="64"/>
      <c r="P91" s="453"/>
      <c r="Q91" s="64"/>
      <c r="R91" s="64"/>
    </row>
  </sheetData>
  <mergeCells count="10">
    <mergeCell ref="U17:V17"/>
    <mergeCell ref="M17:N17"/>
    <mergeCell ref="O17:P17"/>
    <mergeCell ref="S15:T16"/>
    <mergeCell ref="M15:R16"/>
    <mergeCell ref="F17:H17"/>
    <mergeCell ref="Q17:R17"/>
    <mergeCell ref="I17:J17"/>
    <mergeCell ref="K17:L17"/>
    <mergeCell ref="S17:T17"/>
  </mergeCells>
  <phoneticPr fontId="42" type="noConversion"/>
  <pageMargins left="0.46" right="0.46" top="0.66" bottom="0.68" header="0.5" footer="0.5"/>
  <pageSetup paperSize="9" scale="57" orientation="portrait" r:id="rId1"/>
  <headerFooter alignWithMargins="0">
    <oddFooter>&amp;L&amp;F / &amp;A&amp;RPage&amp;P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4">
    <pageSetUpPr fitToPage="1"/>
  </sheetPr>
  <dimension ref="A1:BT88"/>
  <sheetViews>
    <sheetView showGridLines="0" showZeros="0" topLeftCell="A37" zoomScale="85" zoomScaleNormal="85" workbookViewId="0">
      <selection activeCell="L26" sqref="L26"/>
    </sheetView>
  </sheetViews>
  <sheetFormatPr defaultRowHeight="12.75" outlineLevelRow="1" outlineLevelCol="1"/>
  <cols>
    <col min="1" max="1" width="1.28515625" style="1328" customWidth="1"/>
    <col min="2" max="2" width="4.42578125" style="2106" customWidth="1"/>
    <col min="3" max="3" width="33.140625" style="1328" customWidth="1"/>
    <col min="4" max="4" width="11.85546875" style="1328" customWidth="1"/>
    <col min="5" max="5" width="12" style="1328" customWidth="1"/>
    <col min="6" max="6" width="10.85546875" style="1328" customWidth="1"/>
    <col min="7" max="7" width="10.5703125" style="1328" hidden="1" customWidth="1" outlineLevel="1"/>
    <col min="8" max="8" width="11.7109375" style="1328" hidden="1" customWidth="1" outlineLevel="1"/>
    <col min="9" max="9" width="11.5703125" style="1328" hidden="1" customWidth="1" outlineLevel="1"/>
    <col min="10" max="10" width="12.28515625" style="1328" hidden="1" customWidth="1" outlineLevel="1"/>
    <col min="11" max="11" width="11.42578125" style="1328" hidden="1" customWidth="1" outlineLevel="1"/>
    <col min="12" max="12" width="11.85546875" style="1328" customWidth="1" collapsed="1"/>
    <col min="13" max="13" width="10.85546875" style="1329" customWidth="1"/>
    <col min="14" max="14" width="12.42578125" style="1329" customWidth="1"/>
    <col min="15" max="15" width="10.85546875" style="1329" hidden="1" customWidth="1" outlineLevel="1"/>
    <col min="16" max="16" width="11.5703125" style="1329" hidden="1" customWidth="1" outlineLevel="1"/>
    <col min="17" max="17" width="11.42578125" style="1329" hidden="1" customWidth="1" outlineLevel="1"/>
    <col min="18" max="18" width="11.5703125" style="1329" hidden="1" customWidth="1" outlineLevel="1"/>
    <col min="19" max="19" width="10.7109375" style="1329" hidden="1" customWidth="1" outlineLevel="1"/>
    <col min="20" max="20" width="10.42578125" style="1329" hidden="1" customWidth="1" outlineLevel="1" collapsed="1"/>
    <col min="21" max="21" width="10.7109375" style="1329" hidden="1" customWidth="1" outlineLevel="1"/>
    <col min="22" max="22" width="9.85546875" style="1329" hidden="1" customWidth="1" outlineLevel="1"/>
    <col min="23" max="23" width="9.5703125" style="1329" hidden="1" customWidth="1" outlineLevel="1"/>
    <col min="24" max="35" width="10.7109375" style="1329" hidden="1" customWidth="1" outlineLevel="1"/>
    <col min="36" max="36" width="10.7109375" style="1330" customWidth="1" collapsed="1"/>
    <col min="37" max="37" width="10.85546875" style="1329" customWidth="1"/>
    <col min="38" max="38" width="11.28515625" style="1328" customWidth="1"/>
    <col min="39" max="39" width="10.7109375" style="1328" hidden="1" customWidth="1" outlineLevel="1"/>
    <col min="40" max="40" width="11.7109375" style="1328" hidden="1" customWidth="1" outlineLevel="1"/>
    <col min="41" max="41" width="11.42578125" style="1328" hidden="1" customWidth="1" outlineLevel="1"/>
    <col min="42" max="42" width="10" style="1328" hidden="1" customWidth="1" outlineLevel="1"/>
    <col min="43" max="43" width="11.28515625" style="1328" hidden="1" customWidth="1" outlineLevel="1"/>
    <col min="44" max="44" width="1" style="1328" hidden="1" customWidth="1" outlineLevel="1"/>
    <col min="45" max="45" width="12.5703125" style="1328" hidden="1" customWidth="1" outlineLevel="1" collapsed="1"/>
    <col min="46" max="46" width="10.28515625" style="1329" hidden="1" customWidth="1" outlineLevel="1"/>
    <col min="47" max="48" width="10.28515625" style="1328" hidden="1" customWidth="1" outlineLevel="1"/>
    <col min="49" max="49" width="10.85546875" style="1328" hidden="1" customWidth="1" outlineLevel="1"/>
    <col min="50" max="50" width="10.28515625" style="1328" hidden="1" customWidth="1" outlineLevel="1"/>
    <col min="51" max="52" width="9.140625" style="1328" hidden="1" customWidth="1" outlineLevel="1"/>
    <col min="53" max="53" width="1.28515625" style="1328" hidden="1" customWidth="1" outlineLevel="1"/>
    <col min="54" max="54" width="11.140625" style="1328" hidden="1" customWidth="1" outlineLevel="1" collapsed="1"/>
    <col min="55" max="55" width="11.140625" style="1328" hidden="1" customWidth="1" outlineLevel="1"/>
    <col min="56" max="56" width="10.85546875" style="1328" hidden="1" customWidth="1" outlineLevel="1"/>
    <col min="57" max="57" width="10.28515625" style="1328" hidden="1" customWidth="1" outlineLevel="1"/>
    <col min="58" max="61" width="9.140625" style="1328" hidden="1" customWidth="1" outlineLevel="1"/>
    <col min="62" max="62" width="10.7109375" style="1328" hidden="1" customWidth="1" outlineLevel="1" collapsed="1"/>
    <col min="63" max="63" width="10.28515625" style="1328" hidden="1" customWidth="1" outlineLevel="1"/>
    <col min="64" max="69" width="9.140625" style="1328" hidden="1" customWidth="1" outlineLevel="1"/>
    <col min="70" max="70" width="9.140625" style="1328" customWidth="1" collapsed="1"/>
    <col min="71" max="72" width="9.140625" style="1328" customWidth="1"/>
    <col min="73" max="16384" width="9.140625" style="1328"/>
  </cols>
  <sheetData>
    <row r="1" spans="2:70" ht="18" customHeight="1">
      <c r="C1" s="2107"/>
      <c r="D1" s="2107"/>
      <c r="E1" s="2107"/>
      <c r="F1" s="2107"/>
      <c r="G1" s="2107"/>
      <c r="H1" s="2107"/>
      <c r="I1" s="2107"/>
      <c r="J1" s="2107"/>
      <c r="K1" s="2107"/>
      <c r="L1" s="2107"/>
      <c r="M1" s="2108"/>
      <c r="N1" s="2108"/>
      <c r="O1" s="2108"/>
      <c r="P1" s="2108"/>
      <c r="Q1" s="2108"/>
      <c r="R1" s="2108"/>
      <c r="S1" s="2108"/>
      <c r="T1" s="2108"/>
      <c r="U1" s="2108"/>
      <c r="V1" s="2108"/>
      <c r="W1" s="2108"/>
      <c r="X1" s="2108"/>
      <c r="Y1" s="2108"/>
      <c r="Z1" s="2108"/>
      <c r="AA1" s="2108"/>
      <c r="AB1" s="2108"/>
      <c r="AC1" s="2108"/>
      <c r="AD1" s="2108"/>
      <c r="AE1" s="2108"/>
      <c r="AF1" s="2108"/>
      <c r="AG1" s="2108"/>
      <c r="AH1" s="2108"/>
      <c r="AI1" s="2108"/>
      <c r="AJ1" s="65"/>
      <c r="AK1" s="454"/>
      <c r="AL1" s="2109" t="s">
        <v>1316</v>
      </c>
      <c r="AM1" s="66"/>
      <c r="AO1" s="1577"/>
      <c r="AP1" s="1577"/>
      <c r="AS1" s="66"/>
      <c r="AT1" s="455"/>
      <c r="AV1" s="2109" t="s">
        <v>1316</v>
      </c>
      <c r="AW1" s="1577"/>
      <c r="AX1" s="1577"/>
    </row>
    <row r="2" spans="2:70" ht="18" customHeight="1">
      <c r="B2" s="2110" t="s">
        <v>48</v>
      </c>
      <c r="C2" s="2111"/>
      <c r="D2" s="2111"/>
      <c r="E2" s="2111"/>
      <c r="F2" s="2111"/>
      <c r="G2" s="2111"/>
      <c r="H2" s="2111"/>
      <c r="I2" s="2111"/>
      <c r="J2" s="2111"/>
      <c r="K2" s="2111"/>
      <c r="L2" s="2111"/>
      <c r="M2" s="2112"/>
      <c r="N2" s="2112"/>
      <c r="O2" s="2112"/>
      <c r="P2" s="2112"/>
      <c r="Q2" s="2112"/>
      <c r="R2" s="2112"/>
      <c r="S2" s="2112"/>
      <c r="T2" s="2112"/>
      <c r="U2" s="2112"/>
      <c r="V2" s="2112"/>
      <c r="W2" s="2112"/>
      <c r="X2" s="2112"/>
      <c r="Y2" s="2112"/>
      <c r="Z2" s="2112"/>
      <c r="AA2" s="2112"/>
      <c r="AB2" s="2112"/>
      <c r="AC2" s="2112"/>
      <c r="AD2" s="2112"/>
      <c r="AE2" s="2112"/>
      <c r="AF2" s="2112"/>
      <c r="AG2" s="2112"/>
      <c r="AH2" s="2112"/>
      <c r="AI2" s="2112"/>
      <c r="AJ2" s="65"/>
      <c r="AK2" s="454"/>
      <c r="AL2" s="2113" t="s">
        <v>1317</v>
      </c>
      <c r="AM2" s="66"/>
      <c r="AO2" s="1577"/>
      <c r="AP2" s="1577"/>
      <c r="AS2" s="66"/>
      <c r="AT2" s="455"/>
      <c r="AV2" s="2113" t="s">
        <v>1317</v>
      </c>
      <c r="AW2" s="1577"/>
      <c r="AX2" s="1577"/>
    </row>
    <row r="3" spans="2:70" ht="8.1" customHeight="1" thickBot="1">
      <c r="B3" s="822"/>
      <c r="C3" s="68"/>
      <c r="D3" s="68"/>
      <c r="E3" s="68"/>
      <c r="F3" s="68"/>
      <c r="G3" s="68"/>
      <c r="H3" s="68"/>
      <c r="I3" s="68"/>
      <c r="J3" s="68"/>
      <c r="K3" s="68"/>
      <c r="L3" s="68"/>
      <c r="M3" s="456"/>
      <c r="N3" s="456"/>
      <c r="O3" s="456"/>
      <c r="P3" s="456"/>
      <c r="Q3" s="456"/>
      <c r="R3" s="456"/>
      <c r="S3" s="456"/>
      <c r="T3" s="456"/>
      <c r="U3" s="456"/>
      <c r="V3" s="456"/>
      <c r="W3" s="456"/>
      <c r="X3" s="456"/>
      <c r="Y3" s="456"/>
      <c r="Z3" s="456"/>
      <c r="AA3" s="456"/>
      <c r="AB3" s="456"/>
      <c r="AC3" s="456"/>
      <c r="AD3" s="456"/>
      <c r="AE3" s="456"/>
      <c r="AF3" s="456"/>
      <c r="AG3" s="456"/>
      <c r="AH3" s="456"/>
      <c r="AI3" s="456"/>
      <c r="AJ3" s="65"/>
      <c r="AK3" s="454"/>
      <c r="AL3" s="66"/>
      <c r="AM3" s="66"/>
      <c r="AN3" s="66"/>
      <c r="AO3" s="1577"/>
      <c r="AP3" s="1577"/>
      <c r="AQ3" s="1577"/>
      <c r="AS3" s="66"/>
      <c r="AT3" s="455"/>
      <c r="AV3" s="67"/>
      <c r="AW3" s="1577"/>
      <c r="AX3" s="1577"/>
    </row>
    <row r="4" spans="2:70" ht="8.1" customHeight="1">
      <c r="B4" s="823"/>
      <c r="C4" s="381"/>
      <c r="D4" s="457"/>
      <c r="E4" s="457"/>
      <c r="F4" s="457"/>
      <c r="G4" s="457"/>
      <c r="H4" s="457"/>
      <c r="I4" s="457"/>
      <c r="J4" s="457"/>
      <c r="K4" s="457"/>
      <c r="L4" s="457"/>
      <c r="M4" s="458"/>
      <c r="N4" s="458"/>
      <c r="O4" s="458"/>
      <c r="P4" s="458"/>
      <c r="Q4" s="458"/>
      <c r="R4" s="458"/>
      <c r="S4" s="458"/>
      <c r="T4" s="458"/>
      <c r="U4" s="458"/>
      <c r="V4" s="458"/>
      <c r="W4" s="458"/>
      <c r="X4" s="458"/>
      <c r="Y4" s="458"/>
      <c r="Z4" s="458"/>
      <c r="AA4" s="458"/>
      <c r="AB4" s="458"/>
      <c r="AC4" s="458"/>
      <c r="AD4" s="458"/>
      <c r="AE4" s="458"/>
      <c r="AF4" s="458"/>
      <c r="AG4" s="458"/>
      <c r="AH4" s="458"/>
      <c r="AI4" s="458"/>
      <c r="AJ4" s="69"/>
      <c r="AK4" s="459"/>
      <c r="AL4" s="70"/>
      <c r="AM4" s="70"/>
      <c r="AN4" s="70"/>
      <c r="AO4" s="71"/>
      <c r="AP4" s="71"/>
      <c r="AQ4" s="71"/>
      <c r="AR4" s="460"/>
      <c r="AS4" s="460"/>
      <c r="AT4" s="461"/>
      <c r="AU4" s="460"/>
      <c r="AV4" s="460"/>
      <c r="AW4" s="2114"/>
      <c r="AX4" s="2114"/>
      <c r="AY4" s="2114"/>
      <c r="AZ4" s="2114"/>
      <c r="BA4" s="2114"/>
      <c r="BB4" s="2114"/>
      <c r="BC4" s="2114"/>
      <c r="BD4" s="2114"/>
      <c r="BE4" s="2115"/>
      <c r="BF4" s="2114"/>
      <c r="BG4" s="2114"/>
      <c r="BH4" s="2114"/>
      <c r="BI4" s="2114"/>
      <c r="BJ4" s="2114"/>
      <c r="BK4" s="2114"/>
      <c r="BL4" s="2114"/>
      <c r="BM4" s="2115"/>
      <c r="BN4" s="2116"/>
      <c r="BO4" s="2114"/>
      <c r="BP4" s="2114"/>
      <c r="BQ4" s="2115"/>
      <c r="BR4" s="2104"/>
    </row>
    <row r="5" spans="2:70">
      <c r="B5" s="2117"/>
      <c r="C5" s="2118" t="s">
        <v>1270</v>
      </c>
      <c r="D5" s="2119"/>
      <c r="I5" s="2121" t="s">
        <v>1271</v>
      </c>
      <c r="J5" s="2122"/>
      <c r="K5" s="2120"/>
      <c r="R5" s="2121"/>
      <c r="S5" s="2121"/>
      <c r="T5" s="2121"/>
      <c r="U5" s="2123" t="s">
        <v>1272</v>
      </c>
      <c r="V5" s="2124"/>
      <c r="W5" s="2121"/>
      <c r="X5" s="2121"/>
      <c r="Y5" s="2121"/>
      <c r="Z5" s="2121"/>
      <c r="AA5" s="2121"/>
      <c r="AB5" s="2121"/>
      <c r="AC5" s="2121"/>
      <c r="AD5" s="2121"/>
      <c r="AE5" s="2121"/>
      <c r="AF5" s="2121"/>
      <c r="AG5" s="2121"/>
      <c r="AH5" s="2121"/>
      <c r="AI5" s="2121"/>
      <c r="AQ5" s="2125"/>
      <c r="AR5" s="1577"/>
      <c r="AS5" s="2123" t="s">
        <v>1273</v>
      </c>
      <c r="AT5" s="2126"/>
      <c r="AU5" s="2127"/>
      <c r="AV5" s="1577"/>
      <c r="AW5" s="1577"/>
      <c r="AX5" s="1577"/>
      <c r="AY5" s="1577"/>
      <c r="AZ5" s="1577"/>
      <c r="BA5" s="1577"/>
      <c r="BB5" s="1577"/>
      <c r="BC5" s="1577"/>
      <c r="BD5" s="1577"/>
      <c r="BE5" s="2128"/>
      <c r="BF5" s="1577"/>
      <c r="BG5" s="1577"/>
      <c r="BH5" s="1577"/>
      <c r="BI5" s="1577"/>
      <c r="BJ5" s="1577"/>
      <c r="BK5" s="1577"/>
      <c r="BL5" s="1577"/>
      <c r="BM5" s="2128"/>
      <c r="BN5" s="2104"/>
      <c r="BO5" s="1577"/>
      <c r="BP5" s="1577"/>
      <c r="BQ5" s="2128"/>
      <c r="BR5" s="2104"/>
    </row>
    <row r="6" spans="2:70">
      <c r="B6" s="2117"/>
      <c r="C6" s="2118" t="s">
        <v>1274</v>
      </c>
      <c r="D6" s="2126"/>
      <c r="E6" s="2120"/>
      <c r="I6" s="2121" t="s">
        <v>1275</v>
      </c>
      <c r="J6" s="2122"/>
      <c r="K6" s="2120"/>
      <c r="R6" s="2121"/>
      <c r="S6" s="2121"/>
      <c r="T6" s="2121"/>
      <c r="U6" s="2123" t="s">
        <v>1276</v>
      </c>
      <c r="V6" s="2124"/>
      <c r="W6" s="2121"/>
      <c r="X6" s="2121"/>
      <c r="Y6" s="2121"/>
      <c r="Z6" s="2121"/>
      <c r="AA6" s="2121"/>
      <c r="AB6" s="2121"/>
      <c r="AC6" s="2121"/>
      <c r="AD6" s="2121"/>
      <c r="AE6" s="2121"/>
      <c r="AF6" s="2121"/>
      <c r="AG6" s="2121"/>
      <c r="AH6" s="2121"/>
      <c r="AI6" s="2121"/>
      <c r="AQ6" s="2125"/>
      <c r="AR6" s="1577"/>
      <c r="AS6" s="2123" t="s">
        <v>1277</v>
      </c>
      <c r="AT6" s="2126"/>
      <c r="AU6" s="2127"/>
      <c r="AV6" s="1577"/>
      <c r="AW6" s="1577"/>
      <c r="AX6" s="1577"/>
      <c r="AY6" s="1577"/>
      <c r="AZ6" s="1577"/>
      <c r="BA6" s="1577"/>
      <c r="BB6" s="1577"/>
      <c r="BC6" s="1577"/>
      <c r="BD6" s="1577"/>
      <c r="BE6" s="2128"/>
      <c r="BF6" s="1577"/>
      <c r="BG6" s="1577"/>
      <c r="BH6" s="1577"/>
      <c r="BI6" s="1577"/>
      <c r="BJ6" s="1577"/>
      <c r="BK6" s="1577"/>
      <c r="BL6" s="1577"/>
      <c r="BM6" s="2128"/>
      <c r="BN6" s="2104"/>
      <c r="BO6" s="1577"/>
      <c r="BP6" s="1577"/>
      <c r="BQ6" s="2128"/>
      <c r="BR6" s="2104"/>
    </row>
    <row r="7" spans="2:70">
      <c r="B7" s="2117"/>
      <c r="C7" s="2118" t="s">
        <v>1278</v>
      </c>
      <c r="D7" s="2126"/>
      <c r="E7" s="2120"/>
      <c r="I7" s="2121" t="s">
        <v>1279</v>
      </c>
      <c r="J7" s="2122"/>
      <c r="K7" s="2120"/>
      <c r="R7" s="2121"/>
      <c r="S7" s="2121"/>
      <c r="T7" s="2121"/>
      <c r="U7" s="2123"/>
      <c r="V7" s="2124"/>
      <c r="W7" s="2121"/>
      <c r="X7" s="2121"/>
      <c r="Y7" s="2121"/>
      <c r="Z7" s="2121"/>
      <c r="AA7" s="2121"/>
      <c r="AB7" s="2121"/>
      <c r="AC7" s="2121"/>
      <c r="AD7" s="2121"/>
      <c r="AE7" s="2121"/>
      <c r="AF7" s="2121"/>
      <c r="AG7" s="2121"/>
      <c r="AH7" s="2121"/>
      <c r="AI7" s="2121"/>
      <c r="AQ7" s="2129"/>
      <c r="AR7" s="1577"/>
      <c r="AS7" s="2123" t="s">
        <v>1280</v>
      </c>
      <c r="AT7" s="2119"/>
      <c r="AU7" s="2127"/>
      <c r="AV7" s="1577"/>
      <c r="AW7" s="1577"/>
      <c r="AX7" s="1577"/>
      <c r="AY7" s="1577"/>
      <c r="AZ7" s="1577"/>
      <c r="BA7" s="1577"/>
      <c r="BB7" s="1577"/>
      <c r="BC7" s="1577"/>
      <c r="BD7" s="1577"/>
      <c r="BE7" s="2128"/>
      <c r="BF7" s="1577"/>
      <c r="BG7" s="1577"/>
      <c r="BH7" s="1577"/>
      <c r="BI7" s="1577"/>
      <c r="BJ7" s="1577"/>
      <c r="BK7" s="1577"/>
      <c r="BL7" s="1577"/>
      <c r="BM7" s="2128"/>
      <c r="BN7" s="2104"/>
      <c r="BO7" s="1577"/>
      <c r="BP7" s="1577"/>
      <c r="BQ7" s="2128"/>
      <c r="BR7" s="2104"/>
    </row>
    <row r="8" spans="2:70">
      <c r="B8" s="2117"/>
      <c r="C8" s="2118" t="s">
        <v>1281</v>
      </c>
      <c r="D8" s="2126"/>
      <c r="E8" s="2120"/>
      <c r="I8" s="2121" t="s">
        <v>1282</v>
      </c>
      <c r="J8" s="2122"/>
      <c r="K8" s="2120"/>
      <c r="R8" s="2121"/>
      <c r="S8" s="2121"/>
      <c r="T8" s="2121"/>
      <c r="U8" s="2123"/>
      <c r="V8" s="2124"/>
      <c r="W8" s="2121"/>
      <c r="X8" s="2121"/>
      <c r="Y8" s="2121"/>
      <c r="Z8" s="2121"/>
      <c r="AA8" s="2121"/>
      <c r="AB8" s="2121"/>
      <c r="AC8" s="2121"/>
      <c r="AD8" s="2121"/>
      <c r="AE8" s="2121"/>
      <c r="AF8" s="2121"/>
      <c r="AG8" s="2121"/>
      <c r="AH8" s="2121"/>
      <c r="AI8" s="2121"/>
      <c r="AQ8" s="2130"/>
      <c r="AR8" s="1577"/>
      <c r="AS8" s="2123" t="s">
        <v>1283</v>
      </c>
      <c r="AT8" s="2131"/>
      <c r="AU8" s="2127"/>
      <c r="AV8" s="1577"/>
      <c r="AW8" s="1577"/>
      <c r="AX8" s="1577"/>
      <c r="AY8" s="1577"/>
      <c r="AZ8" s="1577"/>
      <c r="BA8" s="1577"/>
      <c r="BB8" s="1577"/>
      <c r="BC8" s="1577"/>
      <c r="BD8" s="1577"/>
      <c r="BE8" s="2128"/>
      <c r="BF8" s="1577"/>
      <c r="BG8" s="1577"/>
      <c r="BH8" s="1577"/>
      <c r="BI8" s="1577"/>
      <c r="BJ8" s="1577"/>
      <c r="BK8" s="1577"/>
      <c r="BL8" s="1577"/>
      <c r="BM8" s="2128"/>
      <c r="BN8" s="2104"/>
      <c r="BO8" s="1577"/>
      <c r="BP8" s="1577"/>
      <c r="BQ8" s="2128"/>
      <c r="BR8" s="2104"/>
    </row>
    <row r="9" spans="2:70">
      <c r="B9" s="2117"/>
      <c r="C9" s="2118" t="s">
        <v>1284</v>
      </c>
      <c r="D9" s="2126">
        <v>1</v>
      </c>
      <c r="E9" s="2120"/>
      <c r="I9" s="2121" t="s">
        <v>1285</v>
      </c>
      <c r="J9" s="2122"/>
      <c r="K9" s="2120"/>
      <c r="R9" s="2121"/>
      <c r="S9" s="2121"/>
      <c r="T9" s="2121"/>
      <c r="U9" s="2123"/>
      <c r="V9" s="2124"/>
      <c r="W9" s="2121"/>
      <c r="X9" s="2121"/>
      <c r="Y9" s="2121"/>
      <c r="Z9" s="2121"/>
      <c r="AA9" s="2121"/>
      <c r="AB9" s="2121"/>
      <c r="AC9" s="2121"/>
      <c r="AD9" s="2121"/>
      <c r="AE9" s="2121"/>
      <c r="AF9" s="2121"/>
      <c r="AG9" s="2121"/>
      <c r="AH9" s="2121"/>
      <c r="AI9" s="2121"/>
      <c r="AQ9" s="2125"/>
      <c r="AR9" s="1577"/>
      <c r="AS9" s="2123" t="s">
        <v>1286</v>
      </c>
      <c r="AT9" s="2126" t="s">
        <v>754</v>
      </c>
      <c r="AU9" s="2127"/>
      <c r="AV9" s="1577"/>
      <c r="AW9" s="1577"/>
      <c r="AX9" s="1577"/>
      <c r="AY9" s="1577"/>
      <c r="AZ9" s="1577"/>
      <c r="BA9" s="1577"/>
      <c r="BB9" s="1577"/>
      <c r="BC9" s="1577"/>
      <c r="BD9" s="1577"/>
      <c r="BE9" s="2128"/>
      <c r="BF9" s="1577"/>
      <c r="BG9" s="1577"/>
      <c r="BH9" s="1577"/>
      <c r="BI9" s="1577"/>
      <c r="BJ9" s="1577"/>
      <c r="BK9" s="1577"/>
      <c r="BL9" s="1577"/>
      <c r="BM9" s="2128"/>
      <c r="BN9" s="2104"/>
      <c r="BO9" s="1577"/>
      <c r="BP9" s="1577"/>
      <c r="BQ9" s="2128"/>
      <c r="BR9" s="2104"/>
    </row>
    <row r="10" spans="2:70">
      <c r="B10" s="2117"/>
      <c r="C10" s="2118" t="s">
        <v>1287</v>
      </c>
      <c r="D10" s="2126" t="s">
        <v>422</v>
      </c>
      <c r="E10" s="2120"/>
      <c r="I10" s="2121" t="s">
        <v>1288</v>
      </c>
      <c r="J10" s="2122"/>
      <c r="K10" s="2120"/>
      <c r="R10" s="2121"/>
      <c r="S10" s="2121"/>
      <c r="T10" s="2121"/>
      <c r="U10" s="2123"/>
      <c r="V10" s="2124"/>
      <c r="W10" s="2121"/>
      <c r="X10" s="2121"/>
      <c r="Y10" s="2121"/>
      <c r="Z10" s="2121"/>
      <c r="AA10" s="2121"/>
      <c r="AB10" s="2121"/>
      <c r="AC10" s="2121"/>
      <c r="AD10" s="2121"/>
      <c r="AE10" s="2121"/>
      <c r="AF10" s="2121"/>
      <c r="AG10" s="2121"/>
      <c r="AH10" s="2121"/>
      <c r="AI10" s="2121"/>
      <c r="AQ10" s="2125"/>
      <c r="AR10" s="1577"/>
      <c r="AS10" s="2123" t="s">
        <v>1289</v>
      </c>
      <c r="AT10" s="2126" t="s">
        <v>474</v>
      </c>
      <c r="AU10" s="2127"/>
      <c r="AV10" s="1577"/>
      <c r="AW10" s="1577"/>
      <c r="AX10" s="1577"/>
      <c r="AY10" s="1577"/>
      <c r="AZ10" s="1577"/>
      <c r="BA10" s="1577"/>
      <c r="BB10" s="1577"/>
      <c r="BC10" s="1577"/>
      <c r="BD10" s="1577"/>
      <c r="BE10" s="2128"/>
      <c r="BF10" s="1577"/>
      <c r="BG10" s="1577"/>
      <c r="BH10" s="1577"/>
      <c r="BI10" s="1577"/>
      <c r="BJ10" s="1577"/>
      <c r="BK10" s="1577"/>
      <c r="BL10" s="1577"/>
      <c r="BM10" s="2128"/>
      <c r="BN10" s="2104"/>
      <c r="BO10" s="1577"/>
      <c r="BP10" s="1577"/>
      <c r="BQ10" s="2128"/>
      <c r="BR10" s="2104"/>
    </row>
    <row r="11" spans="2:70">
      <c r="B11" s="2117"/>
      <c r="C11" s="2118" t="s">
        <v>1290</v>
      </c>
      <c r="D11" s="2126"/>
      <c r="E11" s="2120"/>
      <c r="I11" s="2121" t="s">
        <v>1291</v>
      </c>
      <c r="J11" s="2122"/>
      <c r="K11" s="2120"/>
      <c r="R11" s="2121"/>
      <c r="S11" s="2121"/>
      <c r="T11" s="2121"/>
      <c r="U11" s="2123"/>
      <c r="V11" s="2124"/>
      <c r="W11" s="2121"/>
      <c r="X11" s="2121"/>
      <c r="Y11" s="2121"/>
      <c r="Z11" s="2121"/>
      <c r="AA11" s="2121"/>
      <c r="AB11" s="2121"/>
      <c r="AC11" s="2121"/>
      <c r="AD11" s="2121"/>
      <c r="AE11" s="2121"/>
      <c r="AF11" s="2121"/>
      <c r="AG11" s="2121"/>
      <c r="AH11" s="2121"/>
      <c r="AI11" s="2121"/>
      <c r="AQ11" s="2125"/>
      <c r="AR11" s="1577"/>
      <c r="AS11" s="2123" t="s">
        <v>1292</v>
      </c>
      <c r="AT11" s="2468" t="s">
        <v>1618</v>
      </c>
      <c r="AU11" s="2127"/>
      <c r="AV11" s="1577"/>
      <c r="AW11" s="1577"/>
      <c r="AX11" s="1577"/>
      <c r="AY11" s="1577"/>
      <c r="AZ11" s="1577"/>
      <c r="BA11" s="1577"/>
      <c r="BB11" s="1577"/>
      <c r="BC11" s="1577"/>
      <c r="BD11" s="1577"/>
      <c r="BE11" s="2128"/>
      <c r="BF11" s="1577"/>
      <c r="BG11" s="1577"/>
      <c r="BH11" s="1577"/>
      <c r="BI11" s="1577"/>
      <c r="BJ11" s="1577"/>
      <c r="BK11" s="1577"/>
      <c r="BL11" s="1577"/>
      <c r="BM11" s="2128"/>
      <c r="BN11" s="2104"/>
      <c r="BO11" s="1577"/>
      <c r="BP11" s="1577"/>
      <c r="BQ11" s="2128"/>
      <c r="BR11" s="2104"/>
    </row>
    <row r="12" spans="2:70">
      <c r="B12" s="2117"/>
      <c r="C12" s="2118" t="s">
        <v>1293</v>
      </c>
      <c r="D12" s="2119">
        <v>43574</v>
      </c>
      <c r="E12" s="2120"/>
      <c r="I12" s="2121" t="s">
        <v>1294</v>
      </c>
      <c r="J12" s="2122"/>
      <c r="K12" s="2120"/>
      <c r="R12" s="2121"/>
      <c r="S12" s="2121"/>
      <c r="T12" s="2121"/>
      <c r="U12" s="2123"/>
      <c r="V12" s="2124"/>
      <c r="W12" s="2121"/>
      <c r="X12" s="2121"/>
      <c r="Y12" s="2121"/>
      <c r="Z12" s="2121"/>
      <c r="AA12" s="2121"/>
      <c r="AB12" s="2121"/>
      <c r="AC12" s="2121"/>
      <c r="AD12" s="2121"/>
      <c r="AE12" s="2121"/>
      <c r="AF12" s="2121"/>
      <c r="AG12" s="2121"/>
      <c r="AH12" s="2121"/>
      <c r="AI12" s="2121"/>
      <c r="AQ12" s="2125"/>
      <c r="AR12" s="1577"/>
      <c r="AS12" s="2123" t="s">
        <v>1295</v>
      </c>
      <c r="AT12" s="2126" t="s">
        <v>423</v>
      </c>
      <c r="AU12" s="2127"/>
      <c r="AV12" s="1577"/>
      <c r="AW12" s="1577"/>
      <c r="AX12" s="1577"/>
      <c r="AY12" s="1577"/>
      <c r="AZ12" s="1577"/>
      <c r="BA12" s="1577"/>
      <c r="BB12" s="1577"/>
      <c r="BC12" s="1577"/>
      <c r="BD12" s="1577"/>
      <c r="BE12" s="2128"/>
      <c r="BF12" s="1577"/>
      <c r="BG12" s="1577"/>
      <c r="BH12" s="1577"/>
      <c r="BI12" s="1577"/>
      <c r="BJ12" s="1577"/>
      <c r="BK12" s="1577"/>
      <c r="BL12" s="1577"/>
      <c r="BM12" s="2128"/>
      <c r="BN12" s="2104"/>
      <c r="BO12" s="1577"/>
      <c r="BP12" s="1577"/>
      <c r="BQ12" s="2128"/>
      <c r="BR12" s="2104"/>
    </row>
    <row r="13" spans="2:70">
      <c r="B13" s="2117"/>
      <c r="C13" s="2118" t="s">
        <v>1296</v>
      </c>
      <c r="D13" s="2119">
        <f>D12+30</f>
        <v>43604</v>
      </c>
      <c r="E13" s="2120"/>
      <c r="I13" s="2121" t="s">
        <v>1297</v>
      </c>
      <c r="J13" s="2122"/>
      <c r="K13" s="2120"/>
      <c r="R13" s="2121"/>
      <c r="S13" s="2121"/>
      <c r="T13" s="2121"/>
      <c r="U13" s="2123" t="s">
        <v>1298</v>
      </c>
      <c r="V13" s="2124"/>
      <c r="W13" s="2121"/>
      <c r="X13" s="2121"/>
      <c r="Y13" s="2121"/>
      <c r="Z13" s="2121"/>
      <c r="AA13" s="2121"/>
      <c r="AB13" s="2121"/>
      <c r="AC13" s="2121"/>
      <c r="AD13" s="2121"/>
      <c r="AE13" s="2121"/>
      <c r="AF13" s="2121"/>
      <c r="AG13" s="2121"/>
      <c r="AH13" s="2121"/>
      <c r="AI13" s="2121"/>
      <c r="AQ13" s="2132"/>
      <c r="AR13" s="1577"/>
      <c r="AS13" s="2132"/>
      <c r="AT13" s="2132"/>
      <c r="AU13" s="2132"/>
      <c r="AV13" s="1577"/>
      <c r="AW13" s="1577"/>
      <c r="AX13" s="1577"/>
      <c r="AY13" s="1577"/>
      <c r="AZ13" s="1577"/>
      <c r="BA13" s="1577"/>
      <c r="BB13" s="1577"/>
      <c r="BC13" s="1577"/>
      <c r="BD13" s="1577"/>
      <c r="BE13" s="2128"/>
      <c r="BF13" s="1577"/>
      <c r="BG13" s="1577"/>
      <c r="BH13" s="1577"/>
      <c r="BI13" s="1577"/>
      <c r="BJ13" s="1577"/>
      <c r="BK13" s="1577"/>
      <c r="BL13" s="1577"/>
      <c r="BM13" s="2128"/>
      <c r="BN13" s="2104"/>
      <c r="BO13" s="1577"/>
      <c r="BP13" s="1577"/>
      <c r="BQ13" s="2128"/>
      <c r="BR13" s="2104"/>
    </row>
    <row r="14" spans="2:70">
      <c r="B14" s="2117"/>
      <c r="C14" s="2118" t="s">
        <v>1299</v>
      </c>
      <c r="D14" s="2119">
        <v>43591</v>
      </c>
      <c r="E14" s="2120"/>
      <c r="I14" s="2121" t="s">
        <v>1300</v>
      </c>
      <c r="J14" s="2122"/>
      <c r="K14" s="2120"/>
      <c r="R14" s="2121"/>
      <c r="S14" s="2121"/>
      <c r="T14" s="2121"/>
      <c r="U14" s="2123" t="s">
        <v>1301</v>
      </c>
      <c r="V14" s="2124"/>
      <c r="W14" s="2121"/>
      <c r="X14" s="2121"/>
      <c r="Y14" s="2121"/>
      <c r="Z14" s="2121"/>
      <c r="AA14" s="2121"/>
      <c r="AB14" s="2121"/>
      <c r="AC14" s="2121"/>
      <c r="AD14" s="2121"/>
      <c r="AE14" s="2121"/>
      <c r="AF14" s="2121"/>
      <c r="AG14" s="2121"/>
      <c r="AH14" s="2121"/>
      <c r="AI14" s="2121"/>
      <c r="AQ14" s="2125"/>
      <c r="AR14" s="1577"/>
      <c r="AS14" s="2123" t="s">
        <v>1302</v>
      </c>
      <c r="AT14" s="2126" t="s">
        <v>438</v>
      </c>
      <c r="AU14" s="2127"/>
      <c r="AV14" s="1577"/>
      <c r="AW14" s="1577"/>
      <c r="AX14" s="1577"/>
      <c r="AY14" s="1577"/>
      <c r="AZ14" s="1577"/>
      <c r="BA14" s="1577"/>
      <c r="BB14" s="1577"/>
      <c r="BC14" s="1577"/>
      <c r="BD14" s="1577"/>
      <c r="BE14" s="2128"/>
      <c r="BF14" s="1577"/>
      <c r="BG14" s="1577"/>
      <c r="BH14" s="1577"/>
      <c r="BI14" s="1577"/>
      <c r="BJ14" s="1577"/>
      <c r="BK14" s="1577"/>
      <c r="BL14" s="1577"/>
      <c r="BM14" s="2128"/>
      <c r="BN14" s="2104"/>
      <c r="BO14" s="1577"/>
      <c r="BP14" s="1577"/>
      <c r="BQ14" s="2128"/>
      <c r="BR14" s="2104"/>
    </row>
    <row r="15" spans="2:70">
      <c r="B15" s="2117"/>
      <c r="C15" s="2118" t="s">
        <v>1303</v>
      </c>
      <c r="D15" s="2133"/>
      <c r="E15" s="2120"/>
      <c r="I15" s="2121" t="s">
        <v>1304</v>
      </c>
      <c r="J15" s="2122"/>
      <c r="K15" s="2120"/>
      <c r="R15" s="2121"/>
      <c r="S15" s="2121"/>
      <c r="T15" s="2121"/>
      <c r="U15" s="2123" t="s">
        <v>1305</v>
      </c>
      <c r="V15" s="2124" t="s">
        <v>7</v>
      </c>
      <c r="W15" s="2121"/>
      <c r="X15" s="2121"/>
      <c r="Y15" s="2121"/>
      <c r="Z15" s="2121"/>
      <c r="AA15" s="2121"/>
      <c r="AB15" s="2121"/>
      <c r="AC15" s="2121"/>
      <c r="AD15" s="2121"/>
      <c r="AE15" s="2121"/>
      <c r="AF15" s="2121"/>
      <c r="AG15" s="2121"/>
      <c r="AH15" s="2121"/>
      <c r="AI15" s="2121"/>
      <c r="AP15" s="2125"/>
      <c r="AQ15" s="2125"/>
      <c r="AR15" s="1577"/>
      <c r="AS15" s="1577"/>
      <c r="AT15" s="2126"/>
      <c r="AU15" s="2127"/>
      <c r="AV15" s="1577"/>
      <c r="AW15" s="1577"/>
      <c r="AX15" s="1577"/>
      <c r="AY15" s="1577"/>
      <c r="AZ15" s="1577"/>
      <c r="BA15" s="1577"/>
      <c r="BB15" s="1577"/>
      <c r="BC15" s="1577"/>
      <c r="BD15" s="1577"/>
      <c r="BE15" s="2128"/>
      <c r="BF15" s="1577"/>
      <c r="BG15" s="1577"/>
      <c r="BH15" s="1577"/>
      <c r="BI15" s="1577"/>
      <c r="BJ15" s="1577"/>
      <c r="BK15" s="1577"/>
      <c r="BL15" s="1577"/>
      <c r="BM15" s="2128"/>
      <c r="BN15" s="2104"/>
      <c r="BO15" s="1577"/>
      <c r="BP15" s="1577"/>
      <c r="BQ15" s="2128"/>
      <c r="BR15" s="2104"/>
    </row>
    <row r="16" spans="2:70">
      <c r="B16" s="2117"/>
      <c r="C16" s="2118" t="s">
        <v>1306</v>
      </c>
      <c r="D16" s="2133"/>
      <c r="E16" s="2120"/>
      <c r="I16" s="2121" t="s">
        <v>1307</v>
      </c>
      <c r="J16" s="2122"/>
      <c r="K16" s="2120"/>
      <c r="R16" s="2121"/>
      <c r="S16" s="2121"/>
      <c r="T16" s="2121"/>
      <c r="U16" s="2121"/>
      <c r="V16" s="2121"/>
      <c r="W16" s="2121"/>
      <c r="X16" s="2121"/>
      <c r="Y16" s="2121"/>
      <c r="Z16" s="2121"/>
      <c r="AA16" s="2121"/>
      <c r="AB16" s="2121"/>
      <c r="AC16" s="2121"/>
      <c r="AD16" s="2121"/>
      <c r="AE16" s="2121"/>
      <c r="AF16" s="2121"/>
      <c r="AG16" s="2121"/>
      <c r="AH16" s="2121"/>
      <c r="AI16" s="2121"/>
      <c r="AJ16" s="1577"/>
      <c r="AK16" s="2134"/>
      <c r="AM16" s="2132"/>
      <c r="AN16" s="2125"/>
      <c r="AO16" s="2132"/>
      <c r="AP16" s="2125"/>
      <c r="AQ16" s="2125"/>
      <c r="AR16" s="1577"/>
      <c r="AV16" s="1577"/>
      <c r="AW16" s="1577"/>
      <c r="AX16" s="1577"/>
      <c r="AY16" s="1577"/>
      <c r="AZ16" s="1577"/>
      <c r="BA16" s="1577"/>
      <c r="BB16" s="1577"/>
      <c r="BC16" s="1577"/>
      <c r="BD16" s="1577"/>
      <c r="BE16" s="2128"/>
      <c r="BF16" s="1577"/>
      <c r="BG16" s="1577"/>
      <c r="BH16" s="1577"/>
      <c r="BI16" s="1577"/>
      <c r="BJ16" s="1577"/>
      <c r="BK16" s="1577"/>
      <c r="BL16" s="1577"/>
      <c r="BM16" s="2128"/>
      <c r="BN16" s="2104"/>
      <c r="BO16" s="1577"/>
      <c r="BP16" s="1577"/>
      <c r="BQ16" s="2128"/>
      <c r="BR16" s="2104"/>
    </row>
    <row r="17" spans="2:70">
      <c r="B17" s="2117"/>
      <c r="C17" s="2118" t="s">
        <v>1308</v>
      </c>
      <c r="D17" s="2133"/>
      <c r="E17" s="2120"/>
      <c r="I17" s="2121" t="s">
        <v>1309</v>
      </c>
      <c r="J17" s="2122"/>
      <c r="K17" s="2120"/>
      <c r="R17" s="2121"/>
      <c r="S17" s="2121"/>
      <c r="T17" s="2121"/>
      <c r="U17" s="2121"/>
      <c r="V17" s="2121"/>
      <c r="W17" s="2121"/>
      <c r="X17" s="2121"/>
      <c r="Y17" s="2121"/>
      <c r="Z17" s="2121"/>
      <c r="AA17" s="2121"/>
      <c r="AB17" s="2121"/>
      <c r="AC17" s="2121"/>
      <c r="AD17" s="2121"/>
      <c r="AE17" s="2121"/>
      <c r="AF17" s="2121"/>
      <c r="AG17" s="2121"/>
      <c r="AH17" s="2121"/>
      <c r="AI17" s="2121"/>
      <c r="AJ17" s="2125"/>
      <c r="AM17" s="2132"/>
      <c r="AN17" s="2125"/>
      <c r="AO17" s="2132"/>
      <c r="AP17" s="2125"/>
      <c r="AQ17" s="2125"/>
      <c r="AR17" s="1577"/>
      <c r="AS17" s="1577"/>
      <c r="AT17" s="2134"/>
      <c r="AU17" s="1577"/>
      <c r="AV17" s="2125"/>
      <c r="AW17" s="1577"/>
      <c r="AX17" s="1577"/>
      <c r="AY17" s="1577"/>
      <c r="AZ17" s="1577"/>
      <c r="BA17" s="1577"/>
      <c r="BB17" s="1577"/>
      <c r="BC17" s="1577"/>
      <c r="BD17" s="1577"/>
      <c r="BE17" s="2128"/>
      <c r="BF17" s="1577"/>
      <c r="BG17" s="1577"/>
      <c r="BH17" s="1577"/>
      <c r="BI17" s="1577"/>
      <c r="BJ17" s="1577"/>
      <c r="BK17" s="1577"/>
      <c r="BL17" s="1577"/>
      <c r="BM17" s="2128"/>
      <c r="BN17" s="2104"/>
      <c r="BO17" s="1577"/>
      <c r="BP17" s="1577"/>
      <c r="BQ17" s="2128"/>
      <c r="BR17" s="2104"/>
    </row>
    <row r="18" spans="2:70">
      <c r="B18" s="2117"/>
      <c r="C18" s="2118" t="s">
        <v>1310</v>
      </c>
      <c r="D18" s="2133">
        <f>D14+2*30.42</f>
        <v>43651.839999999997</v>
      </c>
      <c r="E18" s="2120"/>
      <c r="I18" s="2121" t="s">
        <v>1311</v>
      </c>
      <c r="J18" s="2122"/>
      <c r="K18" s="2120"/>
      <c r="R18" s="2121"/>
      <c r="S18" s="2121"/>
      <c r="T18" s="2121"/>
      <c r="U18" s="2121"/>
      <c r="V18" s="2121"/>
      <c r="W18" s="2121"/>
      <c r="X18" s="2121"/>
      <c r="Y18" s="2121"/>
      <c r="Z18" s="2121"/>
      <c r="AA18" s="2121"/>
      <c r="AB18" s="2121"/>
      <c r="AC18" s="2121"/>
      <c r="AD18" s="2121"/>
      <c r="AE18" s="2121"/>
      <c r="AF18" s="2121"/>
      <c r="AG18" s="2121"/>
      <c r="AH18" s="2121"/>
      <c r="AI18" s="2121"/>
      <c r="AJ18" s="2125"/>
      <c r="AM18" s="2132"/>
      <c r="AN18" s="2125"/>
      <c r="AO18" s="2132"/>
      <c r="AP18" s="2125"/>
      <c r="AQ18" s="2125"/>
      <c r="AR18" s="1577"/>
      <c r="AS18" s="1577"/>
      <c r="AT18" s="2134"/>
      <c r="AU18" s="1577"/>
      <c r="AV18" s="2125"/>
      <c r="AW18" s="1577"/>
      <c r="AX18" s="1577"/>
      <c r="AY18" s="1577"/>
      <c r="AZ18" s="1577"/>
      <c r="BA18" s="1577"/>
      <c r="BB18" s="1577"/>
      <c r="BC18" s="1577"/>
      <c r="BD18" s="1577"/>
      <c r="BE18" s="2128"/>
      <c r="BF18" s="1577"/>
      <c r="BG18" s="1577"/>
      <c r="BH18" s="1577"/>
      <c r="BI18" s="1577"/>
      <c r="BJ18" s="1577"/>
      <c r="BK18" s="1577"/>
      <c r="BL18" s="1577"/>
      <c r="BM18" s="2128"/>
      <c r="BN18" s="2104"/>
      <c r="BO18" s="1577"/>
      <c r="BP18" s="1577"/>
      <c r="BQ18" s="2128"/>
      <c r="BR18" s="2104"/>
    </row>
    <row r="19" spans="2:70">
      <c r="B19" s="2117"/>
      <c r="C19" s="2118" t="s">
        <v>1312</v>
      </c>
      <c r="D19" s="2126"/>
      <c r="E19" s="2120"/>
      <c r="I19" s="2121" t="s">
        <v>1313</v>
      </c>
      <c r="J19" s="2122"/>
      <c r="K19" s="2120"/>
      <c r="R19" s="2121"/>
      <c r="S19" s="2121"/>
      <c r="T19" s="2121"/>
      <c r="U19" s="2121"/>
      <c r="V19" s="2121"/>
      <c r="W19" s="2121"/>
      <c r="X19" s="2121"/>
      <c r="Y19" s="2121"/>
      <c r="Z19" s="2121"/>
      <c r="AA19" s="2121"/>
      <c r="AB19" s="2121"/>
      <c r="AC19" s="2121"/>
      <c r="AD19" s="2121"/>
      <c r="AE19" s="2121"/>
      <c r="AF19" s="2121"/>
      <c r="AG19" s="2121"/>
      <c r="AH19" s="2121"/>
      <c r="AI19" s="2121"/>
      <c r="AJ19" s="2135"/>
      <c r="AM19" s="2132"/>
      <c r="AN19" s="2125"/>
      <c r="AO19" s="2132"/>
      <c r="AP19" s="2132"/>
      <c r="AQ19" s="1577"/>
      <c r="AR19" s="1577"/>
      <c r="AS19" s="1577"/>
      <c r="AT19" s="2134"/>
      <c r="AU19" s="1577"/>
      <c r="AV19" s="2125"/>
      <c r="AW19" s="1577"/>
      <c r="AX19" s="1577"/>
      <c r="AY19" s="1577"/>
      <c r="AZ19" s="1577"/>
      <c r="BA19" s="1577"/>
      <c r="BB19" s="1577"/>
      <c r="BC19" s="1577"/>
      <c r="BD19" s="1577"/>
      <c r="BE19" s="2128"/>
      <c r="BF19" s="1577"/>
      <c r="BG19" s="1577"/>
      <c r="BH19" s="1577"/>
      <c r="BI19" s="1577"/>
      <c r="BJ19" s="1577"/>
      <c r="BK19" s="1577"/>
      <c r="BL19" s="1577"/>
      <c r="BM19" s="2128"/>
      <c r="BN19" s="2104"/>
      <c r="BO19" s="1577"/>
      <c r="BP19" s="1577"/>
      <c r="BQ19" s="2128"/>
      <c r="BR19" s="2104"/>
    </row>
    <row r="20" spans="2:70" ht="15">
      <c r="B20" s="2117"/>
      <c r="C20" s="2118" t="s">
        <v>1314</v>
      </c>
      <c r="D20" s="2136">
        <f>(D18-D14)/30.4+D19*(D9-1)</f>
        <v>2.0013157894735696</v>
      </c>
      <c r="E20" s="2120"/>
      <c r="H20" s="2120"/>
      <c r="I20" s="2120"/>
      <c r="J20" s="2120"/>
      <c r="K20" s="2120"/>
      <c r="M20" s="2137"/>
      <c r="N20" s="2137"/>
      <c r="O20" s="2137"/>
      <c r="P20" s="2137"/>
      <c r="Q20" s="2137"/>
      <c r="R20" s="2137"/>
      <c r="S20" s="2137"/>
      <c r="T20" s="2137"/>
      <c r="U20" s="2137"/>
      <c r="V20" s="2137"/>
      <c r="W20" s="2137"/>
      <c r="X20" s="2137"/>
      <c r="Y20" s="2137"/>
      <c r="Z20" s="2137"/>
      <c r="AA20" s="2137"/>
      <c r="AB20" s="2137"/>
      <c r="AC20" s="2137"/>
      <c r="AD20" s="2137"/>
      <c r="AE20" s="2137"/>
      <c r="AF20" s="2137"/>
      <c r="AG20" s="2137"/>
      <c r="AH20" s="2137"/>
      <c r="AI20" s="2137"/>
      <c r="AJ20" s="2132"/>
      <c r="AM20" s="2132"/>
      <c r="AN20" s="2132"/>
      <c r="AO20" s="2132"/>
      <c r="AP20" s="2132"/>
      <c r="AQ20" s="1577"/>
      <c r="AR20" s="1577"/>
      <c r="AS20" s="1577"/>
      <c r="AT20" s="2134"/>
      <c r="AU20" s="1462" t="e">
        <f>AU28/BD21</f>
        <v>#DIV/0!</v>
      </c>
      <c r="AV20" s="1577"/>
      <c r="AW20" s="1577"/>
      <c r="AX20" s="1577"/>
      <c r="AY20" s="1577"/>
      <c r="AZ20" s="1577"/>
      <c r="BA20" s="1577"/>
      <c r="BB20" s="1577"/>
      <c r="BC20" s="1577"/>
      <c r="BD20" s="1577"/>
      <c r="BE20" s="2128"/>
      <c r="BF20" s="1577"/>
      <c r="BG20" s="1577"/>
      <c r="BH20" s="1577"/>
      <c r="BI20" s="1577"/>
      <c r="BJ20" s="1577"/>
      <c r="BK20" s="1577"/>
      <c r="BL20" s="1577"/>
      <c r="BM20" s="2128"/>
      <c r="BN20" s="2104"/>
      <c r="BO20" s="1577"/>
      <c r="BP20" s="1577"/>
      <c r="BQ20" s="2128"/>
      <c r="BR20" s="2104"/>
    </row>
    <row r="21" spans="2:70" ht="13.5" thickBot="1">
      <c r="B21" s="2117"/>
      <c r="C21" s="2138" t="s">
        <v>1315</v>
      </c>
      <c r="D21" s="2139"/>
      <c r="E21" s="2140"/>
      <c r="F21" s="2140"/>
      <c r="G21" s="2140"/>
      <c r="H21" s="2140"/>
      <c r="I21" s="2140"/>
      <c r="J21" s="2140"/>
      <c r="K21" s="2140"/>
      <c r="M21" s="2141"/>
      <c r="N21" s="2141"/>
      <c r="O21" s="2141"/>
      <c r="P21" s="2141"/>
      <c r="Q21" s="2141"/>
      <c r="R21" s="2141"/>
      <c r="S21" s="2141"/>
      <c r="T21" s="2141"/>
      <c r="U21" s="2141"/>
      <c r="V21" s="2141"/>
      <c r="W21" s="2141"/>
      <c r="X21" s="2141"/>
      <c r="Y21" s="2141"/>
      <c r="Z21" s="2141"/>
      <c r="AA21" s="2141"/>
      <c r="AB21" s="2141"/>
      <c r="AC21" s="2141"/>
      <c r="AD21" s="2141"/>
      <c r="AE21" s="2141"/>
      <c r="AF21" s="2141"/>
      <c r="AG21" s="2141"/>
      <c r="AH21" s="2141"/>
      <c r="AI21" s="2141"/>
      <c r="AJ21" s="2142"/>
      <c r="AM21" s="2142"/>
      <c r="AN21" s="2142"/>
      <c r="AO21" s="2142"/>
      <c r="AP21" s="2142"/>
      <c r="AQ21" s="2143"/>
      <c r="AR21" s="2143"/>
      <c r="AS21" s="2143"/>
      <c r="AT21" s="2144"/>
      <c r="AU21" s="2143"/>
      <c r="AV21" s="2143"/>
      <c r="AW21" s="2143"/>
      <c r="AX21" s="2143"/>
      <c r="AY21" s="2143"/>
      <c r="AZ21" s="2143"/>
      <c r="BA21" s="2143"/>
      <c r="BB21" s="2143"/>
      <c r="BC21" s="2143"/>
      <c r="BD21" s="2145"/>
      <c r="BE21" s="2146"/>
      <c r="BF21" s="2143"/>
      <c r="BG21" s="2143"/>
      <c r="BH21" s="2143"/>
      <c r="BI21" s="2143"/>
      <c r="BJ21" s="2143"/>
      <c r="BK21" s="2143"/>
      <c r="BL21" s="2143"/>
      <c r="BM21" s="2147"/>
      <c r="BN21" s="2148"/>
      <c r="BO21" s="2143"/>
      <c r="BP21" s="2143"/>
      <c r="BQ21" s="2147"/>
      <c r="BR21" s="2104"/>
    </row>
    <row r="22" spans="2:70" ht="12.75" customHeight="1">
      <c r="B22" s="2117"/>
      <c r="C22" s="2118"/>
      <c r="D22" s="2666" t="s">
        <v>430</v>
      </c>
      <c r="E22" s="2667"/>
      <c r="F22" s="2667"/>
      <c r="G22" s="2667"/>
      <c r="H22" s="2667"/>
      <c r="I22" s="2667"/>
      <c r="J22" s="2667"/>
      <c r="K22" s="2668"/>
      <c r="L22" s="2684" t="s">
        <v>427</v>
      </c>
      <c r="M22" s="2685"/>
      <c r="N22" s="2685"/>
      <c r="O22" s="2685"/>
      <c r="P22" s="2685"/>
      <c r="Q22" s="2685"/>
      <c r="R22" s="2685"/>
      <c r="S22" s="2686"/>
      <c r="T22" s="2684" t="s">
        <v>428</v>
      </c>
      <c r="U22" s="2685"/>
      <c r="V22" s="2685"/>
      <c r="W22" s="2685"/>
      <c r="X22" s="2685"/>
      <c r="Y22" s="2685"/>
      <c r="Z22" s="2685"/>
      <c r="AA22" s="2686"/>
      <c r="AB22" s="2678" t="s">
        <v>437</v>
      </c>
      <c r="AC22" s="2679"/>
      <c r="AD22" s="2679"/>
      <c r="AE22" s="2679"/>
      <c r="AF22" s="2679"/>
      <c r="AG22" s="2679"/>
      <c r="AH22" s="2679"/>
      <c r="AI22" s="2680"/>
      <c r="AJ22" s="2672" t="s">
        <v>583</v>
      </c>
      <c r="AK22" s="2673"/>
      <c r="AL22" s="2673"/>
      <c r="AM22" s="2673"/>
      <c r="AN22" s="2673"/>
      <c r="AO22" s="2673"/>
      <c r="AP22" s="2673"/>
      <c r="AQ22" s="2674"/>
      <c r="AR22" s="2149"/>
      <c r="AS22" s="2672" t="s">
        <v>742</v>
      </c>
      <c r="AT22" s="2673"/>
      <c r="AU22" s="2673"/>
      <c r="AV22" s="2674"/>
      <c r="AW22" s="905"/>
      <c r="AX22" s="905"/>
      <c r="AY22" s="905"/>
      <c r="AZ22" s="906"/>
      <c r="BA22" s="2150"/>
      <c r="BB22" s="2673" t="s">
        <v>741</v>
      </c>
      <c r="BC22" s="2673"/>
      <c r="BD22" s="2673"/>
      <c r="BE22" s="2674"/>
      <c r="BF22" s="953"/>
      <c r="BG22" s="905"/>
      <c r="BH22" s="905"/>
      <c r="BI22" s="906"/>
      <c r="BJ22" s="2672" t="s">
        <v>436</v>
      </c>
      <c r="BK22" s="2673"/>
      <c r="BL22" s="2673"/>
      <c r="BM22" s="2674"/>
      <c r="BN22" s="905"/>
      <c r="BO22" s="905"/>
      <c r="BP22" s="905"/>
      <c r="BQ22" s="906"/>
      <c r="BR22" s="2104"/>
    </row>
    <row r="23" spans="2:70" ht="8.1" customHeight="1" thickBot="1">
      <c r="B23" s="824"/>
      <c r="C23" s="72"/>
      <c r="D23" s="2669"/>
      <c r="E23" s="2670"/>
      <c r="F23" s="2670"/>
      <c r="G23" s="2670"/>
      <c r="H23" s="2670"/>
      <c r="I23" s="2670"/>
      <c r="J23" s="2670"/>
      <c r="K23" s="2671"/>
      <c r="L23" s="2687"/>
      <c r="M23" s="2688"/>
      <c r="N23" s="2688"/>
      <c r="O23" s="2688"/>
      <c r="P23" s="2688"/>
      <c r="Q23" s="2688"/>
      <c r="R23" s="2688"/>
      <c r="S23" s="2689"/>
      <c r="T23" s="2687"/>
      <c r="U23" s="2688"/>
      <c r="V23" s="2688"/>
      <c r="W23" s="2688"/>
      <c r="X23" s="2688"/>
      <c r="Y23" s="2688"/>
      <c r="Z23" s="2688"/>
      <c r="AA23" s="2689"/>
      <c r="AB23" s="2681"/>
      <c r="AC23" s="2682"/>
      <c r="AD23" s="2682"/>
      <c r="AE23" s="2682"/>
      <c r="AF23" s="2682"/>
      <c r="AG23" s="2682"/>
      <c r="AH23" s="2682"/>
      <c r="AI23" s="2683"/>
      <c r="AJ23" s="2675"/>
      <c r="AK23" s="2676"/>
      <c r="AL23" s="2676"/>
      <c r="AM23" s="2676"/>
      <c r="AN23" s="2676"/>
      <c r="AO23" s="2676"/>
      <c r="AP23" s="2676"/>
      <c r="AQ23" s="2677"/>
      <c r="AR23" s="2149"/>
      <c r="AS23" s="2675"/>
      <c r="AT23" s="2676"/>
      <c r="AU23" s="2676"/>
      <c r="AV23" s="2677"/>
      <c r="AW23" s="907"/>
      <c r="AX23" s="907"/>
      <c r="AY23" s="907"/>
      <c r="AZ23" s="908"/>
      <c r="BA23" s="2150"/>
      <c r="BB23" s="2676"/>
      <c r="BC23" s="2676"/>
      <c r="BD23" s="2676"/>
      <c r="BE23" s="2677"/>
      <c r="BF23" s="954"/>
      <c r="BG23" s="907"/>
      <c r="BH23" s="907"/>
      <c r="BI23" s="908"/>
      <c r="BJ23" s="2675"/>
      <c r="BK23" s="2676"/>
      <c r="BL23" s="2676"/>
      <c r="BM23" s="2677"/>
      <c r="BN23" s="907"/>
      <c r="BO23" s="907"/>
      <c r="BP23" s="907"/>
      <c r="BQ23" s="908"/>
      <c r="BR23" s="2104"/>
    </row>
    <row r="24" spans="2:70" s="2160" customFormat="1" ht="19.5" customHeight="1">
      <c r="B24" s="2151"/>
      <c r="C24" s="462" t="s">
        <v>67</v>
      </c>
      <c r="D24" s="467" t="s">
        <v>68</v>
      </c>
      <c r="E24" s="2152" t="s">
        <v>9</v>
      </c>
      <c r="F24" s="2153" t="s">
        <v>10</v>
      </c>
      <c r="G24" s="2154" t="s">
        <v>11</v>
      </c>
      <c r="H24" s="2154" t="s">
        <v>12</v>
      </c>
      <c r="I24" s="2155" t="s">
        <v>13</v>
      </c>
      <c r="J24" s="2156" t="s">
        <v>183</v>
      </c>
      <c r="K24" s="2157" t="s">
        <v>66</v>
      </c>
      <c r="L24" s="467" t="s">
        <v>68</v>
      </c>
      <c r="M24" s="2152" t="s">
        <v>9</v>
      </c>
      <c r="N24" s="2153" t="s">
        <v>10</v>
      </c>
      <c r="O24" s="2154" t="s">
        <v>11</v>
      </c>
      <c r="P24" s="2154" t="s">
        <v>12</v>
      </c>
      <c r="Q24" s="2155" t="s">
        <v>13</v>
      </c>
      <c r="R24" s="2156" t="s">
        <v>183</v>
      </c>
      <c r="S24" s="2157" t="s">
        <v>66</v>
      </c>
      <c r="T24" s="467" t="s">
        <v>68</v>
      </c>
      <c r="U24" s="2152" t="s">
        <v>9</v>
      </c>
      <c r="V24" s="2153" t="s">
        <v>10</v>
      </c>
      <c r="W24" s="2154" t="s">
        <v>11</v>
      </c>
      <c r="X24" s="2154" t="s">
        <v>12</v>
      </c>
      <c r="Y24" s="2155" t="s">
        <v>13</v>
      </c>
      <c r="Z24" s="2156" t="s">
        <v>183</v>
      </c>
      <c r="AA24" s="2157" t="s">
        <v>66</v>
      </c>
      <c r="AB24" s="467" t="s">
        <v>68</v>
      </c>
      <c r="AC24" s="2152" t="s">
        <v>9</v>
      </c>
      <c r="AD24" s="2153" t="s">
        <v>10</v>
      </c>
      <c r="AE24" s="2154" t="s">
        <v>11</v>
      </c>
      <c r="AF24" s="2154" t="s">
        <v>12</v>
      </c>
      <c r="AG24" s="2155" t="s">
        <v>13</v>
      </c>
      <c r="AH24" s="2156" t="s">
        <v>183</v>
      </c>
      <c r="AI24" s="2157" t="s">
        <v>66</v>
      </c>
      <c r="AJ24" s="73" t="s">
        <v>8</v>
      </c>
      <c r="AK24" s="2158" t="s">
        <v>9</v>
      </c>
      <c r="AL24" s="2159" t="s">
        <v>10</v>
      </c>
      <c r="AM24" s="2154" t="s">
        <v>11</v>
      </c>
      <c r="AN24" s="2154" t="s">
        <v>12</v>
      </c>
      <c r="AO24" s="2155" t="s">
        <v>13</v>
      </c>
      <c r="AP24" s="2156" t="s">
        <v>183</v>
      </c>
      <c r="AQ24" s="2157" t="s">
        <v>69</v>
      </c>
      <c r="AS24" s="463" t="s">
        <v>8</v>
      </c>
      <c r="AT24" s="2161" t="s">
        <v>9</v>
      </c>
      <c r="AU24" s="2159" t="s">
        <v>10</v>
      </c>
      <c r="AV24" s="2162" t="s">
        <v>11</v>
      </c>
      <c r="AW24" s="2163" t="s">
        <v>12</v>
      </c>
      <c r="AX24" s="2154" t="s">
        <v>13</v>
      </c>
      <c r="AY24" s="2164" t="s">
        <v>183</v>
      </c>
      <c r="AZ24" s="2165" t="s">
        <v>69</v>
      </c>
      <c r="BB24" s="463" t="s">
        <v>8</v>
      </c>
      <c r="BC24" s="2166" t="s">
        <v>9</v>
      </c>
      <c r="BD24" s="2167" t="s">
        <v>10</v>
      </c>
      <c r="BE24" s="2162" t="s">
        <v>11</v>
      </c>
      <c r="BF24" s="2168" t="s">
        <v>12</v>
      </c>
      <c r="BG24" s="2155" t="s">
        <v>13</v>
      </c>
      <c r="BH24" s="2156" t="s">
        <v>183</v>
      </c>
      <c r="BI24" s="2157" t="s">
        <v>66</v>
      </c>
      <c r="BJ24" s="463" t="s">
        <v>8</v>
      </c>
      <c r="BK24" s="2166" t="s">
        <v>9</v>
      </c>
      <c r="BL24" s="2167" t="s">
        <v>10</v>
      </c>
      <c r="BM24" s="2162" t="s">
        <v>11</v>
      </c>
      <c r="BN24" s="2168" t="s">
        <v>12</v>
      </c>
      <c r="BO24" s="2155" t="s">
        <v>13</v>
      </c>
      <c r="BP24" s="2156" t="s">
        <v>183</v>
      </c>
      <c r="BQ24" s="2157" t="s">
        <v>66</v>
      </c>
      <c r="BR24" s="2169"/>
    </row>
    <row r="25" spans="2:70" s="2160" customFormat="1" ht="18.75" customHeight="1" thickBot="1">
      <c r="B25" s="2170"/>
      <c r="C25" s="2171"/>
      <c r="D25" s="2172" t="s">
        <v>60</v>
      </c>
      <c r="E25" s="2173"/>
      <c r="F25" s="2174" t="s">
        <v>60</v>
      </c>
      <c r="G25" s="2175" t="s">
        <v>60</v>
      </c>
      <c r="H25" s="2175" t="s">
        <v>60</v>
      </c>
      <c r="I25" s="2175" t="s">
        <v>60</v>
      </c>
      <c r="J25" s="2176" t="s">
        <v>60</v>
      </c>
      <c r="K25" s="2177" t="s">
        <v>60</v>
      </c>
      <c r="L25" s="2172" t="s">
        <v>60</v>
      </c>
      <c r="M25" s="2173"/>
      <c r="N25" s="2174" t="s">
        <v>60</v>
      </c>
      <c r="O25" s="2175" t="s">
        <v>60</v>
      </c>
      <c r="P25" s="2175" t="s">
        <v>60</v>
      </c>
      <c r="Q25" s="2175" t="s">
        <v>60</v>
      </c>
      <c r="R25" s="2176" t="s">
        <v>60</v>
      </c>
      <c r="S25" s="2177" t="s">
        <v>60</v>
      </c>
      <c r="T25" s="2172" t="s">
        <v>60</v>
      </c>
      <c r="U25" s="2173"/>
      <c r="V25" s="2174" t="s">
        <v>60</v>
      </c>
      <c r="W25" s="2175" t="s">
        <v>60</v>
      </c>
      <c r="X25" s="2175" t="s">
        <v>60</v>
      </c>
      <c r="Y25" s="2175" t="s">
        <v>60</v>
      </c>
      <c r="Z25" s="2176" t="s">
        <v>60</v>
      </c>
      <c r="AA25" s="2177" t="s">
        <v>60</v>
      </c>
      <c r="AB25" s="2172" t="s">
        <v>60</v>
      </c>
      <c r="AC25" s="2173"/>
      <c r="AD25" s="2174" t="s">
        <v>60</v>
      </c>
      <c r="AE25" s="2175" t="s">
        <v>60</v>
      </c>
      <c r="AF25" s="2175" t="s">
        <v>60</v>
      </c>
      <c r="AG25" s="2175" t="s">
        <v>60</v>
      </c>
      <c r="AH25" s="2176" t="s">
        <v>60</v>
      </c>
      <c r="AI25" s="2177" t="s">
        <v>60</v>
      </c>
      <c r="AJ25" s="2172" t="s">
        <v>60</v>
      </c>
      <c r="AK25" s="2178"/>
      <c r="AL25" s="2179" t="s">
        <v>60</v>
      </c>
      <c r="AM25" s="2175" t="s">
        <v>60</v>
      </c>
      <c r="AN25" s="2175" t="s">
        <v>60</v>
      </c>
      <c r="AO25" s="2175" t="s">
        <v>60</v>
      </c>
      <c r="AP25" s="2176">
        <v>1254</v>
      </c>
      <c r="AQ25" s="2177" t="s">
        <v>60</v>
      </c>
      <c r="AS25" s="2172" t="s">
        <v>60</v>
      </c>
      <c r="AT25" s="2178"/>
      <c r="AU25" s="2179" t="s">
        <v>60</v>
      </c>
      <c r="AV25" s="2177" t="s">
        <v>60</v>
      </c>
      <c r="AW25" s="2180" t="s">
        <v>60</v>
      </c>
      <c r="AX25" s="2175" t="s">
        <v>60</v>
      </c>
      <c r="AY25" s="2176" t="s">
        <v>60</v>
      </c>
      <c r="AZ25" s="2177" t="s">
        <v>60</v>
      </c>
      <c r="BB25" s="2172" t="s">
        <v>60</v>
      </c>
      <c r="BC25" s="2172"/>
      <c r="BD25" s="2174" t="s">
        <v>60</v>
      </c>
      <c r="BE25" s="2177" t="s">
        <v>60</v>
      </c>
      <c r="BF25" s="2181" t="s">
        <v>60</v>
      </c>
      <c r="BG25" s="2175" t="s">
        <v>60</v>
      </c>
      <c r="BH25" s="2176" t="s">
        <v>60</v>
      </c>
      <c r="BI25" s="2177" t="s">
        <v>60</v>
      </c>
      <c r="BJ25" s="2172" t="s">
        <v>60</v>
      </c>
      <c r="BK25" s="2172"/>
      <c r="BL25" s="2174" t="s">
        <v>60</v>
      </c>
      <c r="BM25" s="2177" t="s">
        <v>60</v>
      </c>
      <c r="BN25" s="2181" t="s">
        <v>60</v>
      </c>
      <c r="BO25" s="2175" t="s">
        <v>60</v>
      </c>
      <c r="BP25" s="2176" t="s">
        <v>60</v>
      </c>
      <c r="BQ25" s="2177" t="s">
        <v>60</v>
      </c>
      <c r="BR25" s="2169"/>
    </row>
    <row r="26" spans="2:70" ht="14.25" customHeight="1">
      <c r="B26" s="1568">
        <v>1</v>
      </c>
      <c r="C26" s="1569" t="s">
        <v>70</v>
      </c>
      <c r="D26" s="1570">
        <f>SUM(F26:K26)</f>
        <v>3.5894678356012548</v>
      </c>
      <c r="E26" s="1574">
        <f>IF($D$50=0,0,D26/$D$50)</f>
        <v>2.1228703639048645E-2</v>
      </c>
      <c r="F26" s="1572">
        <f t="shared" ref="F26:K28" si="0">N26+V26</f>
        <v>3.5894678356012548</v>
      </c>
      <c r="G26" s="2182">
        <f t="shared" si="0"/>
        <v>0</v>
      </c>
      <c r="H26" s="2183">
        <f t="shared" si="0"/>
        <v>0</v>
      </c>
      <c r="I26" s="2183">
        <f t="shared" si="0"/>
        <v>0</v>
      </c>
      <c r="J26" s="2183">
        <f t="shared" si="0"/>
        <v>0</v>
      </c>
      <c r="K26" s="2184">
        <f t="shared" si="0"/>
        <v>0</v>
      </c>
      <c r="L26" s="1570">
        <f>SUM(N26:S26)</f>
        <v>3.5894678356012548</v>
      </c>
      <c r="M26" s="1574">
        <f>IF($L$50=0,0,L26/$L$50)</f>
        <v>2.1228703639048645E-2</v>
      </c>
      <c r="N26" s="1572">
        <f t="shared" ref="N26:S26" si="1">AL26+AU26+BD26</f>
        <v>3.5894678356012548</v>
      </c>
      <c r="O26" s="2182">
        <f t="shared" si="1"/>
        <v>0</v>
      </c>
      <c r="P26" s="2183">
        <f t="shared" si="1"/>
        <v>0</v>
      </c>
      <c r="Q26" s="2183">
        <f t="shared" si="1"/>
        <v>0</v>
      </c>
      <c r="R26" s="2183">
        <f t="shared" si="1"/>
        <v>0</v>
      </c>
      <c r="S26" s="2184">
        <f t="shared" si="1"/>
        <v>0</v>
      </c>
      <c r="T26" s="1570">
        <f>SUM(V26:AA26)</f>
        <v>0</v>
      </c>
      <c r="U26" s="1574">
        <f ca="1">IF($T$68=0,0,T26/$T$68)</f>
        <v>0</v>
      </c>
      <c r="V26" s="1572"/>
      <c r="W26" s="2182">
        <f>IF('Estimate Summary'!$D$9&lt;2,0,$V26)</f>
        <v>0</v>
      </c>
      <c r="X26" s="2183">
        <f>IF('Estimate Summary'!$D$9&lt;3,0,$V26)</f>
        <v>0</v>
      </c>
      <c r="Y26" s="2183">
        <f>IF('Estimate Summary'!$D$9&lt;4,0,$V26)</f>
        <v>0</v>
      </c>
      <c r="Z26" s="2183">
        <f>IF('Estimate Summary'!$D$9&lt;5,0,$V26)</f>
        <v>0</v>
      </c>
      <c r="AA26" s="2184">
        <f>IF('Estimate Summary'!$D$9&lt;6,0,$V26)</f>
        <v>0</v>
      </c>
      <c r="AB26" s="1570">
        <f>SUM(AD26:AI26)</f>
        <v>0</v>
      </c>
      <c r="AC26" s="1574">
        <f ca="1">IF($AB$68=0,0,AB26/$AB$68)</f>
        <v>0</v>
      </c>
      <c r="AD26" s="1572"/>
      <c r="AE26" s="2182">
        <f>IF('Estimate Summary'!$D$9&lt;2,0,$V26)</f>
        <v>0</v>
      </c>
      <c r="AF26" s="2183">
        <f>IF('Estimate Summary'!$D$9&lt;3,0,$V26)</f>
        <v>0</v>
      </c>
      <c r="AG26" s="2183">
        <f>IF('Estimate Summary'!$D$9&lt;4,0,$V26)</f>
        <v>0</v>
      </c>
      <c r="AH26" s="2183">
        <f>IF('Estimate Summary'!$D$9&lt;5,0,$V26)</f>
        <v>0</v>
      </c>
      <c r="AI26" s="2184">
        <f>IF('Estimate Summary'!$D$9&lt;6,0,$V26)</f>
        <v>0</v>
      </c>
      <c r="AJ26" s="2185">
        <f>SUM(AL26:AQ26)</f>
        <v>3.5894678356012548</v>
      </c>
      <c r="AK26" s="1574">
        <f>IF(AJ$50=0,0,AJ26/AJ$50)</f>
        <v>2.1228703639048645E-2</v>
      </c>
      <c r="AL26" s="2186">
        <f>'Estimate Detail'!H377</f>
        <v>3.5894678356012548</v>
      </c>
      <c r="AM26" s="2183">
        <f>IF('Estimate Summary'!$D$9&lt;2,0,'Estimate Detail'!I377)</f>
        <v>0</v>
      </c>
      <c r="AN26" s="2183">
        <f>IF('Estimate Summary'!$D$9&lt;3,0,'Estimate Detail'!J377)</f>
        <v>0</v>
      </c>
      <c r="AO26" s="2183">
        <f>IF('Estimate Summary'!$D$9&lt;4,0,'Estimate Detail'!K377)</f>
        <v>0</v>
      </c>
      <c r="AP26" s="2183">
        <f>IF('Estimate Summary'!$D$9&lt;5,0,'Estimate Detail'!L377)</f>
        <v>0</v>
      </c>
      <c r="AQ26" s="2184">
        <f>IF('Estimate Summary'!$D$9&lt;6,0,'Estimate Detail'!M377)</f>
        <v>0</v>
      </c>
      <c r="AS26" s="2185">
        <f>SUM(AU26:AZ26)</f>
        <v>0</v>
      </c>
      <c r="AT26" s="1571">
        <f>IF($AS$68=0,0,AS26/AS$68)</f>
        <v>0</v>
      </c>
      <c r="AU26" s="2186"/>
      <c r="AV26" s="2184"/>
      <c r="AW26" s="2187"/>
      <c r="AX26" s="2183"/>
      <c r="AY26" s="2183"/>
      <c r="AZ26" s="2184"/>
      <c r="BB26" s="2185">
        <f>SUM(BD26:BI26)</f>
        <v>0</v>
      </c>
      <c r="BC26" s="1578">
        <f>IF($BB$68=0,0,BB26/BB$68)</f>
        <v>0</v>
      </c>
      <c r="BD26" s="2186"/>
      <c r="BE26" s="2184"/>
      <c r="BF26" s="2188"/>
      <c r="BG26" s="2183"/>
      <c r="BH26" s="2183"/>
      <c r="BI26" s="2184"/>
      <c r="BJ26" s="2185">
        <f>SUM(BL26:BQ26)</f>
        <v>0</v>
      </c>
      <c r="BK26" s="1578">
        <f ca="1">IF($BJ$68=0,0,BJ26/$BJ$68)</f>
        <v>0</v>
      </c>
      <c r="BL26" s="2186"/>
      <c r="BM26" s="2184"/>
      <c r="BN26" s="2188"/>
      <c r="BO26" s="2183"/>
      <c r="BP26" s="2183"/>
      <c r="BQ26" s="2184"/>
      <c r="BR26" s="2104"/>
    </row>
    <row r="27" spans="2:70" ht="14.25" customHeight="1">
      <c r="B27" s="1568">
        <v>2</v>
      </c>
      <c r="C27" s="1569" t="s">
        <v>71</v>
      </c>
      <c r="D27" s="1570">
        <f t="shared" ref="D27:D69" si="2">SUM(F27:K27)</f>
        <v>93.6268400850239</v>
      </c>
      <c r="E27" s="1574">
        <f t="shared" ref="E27:E50" si="3">IF($D$50=0,0,D27/$D$50)</f>
        <v>0.55372454409878913</v>
      </c>
      <c r="F27" s="1572">
        <f t="shared" si="0"/>
        <v>93.6268400850239</v>
      </c>
      <c r="G27" s="2182">
        <f t="shared" si="0"/>
        <v>0</v>
      </c>
      <c r="H27" s="2189">
        <f t="shared" si="0"/>
        <v>0</v>
      </c>
      <c r="I27" s="2189">
        <f t="shared" si="0"/>
        <v>0</v>
      </c>
      <c r="J27" s="2189">
        <f t="shared" si="0"/>
        <v>0</v>
      </c>
      <c r="K27" s="955">
        <f t="shared" si="0"/>
        <v>0</v>
      </c>
      <c r="L27" s="1570">
        <f t="shared" ref="L27:L43" si="4">SUM(N27:S27)</f>
        <v>93.6268400850239</v>
      </c>
      <c r="M27" s="1574">
        <f t="shared" ref="M27:M50" si="5">IF($L$50=0,0,L27/$L$50)</f>
        <v>0.55372454409878913</v>
      </c>
      <c r="N27" s="1572">
        <f>AL27+AU27+BD27</f>
        <v>93.6268400850239</v>
      </c>
      <c r="O27" s="2182">
        <f t="shared" ref="O27:O43" si="6">AM27+AV27+BE27</f>
        <v>0</v>
      </c>
      <c r="P27" s="2189">
        <f t="shared" ref="P27:P43" si="7">AN27+AW27+BF27</f>
        <v>0</v>
      </c>
      <c r="Q27" s="2189">
        <f t="shared" ref="Q27:Q43" si="8">AO27+AX27+BG27</f>
        <v>0</v>
      </c>
      <c r="R27" s="2189">
        <f t="shared" ref="R27:R43" si="9">AP27+AY27+BH27</f>
        <v>0</v>
      </c>
      <c r="S27" s="955">
        <f t="shared" ref="S27:S43" si="10">AQ27+AZ27+BI27</f>
        <v>0</v>
      </c>
      <c r="T27" s="1570">
        <f t="shared" ref="T27:T69" si="11">SUM(V27:AA27)</f>
        <v>0</v>
      </c>
      <c r="U27" s="1574">
        <f t="shared" ref="U27:U69" ca="1" si="12">IF($T$68=0,0,T27/$T$68)</f>
        <v>0</v>
      </c>
      <c r="V27" s="1572"/>
      <c r="W27" s="2182">
        <f>IF('Estimate Summary'!$D$9&lt;2,0,$V27)</f>
        <v>0</v>
      </c>
      <c r="X27" s="2189">
        <f>IF('Estimate Summary'!$D$9&lt;3,0,$V27)</f>
        <v>0</v>
      </c>
      <c r="Y27" s="2189">
        <f>IF('Estimate Summary'!$D$9&lt;4,0,$V27)</f>
        <v>0</v>
      </c>
      <c r="Z27" s="2189">
        <f>IF('Estimate Summary'!$D$9&lt;5,0,$V27)</f>
        <v>0</v>
      </c>
      <c r="AA27" s="955">
        <f>IF('Estimate Summary'!$D$9&lt;6,0,$V27)</f>
        <v>0</v>
      </c>
      <c r="AB27" s="1570">
        <f t="shared" ref="AB27:AB69" si="13">SUM(AD27:AI27)</f>
        <v>0</v>
      </c>
      <c r="AC27" s="1574">
        <f t="shared" ref="AC27:AC69" ca="1" si="14">IF($AB$68=0,0,AB27/$AB$68)</f>
        <v>0</v>
      </c>
      <c r="AD27" s="1572"/>
      <c r="AE27" s="2182">
        <f>IF('Estimate Summary'!$D$9&lt;2,0,$V27)</f>
        <v>0</v>
      </c>
      <c r="AF27" s="2189">
        <f>IF('Estimate Summary'!$D$9&lt;3,0,$V27)</f>
        <v>0</v>
      </c>
      <c r="AG27" s="2189">
        <f>IF('Estimate Summary'!$D$9&lt;4,0,$V27)</f>
        <v>0</v>
      </c>
      <c r="AH27" s="2189">
        <f>IF('Estimate Summary'!$D$9&lt;5,0,$V27)</f>
        <v>0</v>
      </c>
      <c r="AI27" s="955">
        <f>IF('Estimate Summary'!$D$9&lt;6,0,$V27)</f>
        <v>0</v>
      </c>
      <c r="AJ27" s="2185">
        <f t="shared" ref="AJ27:AJ69" si="15">SUM(AL27:AQ27)</f>
        <v>93.6268400850239</v>
      </c>
      <c r="AK27" s="1571">
        <f t="shared" ref="AK27:AK50" si="16">IF(AJ$50=0,0,AJ27/AJ$50)</f>
        <v>0.55372454409878913</v>
      </c>
      <c r="AL27" s="919">
        <f>'Estimate Detail'!H378</f>
        <v>93.6268400850239</v>
      </c>
      <c r="AM27" s="2189">
        <f>IF('Estimate Summary'!$D$9&lt;2,0,'Estimate Detail'!I378)</f>
        <v>0</v>
      </c>
      <c r="AN27" s="2189">
        <f>IF('Estimate Summary'!$D$9&lt;3,0,'Estimate Detail'!J378)</f>
        <v>0</v>
      </c>
      <c r="AO27" s="2189">
        <f>IF('Estimate Summary'!$D$9&lt;4,0,'Estimate Detail'!K378)</f>
        <v>0</v>
      </c>
      <c r="AP27" s="2189">
        <f>IF('Estimate Summary'!$D$9&lt;5,0,'Estimate Detail'!L378)</f>
        <v>0</v>
      </c>
      <c r="AQ27" s="955">
        <f>IF('Estimate Summary'!$D$9&lt;6,0,'Estimate Detail'!M378)</f>
        <v>0</v>
      </c>
      <c r="AS27" s="2185">
        <f t="shared" ref="AS27:AS69" si="17">SUM(AU27:AZ27)</f>
        <v>0</v>
      </c>
      <c r="AT27" s="1571">
        <f t="shared" ref="AT27:AT68" si="18">IF($AS$68=0,0,AS27/AS$68)</f>
        <v>0</v>
      </c>
      <c r="AU27" s="919"/>
      <c r="AV27" s="955"/>
      <c r="AW27" s="1566"/>
      <c r="AX27" s="934"/>
      <c r="AY27" s="934"/>
      <c r="AZ27" s="955"/>
      <c r="BB27" s="2185">
        <f t="shared" ref="BB27:BB69" si="19">SUM(BD27:BI27)</f>
        <v>0</v>
      </c>
      <c r="BC27" s="1578">
        <f t="shared" ref="BC27:BC68" si="20">IF($BB$68=0,0,BB27/BB$68)</f>
        <v>0</v>
      </c>
      <c r="BD27" s="919"/>
      <c r="BE27" s="955"/>
      <c r="BF27" s="1579"/>
      <c r="BG27" s="2189"/>
      <c r="BH27" s="2189"/>
      <c r="BI27" s="955"/>
      <c r="BJ27" s="2185">
        <f t="shared" ref="BJ27:BJ69" si="21">SUM(BL27:BQ27)</f>
        <v>0</v>
      </c>
      <c r="BK27" s="1578">
        <f t="shared" ref="BK27:BK68" ca="1" si="22">IF($BJ$68=0,0,BJ27/$BJ$68)</f>
        <v>0</v>
      </c>
      <c r="BL27" s="919"/>
      <c r="BM27" s="955"/>
      <c r="BN27" s="1579"/>
      <c r="BO27" s="934"/>
      <c r="BP27" s="934"/>
      <c r="BQ27" s="955"/>
      <c r="BR27" s="2104"/>
    </row>
    <row r="28" spans="2:70" ht="14.25" customHeight="1">
      <c r="B28" s="1568">
        <v>3</v>
      </c>
      <c r="C28" s="1569" t="s">
        <v>45</v>
      </c>
      <c r="D28" s="1570">
        <f t="shared" si="2"/>
        <v>0</v>
      </c>
      <c r="E28" s="1574">
        <f t="shared" si="3"/>
        <v>0</v>
      </c>
      <c r="F28" s="2190">
        <f t="shared" si="0"/>
        <v>0</v>
      </c>
      <c r="G28" s="2182">
        <f t="shared" si="0"/>
        <v>0</v>
      </c>
      <c r="H28" s="2189">
        <f t="shared" si="0"/>
        <v>0</v>
      </c>
      <c r="I28" s="2189">
        <f t="shared" si="0"/>
        <v>0</v>
      </c>
      <c r="J28" s="2189">
        <f t="shared" si="0"/>
        <v>0</v>
      </c>
      <c r="K28" s="955">
        <f t="shared" si="0"/>
        <v>0</v>
      </c>
      <c r="L28" s="1570">
        <f t="shared" si="4"/>
        <v>0</v>
      </c>
      <c r="M28" s="1574">
        <f t="shared" si="5"/>
        <v>0</v>
      </c>
      <c r="N28" s="2190">
        <f>AL28+AU28+BD28</f>
        <v>0</v>
      </c>
      <c r="O28" s="2182">
        <f t="shared" si="6"/>
        <v>0</v>
      </c>
      <c r="P28" s="2189">
        <f t="shared" si="7"/>
        <v>0</v>
      </c>
      <c r="Q28" s="2189">
        <f t="shared" si="8"/>
        <v>0</v>
      </c>
      <c r="R28" s="2189">
        <f t="shared" si="9"/>
        <v>0</v>
      </c>
      <c r="S28" s="955">
        <f t="shared" si="10"/>
        <v>0</v>
      </c>
      <c r="T28" s="1570">
        <f t="shared" si="11"/>
        <v>0</v>
      </c>
      <c r="U28" s="1574">
        <f t="shared" ca="1" si="12"/>
        <v>0</v>
      </c>
      <c r="V28" s="2190"/>
      <c r="W28" s="934">
        <f>IF('Estimate Summary'!$D$9&lt;2,0,$V28)</f>
        <v>0</v>
      </c>
      <c r="X28" s="934">
        <f>IF('Estimate Summary'!$D$9&lt;3,0,$V28)</f>
        <v>0</v>
      </c>
      <c r="Y28" s="934">
        <f>IF('Estimate Summary'!$D$9&lt;4,0,$V28)</f>
        <v>0</v>
      </c>
      <c r="Z28" s="934">
        <f>IF('Estimate Summary'!$D$9&lt;5,0,$V28)</f>
        <v>0</v>
      </c>
      <c r="AA28" s="955">
        <f>IF('Estimate Summary'!$D$9&lt;6,0,$V28)</f>
        <v>0</v>
      </c>
      <c r="AB28" s="1570">
        <f t="shared" si="13"/>
        <v>0</v>
      </c>
      <c r="AC28" s="1574">
        <f t="shared" ca="1" si="14"/>
        <v>0</v>
      </c>
      <c r="AD28" s="2190"/>
      <c r="AE28" s="934">
        <f>IF('Estimate Summary'!$D$9&lt;2,0,$V28)</f>
        <v>0</v>
      </c>
      <c r="AF28" s="934">
        <f>IF('Estimate Summary'!$D$9&lt;3,0,$V28)</f>
        <v>0</v>
      </c>
      <c r="AG28" s="934">
        <f>IF('Estimate Summary'!$D$9&lt;4,0,$V28)</f>
        <v>0</v>
      </c>
      <c r="AH28" s="934">
        <f>IF('Estimate Summary'!$D$9&lt;5,0,$V28)</f>
        <v>0</v>
      </c>
      <c r="AI28" s="955">
        <f>IF('Estimate Summary'!$D$9&lt;6,0,$V28)</f>
        <v>0</v>
      </c>
      <c r="AJ28" s="2185">
        <f t="shared" si="15"/>
        <v>0</v>
      </c>
      <c r="AK28" s="1571">
        <f t="shared" si="16"/>
        <v>0</v>
      </c>
      <c r="AL28" s="919">
        <f>'Estimate Detail'!H379</f>
        <v>0</v>
      </c>
      <c r="AM28" s="2189">
        <f>IF('Estimate Summary'!$D$9&lt;2,0,'Estimate Detail'!I379)</f>
        <v>0</v>
      </c>
      <c r="AN28" s="2189">
        <f>IF('Estimate Summary'!$D$9&lt;3,0,'Estimate Detail'!J379)</f>
        <v>0</v>
      </c>
      <c r="AO28" s="2189">
        <f>IF('Estimate Summary'!$D$9&lt;4,0,'Estimate Detail'!K379)</f>
        <v>0</v>
      </c>
      <c r="AP28" s="2189">
        <f>IF('Estimate Summary'!$D$9&lt;5,0,'Estimate Detail'!L379)</f>
        <v>0</v>
      </c>
      <c r="AQ28" s="955">
        <f>IF('Estimate Summary'!$D$9&lt;6,0,'Estimate Detail'!M379)</f>
        <v>0</v>
      </c>
      <c r="AS28" s="2185">
        <f t="shared" si="17"/>
        <v>0</v>
      </c>
      <c r="AT28" s="2191">
        <f t="shared" si="18"/>
        <v>0</v>
      </c>
      <c r="AU28" s="1570">
        <f>'Estimate Detail'!H387</f>
        <v>0</v>
      </c>
      <c r="AV28" s="955">
        <f>IF('Estimate Summary'!$D$9&lt;2,0,'Estimate Detail'!I387)</f>
        <v>0</v>
      </c>
      <c r="AW28" s="1566">
        <f>IF('Estimate Summary'!$D$9&lt;3,0,'Estimate Detail'!J387)</f>
        <v>0</v>
      </c>
      <c r="AX28" s="934">
        <f>IF('Estimate Summary'!$D$9&lt;4,0,'Estimate Detail'!K387)</f>
        <v>0</v>
      </c>
      <c r="AY28" s="934">
        <f>IF('Estimate Summary'!$D$9&lt;5,0,'Estimate Detail'!L387)</f>
        <v>0</v>
      </c>
      <c r="AZ28" s="955">
        <f>IF('Estimate Summary'!$D$9&lt;6,0,'Estimate Detail'!M387)</f>
        <v>0</v>
      </c>
      <c r="BB28" s="2185">
        <f t="shared" si="19"/>
        <v>0</v>
      </c>
      <c r="BC28" s="1578">
        <f t="shared" si="20"/>
        <v>0</v>
      </c>
      <c r="BD28" s="919"/>
      <c r="BE28" s="955"/>
      <c r="BF28" s="1579">
        <f>IF('Estimate Summary'!$D$9&lt;3,0,$BD28)</f>
        <v>0</v>
      </c>
      <c r="BG28" s="2189">
        <f>IF('Estimate Summary'!$D$9&lt;4,0,$BD28)</f>
        <v>0</v>
      </c>
      <c r="BH28" s="2189">
        <f>IF('Estimate Summary'!$D$9&lt;5,0,$BD28)</f>
        <v>0</v>
      </c>
      <c r="BI28" s="955">
        <f>IF('Estimate Summary'!$D$9&lt;6,0,$BD28)</f>
        <v>0</v>
      </c>
      <c r="BJ28" s="2185">
        <f t="shared" si="21"/>
        <v>0</v>
      </c>
      <c r="BK28" s="1578">
        <f t="shared" ca="1" si="22"/>
        <v>0</v>
      </c>
      <c r="BL28" s="919"/>
      <c r="BM28" s="955"/>
      <c r="BN28" s="1579">
        <f>IF('Estimate Summary'!$D$9&lt;3,0,$BD28)</f>
        <v>0</v>
      </c>
      <c r="BO28" s="934">
        <f>IF('Estimate Summary'!$D$9&lt;4,0,$BD28)</f>
        <v>0</v>
      </c>
      <c r="BP28" s="934">
        <f>IF('Estimate Summary'!$D$9&lt;5,0,$BD28)</f>
        <v>0</v>
      </c>
      <c r="BQ28" s="955">
        <f>IF('Estimate Summary'!$D$9&lt;6,0,$BD28)</f>
        <v>0</v>
      </c>
      <c r="BR28" s="2104"/>
    </row>
    <row r="29" spans="2:70" s="1554" customFormat="1" ht="14.25" hidden="1" customHeight="1" outlineLevel="1">
      <c r="B29" s="1555"/>
      <c r="C29" s="2102" t="s">
        <v>772</v>
      </c>
      <c r="D29" s="1556">
        <f t="shared" si="2"/>
        <v>0</v>
      </c>
      <c r="E29" s="1574">
        <f t="shared" si="3"/>
        <v>0</v>
      </c>
      <c r="F29" s="1558">
        <f t="shared" ref="F29:F43" si="23">N29+V29</f>
        <v>0</v>
      </c>
      <c r="G29" s="1559">
        <f t="shared" ref="G29:G43" si="24">O29+W29</f>
        <v>0</v>
      </c>
      <c r="H29" s="1560">
        <f t="shared" ref="H29:H43" si="25">P29+X29</f>
        <v>0</v>
      </c>
      <c r="I29" s="1560">
        <f t="shared" ref="I29:I43" si="26">Q29+Y29</f>
        <v>0</v>
      </c>
      <c r="J29" s="1560">
        <f t="shared" ref="J29:J43" si="27">R29+Z29</f>
        <v>0</v>
      </c>
      <c r="K29" s="1561">
        <f t="shared" ref="K29:K43" si="28">S29+AA29</f>
        <v>0</v>
      </c>
      <c r="L29" s="1556">
        <f t="shared" si="4"/>
        <v>0</v>
      </c>
      <c r="M29" s="1557">
        <f t="shared" si="5"/>
        <v>0</v>
      </c>
      <c r="N29" s="1558">
        <f>AL29+AU29+BD29</f>
        <v>0</v>
      </c>
      <c r="O29" s="1559">
        <f t="shared" si="6"/>
        <v>0</v>
      </c>
      <c r="P29" s="1560">
        <f t="shared" si="7"/>
        <v>0</v>
      </c>
      <c r="Q29" s="1560">
        <f t="shared" si="8"/>
        <v>0</v>
      </c>
      <c r="R29" s="1560">
        <f t="shared" si="9"/>
        <v>0</v>
      </c>
      <c r="S29" s="1561">
        <f t="shared" si="10"/>
        <v>0</v>
      </c>
      <c r="T29" s="1556">
        <f t="shared" si="11"/>
        <v>0</v>
      </c>
      <c r="U29" s="1557">
        <f t="shared" ca="1" si="12"/>
        <v>0</v>
      </c>
      <c r="V29" s="1558"/>
      <c r="W29" s="1560"/>
      <c r="X29" s="1560"/>
      <c r="Y29" s="1560"/>
      <c r="Z29" s="1560"/>
      <c r="AA29" s="1561"/>
      <c r="AB29" s="1556">
        <f t="shared" si="13"/>
        <v>0</v>
      </c>
      <c r="AC29" s="1557">
        <f t="shared" ca="1" si="14"/>
        <v>0</v>
      </c>
      <c r="AD29" s="1558"/>
      <c r="AE29" s="1560"/>
      <c r="AF29" s="1560"/>
      <c r="AG29" s="1560"/>
      <c r="AH29" s="1560"/>
      <c r="AI29" s="1561"/>
      <c r="AJ29" s="1562">
        <f t="shared" si="15"/>
        <v>0</v>
      </c>
      <c r="AK29" s="1557">
        <f t="shared" si="16"/>
        <v>0</v>
      </c>
      <c r="AL29" s="1563">
        <f>'Estimate Detail'!H380</f>
        <v>0</v>
      </c>
      <c r="AM29" s="1560">
        <f>IF('Estimate Summary'!$D$9&lt;2,0,'Estimate Detail'!I380)</f>
        <v>0</v>
      </c>
      <c r="AN29" s="1560">
        <f>IF('Estimate Summary'!$D$9&lt;3,0,'Estimate Detail'!J380)</f>
        <v>0</v>
      </c>
      <c r="AO29" s="1560">
        <f>IF('Estimate Summary'!$D$9&lt;4,0,'Estimate Detail'!K380)</f>
        <v>0</v>
      </c>
      <c r="AP29" s="1560">
        <f>IF('Estimate Summary'!$D$9&lt;5,0,'Estimate Detail'!L380)</f>
        <v>0</v>
      </c>
      <c r="AQ29" s="1561">
        <f>IF('Estimate Summary'!$D$9&lt;6,0,'Estimate Detail'!M380)</f>
        <v>0</v>
      </c>
      <c r="AS29" s="1562">
        <f t="shared" si="17"/>
        <v>0</v>
      </c>
      <c r="AT29" s="1557">
        <f t="shared" si="18"/>
        <v>0</v>
      </c>
      <c r="AU29" s="1556"/>
      <c r="AV29" s="1561"/>
      <c r="AW29" s="1996"/>
      <c r="AX29" s="1560"/>
      <c r="AY29" s="1560"/>
      <c r="AZ29" s="1561"/>
      <c r="BB29" s="1562">
        <f t="shared" si="19"/>
        <v>0</v>
      </c>
      <c r="BC29" s="1564">
        <f t="shared" si="20"/>
        <v>0</v>
      </c>
      <c r="BD29" s="1563"/>
      <c r="BE29" s="1561"/>
      <c r="BF29" s="1565"/>
      <c r="BG29" s="1560"/>
      <c r="BH29" s="1560"/>
      <c r="BI29" s="1561"/>
      <c r="BJ29" s="1562">
        <f t="shared" si="21"/>
        <v>0</v>
      </c>
      <c r="BK29" s="1564">
        <f t="shared" ca="1" si="22"/>
        <v>0</v>
      </c>
      <c r="BL29" s="1563"/>
      <c r="BM29" s="1561"/>
      <c r="BN29" s="1565"/>
      <c r="BO29" s="1560"/>
      <c r="BP29" s="1560"/>
      <c r="BQ29" s="1561"/>
      <c r="BR29" s="2103"/>
    </row>
    <row r="30" spans="2:70" s="1554" customFormat="1" ht="14.25" hidden="1" customHeight="1" outlineLevel="1">
      <c r="B30" s="1555"/>
      <c r="C30" s="2102" t="s">
        <v>773</v>
      </c>
      <c r="D30" s="1556">
        <f t="shared" si="2"/>
        <v>0</v>
      </c>
      <c r="E30" s="1574">
        <f t="shared" si="3"/>
        <v>0</v>
      </c>
      <c r="F30" s="1558">
        <f t="shared" si="23"/>
        <v>0</v>
      </c>
      <c r="G30" s="1559">
        <f t="shared" si="24"/>
        <v>0</v>
      </c>
      <c r="H30" s="1560">
        <f t="shared" si="25"/>
        <v>0</v>
      </c>
      <c r="I30" s="1560">
        <f t="shared" si="26"/>
        <v>0</v>
      </c>
      <c r="J30" s="1560">
        <f t="shared" si="27"/>
        <v>0</v>
      </c>
      <c r="K30" s="1561">
        <f t="shared" si="28"/>
        <v>0</v>
      </c>
      <c r="L30" s="1556">
        <f t="shared" si="4"/>
        <v>0</v>
      </c>
      <c r="M30" s="1557">
        <f t="shared" si="5"/>
        <v>0</v>
      </c>
      <c r="N30" s="1558">
        <f t="shared" ref="N30:N43" si="29">AL30+AU30+BD30</f>
        <v>0</v>
      </c>
      <c r="O30" s="1559">
        <f t="shared" si="6"/>
        <v>0</v>
      </c>
      <c r="P30" s="1560">
        <f t="shared" si="7"/>
        <v>0</v>
      </c>
      <c r="Q30" s="1560">
        <f t="shared" si="8"/>
        <v>0</v>
      </c>
      <c r="R30" s="1560">
        <f t="shared" si="9"/>
        <v>0</v>
      </c>
      <c r="S30" s="1561">
        <f t="shared" si="10"/>
        <v>0</v>
      </c>
      <c r="T30" s="1556">
        <f t="shared" si="11"/>
        <v>0</v>
      </c>
      <c r="U30" s="1557">
        <f t="shared" ca="1" si="12"/>
        <v>0</v>
      </c>
      <c r="V30" s="1558"/>
      <c r="W30" s="1560"/>
      <c r="X30" s="1560"/>
      <c r="Y30" s="1560"/>
      <c r="Z30" s="1560"/>
      <c r="AA30" s="1561"/>
      <c r="AB30" s="1556">
        <f t="shared" si="13"/>
        <v>0</v>
      </c>
      <c r="AC30" s="1557">
        <f t="shared" ca="1" si="14"/>
        <v>0</v>
      </c>
      <c r="AD30" s="1558"/>
      <c r="AE30" s="1560"/>
      <c r="AF30" s="1560"/>
      <c r="AG30" s="1560"/>
      <c r="AH30" s="1560"/>
      <c r="AI30" s="1561"/>
      <c r="AJ30" s="1562">
        <f t="shared" si="15"/>
        <v>0</v>
      </c>
      <c r="AK30" s="1557">
        <f t="shared" si="16"/>
        <v>0</v>
      </c>
      <c r="AL30" s="1563">
        <f>'Estimate Detail'!H381</f>
        <v>0</v>
      </c>
      <c r="AM30" s="1560">
        <f>IF('Estimate Summary'!$D$9&lt;2,0,'Estimate Detail'!I381)</f>
        <v>0</v>
      </c>
      <c r="AN30" s="1560">
        <f>IF('Estimate Summary'!$D$9&lt;3,0,'Estimate Detail'!J381)</f>
        <v>0</v>
      </c>
      <c r="AO30" s="1560">
        <f>IF('Estimate Summary'!$D$9&lt;4,0,'Estimate Detail'!K381)</f>
        <v>0</v>
      </c>
      <c r="AP30" s="1560">
        <f>IF('Estimate Summary'!$D$9&lt;5,0,'Estimate Detail'!L381)</f>
        <v>0</v>
      </c>
      <c r="AQ30" s="1561">
        <f>IF('Estimate Summary'!$D$9&lt;6,0,'Estimate Detail'!M381)</f>
        <v>0</v>
      </c>
      <c r="AS30" s="1562">
        <f t="shared" si="17"/>
        <v>0</v>
      </c>
      <c r="AT30" s="1557">
        <f t="shared" si="18"/>
        <v>0</v>
      </c>
      <c r="AU30" s="1556"/>
      <c r="AV30" s="1561"/>
      <c r="AW30" s="1996"/>
      <c r="AX30" s="1560"/>
      <c r="AY30" s="1560"/>
      <c r="AZ30" s="1561"/>
      <c r="BB30" s="1562">
        <f t="shared" si="19"/>
        <v>0</v>
      </c>
      <c r="BC30" s="1564">
        <f t="shared" si="20"/>
        <v>0</v>
      </c>
      <c r="BD30" s="1563"/>
      <c r="BE30" s="1561"/>
      <c r="BF30" s="1565"/>
      <c r="BG30" s="1560"/>
      <c r="BH30" s="1560"/>
      <c r="BI30" s="1561"/>
      <c r="BJ30" s="1562">
        <f t="shared" si="21"/>
        <v>0</v>
      </c>
      <c r="BK30" s="1564">
        <f t="shared" ca="1" si="22"/>
        <v>0</v>
      </c>
      <c r="BL30" s="1563"/>
      <c r="BM30" s="1561"/>
      <c r="BN30" s="1565"/>
      <c r="BO30" s="1560"/>
      <c r="BP30" s="1560"/>
      <c r="BQ30" s="1561"/>
      <c r="BR30" s="2103"/>
    </row>
    <row r="31" spans="2:70" s="1554" customFormat="1" ht="14.25" hidden="1" customHeight="1" outlineLevel="1">
      <c r="B31" s="1555"/>
      <c r="C31" s="2102" t="s">
        <v>420</v>
      </c>
      <c r="D31" s="1556">
        <f t="shared" si="2"/>
        <v>0</v>
      </c>
      <c r="E31" s="1574">
        <f t="shared" si="3"/>
        <v>0</v>
      </c>
      <c r="F31" s="1558">
        <f t="shared" si="23"/>
        <v>0</v>
      </c>
      <c r="G31" s="1559">
        <f t="shared" si="24"/>
        <v>0</v>
      </c>
      <c r="H31" s="1560">
        <f t="shared" si="25"/>
        <v>0</v>
      </c>
      <c r="I31" s="1560">
        <f t="shared" si="26"/>
        <v>0</v>
      </c>
      <c r="J31" s="1560">
        <f t="shared" si="27"/>
        <v>0</v>
      </c>
      <c r="K31" s="1561">
        <f t="shared" si="28"/>
        <v>0</v>
      </c>
      <c r="L31" s="1556">
        <f t="shared" si="4"/>
        <v>0</v>
      </c>
      <c r="M31" s="1557">
        <f t="shared" si="5"/>
        <v>0</v>
      </c>
      <c r="N31" s="1558">
        <f t="shared" si="29"/>
        <v>0</v>
      </c>
      <c r="O31" s="1559">
        <f t="shared" si="6"/>
        <v>0</v>
      </c>
      <c r="P31" s="1560">
        <f t="shared" si="7"/>
        <v>0</v>
      </c>
      <c r="Q31" s="1560">
        <f t="shared" si="8"/>
        <v>0</v>
      </c>
      <c r="R31" s="1560">
        <f t="shared" si="9"/>
        <v>0</v>
      </c>
      <c r="S31" s="1561">
        <f t="shared" si="10"/>
        <v>0</v>
      </c>
      <c r="T31" s="1556">
        <f t="shared" si="11"/>
        <v>0</v>
      </c>
      <c r="U31" s="1557">
        <f t="shared" ca="1" si="12"/>
        <v>0</v>
      </c>
      <c r="V31" s="1558"/>
      <c r="W31" s="1560"/>
      <c r="X31" s="1560"/>
      <c r="Y31" s="1560"/>
      <c r="Z31" s="1560"/>
      <c r="AA31" s="1561"/>
      <c r="AB31" s="1556">
        <f t="shared" si="13"/>
        <v>0</v>
      </c>
      <c r="AC31" s="1557">
        <f t="shared" ca="1" si="14"/>
        <v>0</v>
      </c>
      <c r="AD31" s="1558"/>
      <c r="AE31" s="1560"/>
      <c r="AF31" s="1560"/>
      <c r="AG31" s="1560"/>
      <c r="AH31" s="1560"/>
      <c r="AI31" s="1561"/>
      <c r="AJ31" s="1562">
        <f t="shared" si="15"/>
        <v>0</v>
      </c>
      <c r="AK31" s="1557">
        <f t="shared" si="16"/>
        <v>0</v>
      </c>
      <c r="AL31" s="1563">
        <f>'Estimate Detail'!H382</f>
        <v>0</v>
      </c>
      <c r="AM31" s="1560">
        <f>IF('Estimate Summary'!$D$9&lt;2,0,'Estimate Detail'!I382)</f>
        <v>0</v>
      </c>
      <c r="AN31" s="1560">
        <f>IF('Estimate Summary'!$D$9&lt;3,0,'Estimate Detail'!J382)</f>
        <v>0</v>
      </c>
      <c r="AO31" s="1560">
        <f>IF('Estimate Summary'!$D$9&lt;4,0,'Estimate Detail'!K382)</f>
        <v>0</v>
      </c>
      <c r="AP31" s="1560">
        <f>IF('Estimate Summary'!$D$9&lt;5,0,'Estimate Detail'!L382)</f>
        <v>0</v>
      </c>
      <c r="AQ31" s="1561">
        <f>IF('Estimate Summary'!$D$9&lt;6,0,'Estimate Detail'!M382)</f>
        <v>0</v>
      </c>
      <c r="AS31" s="1562">
        <f t="shared" si="17"/>
        <v>0</v>
      </c>
      <c r="AT31" s="1557">
        <f t="shared" si="18"/>
        <v>0</v>
      </c>
      <c r="AU31" s="1556"/>
      <c r="AV31" s="1561"/>
      <c r="AW31" s="1996"/>
      <c r="AX31" s="1560"/>
      <c r="AY31" s="1560"/>
      <c r="AZ31" s="1561"/>
      <c r="BB31" s="1562">
        <f t="shared" si="19"/>
        <v>0</v>
      </c>
      <c r="BC31" s="1564">
        <f t="shared" si="20"/>
        <v>0</v>
      </c>
      <c r="BD31" s="1563"/>
      <c r="BE31" s="1561"/>
      <c r="BF31" s="1565"/>
      <c r="BG31" s="1560"/>
      <c r="BH31" s="1560"/>
      <c r="BI31" s="1561"/>
      <c r="BJ31" s="1562">
        <f t="shared" si="21"/>
        <v>0</v>
      </c>
      <c r="BK31" s="1564">
        <f t="shared" ca="1" si="22"/>
        <v>0</v>
      </c>
      <c r="BL31" s="1563"/>
      <c r="BM31" s="1561"/>
      <c r="BN31" s="1565"/>
      <c r="BO31" s="1560"/>
      <c r="BP31" s="1560"/>
      <c r="BQ31" s="1561"/>
      <c r="BR31" s="2103"/>
    </row>
    <row r="32" spans="2:70" s="1554" customFormat="1" ht="14.25" hidden="1" customHeight="1" outlineLevel="1">
      <c r="B32" s="1555"/>
      <c r="C32" s="2102" t="s">
        <v>774</v>
      </c>
      <c r="D32" s="1556">
        <f t="shared" si="2"/>
        <v>0</v>
      </c>
      <c r="E32" s="1574">
        <f t="shared" si="3"/>
        <v>0</v>
      </c>
      <c r="F32" s="1558">
        <f t="shared" si="23"/>
        <v>0</v>
      </c>
      <c r="G32" s="1559">
        <f t="shared" si="24"/>
        <v>0</v>
      </c>
      <c r="H32" s="1560">
        <f t="shared" si="25"/>
        <v>0</v>
      </c>
      <c r="I32" s="1560">
        <f t="shared" si="26"/>
        <v>0</v>
      </c>
      <c r="J32" s="1560">
        <f t="shared" si="27"/>
        <v>0</v>
      </c>
      <c r="K32" s="1561">
        <f t="shared" si="28"/>
        <v>0</v>
      </c>
      <c r="L32" s="1556">
        <f t="shared" si="4"/>
        <v>0</v>
      </c>
      <c r="M32" s="1557">
        <f t="shared" si="5"/>
        <v>0</v>
      </c>
      <c r="N32" s="1558">
        <f t="shared" si="29"/>
        <v>0</v>
      </c>
      <c r="O32" s="1559">
        <f t="shared" si="6"/>
        <v>0</v>
      </c>
      <c r="P32" s="1560">
        <f t="shared" si="7"/>
        <v>0</v>
      </c>
      <c r="Q32" s="1560">
        <f t="shared" si="8"/>
        <v>0</v>
      </c>
      <c r="R32" s="1560">
        <f t="shared" si="9"/>
        <v>0</v>
      </c>
      <c r="S32" s="1561">
        <f t="shared" si="10"/>
        <v>0</v>
      </c>
      <c r="T32" s="1556">
        <f t="shared" si="11"/>
        <v>0</v>
      </c>
      <c r="U32" s="1557">
        <f t="shared" ca="1" si="12"/>
        <v>0</v>
      </c>
      <c r="V32" s="1558"/>
      <c r="W32" s="1560"/>
      <c r="X32" s="1560"/>
      <c r="Y32" s="1560"/>
      <c r="Z32" s="1560"/>
      <c r="AA32" s="1561"/>
      <c r="AB32" s="1556">
        <f t="shared" si="13"/>
        <v>0</v>
      </c>
      <c r="AC32" s="1557">
        <f t="shared" ca="1" si="14"/>
        <v>0</v>
      </c>
      <c r="AD32" s="1558"/>
      <c r="AE32" s="1560"/>
      <c r="AF32" s="1560"/>
      <c r="AG32" s="1560"/>
      <c r="AH32" s="1560"/>
      <c r="AI32" s="1561"/>
      <c r="AJ32" s="1562">
        <f t="shared" si="15"/>
        <v>0</v>
      </c>
      <c r="AK32" s="1557">
        <f t="shared" si="16"/>
        <v>0</v>
      </c>
      <c r="AL32" s="1563">
        <f>'Estimate Detail'!H383</f>
        <v>0</v>
      </c>
      <c r="AM32" s="1560">
        <f>IF('Estimate Summary'!$D$9&lt;2,0,'Estimate Detail'!I383)</f>
        <v>0</v>
      </c>
      <c r="AN32" s="1560">
        <f>IF('Estimate Summary'!$D$9&lt;3,0,'Estimate Detail'!J383)</f>
        <v>0</v>
      </c>
      <c r="AO32" s="1560">
        <f>IF('Estimate Summary'!$D$9&lt;4,0,'Estimate Detail'!K383)</f>
        <v>0</v>
      </c>
      <c r="AP32" s="1560">
        <f>IF('Estimate Summary'!$D$9&lt;5,0,'Estimate Detail'!L383)</f>
        <v>0</v>
      </c>
      <c r="AQ32" s="1561">
        <f>IF('Estimate Summary'!$D$9&lt;6,0,'Estimate Detail'!M383)</f>
        <v>0</v>
      </c>
      <c r="AS32" s="1562">
        <f t="shared" si="17"/>
        <v>0</v>
      </c>
      <c r="AT32" s="1557">
        <f t="shared" si="18"/>
        <v>0</v>
      </c>
      <c r="AU32" s="1556"/>
      <c r="AV32" s="1561"/>
      <c r="AW32" s="1996"/>
      <c r="AX32" s="1560"/>
      <c r="AY32" s="1560"/>
      <c r="AZ32" s="1561"/>
      <c r="BB32" s="1562">
        <f t="shared" si="19"/>
        <v>0</v>
      </c>
      <c r="BC32" s="1564">
        <f t="shared" si="20"/>
        <v>0</v>
      </c>
      <c r="BD32" s="1563"/>
      <c r="BE32" s="1561"/>
      <c r="BF32" s="1565"/>
      <c r="BG32" s="1560"/>
      <c r="BH32" s="1560"/>
      <c r="BI32" s="1561"/>
      <c r="BJ32" s="1562">
        <f t="shared" si="21"/>
        <v>0</v>
      </c>
      <c r="BK32" s="1564">
        <f t="shared" ca="1" si="22"/>
        <v>0</v>
      </c>
      <c r="BL32" s="1563"/>
      <c r="BM32" s="1561"/>
      <c r="BN32" s="1565"/>
      <c r="BO32" s="1560"/>
      <c r="BP32" s="1560"/>
      <c r="BQ32" s="1561"/>
      <c r="BR32" s="2103"/>
    </row>
    <row r="33" spans="2:72" s="1554" customFormat="1" ht="14.25" hidden="1" customHeight="1" outlineLevel="1">
      <c r="B33" s="1555"/>
      <c r="C33" s="2102" t="s">
        <v>300</v>
      </c>
      <c r="D33" s="1556">
        <f t="shared" si="2"/>
        <v>0</v>
      </c>
      <c r="E33" s="1574">
        <f t="shared" si="3"/>
        <v>0</v>
      </c>
      <c r="F33" s="1558">
        <f t="shared" si="23"/>
        <v>0</v>
      </c>
      <c r="G33" s="1559">
        <f t="shared" si="24"/>
        <v>0</v>
      </c>
      <c r="H33" s="1560">
        <f t="shared" si="25"/>
        <v>0</v>
      </c>
      <c r="I33" s="1560">
        <f t="shared" si="26"/>
        <v>0</v>
      </c>
      <c r="J33" s="1560">
        <f t="shared" si="27"/>
        <v>0</v>
      </c>
      <c r="K33" s="1561">
        <f t="shared" si="28"/>
        <v>0</v>
      </c>
      <c r="L33" s="1556">
        <f t="shared" si="4"/>
        <v>0</v>
      </c>
      <c r="M33" s="1557">
        <f t="shared" si="5"/>
        <v>0</v>
      </c>
      <c r="N33" s="1558">
        <f t="shared" si="29"/>
        <v>0</v>
      </c>
      <c r="O33" s="1559">
        <f t="shared" si="6"/>
        <v>0</v>
      </c>
      <c r="P33" s="1560">
        <f t="shared" si="7"/>
        <v>0</v>
      </c>
      <c r="Q33" s="1560">
        <f t="shared" si="8"/>
        <v>0</v>
      </c>
      <c r="R33" s="1560">
        <f t="shared" si="9"/>
        <v>0</v>
      </c>
      <c r="S33" s="1561">
        <f t="shared" si="10"/>
        <v>0</v>
      </c>
      <c r="T33" s="1556">
        <f t="shared" si="11"/>
        <v>0</v>
      </c>
      <c r="U33" s="1557">
        <f t="shared" ca="1" si="12"/>
        <v>0</v>
      </c>
      <c r="V33" s="1558"/>
      <c r="W33" s="1560"/>
      <c r="X33" s="1560"/>
      <c r="Y33" s="1560"/>
      <c r="Z33" s="1560"/>
      <c r="AA33" s="1561"/>
      <c r="AB33" s="1556">
        <f t="shared" si="13"/>
        <v>0</v>
      </c>
      <c r="AC33" s="1557">
        <f t="shared" ca="1" si="14"/>
        <v>0</v>
      </c>
      <c r="AD33" s="1558"/>
      <c r="AE33" s="1560"/>
      <c r="AF33" s="1560"/>
      <c r="AG33" s="1560"/>
      <c r="AH33" s="1560"/>
      <c r="AI33" s="1561"/>
      <c r="AJ33" s="1562">
        <f t="shared" si="15"/>
        <v>0</v>
      </c>
      <c r="AK33" s="1557">
        <f t="shared" si="16"/>
        <v>0</v>
      </c>
      <c r="AL33" s="1563">
        <f>'Estimate Detail'!H384</f>
        <v>0</v>
      </c>
      <c r="AM33" s="1560">
        <f>IF('Estimate Summary'!$D$9&lt;2,0,'Estimate Detail'!I384)</f>
        <v>0</v>
      </c>
      <c r="AN33" s="1560">
        <f>IF('Estimate Summary'!$D$9&lt;3,0,'Estimate Detail'!J384)</f>
        <v>0</v>
      </c>
      <c r="AO33" s="1560">
        <f>IF('Estimate Summary'!$D$9&lt;4,0,'Estimate Detail'!K384)</f>
        <v>0</v>
      </c>
      <c r="AP33" s="1560">
        <f>IF('Estimate Summary'!$D$9&lt;5,0,'Estimate Detail'!L384)</f>
        <v>0</v>
      </c>
      <c r="AQ33" s="1561">
        <f>IF('Estimate Summary'!$D$9&lt;6,0,'Estimate Detail'!M384)</f>
        <v>0</v>
      </c>
      <c r="AS33" s="1562">
        <f t="shared" si="17"/>
        <v>0</v>
      </c>
      <c r="AT33" s="1557">
        <f t="shared" si="18"/>
        <v>0</v>
      </c>
      <c r="AU33" s="1556"/>
      <c r="AV33" s="1561"/>
      <c r="AW33" s="1996"/>
      <c r="AX33" s="1560"/>
      <c r="AY33" s="1560"/>
      <c r="AZ33" s="1561"/>
      <c r="BB33" s="1562">
        <f t="shared" si="19"/>
        <v>0</v>
      </c>
      <c r="BC33" s="1564">
        <f t="shared" si="20"/>
        <v>0</v>
      </c>
      <c r="BD33" s="1563"/>
      <c r="BE33" s="1561"/>
      <c r="BF33" s="1565"/>
      <c r="BG33" s="1560"/>
      <c r="BH33" s="1560"/>
      <c r="BI33" s="1561"/>
      <c r="BJ33" s="1562">
        <f t="shared" si="21"/>
        <v>0</v>
      </c>
      <c r="BK33" s="1564">
        <f t="shared" ca="1" si="22"/>
        <v>0</v>
      </c>
      <c r="BL33" s="1563"/>
      <c r="BM33" s="1561"/>
      <c r="BN33" s="1565"/>
      <c r="BO33" s="1560"/>
      <c r="BP33" s="1560"/>
      <c r="BQ33" s="1561"/>
      <c r="BR33" s="2103"/>
    </row>
    <row r="34" spans="2:72" s="1554" customFormat="1" ht="14.25" hidden="1" customHeight="1" outlineLevel="1">
      <c r="B34" s="1555"/>
      <c r="C34" s="2102" t="s">
        <v>775</v>
      </c>
      <c r="D34" s="1556">
        <f t="shared" si="2"/>
        <v>0</v>
      </c>
      <c r="E34" s="1574">
        <f t="shared" si="3"/>
        <v>0</v>
      </c>
      <c r="F34" s="1558">
        <f t="shared" si="23"/>
        <v>0</v>
      </c>
      <c r="G34" s="1559">
        <f t="shared" si="24"/>
        <v>0</v>
      </c>
      <c r="H34" s="1560">
        <f t="shared" si="25"/>
        <v>0</v>
      </c>
      <c r="I34" s="1560">
        <f t="shared" si="26"/>
        <v>0</v>
      </c>
      <c r="J34" s="1560">
        <f t="shared" si="27"/>
        <v>0</v>
      </c>
      <c r="K34" s="1561">
        <f t="shared" si="28"/>
        <v>0</v>
      </c>
      <c r="L34" s="1556">
        <f t="shared" si="4"/>
        <v>0</v>
      </c>
      <c r="M34" s="1557">
        <f t="shared" si="5"/>
        <v>0</v>
      </c>
      <c r="N34" s="1558">
        <f t="shared" si="29"/>
        <v>0</v>
      </c>
      <c r="O34" s="1559">
        <f t="shared" si="6"/>
        <v>0</v>
      </c>
      <c r="P34" s="1560">
        <f t="shared" si="7"/>
        <v>0</v>
      </c>
      <c r="Q34" s="1560">
        <f t="shared" si="8"/>
        <v>0</v>
      </c>
      <c r="R34" s="1560">
        <f t="shared" si="9"/>
        <v>0</v>
      </c>
      <c r="S34" s="1561">
        <f t="shared" si="10"/>
        <v>0</v>
      </c>
      <c r="T34" s="1556">
        <f t="shared" si="11"/>
        <v>0</v>
      </c>
      <c r="U34" s="1557">
        <f t="shared" ca="1" si="12"/>
        <v>0</v>
      </c>
      <c r="V34" s="1558"/>
      <c r="W34" s="1560"/>
      <c r="X34" s="1560"/>
      <c r="Y34" s="1560"/>
      <c r="Z34" s="1560"/>
      <c r="AA34" s="1561"/>
      <c r="AB34" s="1556">
        <f t="shared" si="13"/>
        <v>0</v>
      </c>
      <c r="AC34" s="1557">
        <f t="shared" ca="1" si="14"/>
        <v>0</v>
      </c>
      <c r="AD34" s="1558"/>
      <c r="AE34" s="1560"/>
      <c r="AF34" s="1560"/>
      <c r="AG34" s="1560"/>
      <c r="AH34" s="1560"/>
      <c r="AI34" s="1561"/>
      <c r="AJ34" s="1562">
        <f t="shared" si="15"/>
        <v>0</v>
      </c>
      <c r="AK34" s="1557">
        <f t="shared" si="16"/>
        <v>0</v>
      </c>
      <c r="AL34" s="1563">
        <f>'Estimate Detail'!H385</f>
        <v>0</v>
      </c>
      <c r="AM34" s="1560">
        <f>IF('Estimate Summary'!$D$9&lt;2,0,'Estimate Detail'!I385)</f>
        <v>0</v>
      </c>
      <c r="AN34" s="1560">
        <f>IF('Estimate Summary'!$D$9&lt;3,0,'Estimate Detail'!J385)</f>
        <v>0</v>
      </c>
      <c r="AO34" s="1560">
        <f>IF('Estimate Summary'!$D$9&lt;4,0,'Estimate Detail'!K385)</f>
        <v>0</v>
      </c>
      <c r="AP34" s="1560">
        <f>IF('Estimate Summary'!$D$9&lt;5,0,'Estimate Detail'!L385)</f>
        <v>0</v>
      </c>
      <c r="AQ34" s="1561">
        <f>IF('Estimate Summary'!$D$9&lt;6,0,'Estimate Detail'!M385)</f>
        <v>0</v>
      </c>
      <c r="AS34" s="1562">
        <f t="shared" si="17"/>
        <v>0</v>
      </c>
      <c r="AT34" s="1557">
        <f t="shared" si="18"/>
        <v>0</v>
      </c>
      <c r="AU34" s="1556"/>
      <c r="AV34" s="1561"/>
      <c r="AW34" s="1996"/>
      <c r="AX34" s="1560"/>
      <c r="AY34" s="1560"/>
      <c r="AZ34" s="1561"/>
      <c r="BB34" s="1562">
        <f t="shared" si="19"/>
        <v>0</v>
      </c>
      <c r="BC34" s="1564">
        <f t="shared" si="20"/>
        <v>0</v>
      </c>
      <c r="BD34" s="1563"/>
      <c r="BE34" s="1561"/>
      <c r="BF34" s="1565"/>
      <c r="BG34" s="1560"/>
      <c r="BH34" s="1560"/>
      <c r="BI34" s="1561"/>
      <c r="BJ34" s="1562">
        <f t="shared" si="21"/>
        <v>0</v>
      </c>
      <c r="BK34" s="1564">
        <f t="shared" ca="1" si="22"/>
        <v>0</v>
      </c>
      <c r="BL34" s="1563"/>
      <c r="BM34" s="1561"/>
      <c r="BN34" s="1565"/>
      <c r="BO34" s="1560"/>
      <c r="BP34" s="1560"/>
      <c r="BQ34" s="1561"/>
      <c r="BR34" s="2103"/>
    </row>
    <row r="35" spans="2:72" s="1554" customFormat="1" ht="14.25" hidden="1" customHeight="1" outlineLevel="1">
      <c r="B35" s="1555"/>
      <c r="C35" s="2102" t="s">
        <v>581</v>
      </c>
      <c r="D35" s="1556">
        <f t="shared" si="2"/>
        <v>0</v>
      </c>
      <c r="E35" s="1574">
        <f t="shared" si="3"/>
        <v>0</v>
      </c>
      <c r="F35" s="1558">
        <f t="shared" ref="F35:K35" si="30">N35+V35</f>
        <v>0</v>
      </c>
      <c r="G35" s="1559">
        <f t="shared" si="30"/>
        <v>0</v>
      </c>
      <c r="H35" s="1560">
        <f t="shared" si="30"/>
        <v>0</v>
      </c>
      <c r="I35" s="1560">
        <f t="shared" si="30"/>
        <v>0</v>
      </c>
      <c r="J35" s="1560">
        <f t="shared" si="30"/>
        <v>0</v>
      </c>
      <c r="K35" s="1561">
        <f t="shared" si="30"/>
        <v>0</v>
      </c>
      <c r="L35" s="1556">
        <f>SUM(N35:S35)</f>
        <v>0</v>
      </c>
      <c r="M35" s="1557">
        <f t="shared" si="5"/>
        <v>0</v>
      </c>
      <c r="N35" s="1558">
        <f t="shared" ref="N35:S35" si="31">AL35+AU35+BD35</f>
        <v>0</v>
      </c>
      <c r="O35" s="1559">
        <f t="shared" si="31"/>
        <v>0</v>
      </c>
      <c r="P35" s="1560">
        <f t="shared" si="31"/>
        <v>0</v>
      </c>
      <c r="Q35" s="1560">
        <f t="shared" si="31"/>
        <v>0</v>
      </c>
      <c r="R35" s="1560">
        <f t="shared" si="31"/>
        <v>0</v>
      </c>
      <c r="S35" s="1561">
        <f t="shared" si="31"/>
        <v>0</v>
      </c>
      <c r="T35" s="1556">
        <f t="shared" si="11"/>
        <v>0</v>
      </c>
      <c r="U35" s="1557">
        <f t="shared" ca="1" si="12"/>
        <v>0</v>
      </c>
      <c r="V35" s="1558"/>
      <c r="W35" s="1560"/>
      <c r="X35" s="1560"/>
      <c r="Y35" s="1560"/>
      <c r="Z35" s="1560"/>
      <c r="AA35" s="1561"/>
      <c r="AB35" s="1556">
        <f t="shared" si="13"/>
        <v>0</v>
      </c>
      <c r="AC35" s="1557">
        <f t="shared" ca="1" si="14"/>
        <v>0</v>
      </c>
      <c r="AD35" s="1558"/>
      <c r="AE35" s="1560"/>
      <c r="AF35" s="1560"/>
      <c r="AG35" s="1560"/>
      <c r="AH35" s="1560"/>
      <c r="AI35" s="1561"/>
      <c r="AJ35" s="1562">
        <f t="shared" si="15"/>
        <v>0</v>
      </c>
      <c r="AK35" s="1557">
        <f t="shared" si="16"/>
        <v>0</v>
      </c>
      <c r="AL35" s="1563"/>
      <c r="AM35" s="1560"/>
      <c r="AN35" s="1560"/>
      <c r="AO35" s="1560"/>
      <c r="AP35" s="1560"/>
      <c r="AQ35" s="1561"/>
      <c r="AS35" s="1562">
        <f t="shared" si="17"/>
        <v>0</v>
      </c>
      <c r="AT35" s="1557">
        <f t="shared" si="18"/>
        <v>0</v>
      </c>
      <c r="AU35" s="1563">
        <f>'Estimate Detail'!H387</f>
        <v>0</v>
      </c>
      <c r="AV35" s="1561">
        <f>IF('Estimate Summary'!$D$9&lt;2,0,'Estimate Detail'!I387)</f>
        <v>0</v>
      </c>
      <c r="AW35" s="1565">
        <f>IF('Estimate Summary'!$D$9&lt;3,0,'Estimate Detail'!J387)</f>
        <v>0</v>
      </c>
      <c r="AX35" s="1560">
        <f>IF('Estimate Summary'!$D$9&lt;4,0,'Estimate Detail'!K387)</f>
        <v>0</v>
      </c>
      <c r="AY35" s="1560">
        <f>IF('Estimate Summary'!$D$9&lt;5,0,'Estimate Detail'!L387)</f>
        <v>0</v>
      </c>
      <c r="AZ35" s="1561">
        <f>IF('Estimate Summary'!$D$9&lt;6,0,'Estimate Detail'!M387)</f>
        <v>0</v>
      </c>
      <c r="BB35" s="1562">
        <f t="shared" si="19"/>
        <v>0</v>
      </c>
      <c r="BC35" s="1564">
        <f t="shared" si="20"/>
        <v>0</v>
      </c>
      <c r="BD35" s="1563"/>
      <c r="BE35" s="1561"/>
      <c r="BF35" s="1565"/>
      <c r="BG35" s="1560"/>
      <c r="BH35" s="1560"/>
      <c r="BI35" s="1561"/>
      <c r="BJ35" s="1562">
        <f t="shared" si="21"/>
        <v>0</v>
      </c>
      <c r="BK35" s="1564">
        <f t="shared" ca="1" si="22"/>
        <v>0</v>
      </c>
      <c r="BL35" s="1563"/>
      <c r="BM35" s="1561"/>
      <c r="BN35" s="1565"/>
      <c r="BO35" s="1560"/>
      <c r="BP35" s="1560"/>
      <c r="BQ35" s="1561"/>
      <c r="BR35" s="2103"/>
    </row>
    <row r="36" spans="2:72" s="1554" customFormat="1" ht="14.25" hidden="1" customHeight="1" outlineLevel="1">
      <c r="B36" s="1555"/>
      <c r="C36" s="2102" t="s">
        <v>639</v>
      </c>
      <c r="D36" s="1556">
        <f t="shared" si="2"/>
        <v>0</v>
      </c>
      <c r="E36" s="1574">
        <f t="shared" si="3"/>
        <v>0</v>
      </c>
      <c r="F36" s="1558">
        <f t="shared" si="23"/>
        <v>0</v>
      </c>
      <c r="G36" s="1559">
        <f t="shared" si="24"/>
        <v>0</v>
      </c>
      <c r="H36" s="1560">
        <f t="shared" si="25"/>
        <v>0</v>
      </c>
      <c r="I36" s="1560">
        <f t="shared" si="26"/>
        <v>0</v>
      </c>
      <c r="J36" s="1560">
        <f t="shared" si="27"/>
        <v>0</v>
      </c>
      <c r="K36" s="1561">
        <f t="shared" si="28"/>
        <v>0</v>
      </c>
      <c r="L36" s="1556">
        <f t="shared" si="4"/>
        <v>0</v>
      </c>
      <c r="M36" s="1557">
        <f t="shared" si="5"/>
        <v>0</v>
      </c>
      <c r="N36" s="1558">
        <f t="shared" si="29"/>
        <v>0</v>
      </c>
      <c r="O36" s="1559">
        <f t="shared" si="6"/>
        <v>0</v>
      </c>
      <c r="P36" s="1560">
        <f t="shared" si="7"/>
        <v>0</v>
      </c>
      <c r="Q36" s="1560">
        <f t="shared" si="8"/>
        <v>0</v>
      </c>
      <c r="R36" s="1560">
        <f t="shared" si="9"/>
        <v>0</v>
      </c>
      <c r="S36" s="1561">
        <f t="shared" si="10"/>
        <v>0</v>
      </c>
      <c r="T36" s="1556">
        <f t="shared" si="11"/>
        <v>0</v>
      </c>
      <c r="U36" s="1557">
        <f t="shared" ca="1" si="12"/>
        <v>0</v>
      </c>
      <c r="V36" s="1558"/>
      <c r="W36" s="1560"/>
      <c r="X36" s="1560"/>
      <c r="Y36" s="1560"/>
      <c r="Z36" s="1560"/>
      <c r="AA36" s="1561"/>
      <c r="AB36" s="1556">
        <f t="shared" si="13"/>
        <v>0</v>
      </c>
      <c r="AC36" s="1557">
        <f t="shared" ca="1" si="14"/>
        <v>0</v>
      </c>
      <c r="AD36" s="1558"/>
      <c r="AE36" s="1560"/>
      <c r="AF36" s="1560"/>
      <c r="AG36" s="1560"/>
      <c r="AH36" s="1560"/>
      <c r="AI36" s="1561"/>
      <c r="AJ36" s="1562">
        <f t="shared" si="15"/>
        <v>0</v>
      </c>
      <c r="AK36" s="1557">
        <f t="shared" si="16"/>
        <v>0</v>
      </c>
      <c r="AL36" s="1563">
        <f>'Estimate Detail'!H386</f>
        <v>0</v>
      </c>
      <c r="AM36" s="1560">
        <f>IF('Estimate Summary'!$D$9&lt;2,0,'Estimate Detail'!I386)</f>
        <v>0</v>
      </c>
      <c r="AN36" s="1560">
        <f>IF('Estimate Summary'!$D$9&lt;3,0,'Estimate Detail'!J386)</f>
        <v>0</v>
      </c>
      <c r="AO36" s="1560">
        <f>IF('Estimate Summary'!$D$9&lt;4,0,'Estimate Detail'!K386)</f>
        <v>0</v>
      </c>
      <c r="AP36" s="1560">
        <f>IF('Estimate Summary'!$D$9&lt;5,0,'Estimate Detail'!L386)</f>
        <v>0</v>
      </c>
      <c r="AQ36" s="1561">
        <f>IF('Estimate Summary'!$D$9&lt;6,0,'Estimate Detail'!M386)</f>
        <v>0</v>
      </c>
      <c r="AS36" s="1562">
        <f t="shared" si="17"/>
        <v>0</v>
      </c>
      <c r="AT36" s="1557">
        <f t="shared" si="18"/>
        <v>0</v>
      </c>
      <c r="AU36" s="1556"/>
      <c r="AV36" s="1561"/>
      <c r="AW36" s="1996"/>
      <c r="AX36" s="1560"/>
      <c r="AY36" s="1560"/>
      <c r="AZ36" s="1561"/>
      <c r="BB36" s="1562">
        <f t="shared" si="19"/>
        <v>0</v>
      </c>
      <c r="BC36" s="1564">
        <f t="shared" si="20"/>
        <v>0</v>
      </c>
      <c r="BD36" s="1563"/>
      <c r="BE36" s="1561"/>
      <c r="BF36" s="1565"/>
      <c r="BG36" s="1560"/>
      <c r="BH36" s="1560"/>
      <c r="BI36" s="1561"/>
      <c r="BJ36" s="1562">
        <f t="shared" si="21"/>
        <v>0</v>
      </c>
      <c r="BK36" s="1564">
        <f t="shared" ca="1" si="22"/>
        <v>0</v>
      </c>
      <c r="BL36" s="1563"/>
      <c r="BM36" s="1561"/>
      <c r="BN36" s="1565"/>
      <c r="BO36" s="1560"/>
      <c r="BP36" s="1560"/>
      <c r="BQ36" s="1561"/>
      <c r="BR36" s="2103"/>
    </row>
    <row r="37" spans="2:72" ht="14.25" customHeight="1" collapsed="1">
      <c r="B37" s="1568">
        <v>4</v>
      </c>
      <c r="C37" s="1569" t="s">
        <v>248</v>
      </c>
      <c r="D37" s="1570">
        <f t="shared" si="2"/>
        <v>1.8142799999999999</v>
      </c>
      <c r="E37" s="1574">
        <f t="shared" si="3"/>
        <v>1.0729950567115679E-2</v>
      </c>
      <c r="F37" s="1572">
        <f t="shared" si="23"/>
        <v>1.8142799999999999</v>
      </c>
      <c r="G37" s="2182">
        <f t="shared" si="24"/>
        <v>0</v>
      </c>
      <c r="H37" s="2189">
        <f t="shared" si="25"/>
        <v>0</v>
      </c>
      <c r="I37" s="2189">
        <f t="shared" si="26"/>
        <v>0</v>
      </c>
      <c r="J37" s="2189">
        <f t="shared" si="27"/>
        <v>0</v>
      </c>
      <c r="K37" s="955">
        <f t="shared" si="28"/>
        <v>0</v>
      </c>
      <c r="L37" s="1570">
        <f t="shared" si="4"/>
        <v>1.8142799999999999</v>
      </c>
      <c r="M37" s="1574">
        <f t="shared" si="5"/>
        <v>1.0729950567115679E-2</v>
      </c>
      <c r="N37" s="1572">
        <f t="shared" si="29"/>
        <v>1.8142799999999999</v>
      </c>
      <c r="O37" s="2182">
        <f t="shared" si="6"/>
        <v>0</v>
      </c>
      <c r="P37" s="2189">
        <f t="shared" si="7"/>
        <v>0</v>
      </c>
      <c r="Q37" s="2189">
        <f t="shared" si="8"/>
        <v>0</v>
      </c>
      <c r="R37" s="2189">
        <f t="shared" si="9"/>
        <v>0</v>
      </c>
      <c r="S37" s="955">
        <f t="shared" si="10"/>
        <v>0</v>
      </c>
      <c r="T37" s="1570">
        <f t="shared" si="11"/>
        <v>0</v>
      </c>
      <c r="U37" s="1574">
        <f t="shared" ca="1" si="12"/>
        <v>0</v>
      </c>
      <c r="V37" s="1572"/>
      <c r="W37" s="2182">
        <f>IF('Estimate Summary'!$D$9&lt;2,0,$V37)</f>
        <v>0</v>
      </c>
      <c r="X37" s="2189">
        <f>IF('Estimate Summary'!$D$9&lt;3,0,$V37)</f>
        <v>0</v>
      </c>
      <c r="Y37" s="2189">
        <f>IF('Estimate Summary'!$D$9&lt;4,0,$V37)</f>
        <v>0</v>
      </c>
      <c r="Z37" s="2189">
        <f>IF('Estimate Summary'!$D$9&lt;5,0,$V37)</f>
        <v>0</v>
      </c>
      <c r="AA37" s="955">
        <f>IF('Estimate Summary'!$D$9&lt;6,0,$V37)</f>
        <v>0</v>
      </c>
      <c r="AB37" s="1570">
        <f t="shared" si="13"/>
        <v>0</v>
      </c>
      <c r="AC37" s="1574">
        <f t="shared" ca="1" si="14"/>
        <v>0</v>
      </c>
      <c r="AD37" s="1572"/>
      <c r="AE37" s="2182">
        <f>IF('Estimate Summary'!$D$9&lt;2,0,$V37)</f>
        <v>0</v>
      </c>
      <c r="AF37" s="2189">
        <f>IF('Estimate Summary'!$D$9&lt;3,0,$V37)</f>
        <v>0</v>
      </c>
      <c r="AG37" s="2189">
        <f>IF('Estimate Summary'!$D$9&lt;4,0,$V37)</f>
        <v>0</v>
      </c>
      <c r="AH37" s="2189">
        <f>IF('Estimate Summary'!$D$9&lt;5,0,$V37)</f>
        <v>0</v>
      </c>
      <c r="AI37" s="955">
        <f>IF('Estimate Summary'!$D$9&lt;6,0,$V37)</f>
        <v>0</v>
      </c>
      <c r="AJ37" s="2185">
        <f t="shared" si="15"/>
        <v>1.8142799999999999</v>
      </c>
      <c r="AK37" s="1571">
        <f t="shared" si="16"/>
        <v>1.0729950567115679E-2</v>
      </c>
      <c r="AL37" s="919">
        <f>'Estimate Detail'!H388</f>
        <v>1.8142799999999999</v>
      </c>
      <c r="AM37" s="2189">
        <f>IF('Estimate Summary'!$D$9&lt;2,0,'Estimate Detail'!I388)</f>
        <v>0</v>
      </c>
      <c r="AN37" s="2189">
        <f>IF('Estimate Summary'!$D$9&lt;3,0,'Estimate Detail'!J388)</f>
        <v>0</v>
      </c>
      <c r="AO37" s="2189">
        <f>IF('Estimate Summary'!$D$9&lt;4,0,'Estimate Detail'!K388)</f>
        <v>0</v>
      </c>
      <c r="AP37" s="2189">
        <f>IF('Estimate Summary'!$D$9&lt;5,0,'Estimate Detail'!L388)</f>
        <v>0</v>
      </c>
      <c r="AQ37" s="955">
        <f>IF('Estimate Summary'!$D$9&lt;6,0,'Estimate Detail'!M388)</f>
        <v>0</v>
      </c>
      <c r="AS37" s="2185">
        <f t="shared" si="17"/>
        <v>0</v>
      </c>
      <c r="AT37" s="1571">
        <f t="shared" si="18"/>
        <v>0</v>
      </c>
      <c r="AU37" s="919"/>
      <c r="AV37" s="955"/>
      <c r="AW37" s="1566"/>
      <c r="AX37" s="934"/>
      <c r="AY37" s="934"/>
      <c r="AZ37" s="955"/>
      <c r="BB37" s="2185">
        <f t="shared" si="19"/>
        <v>0</v>
      </c>
      <c r="BC37" s="1578">
        <f t="shared" si="20"/>
        <v>0</v>
      </c>
      <c r="BD37" s="919"/>
      <c r="BE37" s="955"/>
      <c r="BF37" s="1580"/>
      <c r="BG37" s="2189"/>
      <c r="BH37" s="2189"/>
      <c r="BI37" s="955"/>
      <c r="BJ37" s="1575">
        <f t="shared" si="21"/>
        <v>0</v>
      </c>
      <c r="BK37" s="2192">
        <f t="shared" ca="1" si="22"/>
        <v>0</v>
      </c>
      <c r="BL37" s="919"/>
      <c r="BM37" s="955"/>
      <c r="BN37" s="1580"/>
      <c r="BO37" s="934"/>
      <c r="BP37" s="934"/>
      <c r="BQ37" s="955"/>
      <c r="BR37" s="2104"/>
    </row>
    <row r="38" spans="2:72" ht="14.25" customHeight="1">
      <c r="B38" s="1568">
        <v>5</v>
      </c>
      <c r="C38" s="1569" t="s">
        <v>249</v>
      </c>
      <c r="D38" s="1570">
        <f t="shared" si="2"/>
        <v>2.4</v>
      </c>
      <c r="E38" s="1574">
        <f t="shared" si="3"/>
        <v>1.4193995061995739E-2</v>
      </c>
      <c r="F38" s="1572">
        <f t="shared" si="23"/>
        <v>2.4</v>
      </c>
      <c r="G38" s="2182">
        <f t="shared" si="24"/>
        <v>0</v>
      </c>
      <c r="H38" s="2189">
        <f t="shared" si="25"/>
        <v>0</v>
      </c>
      <c r="I38" s="2189">
        <f t="shared" si="26"/>
        <v>0</v>
      </c>
      <c r="J38" s="2189">
        <f t="shared" si="27"/>
        <v>0</v>
      </c>
      <c r="K38" s="955">
        <f t="shared" si="28"/>
        <v>0</v>
      </c>
      <c r="L38" s="1570">
        <f t="shared" si="4"/>
        <v>2.4</v>
      </c>
      <c r="M38" s="1574">
        <f t="shared" si="5"/>
        <v>1.4193995061995739E-2</v>
      </c>
      <c r="N38" s="1572">
        <f t="shared" si="29"/>
        <v>2.4</v>
      </c>
      <c r="O38" s="2182">
        <f t="shared" si="6"/>
        <v>0</v>
      </c>
      <c r="P38" s="2189">
        <f t="shared" si="7"/>
        <v>0</v>
      </c>
      <c r="Q38" s="2189">
        <f t="shared" si="8"/>
        <v>0</v>
      </c>
      <c r="R38" s="2189">
        <f t="shared" si="9"/>
        <v>0</v>
      </c>
      <c r="S38" s="955">
        <f t="shared" si="10"/>
        <v>0</v>
      </c>
      <c r="T38" s="1570">
        <f t="shared" si="11"/>
        <v>0</v>
      </c>
      <c r="U38" s="1574">
        <f t="shared" ca="1" si="12"/>
        <v>0</v>
      </c>
      <c r="V38" s="1572"/>
      <c r="W38" s="2182">
        <f>IF('Estimate Summary'!$D$9&lt;2,0,$V38)</f>
        <v>0</v>
      </c>
      <c r="X38" s="2189">
        <f>IF('Estimate Summary'!$D$9&lt;3,0,$V38)</f>
        <v>0</v>
      </c>
      <c r="Y38" s="2189">
        <f>IF('Estimate Summary'!$D$9&lt;4,0,$V38)</f>
        <v>0</v>
      </c>
      <c r="Z38" s="2189">
        <f>IF('Estimate Summary'!$D$9&lt;5,0,$V38)</f>
        <v>0</v>
      </c>
      <c r="AA38" s="955">
        <f>IF('Estimate Summary'!$D$9&lt;6,0,$V38)</f>
        <v>0</v>
      </c>
      <c r="AB38" s="1570">
        <f t="shared" si="13"/>
        <v>0</v>
      </c>
      <c r="AC38" s="1574">
        <f t="shared" ca="1" si="14"/>
        <v>0</v>
      </c>
      <c r="AD38" s="1572"/>
      <c r="AE38" s="2182">
        <f>IF('Estimate Summary'!$D$9&lt;2,0,$V38)</f>
        <v>0</v>
      </c>
      <c r="AF38" s="2189">
        <f>IF('Estimate Summary'!$D$9&lt;3,0,$V38)</f>
        <v>0</v>
      </c>
      <c r="AG38" s="2189">
        <f>IF('Estimate Summary'!$D$9&lt;4,0,$V38)</f>
        <v>0</v>
      </c>
      <c r="AH38" s="2189">
        <f>IF('Estimate Summary'!$D$9&lt;5,0,$V38)</f>
        <v>0</v>
      </c>
      <c r="AI38" s="955">
        <f>IF('Estimate Summary'!$D$9&lt;6,0,$V38)</f>
        <v>0</v>
      </c>
      <c r="AJ38" s="2185">
        <f t="shared" si="15"/>
        <v>2.4</v>
      </c>
      <c r="AK38" s="1571">
        <f t="shared" si="16"/>
        <v>1.4193995061995739E-2</v>
      </c>
      <c r="AL38" s="919">
        <f>'Estimate Detail'!H389</f>
        <v>2.4</v>
      </c>
      <c r="AM38" s="2189">
        <f>IF('Estimate Summary'!$D$9&lt;2,0,'Estimate Detail'!I389)</f>
        <v>0</v>
      </c>
      <c r="AN38" s="2189">
        <f>IF('Estimate Summary'!$D$9&lt;3,0,'Estimate Detail'!J389)</f>
        <v>0</v>
      </c>
      <c r="AO38" s="2189">
        <f>IF('Estimate Summary'!$D$9&lt;4,0,'Estimate Detail'!K389)</f>
        <v>0</v>
      </c>
      <c r="AP38" s="2189">
        <f>IF('Estimate Summary'!$D$9&lt;5,0,'Estimate Detail'!L389)</f>
        <v>0</v>
      </c>
      <c r="AQ38" s="955">
        <f>IF('Estimate Summary'!$D$9&lt;6,0,'Estimate Detail'!M389)</f>
        <v>0</v>
      </c>
      <c r="AS38" s="2185">
        <f t="shared" si="17"/>
        <v>0</v>
      </c>
      <c r="AT38" s="1571">
        <f t="shared" si="18"/>
        <v>0</v>
      </c>
      <c r="AU38" s="1570">
        <f>'Estimate Detail'!H390</f>
        <v>0</v>
      </c>
      <c r="AV38" s="955">
        <f>IF('Estimate Summary'!$D$9&lt;2,0,'Estimate Detail'!I390)</f>
        <v>0</v>
      </c>
      <c r="AW38" s="1566">
        <f>IF('Estimate Summary'!$D$9&lt;3,0,'Estimate Detail'!J390)</f>
        <v>0</v>
      </c>
      <c r="AX38" s="934">
        <f>IF('Estimate Summary'!$D$9&lt;4,0,'Estimate Detail'!K390)</f>
        <v>0</v>
      </c>
      <c r="AY38" s="934">
        <f>IF('Estimate Summary'!$D$9&lt;5,0,'Estimate Detail'!L390)</f>
        <v>0</v>
      </c>
      <c r="AZ38" s="955">
        <f>IF('Estimate Summary'!$D$9&lt;6,0,'Estimate Detail'!M390)</f>
        <v>0</v>
      </c>
      <c r="BB38" s="2185">
        <f t="shared" si="19"/>
        <v>0</v>
      </c>
      <c r="BC38" s="1578">
        <f t="shared" si="20"/>
        <v>0</v>
      </c>
      <c r="BD38" s="919">
        <f>'Estimate Detail'!H391</f>
        <v>0</v>
      </c>
      <c r="BE38" s="955">
        <f>IF('Estimate Summary'!$D$9&lt;3,0,$J383)</f>
        <v>0</v>
      </c>
      <c r="BF38" s="1580">
        <f>IF('Estimate Summary'!$D$9&lt;3,0,$K383)</f>
        <v>0</v>
      </c>
      <c r="BG38" s="2189">
        <f>IF('Estimate Summary'!$D$9&lt;4,0,$L383)</f>
        <v>0</v>
      </c>
      <c r="BH38" s="2189">
        <f>IF('Estimate Summary'!$D$9&lt;5,0,$M383)</f>
        <v>0</v>
      </c>
      <c r="BI38" s="955">
        <f>IF('Estimate Summary'!$D$9&lt;6,0,$N383)</f>
        <v>0</v>
      </c>
      <c r="BJ38" s="1575">
        <f t="shared" si="21"/>
        <v>0</v>
      </c>
      <c r="BK38" s="1578">
        <f t="shared" ca="1" si="22"/>
        <v>0</v>
      </c>
      <c r="BL38" s="919"/>
      <c r="BM38" s="955"/>
      <c r="BN38" s="1580"/>
      <c r="BO38" s="934"/>
      <c r="BP38" s="934"/>
      <c r="BQ38" s="955"/>
      <c r="BR38" s="2104"/>
    </row>
    <row r="39" spans="2:72" ht="14.25" customHeight="1">
      <c r="B39" s="1568">
        <v>6</v>
      </c>
      <c r="C39" s="1569" t="s">
        <v>250</v>
      </c>
      <c r="D39" s="1570">
        <f t="shared" si="2"/>
        <v>39.655000000000001</v>
      </c>
      <c r="E39" s="1574">
        <f t="shared" si="3"/>
        <v>0.23452619757643378</v>
      </c>
      <c r="F39" s="1572">
        <f t="shared" si="23"/>
        <v>39.655000000000001</v>
      </c>
      <c r="G39" s="2182">
        <f t="shared" si="24"/>
        <v>0</v>
      </c>
      <c r="H39" s="2189">
        <f t="shared" si="25"/>
        <v>0</v>
      </c>
      <c r="I39" s="2189">
        <f t="shared" si="26"/>
        <v>0</v>
      </c>
      <c r="J39" s="2189">
        <f t="shared" si="27"/>
        <v>0</v>
      </c>
      <c r="K39" s="955">
        <f t="shared" si="28"/>
        <v>0</v>
      </c>
      <c r="L39" s="1570">
        <f t="shared" si="4"/>
        <v>39.655000000000001</v>
      </c>
      <c r="M39" s="1574">
        <f t="shared" si="5"/>
        <v>0.23452619757643378</v>
      </c>
      <c r="N39" s="1572">
        <f>AL39+AU39+BD39</f>
        <v>39.655000000000001</v>
      </c>
      <c r="O39" s="2182">
        <f t="shared" si="6"/>
        <v>0</v>
      </c>
      <c r="P39" s="2189">
        <f t="shared" si="7"/>
        <v>0</v>
      </c>
      <c r="Q39" s="2189">
        <f t="shared" si="8"/>
        <v>0</v>
      </c>
      <c r="R39" s="2189">
        <f t="shared" si="9"/>
        <v>0</v>
      </c>
      <c r="S39" s="955">
        <f t="shared" si="10"/>
        <v>0</v>
      </c>
      <c r="T39" s="1570">
        <f t="shared" si="11"/>
        <v>0</v>
      </c>
      <c r="U39" s="1574">
        <f t="shared" ca="1" si="12"/>
        <v>0</v>
      </c>
      <c r="V39" s="1572"/>
      <c r="W39" s="2182">
        <f>IF('Estimate Summary'!$D$9&lt;2,0,$V39)</f>
        <v>0</v>
      </c>
      <c r="X39" s="2189">
        <f>IF('Estimate Summary'!$D$9&lt;3,0,$V39)</f>
        <v>0</v>
      </c>
      <c r="Y39" s="2189">
        <f>IF('Estimate Summary'!$D$9&lt;4,0,$V39)</f>
        <v>0</v>
      </c>
      <c r="Z39" s="2189">
        <f>IF('Estimate Summary'!$D$9&lt;5,0,$V39)</f>
        <v>0</v>
      </c>
      <c r="AA39" s="955">
        <f>IF('Estimate Summary'!$D$9&lt;6,0,$V39)</f>
        <v>0</v>
      </c>
      <c r="AB39" s="1570">
        <f t="shared" si="13"/>
        <v>0</v>
      </c>
      <c r="AC39" s="1574">
        <f t="shared" ca="1" si="14"/>
        <v>0</v>
      </c>
      <c r="AD39" s="1572"/>
      <c r="AE39" s="2182">
        <f>IF('Estimate Summary'!$D$9&lt;2,0,$V39)</f>
        <v>0</v>
      </c>
      <c r="AF39" s="2189">
        <f>IF('Estimate Summary'!$D$9&lt;3,0,$V39)</f>
        <v>0</v>
      </c>
      <c r="AG39" s="2189">
        <f>IF('Estimate Summary'!$D$9&lt;4,0,$V39)</f>
        <v>0</v>
      </c>
      <c r="AH39" s="2189">
        <f>IF('Estimate Summary'!$D$9&lt;5,0,$V39)</f>
        <v>0</v>
      </c>
      <c r="AI39" s="955">
        <f>IF('Estimate Summary'!$D$9&lt;6,0,$V39)</f>
        <v>0</v>
      </c>
      <c r="AJ39" s="2185">
        <f t="shared" si="15"/>
        <v>39.655000000000001</v>
      </c>
      <c r="AK39" s="1571">
        <f t="shared" si="16"/>
        <v>0.23452619757643378</v>
      </c>
      <c r="AL39" s="919">
        <f>'Estimate Detail'!H392</f>
        <v>39.655000000000001</v>
      </c>
      <c r="AM39" s="2189">
        <f>IF('Estimate Summary'!$D$9&lt;2,0,'Estimate Detail'!I392)</f>
        <v>0</v>
      </c>
      <c r="AN39" s="2189">
        <f>IF('Estimate Summary'!$D$9&lt;3,0,'Estimate Detail'!J392)</f>
        <v>0</v>
      </c>
      <c r="AO39" s="2189">
        <f>IF('Estimate Summary'!$D$9&lt;4,0,'Estimate Detail'!K392)</f>
        <v>0</v>
      </c>
      <c r="AP39" s="2189">
        <f>IF('Estimate Summary'!$D$9&lt;5,0,'Estimate Detail'!L392)</f>
        <v>0</v>
      </c>
      <c r="AQ39" s="955">
        <f>IF('Estimate Summary'!$D$9&lt;6,0,'Estimate Detail'!M392)</f>
        <v>0</v>
      </c>
      <c r="AS39" s="2185">
        <f t="shared" si="17"/>
        <v>0</v>
      </c>
      <c r="AT39" s="1571">
        <f t="shared" si="18"/>
        <v>0</v>
      </c>
      <c r="AU39" s="919">
        <f>'Estimate Detail'!H394</f>
        <v>0</v>
      </c>
      <c r="AV39" s="955">
        <f>IF('Estimate Summary'!$D$9&lt;2,0,'Estimate Detail'!I394)</f>
        <v>0</v>
      </c>
      <c r="AW39" s="1566">
        <f>IF('Estimate Summary'!$D$9&lt;3,0,'Estimate Detail'!J394)</f>
        <v>0</v>
      </c>
      <c r="AX39" s="934">
        <f>IF('Estimate Summary'!$D$9&lt;4,0,'Estimate Detail'!K394)</f>
        <v>0</v>
      </c>
      <c r="AY39" s="934">
        <f>IF('Estimate Summary'!$D$9&lt;5,0,'Estimate Detail'!L394)</f>
        <v>0</v>
      </c>
      <c r="AZ39" s="955">
        <f>IF('Estimate Summary'!$D$9&lt;6,0,'Estimate Detail'!M394)</f>
        <v>0</v>
      </c>
      <c r="BB39" s="2185">
        <f t="shared" si="19"/>
        <v>0</v>
      </c>
      <c r="BC39" s="1578">
        <f t="shared" si="20"/>
        <v>0</v>
      </c>
      <c r="BD39" s="919"/>
      <c r="BE39" s="955"/>
      <c r="BF39" s="1580">
        <f>IF('Estimate Summary'!$D$9&lt;3,0,$BD39)</f>
        <v>0</v>
      </c>
      <c r="BG39" s="2189">
        <f>IF('Estimate Summary'!$D$9&lt;4,0,$BD39)</f>
        <v>0</v>
      </c>
      <c r="BH39" s="2189">
        <f>IF('Estimate Summary'!$D$9&lt;5,0,$BD39)</f>
        <v>0</v>
      </c>
      <c r="BI39" s="955">
        <f>IF('Estimate Summary'!$D$9&lt;6,0,$BD39)</f>
        <v>0</v>
      </c>
      <c r="BJ39" s="1575">
        <f t="shared" si="21"/>
        <v>0</v>
      </c>
      <c r="BK39" s="1578">
        <f t="shared" ca="1" si="22"/>
        <v>0</v>
      </c>
      <c r="BL39" s="919"/>
      <c r="BM39" s="955"/>
      <c r="BN39" s="1580">
        <f>IF('Estimate Summary'!$D$9&lt;3,0,$BD39)</f>
        <v>0</v>
      </c>
      <c r="BO39" s="934">
        <f>IF('Estimate Summary'!$D$9&lt;4,0,$BD39)</f>
        <v>0</v>
      </c>
      <c r="BP39" s="934">
        <f>IF('Estimate Summary'!$D$9&lt;5,0,$BD39)</f>
        <v>0</v>
      </c>
      <c r="BQ39" s="955">
        <f>IF('Estimate Summary'!$D$9&lt;6,0,$BD39)</f>
        <v>0</v>
      </c>
      <c r="BR39" s="2104"/>
    </row>
    <row r="40" spans="2:72" ht="14.25" customHeight="1">
      <c r="B40" s="1568">
        <v>7</v>
      </c>
      <c r="C40" s="1569" t="s">
        <v>72</v>
      </c>
      <c r="D40" s="1570">
        <f t="shared" si="2"/>
        <v>28</v>
      </c>
      <c r="E40" s="1574">
        <f t="shared" si="3"/>
        <v>0.16559660905661697</v>
      </c>
      <c r="F40" s="1572">
        <f t="shared" si="23"/>
        <v>28</v>
      </c>
      <c r="G40" s="2182">
        <f t="shared" si="24"/>
        <v>0</v>
      </c>
      <c r="H40" s="2189">
        <f t="shared" si="25"/>
        <v>0</v>
      </c>
      <c r="I40" s="2189">
        <f t="shared" si="26"/>
        <v>0</v>
      </c>
      <c r="J40" s="2189">
        <f t="shared" si="27"/>
        <v>0</v>
      </c>
      <c r="K40" s="955">
        <f t="shared" si="28"/>
        <v>0</v>
      </c>
      <c r="L40" s="1570">
        <f t="shared" si="4"/>
        <v>28</v>
      </c>
      <c r="M40" s="1574">
        <f t="shared" si="5"/>
        <v>0.16559660905661697</v>
      </c>
      <c r="N40" s="1572">
        <f>AL40+AU40+BD40</f>
        <v>28</v>
      </c>
      <c r="O40" s="2182">
        <f t="shared" si="6"/>
        <v>0</v>
      </c>
      <c r="P40" s="2189">
        <f t="shared" si="7"/>
        <v>0</v>
      </c>
      <c r="Q40" s="2189">
        <f t="shared" si="8"/>
        <v>0</v>
      </c>
      <c r="R40" s="2189">
        <f t="shared" si="9"/>
        <v>0</v>
      </c>
      <c r="S40" s="955">
        <f t="shared" si="10"/>
        <v>0</v>
      </c>
      <c r="T40" s="1570">
        <f t="shared" si="11"/>
        <v>0</v>
      </c>
      <c r="U40" s="1574">
        <f t="shared" ca="1" si="12"/>
        <v>0</v>
      </c>
      <c r="V40" s="1572"/>
      <c r="W40" s="2182">
        <f>IF('Estimate Summary'!$D$9&lt;2,0,$V40)</f>
        <v>0</v>
      </c>
      <c r="X40" s="2189">
        <f>IF('Estimate Summary'!$D$9&lt;3,0,$V40)</f>
        <v>0</v>
      </c>
      <c r="Y40" s="2189">
        <f>IF('Estimate Summary'!$D$9&lt;4,0,$V40)</f>
        <v>0</v>
      </c>
      <c r="Z40" s="2189">
        <f>IF('Estimate Summary'!$D$9&lt;5,0,$V40)</f>
        <v>0</v>
      </c>
      <c r="AA40" s="955">
        <f>IF('Estimate Summary'!$D$9&lt;6,0,$V40)</f>
        <v>0</v>
      </c>
      <c r="AB40" s="1570">
        <f t="shared" si="13"/>
        <v>0</v>
      </c>
      <c r="AC40" s="1574">
        <f t="shared" ca="1" si="14"/>
        <v>0</v>
      </c>
      <c r="AD40" s="1572"/>
      <c r="AE40" s="2182">
        <f>IF('Estimate Summary'!$D$9&lt;2,0,$V40)</f>
        <v>0</v>
      </c>
      <c r="AF40" s="2189">
        <f>IF('Estimate Summary'!$D$9&lt;3,0,$V40)</f>
        <v>0</v>
      </c>
      <c r="AG40" s="2189">
        <f>IF('Estimate Summary'!$D$9&lt;4,0,$V40)</f>
        <v>0</v>
      </c>
      <c r="AH40" s="2189">
        <f>IF('Estimate Summary'!$D$9&lt;5,0,$V40)</f>
        <v>0</v>
      </c>
      <c r="AI40" s="955">
        <f>IF('Estimate Summary'!$D$9&lt;6,0,$V40)</f>
        <v>0</v>
      </c>
      <c r="AJ40" s="2185">
        <f t="shared" si="15"/>
        <v>28</v>
      </c>
      <c r="AK40" s="1571">
        <f t="shared" si="16"/>
        <v>0.16559660905661697</v>
      </c>
      <c r="AL40" s="919">
        <f>'Estimate Detail'!H395</f>
        <v>28</v>
      </c>
      <c r="AM40" s="2189">
        <f>IF('Estimate Summary'!$D$9&lt;2,0,'Estimate Detail'!I395)</f>
        <v>0</v>
      </c>
      <c r="AN40" s="2189">
        <f>IF('Estimate Summary'!$D$9&lt;3,0,'Estimate Detail'!J395)</f>
        <v>0</v>
      </c>
      <c r="AO40" s="2189">
        <f>IF('Estimate Summary'!$D$9&lt;4,0,'Estimate Detail'!K395)</f>
        <v>0</v>
      </c>
      <c r="AP40" s="2189">
        <f>IF('Estimate Summary'!$D$9&lt;5,0,'Estimate Detail'!L395)</f>
        <v>0</v>
      </c>
      <c r="AQ40" s="955">
        <f>IF('Estimate Summary'!$D$9&lt;6,0,'Estimate Detail'!M395)</f>
        <v>0</v>
      </c>
      <c r="AS40" s="2185">
        <f t="shared" si="17"/>
        <v>0</v>
      </c>
      <c r="AT40" s="1571">
        <f t="shared" si="18"/>
        <v>0</v>
      </c>
      <c r="AU40" s="919">
        <f>'Estimate Detail'!H396</f>
        <v>0</v>
      </c>
      <c r="AV40" s="955">
        <f>IF('Estimate Summary'!$D$9&lt;2,0,'Estimate Detail'!I396)</f>
        <v>0</v>
      </c>
      <c r="AW40" s="1566">
        <f>IF('Estimate Summary'!$D$9&lt;3,0,'Estimate Detail'!J396)</f>
        <v>0</v>
      </c>
      <c r="AX40" s="934">
        <f>IF('Estimate Summary'!$D$9&lt;4,0,'Estimate Detail'!K396)</f>
        <v>0</v>
      </c>
      <c r="AY40" s="934">
        <f>IF('Estimate Summary'!$D$9&lt;5,0,'Estimate Detail'!L396)</f>
        <v>0</v>
      </c>
      <c r="AZ40" s="955">
        <f>IF('Estimate Summary'!$D$9&lt;6,0,'Estimate Detail'!M396)</f>
        <v>0</v>
      </c>
      <c r="BB40" s="2185">
        <f t="shared" si="19"/>
        <v>0</v>
      </c>
      <c r="BC40" s="1578">
        <f t="shared" si="20"/>
        <v>0</v>
      </c>
      <c r="BD40" s="919"/>
      <c r="BE40" s="955"/>
      <c r="BF40" s="1579">
        <f>IF('Estimate Summary'!$D$9&lt;3,0,$BD40)</f>
        <v>0</v>
      </c>
      <c r="BG40" s="2189">
        <f>IF('Estimate Summary'!$D$9&lt;4,0,$BD40)</f>
        <v>0</v>
      </c>
      <c r="BH40" s="2189">
        <f>IF('Estimate Summary'!$D$9&lt;5,0,$BD40)</f>
        <v>0</v>
      </c>
      <c r="BI40" s="955">
        <f>IF('Estimate Summary'!$D$9&lt;6,0,$BD40)</f>
        <v>0</v>
      </c>
      <c r="BJ40" s="2185">
        <f t="shared" si="21"/>
        <v>0</v>
      </c>
      <c r="BK40" s="1578">
        <f t="shared" ca="1" si="22"/>
        <v>0</v>
      </c>
      <c r="BL40" s="919"/>
      <c r="BM40" s="955"/>
      <c r="BN40" s="1579">
        <f>IF('Estimate Summary'!$D$9&lt;3,0,$BD40)</f>
        <v>0</v>
      </c>
      <c r="BO40" s="934">
        <f>IF('Estimate Summary'!$D$9&lt;4,0,$BD40)</f>
        <v>0</v>
      </c>
      <c r="BP40" s="934">
        <f>IF('Estimate Summary'!$D$9&lt;5,0,$BD40)</f>
        <v>0</v>
      </c>
      <c r="BQ40" s="955">
        <f>IF('Estimate Summary'!$D$9&lt;6,0,$BD40)</f>
        <v>0</v>
      </c>
      <c r="BR40" s="2104"/>
    </row>
    <row r="41" spans="2:72" ht="14.25" customHeight="1">
      <c r="B41" s="1568">
        <v>8</v>
      </c>
      <c r="C41" s="1569" t="s">
        <v>251</v>
      </c>
      <c r="D41" s="1570">
        <f t="shared" si="2"/>
        <v>0</v>
      </c>
      <c r="E41" s="1574">
        <f t="shared" si="3"/>
        <v>0</v>
      </c>
      <c r="F41" s="1572">
        <f t="shared" si="23"/>
        <v>0</v>
      </c>
      <c r="G41" s="2182">
        <f t="shared" si="24"/>
        <v>0</v>
      </c>
      <c r="H41" s="2189">
        <f t="shared" si="25"/>
        <v>0</v>
      </c>
      <c r="I41" s="2189">
        <f t="shared" si="26"/>
        <v>0</v>
      </c>
      <c r="J41" s="2189">
        <f t="shared" si="27"/>
        <v>0</v>
      </c>
      <c r="K41" s="955">
        <f t="shared" si="28"/>
        <v>0</v>
      </c>
      <c r="L41" s="1570">
        <f t="shared" si="4"/>
        <v>0</v>
      </c>
      <c r="M41" s="1574">
        <f t="shared" si="5"/>
        <v>0</v>
      </c>
      <c r="N41" s="1572">
        <f t="shared" si="29"/>
        <v>0</v>
      </c>
      <c r="O41" s="2182">
        <f t="shared" si="6"/>
        <v>0</v>
      </c>
      <c r="P41" s="2189">
        <f t="shared" si="7"/>
        <v>0</v>
      </c>
      <c r="Q41" s="2189">
        <f t="shared" si="8"/>
        <v>0</v>
      </c>
      <c r="R41" s="2189">
        <f t="shared" si="9"/>
        <v>0</v>
      </c>
      <c r="S41" s="955">
        <f t="shared" si="10"/>
        <v>0</v>
      </c>
      <c r="T41" s="1570">
        <f t="shared" si="11"/>
        <v>0</v>
      </c>
      <c r="U41" s="1574">
        <f t="shared" ca="1" si="12"/>
        <v>0</v>
      </c>
      <c r="V41" s="1572">
        <f>AD41+BL41</f>
        <v>0</v>
      </c>
      <c r="W41" s="2182">
        <f>AE41+BM41</f>
        <v>0</v>
      </c>
      <c r="X41" s="2189">
        <f>IF('Estimate Summary'!$D$9&lt;3,0,$V41)</f>
        <v>0</v>
      </c>
      <c r="Y41" s="2189">
        <f>IF('Estimate Summary'!$D$9&lt;4,0,$V41)</f>
        <v>0</v>
      </c>
      <c r="Z41" s="2189">
        <f>IF('Estimate Summary'!$D$9&lt;5,0,$V41)</f>
        <v>0</v>
      </c>
      <c r="AA41" s="955">
        <f>IF('Estimate Summary'!$D$9&lt;6,0,$V41)</f>
        <v>0</v>
      </c>
      <c r="AB41" s="1570">
        <f t="shared" si="13"/>
        <v>0</v>
      </c>
      <c r="AC41" s="1574">
        <f t="shared" ca="1" si="14"/>
        <v>0</v>
      </c>
      <c r="AD41" s="1572">
        <f>SUM('Estimate Detail'!H341:H342)</f>
        <v>0</v>
      </c>
      <c r="AE41" s="2182">
        <f>SUM('Estimate Detail'!I341:I342)</f>
        <v>0</v>
      </c>
      <c r="AF41" s="2189">
        <f>IF('Estimate Summary'!$D$9&lt;3,0,$V41)</f>
        <v>0</v>
      </c>
      <c r="AG41" s="2189">
        <f>IF('Estimate Summary'!$D$9&lt;4,0,$V41)</f>
        <v>0</v>
      </c>
      <c r="AH41" s="2189">
        <f>IF('Estimate Summary'!$D$9&lt;5,0,$V41)</f>
        <v>0</v>
      </c>
      <c r="AI41" s="955">
        <f>IF('Estimate Summary'!$D$9&lt;6,0,$V41)</f>
        <v>0</v>
      </c>
      <c r="AJ41" s="2185">
        <f t="shared" si="15"/>
        <v>0</v>
      </c>
      <c r="AK41" s="1571">
        <f t="shared" si="16"/>
        <v>0</v>
      </c>
      <c r="AL41" s="919"/>
      <c r="AM41" s="2189"/>
      <c r="AN41" s="2189"/>
      <c r="AO41" s="2189"/>
      <c r="AP41" s="2189"/>
      <c r="AQ41" s="955"/>
      <c r="AS41" s="2185">
        <f t="shared" si="17"/>
        <v>0</v>
      </c>
      <c r="AT41" s="1571">
        <f t="shared" si="18"/>
        <v>0</v>
      </c>
      <c r="AU41" s="919"/>
      <c r="AV41" s="955"/>
      <c r="AW41" s="1566"/>
      <c r="AX41" s="934"/>
      <c r="AY41" s="934"/>
      <c r="AZ41" s="955"/>
      <c r="BB41" s="2185">
        <f t="shared" si="19"/>
        <v>0</v>
      </c>
      <c r="BC41" s="1578">
        <f t="shared" si="20"/>
        <v>0</v>
      </c>
      <c r="BD41" s="919"/>
      <c r="BE41" s="955"/>
      <c r="BF41" s="1580">
        <f>IF('Estimate Summary'!$D$9&lt;3,0,$BD41)</f>
        <v>0</v>
      </c>
      <c r="BG41" s="2189">
        <f>IF('Estimate Summary'!$D$9&lt;4,0,$BD41)</f>
        <v>0</v>
      </c>
      <c r="BH41" s="2189">
        <f>IF('Estimate Summary'!$D$9&lt;5,0,$BD41)</f>
        <v>0</v>
      </c>
      <c r="BI41" s="955">
        <f>IF('Estimate Summary'!$D$9&lt;6,0,$BD41)</f>
        <v>0</v>
      </c>
      <c r="BJ41" s="1575">
        <f t="shared" si="21"/>
        <v>0</v>
      </c>
      <c r="BK41" s="1578">
        <f t="shared" ca="1" si="22"/>
        <v>0</v>
      </c>
      <c r="BL41" s="919"/>
      <c r="BM41" s="955">
        <f>IF('Estimate Summary'!$D$9&lt;2,0,$BL41)</f>
        <v>0</v>
      </c>
      <c r="BN41" s="1580">
        <f>IF('Estimate Summary'!$D$9&lt;3,0,$BD41)</f>
        <v>0</v>
      </c>
      <c r="BO41" s="934">
        <f>IF('Estimate Summary'!$D$9&lt;4,0,$BD41)</f>
        <v>0</v>
      </c>
      <c r="BP41" s="934">
        <f>IF('Estimate Summary'!$D$9&lt;5,0,$BD41)</f>
        <v>0</v>
      </c>
      <c r="BQ41" s="955">
        <f>IF('Estimate Summary'!$D$9&lt;6,0,$BD41)</f>
        <v>0</v>
      </c>
      <c r="BR41" s="2104"/>
    </row>
    <row r="42" spans="2:72" ht="14.25" customHeight="1">
      <c r="B42" s="1568">
        <v>9</v>
      </c>
      <c r="C42" s="1569" t="s">
        <v>252</v>
      </c>
      <c r="D42" s="1570">
        <f t="shared" si="2"/>
        <v>0</v>
      </c>
      <c r="E42" s="1574">
        <f t="shared" si="3"/>
        <v>0</v>
      </c>
      <c r="F42" s="1572">
        <f t="shared" si="23"/>
        <v>0</v>
      </c>
      <c r="G42" s="2182">
        <f t="shared" si="24"/>
        <v>0</v>
      </c>
      <c r="H42" s="2189">
        <f t="shared" si="25"/>
        <v>0</v>
      </c>
      <c r="I42" s="2189">
        <f t="shared" si="26"/>
        <v>0</v>
      </c>
      <c r="J42" s="2189">
        <f t="shared" si="27"/>
        <v>0</v>
      </c>
      <c r="K42" s="955">
        <f t="shared" si="28"/>
        <v>0</v>
      </c>
      <c r="L42" s="1570">
        <f t="shared" si="4"/>
        <v>0</v>
      </c>
      <c r="M42" s="1574">
        <f t="shared" si="5"/>
        <v>0</v>
      </c>
      <c r="N42" s="1572">
        <f t="shared" si="29"/>
        <v>0</v>
      </c>
      <c r="O42" s="2182">
        <f t="shared" si="6"/>
        <v>0</v>
      </c>
      <c r="P42" s="2189">
        <f t="shared" si="7"/>
        <v>0</v>
      </c>
      <c r="Q42" s="2189">
        <f t="shared" si="8"/>
        <v>0</v>
      </c>
      <c r="R42" s="2189">
        <f t="shared" si="9"/>
        <v>0</v>
      </c>
      <c r="S42" s="955">
        <f t="shared" si="10"/>
        <v>0</v>
      </c>
      <c r="T42" s="1570">
        <f t="shared" si="11"/>
        <v>0</v>
      </c>
      <c r="U42" s="1574">
        <f t="shared" ca="1" si="12"/>
        <v>0</v>
      </c>
      <c r="V42" s="1572"/>
      <c r="W42" s="2182">
        <f>IF('Estimate Summary'!$D$9&lt;2,0,$V42)</f>
        <v>0</v>
      </c>
      <c r="X42" s="2189">
        <f>IF('Estimate Summary'!$D$9&lt;3,0,$V42)</f>
        <v>0</v>
      </c>
      <c r="Y42" s="2189">
        <f>IF('Estimate Summary'!$D$9&lt;4,0,$V42)</f>
        <v>0</v>
      </c>
      <c r="Z42" s="2189">
        <f>IF('Estimate Summary'!$D$9&lt;5,0,$V42)</f>
        <v>0</v>
      </c>
      <c r="AA42" s="955">
        <f>IF('Estimate Summary'!$D$9&lt;6,0,$V42)</f>
        <v>0</v>
      </c>
      <c r="AB42" s="1570">
        <f t="shared" si="13"/>
        <v>0</v>
      </c>
      <c r="AC42" s="1574">
        <f t="shared" ca="1" si="14"/>
        <v>0</v>
      </c>
      <c r="AD42" s="1572"/>
      <c r="AE42" s="2182">
        <f>IF('Estimate Summary'!$D$9&lt;2,0,$V42)</f>
        <v>0</v>
      </c>
      <c r="AF42" s="2189">
        <f>IF('Estimate Summary'!$D$9&lt;3,0,$V42)</f>
        <v>0</v>
      </c>
      <c r="AG42" s="2189">
        <f>IF('Estimate Summary'!$D$9&lt;4,0,$V42)</f>
        <v>0</v>
      </c>
      <c r="AH42" s="2189">
        <f>IF('Estimate Summary'!$D$9&lt;5,0,$V42)</f>
        <v>0</v>
      </c>
      <c r="AI42" s="955">
        <f>IF('Estimate Summary'!$D$9&lt;6,0,$V42)</f>
        <v>0</v>
      </c>
      <c r="AJ42" s="2185">
        <f t="shared" si="15"/>
        <v>0</v>
      </c>
      <c r="AK42" s="1571">
        <f t="shared" si="16"/>
        <v>0</v>
      </c>
      <c r="AL42" s="919"/>
      <c r="AM42" s="2189"/>
      <c r="AN42" s="2189"/>
      <c r="AO42" s="2189"/>
      <c r="AP42" s="2189"/>
      <c r="AQ42" s="955"/>
      <c r="AS42" s="2185">
        <f t="shared" si="17"/>
        <v>0</v>
      </c>
      <c r="AT42" s="1571">
        <f t="shared" si="18"/>
        <v>0</v>
      </c>
      <c r="AU42" s="919"/>
      <c r="AV42" s="955"/>
      <c r="AW42" s="1566"/>
      <c r="AX42" s="934"/>
      <c r="AY42" s="934"/>
      <c r="AZ42" s="955"/>
      <c r="BA42" s="1965"/>
      <c r="BB42" s="2185">
        <f t="shared" si="19"/>
        <v>0</v>
      </c>
      <c r="BC42" s="1578">
        <f t="shared" si="20"/>
        <v>0</v>
      </c>
      <c r="BD42" s="919"/>
      <c r="BE42" s="955"/>
      <c r="BF42" s="1580">
        <f>IF('Estimate Summary'!$D$9&lt;3,0,$BD42)</f>
        <v>0</v>
      </c>
      <c r="BG42" s="2189">
        <f>IF('Estimate Summary'!$D$9&lt;4,0,$BD42)</f>
        <v>0</v>
      </c>
      <c r="BH42" s="2189">
        <f>IF('Estimate Summary'!$D$9&lt;5,0,$BD42)</f>
        <v>0</v>
      </c>
      <c r="BI42" s="955">
        <f>IF('Estimate Summary'!$D$9&lt;6,0,$BD42)</f>
        <v>0</v>
      </c>
      <c r="BJ42" s="1575">
        <f t="shared" si="21"/>
        <v>0</v>
      </c>
      <c r="BK42" s="1578">
        <f t="shared" ca="1" si="22"/>
        <v>0</v>
      </c>
      <c r="BL42" s="919"/>
      <c r="BM42" s="955"/>
      <c r="BN42" s="1580">
        <f>IF('Estimate Summary'!$D$9&lt;3,0,$BD42)</f>
        <v>0</v>
      </c>
      <c r="BO42" s="934">
        <f>IF('Estimate Summary'!$D$9&lt;4,0,$BD42)</f>
        <v>0</v>
      </c>
      <c r="BP42" s="934">
        <f>IF('Estimate Summary'!$D$9&lt;5,0,$BD42)</f>
        <v>0</v>
      </c>
      <c r="BQ42" s="955">
        <f>IF('Estimate Summary'!$D$9&lt;6,0,$BD42)</f>
        <v>0</v>
      </c>
      <c r="BR42" s="2104"/>
    </row>
    <row r="43" spans="2:72" ht="14.25" customHeight="1">
      <c r="B43" s="1568">
        <v>10</v>
      </c>
      <c r="C43" s="1569" t="s">
        <v>253</v>
      </c>
      <c r="D43" s="1570">
        <f t="shared" si="2"/>
        <v>0</v>
      </c>
      <c r="E43" s="1574">
        <f t="shared" si="3"/>
        <v>0</v>
      </c>
      <c r="F43" s="1572">
        <f t="shared" si="23"/>
        <v>0</v>
      </c>
      <c r="G43" s="2182">
        <f t="shared" si="24"/>
        <v>0</v>
      </c>
      <c r="H43" s="2189">
        <f t="shared" si="25"/>
        <v>0</v>
      </c>
      <c r="I43" s="2189">
        <f t="shared" si="26"/>
        <v>0</v>
      </c>
      <c r="J43" s="2189">
        <f t="shared" si="27"/>
        <v>0</v>
      </c>
      <c r="K43" s="955">
        <f t="shared" si="28"/>
        <v>0</v>
      </c>
      <c r="L43" s="1570">
        <f t="shared" si="4"/>
        <v>0</v>
      </c>
      <c r="M43" s="1574">
        <f t="shared" si="5"/>
        <v>0</v>
      </c>
      <c r="N43" s="1572">
        <f t="shared" si="29"/>
        <v>0</v>
      </c>
      <c r="O43" s="2182">
        <f t="shared" si="6"/>
        <v>0</v>
      </c>
      <c r="P43" s="2189">
        <f t="shared" si="7"/>
        <v>0</v>
      </c>
      <c r="Q43" s="2189">
        <f t="shared" si="8"/>
        <v>0</v>
      </c>
      <c r="R43" s="2189">
        <f t="shared" si="9"/>
        <v>0</v>
      </c>
      <c r="S43" s="955">
        <f t="shared" si="10"/>
        <v>0</v>
      </c>
      <c r="T43" s="1570">
        <f t="shared" si="11"/>
        <v>0</v>
      </c>
      <c r="U43" s="1574">
        <f t="shared" ca="1" si="12"/>
        <v>0</v>
      </c>
      <c r="V43" s="1572"/>
      <c r="W43" s="2182">
        <f>IF('Estimate Summary'!$D$9&lt;2,0,$V43)</f>
        <v>0</v>
      </c>
      <c r="X43" s="2189">
        <f>IF('Estimate Summary'!$D$9&lt;3,0,$V43)</f>
        <v>0</v>
      </c>
      <c r="Y43" s="2189">
        <f>IF('Estimate Summary'!$D$9&lt;4,0,$V43)</f>
        <v>0</v>
      </c>
      <c r="Z43" s="2189">
        <f>IF('Estimate Summary'!$D$9&lt;5,0,$V43)</f>
        <v>0</v>
      </c>
      <c r="AA43" s="955">
        <f>IF('Estimate Summary'!$D$9&lt;6,0,$V43)</f>
        <v>0</v>
      </c>
      <c r="AB43" s="1570">
        <f t="shared" si="13"/>
        <v>0</v>
      </c>
      <c r="AC43" s="1574">
        <f t="shared" ca="1" si="14"/>
        <v>0</v>
      </c>
      <c r="AD43" s="1572"/>
      <c r="AE43" s="2182">
        <f>IF('Estimate Summary'!$D$9&lt;2,0,$V43)</f>
        <v>0</v>
      </c>
      <c r="AF43" s="2189">
        <f>IF('Estimate Summary'!$D$9&lt;3,0,$V43)</f>
        <v>0</v>
      </c>
      <c r="AG43" s="2189">
        <f>IF('Estimate Summary'!$D$9&lt;4,0,$V43)</f>
        <v>0</v>
      </c>
      <c r="AH43" s="2189">
        <f>IF('Estimate Summary'!$D$9&lt;5,0,$V43)</f>
        <v>0</v>
      </c>
      <c r="AI43" s="955">
        <f>IF('Estimate Summary'!$D$9&lt;6,0,$V43)</f>
        <v>0</v>
      </c>
      <c r="AJ43" s="2185">
        <f t="shared" si="15"/>
        <v>0</v>
      </c>
      <c r="AK43" s="1571">
        <f t="shared" si="16"/>
        <v>0</v>
      </c>
      <c r="AL43" s="919"/>
      <c r="AM43" s="2189"/>
      <c r="AN43" s="2189"/>
      <c r="AO43" s="2189"/>
      <c r="AP43" s="2189"/>
      <c r="AQ43" s="955"/>
      <c r="AS43" s="2185">
        <f t="shared" si="17"/>
        <v>0</v>
      </c>
      <c r="AT43" s="1571">
        <f t="shared" si="18"/>
        <v>0</v>
      </c>
      <c r="AU43" s="919"/>
      <c r="AV43" s="955"/>
      <c r="AW43" s="1566"/>
      <c r="AX43" s="934"/>
      <c r="AY43" s="934"/>
      <c r="AZ43" s="955"/>
      <c r="BA43" s="1965"/>
      <c r="BB43" s="2185">
        <f t="shared" si="19"/>
        <v>0</v>
      </c>
      <c r="BC43" s="1578">
        <f t="shared" si="20"/>
        <v>0</v>
      </c>
      <c r="BD43" s="919"/>
      <c r="BE43" s="955"/>
      <c r="BF43" s="1580">
        <f>IF('Estimate Summary'!$D$9&lt;3,0,$BD43)</f>
        <v>0</v>
      </c>
      <c r="BG43" s="2189">
        <f>IF('Estimate Summary'!$D$9&lt;4,0,$BD43)</f>
        <v>0</v>
      </c>
      <c r="BH43" s="2189">
        <f>IF('Estimate Summary'!$D$9&lt;5,0,$BD43)</f>
        <v>0</v>
      </c>
      <c r="BI43" s="955">
        <f>IF('Estimate Summary'!$D$9&lt;6,0,$BD43)</f>
        <v>0</v>
      </c>
      <c r="BJ43" s="1575">
        <f t="shared" si="21"/>
        <v>0</v>
      </c>
      <c r="BK43" s="1578">
        <f t="shared" ca="1" si="22"/>
        <v>0</v>
      </c>
      <c r="BL43" s="919"/>
      <c r="BM43" s="955"/>
      <c r="BN43" s="1580">
        <f>IF('Estimate Summary'!$D$9&lt;3,0,$BD43)</f>
        <v>0</v>
      </c>
      <c r="BO43" s="934">
        <f>IF('Estimate Summary'!$D$9&lt;4,0,$BD43)</f>
        <v>0</v>
      </c>
      <c r="BP43" s="934">
        <f>IF('Estimate Summary'!$D$9&lt;5,0,$BD43)</f>
        <v>0</v>
      </c>
      <c r="BQ43" s="955">
        <f>IF('Estimate Summary'!$D$9&lt;6,0,$BD43)</f>
        <v>0</v>
      </c>
      <c r="BR43" s="2104"/>
    </row>
    <row r="44" spans="2:72" ht="14.25" customHeight="1">
      <c r="B44" s="1568">
        <v>11</v>
      </c>
      <c r="C44" s="1569" t="s">
        <v>757</v>
      </c>
      <c r="D44" s="1570">
        <f t="shared" si="2"/>
        <v>0</v>
      </c>
      <c r="E44" s="1574">
        <f t="shared" si="3"/>
        <v>0</v>
      </c>
      <c r="F44" s="1572">
        <f t="shared" ref="F44:K44" si="32">N44+V44</f>
        <v>0</v>
      </c>
      <c r="G44" s="1573">
        <f t="shared" si="32"/>
        <v>0</v>
      </c>
      <c r="H44" s="1566">
        <f t="shared" si="32"/>
        <v>0</v>
      </c>
      <c r="I44" s="1553">
        <f t="shared" si="32"/>
        <v>0</v>
      </c>
      <c r="J44" s="1553">
        <f t="shared" si="32"/>
        <v>0</v>
      </c>
      <c r="K44" s="955">
        <f t="shared" si="32"/>
        <v>0</v>
      </c>
      <c r="L44" s="1570">
        <f>SUM(N44:S44)</f>
        <v>0</v>
      </c>
      <c r="M44" s="1574">
        <f t="shared" si="5"/>
        <v>0</v>
      </c>
      <c r="N44" s="1572">
        <f t="shared" ref="N44:S44" si="33">AL44+AU44+BD44</f>
        <v>0</v>
      </c>
      <c r="O44" s="1573">
        <f t="shared" si="33"/>
        <v>0</v>
      </c>
      <c r="P44" s="1566">
        <f t="shared" si="33"/>
        <v>0</v>
      </c>
      <c r="Q44" s="1553">
        <f t="shared" si="33"/>
        <v>0</v>
      </c>
      <c r="R44" s="1553">
        <f t="shared" si="33"/>
        <v>0</v>
      </c>
      <c r="S44" s="955">
        <f t="shared" si="33"/>
        <v>0</v>
      </c>
      <c r="T44" s="1570">
        <f t="shared" si="11"/>
        <v>0</v>
      </c>
      <c r="U44" s="1574">
        <f t="shared" ca="1" si="12"/>
        <v>0</v>
      </c>
      <c r="V44" s="1572"/>
      <c r="W44" s="1573">
        <f>IF('Estimate Summary'!$D$9&lt;2,0,$V44)</f>
        <v>0</v>
      </c>
      <c r="X44" s="1566">
        <f>IF('Estimate Summary'!$D$9&lt;3,0,$V44)</f>
        <v>0</v>
      </c>
      <c r="Y44" s="1553">
        <f>IF('Estimate Summary'!$D$9&lt;4,0,$V44)</f>
        <v>0</v>
      </c>
      <c r="Z44" s="1553">
        <f>IF('Estimate Summary'!$D$9&lt;5,0,$V44)</f>
        <v>0</v>
      </c>
      <c r="AA44" s="955">
        <f>IF('Estimate Summary'!$D$9&lt;6,0,$V44)</f>
        <v>0</v>
      </c>
      <c r="AB44" s="1570">
        <f t="shared" si="13"/>
        <v>0</v>
      </c>
      <c r="AC44" s="1574">
        <f t="shared" ca="1" si="14"/>
        <v>0</v>
      </c>
      <c r="AD44" s="1572"/>
      <c r="AE44" s="1573">
        <f>IF('Estimate Summary'!$D$9&lt;2,0,$V44)</f>
        <v>0</v>
      </c>
      <c r="AF44" s="1566">
        <f>IF('Estimate Summary'!$D$9&lt;3,0,$V44)</f>
        <v>0</v>
      </c>
      <c r="AG44" s="1553">
        <f>IF('Estimate Summary'!$D$9&lt;4,0,$V44)</f>
        <v>0</v>
      </c>
      <c r="AH44" s="1553">
        <f>IF('Estimate Summary'!$D$9&lt;5,0,$V44)</f>
        <v>0</v>
      </c>
      <c r="AI44" s="955">
        <f>IF('Estimate Summary'!$D$9&lt;6,0,$V44)</f>
        <v>0</v>
      </c>
      <c r="AJ44" s="2185">
        <f t="shared" si="15"/>
        <v>0</v>
      </c>
      <c r="AK44" s="1571">
        <f t="shared" si="16"/>
        <v>0</v>
      </c>
      <c r="AL44" s="919"/>
      <c r="AM44" s="1553"/>
      <c r="AN44" s="1566"/>
      <c r="AO44" s="1553"/>
      <c r="AP44" s="1553"/>
      <c r="AQ44" s="955"/>
      <c r="AS44" s="2185">
        <f t="shared" si="17"/>
        <v>0</v>
      </c>
      <c r="AT44" s="1571">
        <f t="shared" si="18"/>
        <v>0</v>
      </c>
      <c r="AU44" s="919"/>
      <c r="AV44" s="955"/>
      <c r="AW44" s="1566"/>
      <c r="AX44" s="1553"/>
      <c r="AY44" s="1553"/>
      <c r="AZ44" s="955"/>
      <c r="BA44" s="1965"/>
      <c r="BB44" s="2185">
        <f t="shared" si="19"/>
        <v>0</v>
      </c>
      <c r="BC44" s="1578">
        <f t="shared" si="20"/>
        <v>0</v>
      </c>
      <c r="BD44" s="919"/>
      <c r="BE44" s="955"/>
      <c r="BF44" s="919"/>
      <c r="BG44" s="1553"/>
      <c r="BH44" s="1553"/>
      <c r="BI44" s="955"/>
      <c r="BJ44" s="1575">
        <f t="shared" si="21"/>
        <v>0</v>
      </c>
      <c r="BK44" s="1578">
        <f t="shared" ca="1" si="22"/>
        <v>0</v>
      </c>
      <c r="BL44" s="919"/>
      <c r="BM44" s="955"/>
      <c r="BN44" s="919"/>
      <c r="BO44" s="1553"/>
      <c r="BP44" s="1553"/>
      <c r="BQ44" s="955"/>
      <c r="BR44" s="2104"/>
    </row>
    <row r="45" spans="2:72" ht="14.25" customHeight="1">
      <c r="B45" s="825">
        <v>12</v>
      </c>
      <c r="C45" s="852" t="s">
        <v>408</v>
      </c>
      <c r="D45" s="1972">
        <f t="shared" si="2"/>
        <v>169.08558792062516</v>
      </c>
      <c r="E45" s="468">
        <f t="shared" si="3"/>
        <v>1</v>
      </c>
      <c r="F45" s="1968">
        <f t="shared" ref="F45:K45" si="34">SUM(F26:F28,F37:F43)</f>
        <v>169.08558792062516</v>
      </c>
      <c r="G45" s="1969">
        <f t="shared" si="34"/>
        <v>0</v>
      </c>
      <c r="H45" s="1970">
        <f t="shared" si="34"/>
        <v>0</v>
      </c>
      <c r="I45" s="1969">
        <f t="shared" si="34"/>
        <v>0</v>
      </c>
      <c r="J45" s="1969">
        <f t="shared" si="34"/>
        <v>0</v>
      </c>
      <c r="K45" s="1971">
        <f t="shared" si="34"/>
        <v>0</v>
      </c>
      <c r="L45" s="1972">
        <f>SUM(N45:S45)</f>
        <v>169.08558792062516</v>
      </c>
      <c r="M45" s="468">
        <f t="shared" si="5"/>
        <v>1</v>
      </c>
      <c r="N45" s="1968">
        <f t="shared" ref="N45:S45" si="35">SUM(N26:N28,N37:N44)</f>
        <v>169.08558792062516</v>
      </c>
      <c r="O45" s="1969">
        <f t="shared" si="35"/>
        <v>0</v>
      </c>
      <c r="P45" s="1970">
        <f t="shared" si="35"/>
        <v>0</v>
      </c>
      <c r="Q45" s="1969">
        <f t="shared" si="35"/>
        <v>0</v>
      </c>
      <c r="R45" s="1969">
        <f t="shared" si="35"/>
        <v>0</v>
      </c>
      <c r="S45" s="1971">
        <f t="shared" si="35"/>
        <v>0</v>
      </c>
      <c r="T45" s="2193">
        <f t="shared" si="11"/>
        <v>0</v>
      </c>
      <c r="U45" s="468">
        <f t="shared" ca="1" si="12"/>
        <v>0</v>
      </c>
      <c r="V45" s="1968">
        <f t="shared" ref="V45:AA45" si="36">SUM(V26:V28,V37:V44)</f>
        <v>0</v>
      </c>
      <c r="W45" s="1969">
        <f t="shared" si="36"/>
        <v>0</v>
      </c>
      <c r="X45" s="1970">
        <f t="shared" si="36"/>
        <v>0</v>
      </c>
      <c r="Y45" s="1969">
        <f t="shared" si="36"/>
        <v>0</v>
      </c>
      <c r="Z45" s="1969">
        <f t="shared" si="36"/>
        <v>0</v>
      </c>
      <c r="AA45" s="1971">
        <f t="shared" si="36"/>
        <v>0</v>
      </c>
      <c r="AB45" s="2193">
        <f t="shared" si="13"/>
        <v>0</v>
      </c>
      <c r="AC45" s="468">
        <f t="shared" ca="1" si="14"/>
        <v>0</v>
      </c>
      <c r="AD45" s="1968">
        <f t="shared" ref="AD45:AI45" si="37">SUM(AD26:AD28,AD37:AD44)</f>
        <v>0</v>
      </c>
      <c r="AE45" s="1969">
        <f t="shared" si="37"/>
        <v>0</v>
      </c>
      <c r="AF45" s="1970">
        <f t="shared" si="37"/>
        <v>0</v>
      </c>
      <c r="AG45" s="1969">
        <f t="shared" si="37"/>
        <v>0</v>
      </c>
      <c r="AH45" s="1969">
        <f t="shared" si="37"/>
        <v>0</v>
      </c>
      <c r="AI45" s="1971">
        <f t="shared" si="37"/>
        <v>0</v>
      </c>
      <c r="AJ45" s="1972">
        <f t="shared" si="15"/>
        <v>169.08558792062516</v>
      </c>
      <c r="AK45" s="468">
        <f t="shared" si="16"/>
        <v>1</v>
      </c>
      <c r="AL45" s="1968">
        <f t="shared" ref="AL45:AQ45" si="38">SUM(AL26:AL28,AL37:AL44)</f>
        <v>169.08558792062516</v>
      </c>
      <c r="AM45" s="1969">
        <f t="shared" si="38"/>
        <v>0</v>
      </c>
      <c r="AN45" s="1970">
        <f t="shared" si="38"/>
        <v>0</v>
      </c>
      <c r="AO45" s="1969">
        <f t="shared" si="38"/>
        <v>0</v>
      </c>
      <c r="AP45" s="1969">
        <f t="shared" si="38"/>
        <v>0</v>
      </c>
      <c r="AQ45" s="1971">
        <f t="shared" si="38"/>
        <v>0</v>
      </c>
      <c r="AR45" s="854"/>
      <c r="AS45" s="1972">
        <f t="shared" si="17"/>
        <v>0</v>
      </c>
      <c r="AT45" s="1997">
        <f t="shared" si="18"/>
        <v>0</v>
      </c>
      <c r="AU45" s="1968">
        <f t="shared" ref="AU45:AZ45" si="39">SUM(AU26:AU28,AU37:AU44)</f>
        <v>0</v>
      </c>
      <c r="AV45" s="1971">
        <f t="shared" si="39"/>
        <v>0</v>
      </c>
      <c r="AW45" s="1970">
        <f t="shared" si="39"/>
        <v>0</v>
      </c>
      <c r="AX45" s="1969">
        <f t="shared" si="39"/>
        <v>0</v>
      </c>
      <c r="AY45" s="1969">
        <f t="shared" si="39"/>
        <v>0</v>
      </c>
      <c r="AZ45" s="1971">
        <f t="shared" si="39"/>
        <v>0</v>
      </c>
      <c r="BA45" s="1965"/>
      <c r="BB45" s="853">
        <f t="shared" si="19"/>
        <v>0</v>
      </c>
      <c r="BC45" s="468">
        <f t="shared" si="20"/>
        <v>0</v>
      </c>
      <c r="BD45" s="1968">
        <f t="shared" ref="BD45:BI45" si="40">SUM(BD26:BD28,BD37:BD44)</f>
        <v>0</v>
      </c>
      <c r="BE45" s="1971">
        <f t="shared" si="40"/>
        <v>0</v>
      </c>
      <c r="BF45" s="1970">
        <f t="shared" si="40"/>
        <v>0</v>
      </c>
      <c r="BG45" s="1969">
        <f t="shared" si="40"/>
        <v>0</v>
      </c>
      <c r="BH45" s="1969">
        <f t="shared" si="40"/>
        <v>0</v>
      </c>
      <c r="BI45" s="1971">
        <f t="shared" si="40"/>
        <v>0</v>
      </c>
      <c r="BJ45" s="853">
        <f t="shared" si="21"/>
        <v>0</v>
      </c>
      <c r="BK45" s="468">
        <f t="shared" ca="1" si="22"/>
        <v>0</v>
      </c>
      <c r="BL45" s="1968">
        <f t="shared" ref="BL45:BQ45" si="41">SUM(BL26:BL28,BL37:BL44)</f>
        <v>0</v>
      </c>
      <c r="BM45" s="1971">
        <f t="shared" si="41"/>
        <v>0</v>
      </c>
      <c r="BN45" s="1970">
        <f t="shared" si="41"/>
        <v>0</v>
      </c>
      <c r="BO45" s="1969">
        <f t="shared" si="41"/>
        <v>0</v>
      </c>
      <c r="BP45" s="1969">
        <f t="shared" si="41"/>
        <v>0</v>
      </c>
      <c r="BQ45" s="1971">
        <f t="shared" si="41"/>
        <v>0</v>
      </c>
      <c r="BR45" s="2104"/>
    </row>
    <row r="46" spans="2:72" ht="14.25" customHeight="1">
      <c r="B46" s="1568">
        <v>13</v>
      </c>
      <c r="C46" s="1569" t="s">
        <v>759</v>
      </c>
      <c r="D46" s="1570">
        <f t="shared" si="2"/>
        <v>0</v>
      </c>
      <c r="E46" s="1574">
        <f t="shared" si="3"/>
        <v>0</v>
      </c>
      <c r="F46" s="1572">
        <f t="shared" ref="F46:K46" si="42">N46+V46</f>
        <v>0</v>
      </c>
      <c r="G46" s="2182">
        <f t="shared" si="42"/>
        <v>0</v>
      </c>
      <c r="H46" s="2189">
        <f t="shared" si="42"/>
        <v>0</v>
      </c>
      <c r="I46" s="2189">
        <f t="shared" si="42"/>
        <v>0</v>
      </c>
      <c r="J46" s="2189">
        <f t="shared" si="42"/>
        <v>0</v>
      </c>
      <c r="K46" s="955">
        <f t="shared" si="42"/>
        <v>0</v>
      </c>
      <c r="L46" s="1570">
        <f t="shared" ref="L46:L69" si="43">SUM(N46:S46)</f>
        <v>0</v>
      </c>
      <c r="M46" s="1574">
        <f t="shared" si="5"/>
        <v>0</v>
      </c>
      <c r="N46" s="1572">
        <f t="shared" ref="N46:S47" si="44">AL46+AU46+BD46</f>
        <v>0</v>
      </c>
      <c r="O46" s="2182">
        <f t="shared" si="44"/>
        <v>0</v>
      </c>
      <c r="P46" s="2189">
        <f t="shared" si="44"/>
        <v>0</v>
      </c>
      <c r="Q46" s="2189">
        <f t="shared" si="44"/>
        <v>0</v>
      </c>
      <c r="R46" s="2189">
        <f t="shared" si="44"/>
        <v>0</v>
      </c>
      <c r="S46" s="955">
        <f t="shared" si="44"/>
        <v>0</v>
      </c>
      <c r="T46" s="1570">
        <f t="shared" si="11"/>
        <v>0</v>
      </c>
      <c r="U46" s="1574">
        <f t="shared" ca="1" si="12"/>
        <v>0</v>
      </c>
      <c r="V46" s="1572"/>
      <c r="W46" s="1573"/>
      <c r="X46" s="1553"/>
      <c r="Y46" s="1553"/>
      <c r="Z46" s="1553"/>
      <c r="AA46" s="955"/>
      <c r="AB46" s="1570">
        <f t="shared" si="13"/>
        <v>0</v>
      </c>
      <c r="AC46" s="1574">
        <f t="shared" ca="1" si="14"/>
        <v>0</v>
      </c>
      <c r="AD46" s="1572"/>
      <c r="AE46" s="1573"/>
      <c r="AF46" s="1553"/>
      <c r="AG46" s="1553"/>
      <c r="AH46" s="1553"/>
      <c r="AI46" s="955"/>
      <c r="AJ46" s="1575">
        <f t="shared" si="15"/>
        <v>0</v>
      </c>
      <c r="AK46" s="1576">
        <f t="shared" si="16"/>
        <v>0</v>
      </c>
      <c r="AL46" s="919">
        <f>'Estimate Detail'!H402</f>
        <v>0</v>
      </c>
      <c r="AM46" s="2194">
        <f>IF('Estimate Summary'!$D$9&lt;2,0,'Estimate Detail'!I402)</f>
        <v>0</v>
      </c>
      <c r="AN46" s="2194">
        <f>IF('Estimate Summary'!$D$9&lt;3,0,'Estimate Detail'!J402)</f>
        <v>0</v>
      </c>
      <c r="AO46" s="2194">
        <f>IF('Estimate Summary'!$D$9&lt;4,0,'Estimate Detail'!K402)</f>
        <v>0</v>
      </c>
      <c r="AP46" s="2194">
        <f>IF('Estimate Summary'!$D$9&lt;5,0,'Estimate Detail'!L402)</f>
        <v>0</v>
      </c>
      <c r="AQ46" s="2195">
        <f>IF('Estimate Summary'!$D$9&lt;6,0,'Estimate Detail'!M402)</f>
        <v>0</v>
      </c>
      <c r="AR46" s="1577"/>
      <c r="AS46" s="1575">
        <f t="shared" si="17"/>
        <v>0</v>
      </c>
      <c r="AT46" s="1576">
        <f t="shared" si="18"/>
        <v>0</v>
      </c>
      <c r="AU46" s="919"/>
      <c r="AV46" s="955"/>
      <c r="AW46" s="1566"/>
      <c r="AX46" s="1553"/>
      <c r="AY46" s="1553"/>
      <c r="AZ46" s="955"/>
      <c r="BA46" s="1965"/>
      <c r="BB46" s="1575">
        <f t="shared" si="19"/>
        <v>0</v>
      </c>
      <c r="BC46" s="1578">
        <f t="shared" si="20"/>
        <v>0</v>
      </c>
      <c r="BD46" s="919"/>
      <c r="BE46" s="955"/>
      <c r="BF46" s="1580"/>
      <c r="BG46" s="1553"/>
      <c r="BH46" s="1553"/>
      <c r="BI46" s="955"/>
      <c r="BJ46" s="1575">
        <f t="shared" si="21"/>
        <v>0</v>
      </c>
      <c r="BK46" s="1578">
        <f t="shared" ca="1" si="22"/>
        <v>0</v>
      </c>
      <c r="BL46" s="919"/>
      <c r="BM46" s="955"/>
      <c r="BN46" s="1580"/>
      <c r="BO46" s="1553"/>
      <c r="BP46" s="1553"/>
      <c r="BQ46" s="955"/>
      <c r="BR46" s="2104"/>
      <c r="BT46" s="1581"/>
    </row>
    <row r="47" spans="2:72" ht="14.25" customHeight="1">
      <c r="B47" s="1568">
        <v>14</v>
      </c>
      <c r="C47" s="1569" t="s">
        <v>242</v>
      </c>
      <c r="D47" s="1570">
        <f>SUM(F47:K47)</f>
        <v>0</v>
      </c>
      <c r="E47" s="1571">
        <f t="shared" si="3"/>
        <v>0</v>
      </c>
      <c r="F47" s="1572"/>
      <c r="G47" s="1573">
        <f>IF('Estimate Summary'!$D$9&lt;2,0,$E47*G$68)</f>
        <v>0</v>
      </c>
      <c r="H47" s="1553">
        <f>IF('Estimate Summary'!$D$9&lt;3,0,$E47*H$68)</f>
        <v>0</v>
      </c>
      <c r="I47" s="1553">
        <f>IF('Estimate Summary'!$D$9&lt;4,0,$E47*I$68)</f>
        <v>0</v>
      </c>
      <c r="J47" s="1553">
        <f>IF('Estimate Summary'!$D$9&lt;5,0,$E47*J$68)</f>
        <v>0</v>
      </c>
      <c r="K47" s="955">
        <f>IF('Estimate Summary'!$D$9&lt;6,0,$E47*K$68)</f>
        <v>0</v>
      </c>
      <c r="L47" s="1570">
        <f t="shared" si="43"/>
        <v>0</v>
      </c>
      <c r="M47" s="1571">
        <f t="shared" si="5"/>
        <v>0</v>
      </c>
      <c r="N47" s="1572">
        <f>AL47+AU47+BD47</f>
        <v>0</v>
      </c>
      <c r="O47" s="1573">
        <f t="shared" si="44"/>
        <v>0</v>
      </c>
      <c r="P47" s="1553">
        <f t="shared" si="44"/>
        <v>0</v>
      </c>
      <c r="Q47" s="1553">
        <f t="shared" si="44"/>
        <v>0</v>
      </c>
      <c r="R47" s="1553">
        <f t="shared" si="44"/>
        <v>0</v>
      </c>
      <c r="S47" s="955">
        <f t="shared" si="44"/>
        <v>0</v>
      </c>
      <c r="T47" s="1570">
        <f t="shared" si="11"/>
        <v>0</v>
      </c>
      <c r="U47" s="1574">
        <f t="shared" ca="1" si="12"/>
        <v>0</v>
      </c>
      <c r="V47" s="1572">
        <f>AD47+BD47</f>
        <v>0</v>
      </c>
      <c r="W47" s="1573">
        <f t="shared" ref="W47:AA47" si="45">AE47+BE47</f>
        <v>0</v>
      </c>
      <c r="X47" s="1553">
        <f t="shared" si="45"/>
        <v>0</v>
      </c>
      <c r="Y47" s="1553">
        <f t="shared" si="45"/>
        <v>0</v>
      </c>
      <c r="Z47" s="1553">
        <f t="shared" si="45"/>
        <v>0</v>
      </c>
      <c r="AA47" s="955">
        <f t="shared" si="45"/>
        <v>0</v>
      </c>
      <c r="AB47" s="1570">
        <f t="shared" si="13"/>
        <v>0</v>
      </c>
      <c r="AC47" s="1574">
        <f t="shared" ca="1" si="14"/>
        <v>0</v>
      </c>
      <c r="AD47" s="1572"/>
      <c r="AE47" s="1573"/>
      <c r="AF47" s="1579"/>
      <c r="AG47" s="1553"/>
      <c r="AH47" s="1553"/>
      <c r="AI47" s="955"/>
      <c r="AJ47" s="1575">
        <f t="shared" si="15"/>
        <v>0</v>
      </c>
      <c r="AK47" s="1576">
        <f t="shared" si="16"/>
        <v>0</v>
      </c>
      <c r="AL47" s="919">
        <f>F47-AU47-BD47</f>
        <v>0</v>
      </c>
      <c r="AM47" s="1553">
        <f t="shared" ref="AM47:AQ47" si="46">G47-AV47-BE47</f>
        <v>0</v>
      </c>
      <c r="AN47" s="1566">
        <f t="shared" si="46"/>
        <v>0</v>
      </c>
      <c r="AO47" s="1553">
        <f t="shared" si="46"/>
        <v>0</v>
      </c>
      <c r="AP47" s="1553">
        <f t="shared" si="46"/>
        <v>0</v>
      </c>
      <c r="AQ47" s="955">
        <f t="shared" si="46"/>
        <v>0</v>
      </c>
      <c r="AR47" s="1577"/>
      <c r="AS47" s="1575">
        <f t="shared" si="17"/>
        <v>0</v>
      </c>
      <c r="AT47" s="1576">
        <f t="shared" si="18"/>
        <v>0</v>
      </c>
      <c r="AU47" s="919"/>
      <c r="AV47" s="955"/>
      <c r="AW47" s="1566"/>
      <c r="AX47" s="1553"/>
      <c r="AY47" s="1553"/>
      <c r="AZ47" s="955"/>
      <c r="BA47" s="1965"/>
      <c r="BB47" s="1575">
        <f t="shared" si="19"/>
        <v>0</v>
      </c>
      <c r="BC47" s="1578">
        <f t="shared" si="20"/>
        <v>0</v>
      </c>
      <c r="BD47" s="919"/>
      <c r="BE47" s="955"/>
      <c r="BF47" s="1580"/>
      <c r="BG47" s="1553"/>
      <c r="BH47" s="1553"/>
      <c r="BI47" s="955"/>
      <c r="BJ47" s="1575">
        <f t="shared" si="21"/>
        <v>0</v>
      </c>
      <c r="BK47" s="1578">
        <f t="shared" ca="1" si="22"/>
        <v>0</v>
      </c>
      <c r="BL47" s="919"/>
      <c r="BM47" s="955"/>
      <c r="BN47" s="1580"/>
      <c r="BO47" s="1553"/>
      <c r="BP47" s="1553"/>
      <c r="BQ47" s="955"/>
      <c r="BR47" s="2104"/>
      <c r="BT47" s="1581"/>
    </row>
    <row r="48" spans="2:72" ht="14.25" customHeight="1">
      <c r="B48" s="1568">
        <v>15</v>
      </c>
      <c r="C48" s="1569" t="s">
        <v>75</v>
      </c>
      <c r="D48" s="1570">
        <f t="shared" si="2"/>
        <v>0</v>
      </c>
      <c r="E48" s="1571">
        <f t="shared" si="3"/>
        <v>0</v>
      </c>
      <c r="F48" s="1572"/>
      <c r="G48" s="1573">
        <f>IF('Estimate Summary'!$D$9&lt;2,0,$E48*G$68)</f>
        <v>0</v>
      </c>
      <c r="H48" s="1553">
        <f>IF('Estimate Summary'!$D$9&lt;3,0,$E48*H$68)</f>
        <v>0</v>
      </c>
      <c r="I48" s="1553">
        <f>IF('Estimate Summary'!$D$9&lt;4,0,$E48*I$68)</f>
        <v>0</v>
      </c>
      <c r="J48" s="1553">
        <f>IF('Estimate Summary'!$D$9&lt;5,0,$E48*J$68)</f>
        <v>0</v>
      </c>
      <c r="K48" s="955">
        <f>IF('Estimate Summary'!$D$9&lt;6,0,$E48*K$68)</f>
        <v>0</v>
      </c>
      <c r="L48" s="1570">
        <f t="shared" si="43"/>
        <v>0</v>
      </c>
      <c r="M48" s="1571">
        <f t="shared" si="5"/>
        <v>0</v>
      </c>
      <c r="N48" s="1572">
        <f t="shared" ref="N48:N49" si="47">AL48+AU48+BD48</f>
        <v>0</v>
      </c>
      <c r="O48" s="1573">
        <f t="shared" ref="O48:O49" si="48">AM48+AV48+BE48</f>
        <v>0</v>
      </c>
      <c r="P48" s="1553">
        <f t="shared" ref="P48:P49" si="49">AN48+AW48+BF48</f>
        <v>0</v>
      </c>
      <c r="Q48" s="1553">
        <f t="shared" ref="Q48:Q49" si="50">AO48+AX48+BG48</f>
        <v>0</v>
      </c>
      <c r="R48" s="1553">
        <f t="shared" ref="R48:R49" si="51">AP48+AY48+BH48</f>
        <v>0</v>
      </c>
      <c r="S48" s="955">
        <f t="shared" ref="S48:S49" si="52">AQ48+AZ48+BI48</f>
        <v>0</v>
      </c>
      <c r="T48" s="1570">
        <f t="shared" si="11"/>
        <v>0</v>
      </c>
      <c r="U48" s="1574">
        <f t="shared" ca="1" si="12"/>
        <v>0</v>
      </c>
      <c r="V48" s="1572">
        <f t="shared" ref="V48:V49" si="53">AD48+BD48</f>
        <v>0</v>
      </c>
      <c r="W48" s="1573">
        <f t="shared" ref="W48:W49" si="54">AE48+BE48</f>
        <v>0</v>
      </c>
      <c r="X48" s="1553">
        <f t="shared" ref="X48:X49" si="55">AF48+BF48</f>
        <v>0</v>
      </c>
      <c r="Y48" s="1553">
        <f t="shared" ref="Y48:Y49" si="56">AG48+BG48</f>
        <v>0</v>
      </c>
      <c r="Z48" s="1553">
        <f t="shared" ref="Z48:Z49" si="57">AH48+BH48</f>
        <v>0</v>
      </c>
      <c r="AA48" s="955">
        <f t="shared" ref="AA48:AA49" si="58">AI48+BI48</f>
        <v>0</v>
      </c>
      <c r="AB48" s="1570">
        <f t="shared" si="13"/>
        <v>0</v>
      </c>
      <c r="AC48" s="1574">
        <f t="shared" ca="1" si="14"/>
        <v>0</v>
      </c>
      <c r="AD48" s="1572"/>
      <c r="AE48" s="1573"/>
      <c r="AF48" s="1579"/>
      <c r="AG48" s="1553"/>
      <c r="AH48" s="1553"/>
      <c r="AI48" s="955"/>
      <c r="AJ48" s="1575">
        <f t="shared" si="15"/>
        <v>0</v>
      </c>
      <c r="AK48" s="1576">
        <f t="shared" si="16"/>
        <v>0</v>
      </c>
      <c r="AL48" s="919"/>
      <c r="AM48" s="1553"/>
      <c r="AN48" s="1566"/>
      <c r="AO48" s="1553"/>
      <c r="AP48" s="1553"/>
      <c r="AQ48" s="955"/>
      <c r="AR48" s="1577"/>
      <c r="AS48" s="1575">
        <f t="shared" si="17"/>
        <v>0</v>
      </c>
      <c r="AT48" s="1576">
        <f t="shared" si="18"/>
        <v>0</v>
      </c>
      <c r="AU48" s="919"/>
      <c r="AV48" s="955"/>
      <c r="AW48" s="1566"/>
      <c r="AX48" s="1553"/>
      <c r="AY48" s="1553"/>
      <c r="AZ48" s="955"/>
      <c r="BA48" s="1965"/>
      <c r="BB48" s="1575">
        <f t="shared" si="19"/>
        <v>0</v>
      </c>
      <c r="BC48" s="1578">
        <f t="shared" si="20"/>
        <v>0</v>
      </c>
      <c r="BD48" s="919"/>
      <c r="BE48" s="955"/>
      <c r="BF48" s="1580"/>
      <c r="BG48" s="1553"/>
      <c r="BH48" s="1553"/>
      <c r="BI48" s="955"/>
      <c r="BJ48" s="1575">
        <f t="shared" si="21"/>
        <v>0</v>
      </c>
      <c r="BK48" s="1578">
        <f t="shared" ca="1" si="22"/>
        <v>0</v>
      </c>
      <c r="BL48" s="919"/>
      <c r="BM48" s="955"/>
      <c r="BN48" s="1580"/>
      <c r="BO48" s="1553"/>
      <c r="BP48" s="1553"/>
      <c r="BQ48" s="955"/>
      <c r="BR48" s="2104"/>
      <c r="BT48" s="1581"/>
    </row>
    <row r="49" spans="2:72" ht="14.25" customHeight="1">
      <c r="B49" s="1568">
        <v>16</v>
      </c>
      <c r="C49" s="1569" t="s">
        <v>75</v>
      </c>
      <c r="D49" s="1570">
        <f t="shared" si="2"/>
        <v>0</v>
      </c>
      <c r="E49" s="1571">
        <f t="shared" si="3"/>
        <v>0</v>
      </c>
      <c r="F49" s="1572"/>
      <c r="G49" s="1573">
        <f>IF('Estimate Summary'!$D$9&lt;2,0,$E49*G$68)</f>
        <v>0</v>
      </c>
      <c r="H49" s="1553">
        <f>IF('Estimate Summary'!$D$9&lt;3,0,$E49*H$68)</f>
        <v>0</v>
      </c>
      <c r="I49" s="1553">
        <f>IF('Estimate Summary'!$D$9&lt;4,0,$E49*I$68)</f>
        <v>0</v>
      </c>
      <c r="J49" s="1553">
        <f>IF('Estimate Summary'!$D$9&lt;5,0,$E49*J$68)</f>
        <v>0</v>
      </c>
      <c r="K49" s="955">
        <f>IF('Estimate Summary'!$D$9&lt;6,0,$E49*K$68)</f>
        <v>0</v>
      </c>
      <c r="L49" s="1570">
        <f t="shared" si="43"/>
        <v>0</v>
      </c>
      <c r="M49" s="1571">
        <f t="shared" si="5"/>
        <v>0</v>
      </c>
      <c r="N49" s="1572">
        <f t="shared" si="47"/>
        <v>0</v>
      </c>
      <c r="O49" s="1573">
        <f t="shared" si="48"/>
        <v>0</v>
      </c>
      <c r="P49" s="1553">
        <f t="shared" si="49"/>
        <v>0</v>
      </c>
      <c r="Q49" s="1553">
        <f t="shared" si="50"/>
        <v>0</v>
      </c>
      <c r="R49" s="1553">
        <f t="shared" si="51"/>
        <v>0</v>
      </c>
      <c r="S49" s="955">
        <f t="shared" si="52"/>
        <v>0</v>
      </c>
      <c r="T49" s="1570">
        <f t="shared" si="11"/>
        <v>0</v>
      </c>
      <c r="U49" s="1574">
        <f t="shared" ca="1" si="12"/>
        <v>0</v>
      </c>
      <c r="V49" s="1572">
        <f t="shared" si="53"/>
        <v>0</v>
      </c>
      <c r="W49" s="1573">
        <f t="shared" si="54"/>
        <v>0</v>
      </c>
      <c r="X49" s="1553">
        <f t="shared" si="55"/>
        <v>0</v>
      </c>
      <c r="Y49" s="1553">
        <f t="shared" si="56"/>
        <v>0</v>
      </c>
      <c r="Z49" s="1553">
        <f t="shared" si="57"/>
        <v>0</v>
      </c>
      <c r="AA49" s="955">
        <f t="shared" si="58"/>
        <v>0</v>
      </c>
      <c r="AB49" s="1570">
        <f t="shared" si="13"/>
        <v>0</v>
      </c>
      <c r="AC49" s="1574">
        <f t="shared" ca="1" si="14"/>
        <v>0</v>
      </c>
      <c r="AD49" s="1572"/>
      <c r="AE49" s="1573"/>
      <c r="AF49" s="1553"/>
      <c r="AG49" s="1553"/>
      <c r="AH49" s="1553"/>
      <c r="AI49" s="955"/>
      <c r="AJ49" s="1575">
        <f t="shared" si="15"/>
        <v>0</v>
      </c>
      <c r="AK49" s="1576">
        <f t="shared" si="16"/>
        <v>0</v>
      </c>
      <c r="AL49" s="919"/>
      <c r="AM49" s="1553"/>
      <c r="AN49" s="1566"/>
      <c r="AO49" s="1553"/>
      <c r="AP49" s="1553"/>
      <c r="AQ49" s="955"/>
      <c r="AR49" s="1577"/>
      <c r="AS49" s="1575">
        <f t="shared" si="17"/>
        <v>0</v>
      </c>
      <c r="AT49" s="1576">
        <f t="shared" si="18"/>
        <v>0</v>
      </c>
      <c r="AU49" s="919"/>
      <c r="AV49" s="955"/>
      <c r="AW49" s="1566"/>
      <c r="AX49" s="1553"/>
      <c r="AY49" s="1553"/>
      <c r="AZ49" s="955"/>
      <c r="BA49" s="1965"/>
      <c r="BB49" s="1575">
        <f t="shared" si="19"/>
        <v>0</v>
      </c>
      <c r="BC49" s="1578">
        <f t="shared" si="20"/>
        <v>0</v>
      </c>
      <c r="BD49" s="919"/>
      <c r="BE49" s="955"/>
      <c r="BF49" s="1580"/>
      <c r="BG49" s="1553"/>
      <c r="BH49" s="1553"/>
      <c r="BI49" s="955"/>
      <c r="BJ49" s="1575">
        <f t="shared" si="21"/>
        <v>0</v>
      </c>
      <c r="BK49" s="1578">
        <f t="shared" ca="1" si="22"/>
        <v>0</v>
      </c>
      <c r="BL49" s="919"/>
      <c r="BM49" s="955"/>
      <c r="BN49" s="1580"/>
      <c r="BO49" s="1553"/>
      <c r="BP49" s="1553"/>
      <c r="BQ49" s="955"/>
      <c r="BR49" s="2104"/>
      <c r="BT49" s="1581"/>
    </row>
    <row r="50" spans="2:72" s="918" customFormat="1" ht="14.25" customHeight="1" thickBot="1">
      <c r="B50" s="1589">
        <v>17</v>
      </c>
      <c r="C50" s="1988" t="s">
        <v>776</v>
      </c>
      <c r="D50" s="1989">
        <f t="shared" si="2"/>
        <v>169.08558792062516</v>
      </c>
      <c r="E50" s="1990">
        <f t="shared" si="3"/>
        <v>1</v>
      </c>
      <c r="F50" s="1602">
        <f t="shared" ref="F50:K50" si="59">SUM(F45:F49)</f>
        <v>169.08558792062516</v>
      </c>
      <c r="G50" s="1595">
        <f t="shared" si="59"/>
        <v>0</v>
      </c>
      <c r="H50" s="1991">
        <f t="shared" si="59"/>
        <v>0</v>
      </c>
      <c r="I50" s="1595">
        <f t="shared" si="59"/>
        <v>0</v>
      </c>
      <c r="J50" s="1595">
        <f t="shared" si="59"/>
        <v>0</v>
      </c>
      <c r="K50" s="1596">
        <f t="shared" si="59"/>
        <v>0</v>
      </c>
      <c r="L50" s="1989">
        <f t="shared" si="43"/>
        <v>169.08558792062516</v>
      </c>
      <c r="M50" s="1990">
        <f t="shared" si="5"/>
        <v>1</v>
      </c>
      <c r="N50" s="1602">
        <f t="shared" ref="N50:S50" si="60">SUM(N45:N49)</f>
        <v>169.08558792062516</v>
      </c>
      <c r="O50" s="1595">
        <f t="shared" si="60"/>
        <v>0</v>
      </c>
      <c r="P50" s="1991">
        <f t="shared" si="60"/>
        <v>0</v>
      </c>
      <c r="Q50" s="1595">
        <f t="shared" si="60"/>
        <v>0</v>
      </c>
      <c r="R50" s="1595">
        <f t="shared" si="60"/>
        <v>0</v>
      </c>
      <c r="S50" s="1596">
        <f t="shared" si="60"/>
        <v>0</v>
      </c>
      <c r="T50" s="1989">
        <f t="shared" si="11"/>
        <v>0</v>
      </c>
      <c r="U50" s="1990">
        <f t="shared" ca="1" si="12"/>
        <v>0</v>
      </c>
      <c r="V50" s="1602">
        <f t="shared" ref="V50:AA50" si="61">SUM(V45:V49)</f>
        <v>0</v>
      </c>
      <c r="W50" s="1595">
        <f t="shared" si="61"/>
        <v>0</v>
      </c>
      <c r="X50" s="1991">
        <f t="shared" si="61"/>
        <v>0</v>
      </c>
      <c r="Y50" s="1595">
        <f t="shared" si="61"/>
        <v>0</v>
      </c>
      <c r="Z50" s="1595">
        <f t="shared" si="61"/>
        <v>0</v>
      </c>
      <c r="AA50" s="1596">
        <f t="shared" si="61"/>
        <v>0</v>
      </c>
      <c r="AB50" s="1989">
        <f t="shared" si="13"/>
        <v>0</v>
      </c>
      <c r="AC50" s="1990">
        <f t="shared" ca="1" si="14"/>
        <v>0</v>
      </c>
      <c r="AD50" s="1602">
        <f t="shared" ref="AD50:AI50" si="62">SUM(AD45:AD49)</f>
        <v>0</v>
      </c>
      <c r="AE50" s="1595">
        <f t="shared" si="62"/>
        <v>0</v>
      </c>
      <c r="AF50" s="1991">
        <f t="shared" si="62"/>
        <v>0</v>
      </c>
      <c r="AG50" s="1595">
        <f t="shared" si="62"/>
        <v>0</v>
      </c>
      <c r="AH50" s="1595">
        <f t="shared" si="62"/>
        <v>0</v>
      </c>
      <c r="AI50" s="1596">
        <f t="shared" si="62"/>
        <v>0</v>
      </c>
      <c r="AJ50" s="1989">
        <f t="shared" si="15"/>
        <v>169.08558792062516</v>
      </c>
      <c r="AK50" s="1990">
        <f t="shared" si="16"/>
        <v>1</v>
      </c>
      <c r="AL50" s="1602">
        <f t="shared" ref="AL50:AQ50" si="63">SUM(AL45:AL49)</f>
        <v>169.08558792062516</v>
      </c>
      <c r="AM50" s="1595">
        <f t="shared" si="63"/>
        <v>0</v>
      </c>
      <c r="AN50" s="1991">
        <f t="shared" si="63"/>
        <v>0</v>
      </c>
      <c r="AO50" s="1595">
        <f t="shared" si="63"/>
        <v>0</v>
      </c>
      <c r="AP50" s="1595">
        <f t="shared" si="63"/>
        <v>0</v>
      </c>
      <c r="AQ50" s="1596">
        <f t="shared" si="63"/>
        <v>0</v>
      </c>
      <c r="AR50" s="1992"/>
      <c r="AS50" s="1989">
        <f t="shared" si="17"/>
        <v>0</v>
      </c>
      <c r="AT50" s="1990">
        <f t="shared" si="18"/>
        <v>0</v>
      </c>
      <c r="AU50" s="1602">
        <f t="shared" ref="AU50:AZ50" si="64">SUM(AU45:AU49)</f>
        <v>0</v>
      </c>
      <c r="AV50" s="1596">
        <f t="shared" si="64"/>
        <v>0</v>
      </c>
      <c r="AW50" s="1991">
        <f t="shared" si="64"/>
        <v>0</v>
      </c>
      <c r="AX50" s="1595">
        <f t="shared" si="64"/>
        <v>0</v>
      </c>
      <c r="AY50" s="1595">
        <f t="shared" si="64"/>
        <v>0</v>
      </c>
      <c r="AZ50" s="1596">
        <f t="shared" si="64"/>
        <v>0</v>
      </c>
      <c r="BA50" s="1967"/>
      <c r="BB50" s="1989">
        <f t="shared" si="19"/>
        <v>0</v>
      </c>
      <c r="BC50" s="1990">
        <f t="shared" si="20"/>
        <v>0</v>
      </c>
      <c r="BD50" s="1602">
        <f t="shared" ref="BD50:BI50" si="65">SUM(BD45:BD49)</f>
        <v>0</v>
      </c>
      <c r="BE50" s="1596">
        <f t="shared" si="65"/>
        <v>0</v>
      </c>
      <c r="BF50" s="1602">
        <f t="shared" si="65"/>
        <v>0</v>
      </c>
      <c r="BG50" s="1595">
        <f t="shared" si="65"/>
        <v>0</v>
      </c>
      <c r="BH50" s="1595">
        <f t="shared" si="65"/>
        <v>0</v>
      </c>
      <c r="BI50" s="1596">
        <f t="shared" si="65"/>
        <v>0</v>
      </c>
      <c r="BJ50" s="1989">
        <f t="shared" si="21"/>
        <v>0</v>
      </c>
      <c r="BK50" s="1990">
        <f t="shared" ca="1" si="22"/>
        <v>0</v>
      </c>
      <c r="BL50" s="1602">
        <f t="shared" ref="BL50:BQ50" si="66">SUM(BL45:BL49)</f>
        <v>0</v>
      </c>
      <c r="BM50" s="1596">
        <f t="shared" si="66"/>
        <v>0</v>
      </c>
      <c r="BN50" s="1602">
        <f t="shared" si="66"/>
        <v>0</v>
      </c>
      <c r="BO50" s="1595">
        <f t="shared" si="66"/>
        <v>0</v>
      </c>
      <c r="BP50" s="1595">
        <f t="shared" si="66"/>
        <v>0</v>
      </c>
      <c r="BQ50" s="1596">
        <f t="shared" si="66"/>
        <v>0</v>
      </c>
      <c r="BR50" s="2105"/>
      <c r="BT50" s="1567"/>
    </row>
    <row r="51" spans="2:72" s="918" customFormat="1" ht="14.25" hidden="1" customHeight="1" outlineLevel="1">
      <c r="B51" s="1973">
        <v>18</v>
      </c>
      <c r="C51" s="1974" t="s">
        <v>777</v>
      </c>
      <c r="D51" s="1977" t="e">
        <f t="shared" ca="1" si="2"/>
        <v>#N/A</v>
      </c>
      <c r="E51" s="1976" t="e">
        <f t="shared" ref="E51:E68" ca="1" si="67">IF($D$68=0,0,D51/$D$68)</f>
        <v>#N/A</v>
      </c>
      <c r="F51" s="1977" t="e">
        <f ca="1">F68-F50</f>
        <v>#N/A</v>
      </c>
      <c r="G51" s="1978">
        <f t="shared" ref="G51:K51" si="68">G68-G50</f>
        <v>0</v>
      </c>
      <c r="H51" s="1979" t="e">
        <f t="shared" ca="1" si="68"/>
        <v>#N/A</v>
      </c>
      <c r="I51" s="1979">
        <f t="shared" si="68"/>
        <v>0</v>
      </c>
      <c r="J51" s="1979">
        <f t="shared" si="68"/>
        <v>0</v>
      </c>
      <c r="K51" s="1980">
        <f t="shared" si="68"/>
        <v>0</v>
      </c>
      <c r="L51" s="1975" t="e">
        <f t="shared" ca="1" si="43"/>
        <v>#N/A</v>
      </c>
      <c r="M51" s="1976" t="e">
        <f t="shared" ref="M51:M69" ca="1" si="69">IF($L$68=0,0,L51/$L$68)</f>
        <v>#N/A</v>
      </c>
      <c r="N51" s="1977" t="e">
        <f ca="1">N68-N50</f>
        <v>#N/A</v>
      </c>
      <c r="O51" s="1978">
        <f t="shared" ref="O51" si="70">O68-O50</f>
        <v>0</v>
      </c>
      <c r="P51" s="1979" t="e">
        <f t="shared" ref="P51" ca="1" si="71">P68-P50</f>
        <v>#N/A</v>
      </c>
      <c r="Q51" s="1979">
        <f t="shared" ref="Q51" si="72">Q68-Q50</f>
        <v>0</v>
      </c>
      <c r="R51" s="1979">
        <f t="shared" ref="R51" si="73">R68-R50</f>
        <v>0</v>
      </c>
      <c r="S51" s="1980">
        <f t="shared" ref="S51" si="74">S68-S50</f>
        <v>0</v>
      </c>
      <c r="T51" s="1975">
        <f t="shared" ca="1" si="11"/>
        <v>0</v>
      </c>
      <c r="U51" s="1981">
        <f t="shared" ca="1" si="12"/>
        <v>0</v>
      </c>
      <c r="V51" s="1977">
        <f ca="1">V68-V50</f>
        <v>0</v>
      </c>
      <c r="W51" s="1978">
        <f t="shared" ref="W51" si="75">W68-W50</f>
        <v>0</v>
      </c>
      <c r="X51" s="1979">
        <f t="shared" ref="X51" si="76">X68-X50</f>
        <v>0</v>
      </c>
      <c r="Y51" s="1979">
        <f t="shared" ref="Y51" si="77">Y68-Y50</f>
        <v>0</v>
      </c>
      <c r="Z51" s="1979">
        <f t="shared" ref="Z51" si="78">Z68-Z50</f>
        <v>0</v>
      </c>
      <c r="AA51" s="1980">
        <f t="shared" ref="AA51" si="79">AA68-AA50</f>
        <v>0</v>
      </c>
      <c r="AB51" s="1975">
        <f t="shared" ca="1" si="13"/>
        <v>0</v>
      </c>
      <c r="AC51" s="1981">
        <f t="shared" ca="1" si="14"/>
        <v>0</v>
      </c>
      <c r="AD51" s="1977">
        <f ca="1">AD68-AD50</f>
        <v>0</v>
      </c>
      <c r="AE51" s="1978">
        <f t="shared" ref="AE51" si="80">AE68-AE50</f>
        <v>0</v>
      </c>
      <c r="AF51" s="1979">
        <f t="shared" ref="AF51" si="81">AF68-AF50</f>
        <v>0</v>
      </c>
      <c r="AG51" s="1979">
        <f t="shared" ref="AG51" si="82">AG68-AG50</f>
        <v>0</v>
      </c>
      <c r="AH51" s="1979">
        <f t="shared" ref="AH51" si="83">AH68-AH50</f>
        <v>0</v>
      </c>
      <c r="AI51" s="1980">
        <f t="shared" ref="AI51" si="84">AI68-AI50</f>
        <v>0</v>
      </c>
      <c r="AJ51" s="1982" t="e">
        <f t="shared" ca="1" si="15"/>
        <v>#N/A</v>
      </c>
      <c r="AK51" s="1983" t="e">
        <f t="shared" ref="AK51:AK69" ca="1" si="85">IF(AJ$68=0,0,AJ51/AJ$68)</f>
        <v>#N/A</v>
      </c>
      <c r="AL51" s="1977" t="e">
        <f ca="1">AL68-AL50</f>
        <v>#N/A</v>
      </c>
      <c r="AM51" s="1978">
        <f t="shared" ref="AM51" si="86">AM68-AM50</f>
        <v>0</v>
      </c>
      <c r="AN51" s="1979" t="e">
        <f t="shared" ref="AN51" ca="1" si="87">AN68-AN50</f>
        <v>#N/A</v>
      </c>
      <c r="AO51" s="1979">
        <f t="shared" ref="AO51" si="88">AO68-AO50</f>
        <v>0</v>
      </c>
      <c r="AP51" s="1979">
        <f t="shared" ref="AP51" si="89">AP68-AP50</f>
        <v>0</v>
      </c>
      <c r="AQ51" s="1980">
        <f t="shared" ref="AQ51" si="90">AQ68-AQ50</f>
        <v>0</v>
      </c>
      <c r="AR51" s="1985"/>
      <c r="AS51" s="1982">
        <f t="shared" si="17"/>
        <v>0</v>
      </c>
      <c r="AT51" s="1983">
        <f t="shared" si="18"/>
        <v>0</v>
      </c>
      <c r="AU51" s="1977">
        <f>AU68-AU50</f>
        <v>0</v>
      </c>
      <c r="AV51" s="2048">
        <f t="shared" ref="AV51" si="91">AV68-AV50</f>
        <v>0</v>
      </c>
      <c r="AW51" s="2047">
        <f t="shared" ref="AW51" si="92">AW68-AW50</f>
        <v>0</v>
      </c>
      <c r="AX51" s="1979">
        <f t="shared" ref="AX51" si="93">AX68-AX50</f>
        <v>0</v>
      </c>
      <c r="AY51" s="1979">
        <f t="shared" ref="AY51" si="94">AY68-AY50</f>
        <v>0</v>
      </c>
      <c r="AZ51" s="1980">
        <f t="shared" ref="AZ51" si="95">AZ68-AZ50</f>
        <v>0</v>
      </c>
      <c r="BA51" s="1966"/>
      <c r="BB51" s="1982">
        <f t="shared" si="19"/>
        <v>0</v>
      </c>
      <c r="BC51" s="1986">
        <f t="shared" si="20"/>
        <v>0</v>
      </c>
      <c r="BD51" s="1977">
        <f>BD68-BD50</f>
        <v>0</v>
      </c>
      <c r="BE51" s="1978">
        <f t="shared" ref="BE51" si="96">BE68-BE50</f>
        <v>0</v>
      </c>
      <c r="BF51" s="1979">
        <f t="shared" ref="BF51" si="97">BF68-BF50</f>
        <v>0</v>
      </c>
      <c r="BG51" s="1979">
        <f t="shared" ref="BG51" si="98">BG68-BG50</f>
        <v>0</v>
      </c>
      <c r="BH51" s="1979">
        <f t="shared" ref="BH51" si="99">BH68-BH50</f>
        <v>0</v>
      </c>
      <c r="BI51" s="1980">
        <f t="shared" ref="BI51" si="100">BI68-BI50</f>
        <v>0</v>
      </c>
      <c r="BJ51" s="1982">
        <f t="shared" si="21"/>
        <v>0</v>
      </c>
      <c r="BK51" s="1986">
        <f t="shared" ca="1" si="22"/>
        <v>0</v>
      </c>
      <c r="BL51" s="1984"/>
      <c r="BM51" s="1980"/>
      <c r="BN51" s="1987"/>
      <c r="BO51" s="1979"/>
      <c r="BP51" s="1979"/>
      <c r="BQ51" s="1980"/>
      <c r="BT51" s="1567"/>
    </row>
    <row r="52" spans="2:72" ht="14.25" hidden="1" customHeight="1" outlineLevel="1">
      <c r="B52" s="1568">
        <v>19</v>
      </c>
      <c r="C52" s="2196" t="s">
        <v>241</v>
      </c>
      <c r="D52" s="2197" t="e">
        <f t="shared" ca="1" si="2"/>
        <v>#N/A</v>
      </c>
      <c r="E52" s="1574"/>
      <c r="F52" s="1572" t="e">
        <f t="shared" ref="F52:F56" ca="1" si="101">$E52*F$68</f>
        <v>#N/A</v>
      </c>
      <c r="G52" s="1573">
        <f>IF('Estimate Summary'!$D$9&lt;2,0,$E52*G$68)</f>
        <v>0</v>
      </c>
      <c r="H52" s="1553">
        <f>IF('Estimate Summary'!$D$9&lt;3,0,$E52*H$68)</f>
        <v>0</v>
      </c>
      <c r="I52" s="1553">
        <f>IF('Estimate Summary'!$D$9&lt;4,0,$E52*I$68)</f>
        <v>0</v>
      </c>
      <c r="J52" s="1553">
        <f>IF('Estimate Summary'!$D$9&lt;5,0,$E52*J$68)</f>
        <v>0</v>
      </c>
      <c r="K52" s="955">
        <f>IF('Estimate Summary'!$D$9&lt;6,0,$E52*K$68)</f>
        <v>0</v>
      </c>
      <c r="L52" s="2197" t="e">
        <f t="shared" ca="1" si="43"/>
        <v>#N/A</v>
      </c>
      <c r="M52" s="1574" t="e">
        <f t="shared" ca="1" si="69"/>
        <v>#N/A</v>
      </c>
      <c r="N52" s="1572" t="e">
        <f ca="1">AL52+AU52+BD52</f>
        <v>#N/A</v>
      </c>
      <c r="O52" s="1573">
        <f t="shared" ref="O52" si="102">AM52+AV52+BE52</f>
        <v>0</v>
      </c>
      <c r="P52" s="1553">
        <f t="shared" ref="P52" si="103">AN52+AW52+BF52</f>
        <v>0</v>
      </c>
      <c r="Q52" s="1553">
        <f t="shared" ref="Q52" si="104">AO52+AX52+BG52</f>
        <v>0</v>
      </c>
      <c r="R52" s="1553">
        <f t="shared" ref="R52" si="105">AP52+AY52+BH52</f>
        <v>0</v>
      </c>
      <c r="S52" s="955">
        <f t="shared" ref="S52" si="106">AQ52+AZ52+BI52</f>
        <v>0</v>
      </c>
      <c r="T52" s="2197">
        <f t="shared" si="11"/>
        <v>0</v>
      </c>
      <c r="U52" s="1574">
        <f t="shared" ca="1" si="12"/>
        <v>0</v>
      </c>
      <c r="V52" s="1572">
        <f>AD52+BD52</f>
        <v>0</v>
      </c>
      <c r="W52" s="1573">
        <f t="shared" ref="W52" si="107">AE52+BE52</f>
        <v>0</v>
      </c>
      <c r="X52" s="1553">
        <f t="shared" ref="X52" si="108">AF52+BF52</f>
        <v>0</v>
      </c>
      <c r="Y52" s="1553">
        <f t="shared" ref="Y52" si="109">AG52+BG52</f>
        <v>0</v>
      </c>
      <c r="Z52" s="1553">
        <f t="shared" ref="Z52" si="110">AH52+BH52</f>
        <v>0</v>
      </c>
      <c r="AA52" s="955">
        <f t="shared" ref="AA52" si="111">AI52+BI52</f>
        <v>0</v>
      </c>
      <c r="AB52" s="2197">
        <f t="shared" si="13"/>
        <v>0</v>
      </c>
      <c r="AC52" s="1571">
        <f t="shared" ca="1" si="14"/>
        <v>0</v>
      </c>
      <c r="AD52" s="1572"/>
      <c r="AE52" s="1573"/>
      <c r="AF52" s="1553"/>
      <c r="AG52" s="1553"/>
      <c r="AH52" s="1553"/>
      <c r="AI52" s="955"/>
      <c r="AJ52" s="1575" t="e">
        <f t="shared" ca="1" si="15"/>
        <v>#N/A</v>
      </c>
      <c r="AK52" s="1576" t="e">
        <f t="shared" ca="1" si="85"/>
        <v>#N/A</v>
      </c>
      <c r="AL52" s="919" t="e">
        <f ca="1">F52-AU52-BD52</f>
        <v>#N/A</v>
      </c>
      <c r="AM52" s="1553">
        <f t="shared" ref="AM52" si="112">G52-AV52-BE52</f>
        <v>0</v>
      </c>
      <c r="AN52" s="1566">
        <f t="shared" ref="AN52" si="113">H52-AW52-BF52</f>
        <v>0</v>
      </c>
      <c r="AO52" s="1553">
        <f t="shared" ref="AO52" si="114">I52-AX52-BG52</f>
        <v>0</v>
      </c>
      <c r="AP52" s="1553">
        <f t="shared" ref="AP52" si="115">J52-AY52-BH52</f>
        <v>0</v>
      </c>
      <c r="AQ52" s="955">
        <f t="shared" ref="AQ52" si="116">K52-AZ52-BI52</f>
        <v>0</v>
      </c>
      <c r="AS52" s="2198">
        <f t="shared" si="17"/>
        <v>0</v>
      </c>
      <c r="AT52" s="2199">
        <f t="shared" si="18"/>
        <v>0</v>
      </c>
      <c r="AU52" s="919"/>
      <c r="AV52" s="955"/>
      <c r="AW52" s="919"/>
      <c r="AX52" s="1553"/>
      <c r="AY52" s="1553"/>
      <c r="AZ52" s="955"/>
      <c r="BA52" s="1965"/>
      <c r="BB52" s="1575">
        <f t="shared" si="19"/>
        <v>0</v>
      </c>
      <c r="BC52" s="1578">
        <f t="shared" si="20"/>
        <v>0</v>
      </c>
      <c r="BD52" s="919"/>
      <c r="BE52" s="955"/>
      <c r="BF52" s="1580">
        <f>IF('Estimate Summary'!$D$9&lt;3,0,$BD52)</f>
        <v>0</v>
      </c>
      <c r="BG52" s="2189">
        <f>IF('Estimate Summary'!$D$9&lt;4,0,$BD52)</f>
        <v>0</v>
      </c>
      <c r="BH52" s="2189">
        <f>IF('Estimate Summary'!$D$9&lt;5,0,$BD52)</f>
        <v>0</v>
      </c>
      <c r="BI52" s="955">
        <f>IF('Estimate Summary'!$D$9&lt;6,0,$BD52)</f>
        <v>0</v>
      </c>
      <c r="BJ52" s="1575">
        <f t="shared" si="21"/>
        <v>0</v>
      </c>
      <c r="BK52" s="1578">
        <f t="shared" ca="1" si="22"/>
        <v>0</v>
      </c>
      <c r="BL52" s="919"/>
      <c r="BM52" s="955"/>
      <c r="BN52" s="1580">
        <f>IF('Estimate Summary'!$D$9&lt;3,0,$BD52)</f>
        <v>0</v>
      </c>
      <c r="BO52" s="934">
        <f>IF('Estimate Summary'!$D$9&lt;4,0,$BD52)</f>
        <v>0</v>
      </c>
      <c r="BP52" s="934">
        <f>IF('Estimate Summary'!$D$9&lt;5,0,$BD52)</f>
        <v>0</v>
      </c>
      <c r="BQ52" s="955">
        <f>IF('Estimate Summary'!$D$9&lt;6,0,$BD52)</f>
        <v>0</v>
      </c>
    </row>
    <row r="53" spans="2:72" ht="14.25" hidden="1" customHeight="1" outlineLevel="1">
      <c r="B53" s="1568">
        <v>20</v>
      </c>
      <c r="C53" s="1569" t="s">
        <v>761</v>
      </c>
      <c r="D53" s="1570" t="e">
        <f t="shared" ca="1" si="2"/>
        <v>#N/A</v>
      </c>
      <c r="E53" s="1574"/>
      <c r="F53" s="1572" t="e">
        <f t="shared" ca="1" si="101"/>
        <v>#N/A</v>
      </c>
      <c r="G53" s="2182">
        <f>IF('Estimate Summary'!$D$9&lt;2,0,$E53*G$68)</f>
        <v>0</v>
      </c>
      <c r="H53" s="2189">
        <f>IF('Estimate Summary'!$D$9&lt;3,0,$E53*H$68)</f>
        <v>0</v>
      </c>
      <c r="I53" s="2189">
        <f>IF('Estimate Summary'!$D$9&lt;4,0,$E53*I$68)</f>
        <v>0</v>
      </c>
      <c r="J53" s="2189">
        <f>IF('Estimate Summary'!$D$9&lt;5,0,$E53*J$68)</f>
        <v>0</v>
      </c>
      <c r="K53" s="955">
        <f>IF('Estimate Summary'!$D$9&lt;6,0,$E53*K$68)</f>
        <v>0</v>
      </c>
      <c r="L53" s="1570" t="e">
        <f t="shared" ca="1" si="43"/>
        <v>#N/A</v>
      </c>
      <c r="M53" s="1574" t="e">
        <f t="shared" ca="1" si="69"/>
        <v>#N/A</v>
      </c>
      <c r="N53" s="1572" t="e">
        <f t="shared" ref="N53:N56" ca="1" si="117">AL53+AU53+BD53</f>
        <v>#N/A</v>
      </c>
      <c r="O53" s="2182">
        <f t="shared" ref="O53:O56" si="118">AM53+AV53+BE53</f>
        <v>0</v>
      </c>
      <c r="P53" s="2189">
        <f t="shared" ref="P53:P56" si="119">AN53+AW53+BF53</f>
        <v>0</v>
      </c>
      <c r="Q53" s="2189">
        <f t="shared" ref="Q53:Q56" si="120">AO53+AX53+BG53</f>
        <v>0</v>
      </c>
      <c r="R53" s="2189">
        <f t="shared" ref="R53:R56" si="121">AP53+AY53+BH53</f>
        <v>0</v>
      </c>
      <c r="S53" s="955">
        <f t="shared" ref="S53:S56" si="122">AQ53+AZ53+BI53</f>
        <v>0</v>
      </c>
      <c r="T53" s="1570">
        <f t="shared" si="11"/>
        <v>0</v>
      </c>
      <c r="U53" s="1574">
        <f t="shared" ca="1" si="12"/>
        <v>0</v>
      </c>
      <c r="V53" s="1572">
        <f t="shared" ref="V53:V56" si="123">AD53+BD53</f>
        <v>0</v>
      </c>
      <c r="W53" s="2182">
        <f t="shared" ref="W53:W56" si="124">AE53+BE53</f>
        <v>0</v>
      </c>
      <c r="X53" s="2189">
        <f t="shared" ref="X53:X56" si="125">AF53+BF53</f>
        <v>0</v>
      </c>
      <c r="Y53" s="2189">
        <f t="shared" ref="Y53:Y56" si="126">AG53+BG53</f>
        <v>0</v>
      </c>
      <c r="Z53" s="2189">
        <f t="shared" ref="Z53:Z56" si="127">AH53+BH53</f>
        <v>0</v>
      </c>
      <c r="AA53" s="955">
        <f t="shared" ref="AA53:AA56" si="128">AI53+BI53</f>
        <v>0</v>
      </c>
      <c r="AB53" s="1570">
        <f t="shared" si="13"/>
        <v>0</v>
      </c>
      <c r="AC53" s="1571">
        <f t="shared" ca="1" si="14"/>
        <v>0</v>
      </c>
      <c r="AD53" s="1572"/>
      <c r="AE53" s="2182"/>
      <c r="AF53" s="2189"/>
      <c r="AG53" s="2189"/>
      <c r="AH53" s="2189"/>
      <c r="AI53" s="955"/>
      <c r="AJ53" s="1575" t="e">
        <f t="shared" ca="1" si="15"/>
        <v>#N/A</v>
      </c>
      <c r="AK53" s="1576" t="e">
        <f t="shared" ca="1" si="85"/>
        <v>#N/A</v>
      </c>
      <c r="AL53" s="1566" t="e">
        <f t="shared" ref="AL53:AL56" ca="1" si="129">F53-AU53-BD53</f>
        <v>#N/A</v>
      </c>
      <c r="AM53" s="2189">
        <f t="shared" ref="AM53:AM56" si="130">G53-AV53-BE53</f>
        <v>0</v>
      </c>
      <c r="AN53" s="2189">
        <f t="shared" ref="AN53:AN56" si="131">H53-AW53-BF53</f>
        <v>0</v>
      </c>
      <c r="AO53" s="2189">
        <f t="shared" ref="AO53:AO56" si="132">I53-AX53-BG53</f>
        <v>0</v>
      </c>
      <c r="AP53" s="2189">
        <f t="shared" ref="AP53:AP56" si="133">J53-AY53-BH53</f>
        <v>0</v>
      </c>
      <c r="AQ53" s="955">
        <f t="shared" ref="AQ53:AQ56" si="134">K53-AZ53-BI53</f>
        <v>0</v>
      </c>
      <c r="AS53" s="1575">
        <f t="shared" si="17"/>
        <v>0</v>
      </c>
      <c r="AT53" s="2199">
        <f t="shared" si="18"/>
        <v>0</v>
      </c>
      <c r="AU53" s="1566"/>
      <c r="AV53" s="955"/>
      <c r="AW53" s="919"/>
      <c r="AX53" s="934"/>
      <c r="AY53" s="934"/>
      <c r="AZ53" s="955"/>
      <c r="BA53" s="1965"/>
      <c r="BB53" s="1575">
        <f t="shared" si="19"/>
        <v>0</v>
      </c>
      <c r="BC53" s="2192">
        <f t="shared" si="20"/>
        <v>0</v>
      </c>
      <c r="BD53" s="1566"/>
      <c r="BE53" s="955"/>
      <c r="BF53" s="1580">
        <f>IF('Estimate Summary'!$D$9&lt;3,0,$BD53)</f>
        <v>0</v>
      </c>
      <c r="BG53" s="2189">
        <f>IF('Estimate Summary'!$D$9&lt;4,0,$BD53)</f>
        <v>0</v>
      </c>
      <c r="BH53" s="2189">
        <f>IF('Estimate Summary'!$D$9&lt;5,0,$BD53)</f>
        <v>0</v>
      </c>
      <c r="BI53" s="955">
        <f>IF('Estimate Summary'!$D$9&lt;6,0,$BD53)</f>
        <v>0</v>
      </c>
      <c r="BJ53" s="1575">
        <f t="shared" si="21"/>
        <v>0</v>
      </c>
      <c r="BK53" s="2192">
        <f t="shared" ca="1" si="22"/>
        <v>0</v>
      </c>
      <c r="BL53" s="1566"/>
      <c r="BM53" s="955"/>
      <c r="BN53" s="1580">
        <f>IF('Estimate Summary'!$D$9&lt;3,0,$BD53)</f>
        <v>0</v>
      </c>
      <c r="BO53" s="934">
        <f>IF('Estimate Summary'!$D$9&lt;4,0,$BD53)</f>
        <v>0</v>
      </c>
      <c r="BP53" s="934">
        <f>IF('Estimate Summary'!$D$9&lt;5,0,$BD53)</f>
        <v>0</v>
      </c>
      <c r="BQ53" s="955">
        <f>IF('Estimate Summary'!$D$9&lt;6,0,$BD53)</f>
        <v>0</v>
      </c>
    </row>
    <row r="54" spans="2:72" ht="14.25" hidden="1" customHeight="1" outlineLevel="1">
      <c r="B54" s="1568">
        <v>21</v>
      </c>
      <c r="C54" s="1569" t="s">
        <v>762</v>
      </c>
      <c r="D54" s="1570" t="e">
        <f t="shared" ca="1" si="2"/>
        <v>#N/A</v>
      </c>
      <c r="E54" s="992"/>
      <c r="F54" s="1572" t="e">
        <f t="shared" ca="1" si="101"/>
        <v>#N/A</v>
      </c>
      <c r="G54" s="2182">
        <f>IF('Estimate Summary'!$D$9&lt;2,0,$E54*G$68)</f>
        <v>0</v>
      </c>
      <c r="H54" s="2189">
        <f>IF('Estimate Summary'!$D$9&lt;3,0,$E54*H$68)</f>
        <v>0</v>
      </c>
      <c r="I54" s="2189">
        <f>IF('Estimate Summary'!$D$9&lt;4,0,$E54*I$68)</f>
        <v>0</v>
      </c>
      <c r="J54" s="2189">
        <f>IF('Estimate Summary'!$D$9&lt;5,0,$E54*J$68)</f>
        <v>0</v>
      </c>
      <c r="K54" s="955">
        <f>IF('Estimate Summary'!$D$9&lt;6,0,$E54*K$68)</f>
        <v>0</v>
      </c>
      <c r="L54" s="1570" t="e">
        <f t="shared" ca="1" si="43"/>
        <v>#N/A</v>
      </c>
      <c r="M54" s="991" t="e">
        <f t="shared" ca="1" si="69"/>
        <v>#N/A</v>
      </c>
      <c r="N54" s="1572" t="e">
        <f t="shared" ca="1" si="117"/>
        <v>#N/A</v>
      </c>
      <c r="O54" s="2182">
        <f t="shared" si="118"/>
        <v>0</v>
      </c>
      <c r="P54" s="2189">
        <f t="shared" si="119"/>
        <v>0</v>
      </c>
      <c r="Q54" s="2189">
        <f t="shared" si="120"/>
        <v>0</v>
      </c>
      <c r="R54" s="2189">
        <f t="shared" si="121"/>
        <v>0</v>
      </c>
      <c r="S54" s="955">
        <f t="shared" si="122"/>
        <v>0</v>
      </c>
      <c r="T54" s="1570">
        <f t="shared" si="11"/>
        <v>0</v>
      </c>
      <c r="U54" s="992">
        <f t="shared" ca="1" si="12"/>
        <v>0</v>
      </c>
      <c r="V54" s="1572">
        <f t="shared" si="123"/>
        <v>0</v>
      </c>
      <c r="W54" s="2182">
        <f t="shared" si="124"/>
        <v>0</v>
      </c>
      <c r="X54" s="2189">
        <f t="shared" si="125"/>
        <v>0</v>
      </c>
      <c r="Y54" s="2189">
        <f t="shared" si="126"/>
        <v>0</v>
      </c>
      <c r="Z54" s="2189">
        <f t="shared" si="127"/>
        <v>0</v>
      </c>
      <c r="AA54" s="955">
        <f t="shared" si="128"/>
        <v>0</v>
      </c>
      <c r="AB54" s="1570">
        <f t="shared" si="13"/>
        <v>0</v>
      </c>
      <c r="AC54" s="992">
        <f t="shared" ca="1" si="14"/>
        <v>0</v>
      </c>
      <c r="AD54" s="1572"/>
      <c r="AE54" s="2182"/>
      <c r="AF54" s="2189"/>
      <c r="AG54" s="2189"/>
      <c r="AH54" s="2189"/>
      <c r="AI54" s="955"/>
      <c r="AJ54" s="1575" t="e">
        <f t="shared" ca="1" si="15"/>
        <v>#N/A</v>
      </c>
      <c r="AK54" s="1353" t="e">
        <f t="shared" ca="1" si="85"/>
        <v>#N/A</v>
      </c>
      <c r="AL54" s="1580" t="e">
        <f t="shared" ca="1" si="129"/>
        <v>#N/A</v>
      </c>
      <c r="AM54" s="2189">
        <f t="shared" si="130"/>
        <v>0</v>
      </c>
      <c r="AN54" s="2189">
        <f t="shared" si="131"/>
        <v>0</v>
      </c>
      <c r="AO54" s="2189">
        <f t="shared" si="132"/>
        <v>0</v>
      </c>
      <c r="AP54" s="2189">
        <f t="shared" si="133"/>
        <v>0</v>
      </c>
      <c r="AQ54" s="955">
        <f t="shared" si="134"/>
        <v>0</v>
      </c>
      <c r="AS54" s="1575">
        <f t="shared" si="17"/>
        <v>0</v>
      </c>
      <c r="AT54" s="1353">
        <f t="shared" si="18"/>
        <v>0</v>
      </c>
      <c r="AU54" s="2200"/>
      <c r="AV54" s="955"/>
      <c r="AW54" s="919"/>
      <c r="AX54" s="934"/>
      <c r="AY54" s="934"/>
      <c r="AZ54" s="955"/>
      <c r="BA54" s="1965"/>
      <c r="BB54" s="1575">
        <f t="shared" si="19"/>
        <v>0</v>
      </c>
      <c r="BC54" s="2201">
        <f t="shared" si="20"/>
        <v>0</v>
      </c>
      <c r="BD54" s="919"/>
      <c r="BE54" s="955"/>
      <c r="BF54" s="1580">
        <f>IF('Estimate Summary'!$D$9&lt;3,0,$BD54)</f>
        <v>0</v>
      </c>
      <c r="BG54" s="2189">
        <f>IF('Estimate Summary'!$D$9&lt;4,0,$BD54)</f>
        <v>0</v>
      </c>
      <c r="BH54" s="2189">
        <f>IF('Estimate Summary'!$D$9&lt;5,0,$BD54)</f>
        <v>0</v>
      </c>
      <c r="BI54" s="955">
        <f>IF('Estimate Summary'!$D$9&lt;6,0,$BD54)</f>
        <v>0</v>
      </c>
      <c r="BJ54" s="1575">
        <f t="shared" si="21"/>
        <v>0</v>
      </c>
      <c r="BK54" s="2201">
        <f t="shared" ca="1" si="22"/>
        <v>0</v>
      </c>
      <c r="BL54" s="919"/>
      <c r="BM54" s="955"/>
      <c r="BN54" s="1580">
        <f>IF('Estimate Summary'!$D$9&lt;3,0,$BD54)</f>
        <v>0</v>
      </c>
      <c r="BO54" s="934">
        <f>IF('Estimate Summary'!$D$9&lt;4,0,$BD54)</f>
        <v>0</v>
      </c>
      <c r="BP54" s="934">
        <f>IF('Estimate Summary'!$D$9&lt;5,0,$BD54)</f>
        <v>0</v>
      </c>
      <c r="BQ54" s="955">
        <f>IF('Estimate Summary'!$D$9&lt;6,0,$BD54)</f>
        <v>0</v>
      </c>
    </row>
    <row r="55" spans="2:72" ht="14.25" hidden="1" customHeight="1" outlineLevel="1">
      <c r="B55" s="1568">
        <v>22</v>
      </c>
      <c r="C55" s="1569" t="s">
        <v>763</v>
      </c>
      <c r="D55" s="1570" t="e">
        <f t="shared" ca="1" si="2"/>
        <v>#N/A</v>
      </c>
      <c r="E55" s="992"/>
      <c r="F55" s="1572" t="e">
        <f t="shared" ca="1" si="101"/>
        <v>#N/A</v>
      </c>
      <c r="G55" s="2182">
        <f>IF('Estimate Summary'!$D$9&lt;2,0,$E55*G$68)</f>
        <v>0</v>
      </c>
      <c r="H55" s="2189">
        <f>IF('Estimate Summary'!$D$9&lt;3,0,$E55*H$68)</f>
        <v>0</v>
      </c>
      <c r="I55" s="2189">
        <f>IF('Estimate Summary'!$D$9&lt;4,0,$E55*I$68)</f>
        <v>0</v>
      </c>
      <c r="J55" s="2189">
        <f>IF('Estimate Summary'!$D$9&lt;5,0,$E55*J$68)</f>
        <v>0</v>
      </c>
      <c r="K55" s="955">
        <f>IF('Estimate Summary'!$D$9&lt;6,0,$E55*K$68)</f>
        <v>0</v>
      </c>
      <c r="L55" s="1570" t="e">
        <f t="shared" ca="1" si="43"/>
        <v>#N/A</v>
      </c>
      <c r="M55" s="992" t="e">
        <f t="shared" ca="1" si="69"/>
        <v>#N/A</v>
      </c>
      <c r="N55" s="1572" t="e">
        <f t="shared" ca="1" si="117"/>
        <v>#N/A</v>
      </c>
      <c r="O55" s="2182">
        <f t="shared" si="118"/>
        <v>0</v>
      </c>
      <c r="P55" s="2189">
        <f t="shared" si="119"/>
        <v>0</v>
      </c>
      <c r="Q55" s="2189">
        <f t="shared" si="120"/>
        <v>0</v>
      </c>
      <c r="R55" s="2189">
        <f t="shared" si="121"/>
        <v>0</v>
      </c>
      <c r="S55" s="955">
        <f t="shared" si="122"/>
        <v>0</v>
      </c>
      <c r="T55" s="1570">
        <f t="shared" si="11"/>
        <v>0</v>
      </c>
      <c r="U55" s="992">
        <f t="shared" ca="1" si="12"/>
        <v>0</v>
      </c>
      <c r="V55" s="1572">
        <f t="shared" si="123"/>
        <v>0</v>
      </c>
      <c r="W55" s="2182">
        <f t="shared" si="124"/>
        <v>0</v>
      </c>
      <c r="X55" s="2189">
        <f t="shared" si="125"/>
        <v>0</v>
      </c>
      <c r="Y55" s="2189">
        <f t="shared" si="126"/>
        <v>0</v>
      </c>
      <c r="Z55" s="2189">
        <f t="shared" si="127"/>
        <v>0</v>
      </c>
      <c r="AA55" s="955">
        <f t="shared" si="128"/>
        <v>0</v>
      </c>
      <c r="AB55" s="1570">
        <f t="shared" si="13"/>
        <v>0</v>
      </c>
      <c r="AC55" s="992">
        <f t="shared" ca="1" si="14"/>
        <v>0</v>
      </c>
      <c r="AD55" s="1572"/>
      <c r="AE55" s="2182"/>
      <c r="AF55" s="2189"/>
      <c r="AG55" s="2189"/>
      <c r="AH55" s="2189"/>
      <c r="AI55" s="955"/>
      <c r="AJ55" s="1575" t="e">
        <f t="shared" ca="1" si="15"/>
        <v>#N/A</v>
      </c>
      <c r="AK55" s="1353" t="e">
        <f t="shared" ca="1" si="85"/>
        <v>#N/A</v>
      </c>
      <c r="AL55" s="1580" t="e">
        <f t="shared" ca="1" si="129"/>
        <v>#N/A</v>
      </c>
      <c r="AM55" s="2189">
        <f t="shared" si="130"/>
        <v>0</v>
      </c>
      <c r="AN55" s="2189">
        <f t="shared" si="131"/>
        <v>0</v>
      </c>
      <c r="AO55" s="2189">
        <f t="shared" si="132"/>
        <v>0</v>
      </c>
      <c r="AP55" s="2189">
        <f t="shared" si="133"/>
        <v>0</v>
      </c>
      <c r="AQ55" s="955">
        <f t="shared" si="134"/>
        <v>0</v>
      </c>
      <c r="AS55" s="1575">
        <f t="shared" si="17"/>
        <v>0</v>
      </c>
      <c r="AT55" s="1353">
        <f t="shared" si="18"/>
        <v>0</v>
      </c>
      <c r="AU55" s="2202"/>
      <c r="AV55" s="955"/>
      <c r="AW55" s="919"/>
      <c r="AX55" s="934"/>
      <c r="AY55" s="934"/>
      <c r="AZ55" s="955"/>
      <c r="BA55" s="1965"/>
      <c r="BB55" s="1575">
        <f t="shared" si="19"/>
        <v>0</v>
      </c>
      <c r="BC55" s="1353">
        <f t="shared" si="20"/>
        <v>0</v>
      </c>
      <c r="BD55" s="919"/>
      <c r="BE55" s="955"/>
      <c r="BF55" s="1579">
        <f>IF('Estimate Summary'!$D$9&lt;3,0,$BD55)</f>
        <v>0</v>
      </c>
      <c r="BG55" s="2189">
        <f>IF('Estimate Summary'!$D$9&lt;4,0,$BD55)</f>
        <v>0</v>
      </c>
      <c r="BH55" s="2189">
        <f>IF('Estimate Summary'!$D$9&lt;5,0,$BD55)</f>
        <v>0</v>
      </c>
      <c r="BI55" s="955">
        <f>IF('Estimate Summary'!$D$9&lt;6,0,$BD55)</f>
        <v>0</v>
      </c>
      <c r="BJ55" s="1575">
        <f t="shared" si="21"/>
        <v>0</v>
      </c>
      <c r="BK55" s="1353">
        <f t="shared" ca="1" si="22"/>
        <v>0</v>
      </c>
      <c r="BL55" s="919"/>
      <c r="BM55" s="955"/>
      <c r="BN55" s="1579">
        <f>IF('Estimate Summary'!$D$9&lt;3,0,$BD55)</f>
        <v>0</v>
      </c>
      <c r="BO55" s="934">
        <f>IF('Estimate Summary'!$D$9&lt;4,0,$BD55)</f>
        <v>0</v>
      </c>
      <c r="BP55" s="934">
        <f>IF('Estimate Summary'!$D$9&lt;5,0,$BD55)</f>
        <v>0</v>
      </c>
      <c r="BQ55" s="955">
        <f>IF('Estimate Summary'!$D$9&lt;6,0,$BD55)</f>
        <v>0</v>
      </c>
    </row>
    <row r="56" spans="2:72" ht="14.25" hidden="1" customHeight="1" outlineLevel="1">
      <c r="B56" s="1568">
        <v>23</v>
      </c>
      <c r="C56" s="1569" t="s">
        <v>75</v>
      </c>
      <c r="D56" s="1570" t="e">
        <f t="shared" ca="1" si="2"/>
        <v>#N/A</v>
      </c>
      <c r="E56" s="992"/>
      <c r="F56" s="1572" t="e">
        <f t="shared" ca="1" si="101"/>
        <v>#N/A</v>
      </c>
      <c r="G56" s="1573">
        <f>IF('Estimate Summary'!$D$9&lt;2,0,$E56*G$68)</f>
        <v>0</v>
      </c>
      <c r="H56" s="1553">
        <f>IF('Estimate Summary'!$D$9&lt;3,0,$E56*H$68)</f>
        <v>0</v>
      </c>
      <c r="I56" s="1553">
        <f>IF('Estimate Summary'!$D$9&lt;4,0,$E56*I$68)</f>
        <v>0</v>
      </c>
      <c r="J56" s="1553">
        <f>IF('Estimate Summary'!$D$9&lt;5,0,$E56*J$68)</f>
        <v>0</v>
      </c>
      <c r="K56" s="955">
        <f>IF('Estimate Summary'!$D$9&lt;6,0,$E56*K$68)</f>
        <v>0</v>
      </c>
      <c r="L56" s="1570" t="e">
        <f t="shared" ca="1" si="43"/>
        <v>#N/A</v>
      </c>
      <c r="M56" s="992" t="e">
        <f t="shared" ca="1" si="69"/>
        <v>#N/A</v>
      </c>
      <c r="N56" s="1572" t="e">
        <f t="shared" ca="1" si="117"/>
        <v>#N/A</v>
      </c>
      <c r="O56" s="1573">
        <f t="shared" si="118"/>
        <v>0</v>
      </c>
      <c r="P56" s="1553">
        <f t="shared" si="119"/>
        <v>0</v>
      </c>
      <c r="Q56" s="1553">
        <f t="shared" si="120"/>
        <v>0</v>
      </c>
      <c r="R56" s="1553">
        <f t="shared" si="121"/>
        <v>0</v>
      </c>
      <c r="S56" s="955">
        <f t="shared" si="122"/>
        <v>0</v>
      </c>
      <c r="T56" s="1570">
        <f t="shared" si="11"/>
        <v>0</v>
      </c>
      <c r="U56" s="992">
        <f t="shared" ca="1" si="12"/>
        <v>0</v>
      </c>
      <c r="V56" s="1572">
        <f t="shared" si="123"/>
        <v>0</v>
      </c>
      <c r="W56" s="1573">
        <f t="shared" si="124"/>
        <v>0</v>
      </c>
      <c r="X56" s="1553">
        <f t="shared" si="125"/>
        <v>0</v>
      </c>
      <c r="Y56" s="1553">
        <f t="shared" si="126"/>
        <v>0</v>
      </c>
      <c r="Z56" s="1553">
        <f t="shared" si="127"/>
        <v>0</v>
      </c>
      <c r="AA56" s="955">
        <f t="shared" si="128"/>
        <v>0</v>
      </c>
      <c r="AB56" s="1570">
        <f t="shared" si="13"/>
        <v>0</v>
      </c>
      <c r="AC56" s="992">
        <f t="shared" ca="1" si="14"/>
        <v>0</v>
      </c>
      <c r="AD56" s="1572"/>
      <c r="AE56" s="1573"/>
      <c r="AF56" s="1553"/>
      <c r="AG56" s="1553"/>
      <c r="AH56" s="1553"/>
      <c r="AI56" s="955"/>
      <c r="AJ56" s="1575" t="e">
        <f t="shared" ca="1" si="15"/>
        <v>#N/A</v>
      </c>
      <c r="AK56" s="1353" t="e">
        <f t="shared" ca="1" si="85"/>
        <v>#N/A</v>
      </c>
      <c r="AL56" s="919" t="e">
        <f t="shared" ca="1" si="129"/>
        <v>#N/A</v>
      </c>
      <c r="AM56" s="1553">
        <f t="shared" si="130"/>
        <v>0</v>
      </c>
      <c r="AN56" s="1553">
        <f t="shared" si="131"/>
        <v>0</v>
      </c>
      <c r="AO56" s="1553">
        <f t="shared" si="132"/>
        <v>0</v>
      </c>
      <c r="AP56" s="1553">
        <f t="shared" si="133"/>
        <v>0</v>
      </c>
      <c r="AQ56" s="955">
        <f t="shared" si="134"/>
        <v>0</v>
      </c>
      <c r="AS56" s="1575">
        <f t="shared" si="17"/>
        <v>0</v>
      </c>
      <c r="AT56" s="1353">
        <f t="shared" si="18"/>
        <v>0</v>
      </c>
      <c r="AU56" s="2203"/>
      <c r="AV56" s="955"/>
      <c r="AW56" s="919"/>
      <c r="AX56" s="1553"/>
      <c r="AY56" s="1553"/>
      <c r="AZ56" s="955"/>
      <c r="BA56" s="1965"/>
      <c r="BB56" s="1575">
        <f t="shared" si="19"/>
        <v>0</v>
      </c>
      <c r="BC56" s="992">
        <f t="shared" si="20"/>
        <v>0</v>
      </c>
      <c r="BD56" s="919"/>
      <c r="BE56" s="955"/>
      <c r="BF56" s="1579"/>
      <c r="BG56" s="1553"/>
      <c r="BH56" s="1553"/>
      <c r="BI56" s="955"/>
      <c r="BJ56" s="1575">
        <f t="shared" si="21"/>
        <v>0</v>
      </c>
      <c r="BK56" s="1353">
        <f t="shared" ca="1" si="22"/>
        <v>0</v>
      </c>
      <c r="BL56" s="919"/>
      <c r="BM56" s="955"/>
      <c r="BN56" s="1579"/>
      <c r="BO56" s="1553"/>
      <c r="BP56" s="1553"/>
      <c r="BQ56" s="955"/>
    </row>
    <row r="57" spans="2:72" ht="14.25" hidden="1" customHeight="1" outlineLevel="1">
      <c r="B57" s="826">
        <v>24</v>
      </c>
      <c r="C57" s="75" t="s">
        <v>778</v>
      </c>
      <c r="D57" s="1972" t="e">
        <f ca="1">SUM(F57:K57)</f>
        <v>#N/A</v>
      </c>
      <c r="E57" s="806" t="e">
        <f t="shared" ca="1" si="67"/>
        <v>#N/A</v>
      </c>
      <c r="F57" s="680" t="e">
        <f ca="1">SUM(F50,F52:F56)</f>
        <v>#N/A</v>
      </c>
      <c r="G57" s="1582">
        <f t="shared" ref="G57:K57" si="135">SUM(G50,G52:G56)</f>
        <v>0</v>
      </c>
      <c r="H57" s="1583">
        <f t="shared" si="135"/>
        <v>0</v>
      </c>
      <c r="I57" s="1583">
        <f t="shared" si="135"/>
        <v>0</v>
      </c>
      <c r="J57" s="1583">
        <f t="shared" si="135"/>
        <v>0</v>
      </c>
      <c r="K57" s="78">
        <f t="shared" si="135"/>
        <v>0</v>
      </c>
      <c r="L57" s="464" t="e">
        <f t="shared" ca="1" si="43"/>
        <v>#N/A</v>
      </c>
      <c r="M57" s="806" t="e">
        <f t="shared" ca="1" si="69"/>
        <v>#N/A</v>
      </c>
      <c r="N57" s="680" t="e">
        <f ca="1">SUM(N50,N52:N56)</f>
        <v>#N/A</v>
      </c>
      <c r="O57" s="1582">
        <f t="shared" ref="O57" si="136">SUM(O50,O52:O56)</f>
        <v>0</v>
      </c>
      <c r="P57" s="1583">
        <f t="shared" ref="P57" si="137">SUM(P50,P52:P56)</f>
        <v>0</v>
      </c>
      <c r="Q57" s="1583">
        <f t="shared" ref="Q57" si="138">SUM(Q50,Q52:Q56)</f>
        <v>0</v>
      </c>
      <c r="R57" s="1583">
        <f t="shared" ref="R57" si="139">SUM(R50,R52:R56)</f>
        <v>0</v>
      </c>
      <c r="S57" s="78">
        <f t="shared" ref="S57" si="140">SUM(S50,S52:S56)</f>
        <v>0</v>
      </c>
      <c r="T57" s="464">
        <f t="shared" si="11"/>
        <v>0</v>
      </c>
      <c r="U57" s="935">
        <f t="shared" ca="1" si="12"/>
        <v>0</v>
      </c>
      <c r="V57" s="680">
        <f>SUM(V50,V52:V56)</f>
        <v>0</v>
      </c>
      <c r="W57" s="1582">
        <f t="shared" ref="W57" si="141">SUM(W50,W52:W56)</f>
        <v>0</v>
      </c>
      <c r="X57" s="1583">
        <f t="shared" ref="X57" si="142">SUM(X50,X52:X56)</f>
        <v>0</v>
      </c>
      <c r="Y57" s="1583">
        <f t="shared" ref="Y57" si="143">SUM(Y50,Y52:Y56)</f>
        <v>0</v>
      </c>
      <c r="Z57" s="1583">
        <f t="shared" ref="Z57" si="144">SUM(Z50,Z52:Z56)</f>
        <v>0</v>
      </c>
      <c r="AA57" s="78">
        <f t="shared" ref="AA57" si="145">SUM(AA50,AA52:AA56)</f>
        <v>0</v>
      </c>
      <c r="AB57" s="464">
        <f t="shared" si="13"/>
        <v>0</v>
      </c>
      <c r="AC57" s="935">
        <f t="shared" ca="1" si="14"/>
        <v>0</v>
      </c>
      <c r="AD57" s="680">
        <f>SUM(AD50,AD52:AD56)</f>
        <v>0</v>
      </c>
      <c r="AE57" s="1582">
        <f t="shared" ref="AE57" si="146">SUM(AE50,AE52:AE56)</f>
        <v>0</v>
      </c>
      <c r="AF57" s="1583">
        <f t="shared" ref="AF57" si="147">SUM(AF50,AF52:AF56)</f>
        <v>0</v>
      </c>
      <c r="AG57" s="1583">
        <f t="shared" ref="AG57" si="148">SUM(AG50,AG52:AG56)</f>
        <v>0</v>
      </c>
      <c r="AH57" s="1583">
        <f t="shared" ref="AH57" si="149">SUM(AH50,AH52:AH56)</f>
        <v>0</v>
      </c>
      <c r="AI57" s="78">
        <f t="shared" ref="AI57" si="150">SUM(AI50,AI52:AI56)</f>
        <v>0</v>
      </c>
      <c r="AJ57" s="76" t="e">
        <f t="shared" ca="1" si="15"/>
        <v>#N/A</v>
      </c>
      <c r="AK57" s="465" t="e">
        <f t="shared" ca="1" si="85"/>
        <v>#N/A</v>
      </c>
      <c r="AL57" s="680" t="e">
        <f ca="1">SUM(AL50,AL52:AL56)</f>
        <v>#N/A</v>
      </c>
      <c r="AM57" s="1582">
        <f t="shared" ref="AM57" si="151">SUM(AM50,AM52:AM56)</f>
        <v>0</v>
      </c>
      <c r="AN57" s="1583">
        <f t="shared" ref="AN57" si="152">SUM(AN50,AN52:AN56)</f>
        <v>0</v>
      </c>
      <c r="AO57" s="1583">
        <f t="shared" ref="AO57" si="153">SUM(AO50,AO52:AO56)</f>
        <v>0</v>
      </c>
      <c r="AP57" s="1583">
        <f t="shared" ref="AP57" si="154">SUM(AP50,AP52:AP56)</f>
        <v>0</v>
      </c>
      <c r="AQ57" s="78">
        <f t="shared" ref="AQ57" si="155">SUM(AQ50,AQ52:AQ56)</f>
        <v>0</v>
      </c>
      <c r="AR57" s="2204"/>
      <c r="AS57" s="76">
        <f t="shared" si="17"/>
        <v>0</v>
      </c>
      <c r="AT57" s="465">
        <f t="shared" si="18"/>
        <v>0</v>
      </c>
      <c r="AU57" s="680">
        <f>SUM(AU50,AU52:AU56)</f>
        <v>0</v>
      </c>
      <c r="AV57" s="2044">
        <f t="shared" ref="AV57" si="156">SUM(AV50,AV52:AV56)</f>
        <v>0</v>
      </c>
      <c r="AW57" s="2042">
        <f t="shared" ref="AW57" si="157">SUM(AW50,AW52:AW56)</f>
        <v>0</v>
      </c>
      <c r="AX57" s="1583">
        <f t="shared" ref="AX57" si="158">SUM(AX50,AX52:AX56)</f>
        <v>0</v>
      </c>
      <c r="AY57" s="1583">
        <f t="shared" ref="AY57" si="159">SUM(AY50,AY52:AY56)</f>
        <v>0</v>
      </c>
      <c r="AZ57" s="78">
        <f t="shared" ref="AZ57" si="160">SUM(AZ50,AZ52:AZ56)</f>
        <v>0</v>
      </c>
      <c r="BA57" s="1965"/>
      <c r="BB57" s="76">
        <f t="shared" si="19"/>
        <v>0</v>
      </c>
      <c r="BC57" s="77">
        <f t="shared" si="20"/>
        <v>0</v>
      </c>
      <c r="BD57" s="680">
        <f>SUM(BD50,BD52:BD56)</f>
        <v>0</v>
      </c>
      <c r="BE57" s="2044">
        <f t="shared" ref="BE57" si="161">SUM(BE50,BE52:BE56)</f>
        <v>0</v>
      </c>
      <c r="BF57" s="2042">
        <f t="shared" ref="BF57" si="162">SUM(BF50,BF52:BF56)</f>
        <v>0</v>
      </c>
      <c r="BG57" s="1583">
        <f t="shared" ref="BG57" si="163">SUM(BG50,BG52:BG56)</f>
        <v>0</v>
      </c>
      <c r="BH57" s="1583">
        <f t="shared" ref="BH57" si="164">SUM(BH50,BH52:BH56)</f>
        <v>0</v>
      </c>
      <c r="BI57" s="78">
        <f t="shared" ref="BI57" si="165">SUM(BI50,BI52:BI56)</f>
        <v>0</v>
      </c>
      <c r="BJ57" s="76">
        <f t="shared" si="21"/>
        <v>0</v>
      </c>
      <c r="BK57" s="2205">
        <f t="shared" ca="1" si="22"/>
        <v>0</v>
      </c>
      <c r="BL57" s="680">
        <f>SUM(BL50,BL52:BL56)</f>
        <v>0</v>
      </c>
      <c r="BM57" s="2044">
        <f>SUM(BM50,BM52:BM56)</f>
        <v>0</v>
      </c>
      <c r="BN57" s="2042">
        <f t="shared" ref="BN57" si="166">SUM(BN50,BN52:BN56)</f>
        <v>0</v>
      </c>
      <c r="BO57" s="1583">
        <f t="shared" ref="BO57" si="167">SUM(BO50,BO52:BO56)</f>
        <v>0</v>
      </c>
      <c r="BP57" s="1583">
        <f t="shared" ref="BP57" si="168">SUM(BP50,BP52:BP56)</f>
        <v>0</v>
      </c>
      <c r="BQ57" s="78">
        <f t="shared" ref="BQ57" si="169">SUM(BQ50,BQ52:BQ56)</f>
        <v>0</v>
      </c>
    </row>
    <row r="58" spans="2:72" ht="14.25" hidden="1" customHeight="1" outlineLevel="1">
      <c r="B58" s="826">
        <v>25</v>
      </c>
      <c r="C58" s="75" t="s">
        <v>779</v>
      </c>
      <c r="D58" s="1972" t="e">
        <f ca="1">SUM(F58:K58)</f>
        <v>#N/A</v>
      </c>
      <c r="E58" s="1584" t="e">
        <f t="shared" ca="1" si="67"/>
        <v>#N/A</v>
      </c>
      <c r="F58" s="680" t="e">
        <f ca="1">F68-F57</f>
        <v>#N/A</v>
      </c>
      <c r="G58" s="1582">
        <f t="shared" ref="G58:K58" si="170">G68-G57</f>
        <v>0</v>
      </c>
      <c r="H58" s="1583" t="e">
        <f t="shared" ca="1" si="170"/>
        <v>#N/A</v>
      </c>
      <c r="I58" s="1583">
        <f t="shared" si="170"/>
        <v>0</v>
      </c>
      <c r="J58" s="1583">
        <f t="shared" si="170"/>
        <v>0</v>
      </c>
      <c r="K58" s="78">
        <f t="shared" si="170"/>
        <v>0</v>
      </c>
      <c r="L58" s="464" t="e">
        <f t="shared" ca="1" si="43"/>
        <v>#N/A</v>
      </c>
      <c r="M58" s="1584" t="e">
        <f t="shared" ca="1" si="69"/>
        <v>#N/A</v>
      </c>
      <c r="N58" s="680" t="e">
        <f ca="1">N68-N57</f>
        <v>#N/A</v>
      </c>
      <c r="O58" s="1582">
        <f t="shared" ref="O58" si="171">O68-O57</f>
        <v>0</v>
      </c>
      <c r="P58" s="1583" t="e">
        <f t="shared" ref="P58" ca="1" si="172">P68-P57</f>
        <v>#N/A</v>
      </c>
      <c r="Q58" s="1583">
        <f t="shared" ref="Q58" si="173">Q68-Q57</f>
        <v>0</v>
      </c>
      <c r="R58" s="1583">
        <f t="shared" ref="R58" si="174">R68-R57</f>
        <v>0</v>
      </c>
      <c r="S58" s="78">
        <f t="shared" ref="S58" si="175">S68-S57</f>
        <v>0</v>
      </c>
      <c r="T58" s="464">
        <f t="shared" ca="1" si="11"/>
        <v>0</v>
      </c>
      <c r="U58" s="935">
        <f t="shared" ca="1" si="12"/>
        <v>0</v>
      </c>
      <c r="V58" s="680">
        <f ca="1">V68-V57</f>
        <v>0</v>
      </c>
      <c r="W58" s="1582">
        <f t="shared" ref="W58" si="176">W68-W57</f>
        <v>0</v>
      </c>
      <c r="X58" s="1583">
        <f t="shared" ref="X58" si="177">X68-X57</f>
        <v>0</v>
      </c>
      <c r="Y58" s="1583">
        <f t="shared" ref="Y58" si="178">Y68-Y57</f>
        <v>0</v>
      </c>
      <c r="Z58" s="1583">
        <f t="shared" ref="Z58" si="179">Z68-Z57</f>
        <v>0</v>
      </c>
      <c r="AA58" s="78">
        <f t="shared" ref="AA58" si="180">AA68-AA57</f>
        <v>0</v>
      </c>
      <c r="AB58" s="464">
        <f t="shared" ca="1" si="13"/>
        <v>0</v>
      </c>
      <c r="AC58" s="935">
        <f t="shared" ca="1" si="14"/>
        <v>0</v>
      </c>
      <c r="AD58" s="680">
        <f ca="1">AD68-AD57</f>
        <v>0</v>
      </c>
      <c r="AE58" s="1582">
        <f t="shared" ref="AE58" si="181">AE68-AE57</f>
        <v>0</v>
      </c>
      <c r="AF58" s="1583">
        <f t="shared" ref="AF58" si="182">AF68-AF57</f>
        <v>0</v>
      </c>
      <c r="AG58" s="1583">
        <f t="shared" ref="AG58" si="183">AG68-AG57</f>
        <v>0</v>
      </c>
      <c r="AH58" s="1583">
        <f t="shared" ref="AH58" si="184">AH68-AH57</f>
        <v>0</v>
      </c>
      <c r="AI58" s="78">
        <f t="shared" ref="AI58" si="185">AI68-AI57</f>
        <v>0</v>
      </c>
      <c r="AJ58" s="76" t="e">
        <f t="shared" ca="1" si="15"/>
        <v>#N/A</v>
      </c>
      <c r="AK58" s="465" t="e">
        <f t="shared" ca="1" si="85"/>
        <v>#N/A</v>
      </c>
      <c r="AL58" s="680" t="e">
        <f ca="1">AL68-AL57</f>
        <v>#N/A</v>
      </c>
      <c r="AM58" s="1582">
        <f t="shared" ref="AM58" si="186">AM68-AM57</f>
        <v>0</v>
      </c>
      <c r="AN58" s="1583" t="e">
        <f t="shared" ref="AN58" ca="1" si="187">AN68-AN57</f>
        <v>#N/A</v>
      </c>
      <c r="AO58" s="1583">
        <f t="shared" ref="AO58" si="188">AO68-AO57</f>
        <v>0</v>
      </c>
      <c r="AP58" s="1583">
        <f t="shared" ref="AP58" si="189">AP68-AP57</f>
        <v>0</v>
      </c>
      <c r="AQ58" s="78">
        <f t="shared" ref="AQ58" si="190">AQ68-AQ57</f>
        <v>0</v>
      </c>
      <c r="AR58" s="2204"/>
      <c r="AS58" s="76">
        <f t="shared" si="17"/>
        <v>0</v>
      </c>
      <c r="AT58" s="465">
        <f t="shared" si="18"/>
        <v>0</v>
      </c>
      <c r="AU58" s="680">
        <f>AU68-AU57</f>
        <v>0</v>
      </c>
      <c r="AV58" s="2044">
        <f t="shared" ref="AV58" si="191">AV68-AV57</f>
        <v>0</v>
      </c>
      <c r="AW58" s="2042">
        <f t="shared" ref="AW58" si="192">AW68-AW57</f>
        <v>0</v>
      </c>
      <c r="AX58" s="1583">
        <f t="shared" ref="AX58" si="193">AX68-AX57</f>
        <v>0</v>
      </c>
      <c r="AY58" s="1583">
        <f t="shared" ref="AY58" si="194">AY68-AY57</f>
        <v>0</v>
      </c>
      <c r="AZ58" s="78">
        <f t="shared" ref="AZ58" si="195">AZ68-AZ57</f>
        <v>0</v>
      </c>
      <c r="BA58" s="1965"/>
      <c r="BB58" s="76">
        <f t="shared" si="19"/>
        <v>0</v>
      </c>
      <c r="BC58" s="1585">
        <f t="shared" si="20"/>
        <v>0</v>
      </c>
      <c r="BD58" s="680">
        <f>BD68-BD57</f>
        <v>0</v>
      </c>
      <c r="BE58" s="2044">
        <f t="shared" ref="BE58" si="196">BE68-BE57</f>
        <v>0</v>
      </c>
      <c r="BF58" s="2042">
        <f t="shared" ref="BF58" si="197">BF68-BF57</f>
        <v>0</v>
      </c>
      <c r="BG58" s="1583">
        <f t="shared" ref="BG58" si="198">BG68-BG57</f>
        <v>0</v>
      </c>
      <c r="BH58" s="1583">
        <f t="shared" ref="BH58" si="199">BH68-BH57</f>
        <v>0</v>
      </c>
      <c r="BI58" s="78">
        <f t="shared" ref="BI58" si="200">BI68-BI57</f>
        <v>0</v>
      </c>
      <c r="BJ58" s="76">
        <f t="shared" ca="1" si="21"/>
        <v>0</v>
      </c>
      <c r="BK58" s="2205">
        <f t="shared" ca="1" si="22"/>
        <v>0</v>
      </c>
      <c r="BL58" s="680">
        <f>BL68-BL57</f>
        <v>0</v>
      </c>
      <c r="BM58" s="2044">
        <f t="shared" ref="BM58" ca="1" si="201">BM68-BM57</f>
        <v>0</v>
      </c>
      <c r="BN58" s="2042">
        <f t="shared" ref="BN58" si="202">BN68-BN57</f>
        <v>0</v>
      </c>
      <c r="BO58" s="1583">
        <f t="shared" ref="BO58" si="203">BO68-BO57</f>
        <v>0</v>
      </c>
      <c r="BP58" s="1583">
        <f t="shared" ref="BP58" si="204">BP68-BP57</f>
        <v>0</v>
      </c>
      <c r="BQ58" s="78">
        <f t="shared" ref="BQ58" si="205">BQ68-BQ57</f>
        <v>0</v>
      </c>
    </row>
    <row r="59" spans="2:72" ht="14.25" hidden="1" customHeight="1" outlineLevel="1">
      <c r="B59" s="1568">
        <v>26</v>
      </c>
      <c r="C59" s="2206" t="s">
        <v>243</v>
      </c>
      <c r="D59" s="2207" t="e">
        <f t="shared" ca="1" si="2"/>
        <v>#N/A</v>
      </c>
      <c r="E59" s="1571"/>
      <c r="F59" s="2037" t="e">
        <f ca="1">$E59*F$68</f>
        <v>#N/A</v>
      </c>
      <c r="G59" s="2038">
        <f>IF('Estimate Summary'!$D$9&lt;2,0,$E59*G$68)</f>
        <v>0</v>
      </c>
      <c r="H59" s="2039" t="e">
        <f ca="1">G59/F59</f>
        <v>#N/A</v>
      </c>
      <c r="I59" s="2039">
        <f>IF('Estimate Summary'!$D$9&lt;4,0,$E59*I$68)</f>
        <v>0</v>
      </c>
      <c r="J59" s="2039">
        <f>IF('Estimate Summary'!$D$9&lt;5,0,$E59*J$68)</f>
        <v>0</v>
      </c>
      <c r="K59" s="2040">
        <f>IF('Estimate Summary'!$D$9&lt;6,0,$E59*K$68)</f>
        <v>0</v>
      </c>
      <c r="L59" s="2207" t="e">
        <f t="shared" ca="1" si="43"/>
        <v>#N/A</v>
      </c>
      <c r="M59" s="1571" t="e">
        <f t="shared" ca="1" si="69"/>
        <v>#N/A</v>
      </c>
      <c r="N59" s="1572" t="e">
        <f ca="1">AL59+AU59+BD59</f>
        <v>#N/A</v>
      </c>
      <c r="O59" s="1573">
        <f t="shared" ref="O59" si="206">AM59+AV59+BE59</f>
        <v>0</v>
      </c>
      <c r="P59" s="1553" t="e">
        <f t="shared" ref="P59" ca="1" si="207">AN59+AW59+BF59</f>
        <v>#N/A</v>
      </c>
      <c r="Q59" s="1553">
        <f t="shared" ref="Q59" si="208">AO59+AX59+BG59</f>
        <v>0</v>
      </c>
      <c r="R59" s="1553">
        <f t="shared" ref="R59" si="209">AP59+AY59+BH59</f>
        <v>0</v>
      </c>
      <c r="S59" s="955">
        <f t="shared" ref="S59" si="210">AQ59+AZ59+BI59</f>
        <v>0</v>
      </c>
      <c r="T59" s="2207">
        <f t="shared" si="11"/>
        <v>0</v>
      </c>
      <c r="U59" s="1571">
        <f t="shared" ca="1" si="12"/>
        <v>0</v>
      </c>
      <c r="V59" s="1572"/>
      <c r="W59" s="2182"/>
      <c r="X59" s="2189"/>
      <c r="Y59" s="2189"/>
      <c r="Z59" s="2189"/>
      <c r="AA59" s="955"/>
      <c r="AB59" s="2207">
        <f t="shared" si="13"/>
        <v>0</v>
      </c>
      <c r="AC59" s="1571">
        <f t="shared" ca="1" si="14"/>
        <v>0</v>
      </c>
      <c r="AD59" s="1572"/>
      <c r="AE59" s="2182">
        <f>IF('Estimate Summary'!$D$9&lt;2,0,$V59)</f>
        <v>0</v>
      </c>
      <c r="AF59" s="2189">
        <f>IF('Estimate Summary'!$D$9&lt;3,0,$V59)</f>
        <v>0</v>
      </c>
      <c r="AG59" s="2189">
        <f>IF('Estimate Summary'!$D$9&lt;4,0,$V59)</f>
        <v>0</v>
      </c>
      <c r="AH59" s="2189">
        <f>IF('Estimate Summary'!$D$9&lt;5,0,$V59)</f>
        <v>0</v>
      </c>
      <c r="AI59" s="955">
        <f>IF('Estimate Summary'!$D$9&lt;6,0,$V59)</f>
        <v>0</v>
      </c>
      <c r="AJ59" s="2208" t="e">
        <f t="shared" ca="1" si="15"/>
        <v>#N/A</v>
      </c>
      <c r="AK59" s="2209" t="e">
        <f t="shared" ca="1" si="85"/>
        <v>#N/A</v>
      </c>
      <c r="AL59" s="919" t="e">
        <f ca="1">F59-AU59-BD59</f>
        <v>#N/A</v>
      </c>
      <c r="AM59" s="1553">
        <f t="shared" ref="AM59" si="211">G59-AV59-BE59</f>
        <v>0</v>
      </c>
      <c r="AN59" s="1566" t="e">
        <f t="shared" ref="AN59" ca="1" si="212">H59-AW59-BF59</f>
        <v>#N/A</v>
      </c>
      <c r="AO59" s="1553">
        <f t="shared" ref="AO59" si="213">I59-AX59-BG59</f>
        <v>0</v>
      </c>
      <c r="AP59" s="1553">
        <f t="shared" ref="AP59" si="214">J59-AY59-BH59</f>
        <v>0</v>
      </c>
      <c r="AQ59" s="955">
        <f t="shared" ref="AQ59" si="215">K59-AZ59-BI59</f>
        <v>0</v>
      </c>
      <c r="AS59" s="2208">
        <f t="shared" si="17"/>
        <v>0</v>
      </c>
      <c r="AT59" s="1576">
        <f t="shared" si="18"/>
        <v>0</v>
      </c>
      <c r="AU59" s="1580"/>
      <c r="AV59" s="2210"/>
      <c r="AW59" s="1566">
        <f>IF('Estimate Summary'!$D$9&lt;3,0,$AU59)</f>
        <v>0</v>
      </c>
      <c r="AX59" s="934">
        <f>IF('Estimate Summary'!$D$9&lt;4,0,$AU59)</f>
        <v>0</v>
      </c>
      <c r="AY59" s="934">
        <f>IF('Estimate Summary'!$D$9&lt;5,0,$AU59)</f>
        <v>0</v>
      </c>
      <c r="AZ59" s="955">
        <f>IF('Estimate Summary'!$D$9&lt;6,0,$AU59)</f>
        <v>0</v>
      </c>
      <c r="BA59" s="1965"/>
      <c r="BB59" s="2208">
        <f t="shared" si="19"/>
        <v>0</v>
      </c>
      <c r="BC59" s="1578">
        <f t="shared" si="20"/>
        <v>0</v>
      </c>
      <c r="BD59" s="919"/>
      <c r="BE59" s="955"/>
      <c r="BF59" s="1579">
        <f>IF('Estimate Summary'!$D$9&lt;3,0,$BD59)</f>
        <v>0</v>
      </c>
      <c r="BG59" s="2189">
        <f>IF('Estimate Summary'!$D$9&lt;4,0,$BD59)</f>
        <v>0</v>
      </c>
      <c r="BH59" s="2189">
        <f>IF('Estimate Summary'!$D$9&lt;5,0,$BD59)</f>
        <v>0</v>
      </c>
      <c r="BI59" s="955">
        <f>IF('Estimate Summary'!$D$9&lt;6,0,$BD59)</f>
        <v>0</v>
      </c>
      <c r="BJ59" s="2208">
        <f t="shared" si="21"/>
        <v>0</v>
      </c>
      <c r="BK59" s="2192">
        <f t="shared" ca="1" si="22"/>
        <v>0</v>
      </c>
      <c r="BL59" s="919"/>
      <c r="BM59" s="955"/>
      <c r="BN59" s="1579">
        <f>IF('Estimate Summary'!$D$9&lt;3,0,$BD59)</f>
        <v>0</v>
      </c>
      <c r="BO59" s="934">
        <f>IF('Estimate Summary'!$D$9&lt;4,0,$BD59)</f>
        <v>0</v>
      </c>
      <c r="BP59" s="934">
        <f>IF('Estimate Summary'!$D$9&lt;5,0,$BD59)</f>
        <v>0</v>
      </c>
      <c r="BQ59" s="955">
        <f>IF('Estimate Summary'!$D$9&lt;6,0,$BD59)</f>
        <v>0</v>
      </c>
    </row>
    <row r="60" spans="2:72" ht="14.25" hidden="1" customHeight="1" outlineLevel="1">
      <c r="B60" s="1568">
        <v>27</v>
      </c>
      <c r="C60" s="2206" t="s">
        <v>766</v>
      </c>
      <c r="D60" s="2207" t="e">
        <f t="shared" ca="1" si="2"/>
        <v>#N/A</v>
      </c>
      <c r="E60" s="1571"/>
      <c r="F60" s="1572" t="e">
        <f t="shared" ref="F60:F66" ca="1" si="216">$E60*F$68</f>
        <v>#N/A</v>
      </c>
      <c r="G60" s="1573">
        <f>IF('Estimate Summary'!$D$9&lt;2,0,$E60*G$68)</f>
        <v>0</v>
      </c>
      <c r="H60" s="1553">
        <f>IF('Estimate Summary'!$D$9&lt;3,0,$E60*H$68)</f>
        <v>0</v>
      </c>
      <c r="I60" s="1553">
        <f>IF('Estimate Summary'!$D$9&lt;4,0,$E60*I$68)</f>
        <v>0</v>
      </c>
      <c r="J60" s="1553">
        <f>IF('Estimate Summary'!$D$9&lt;5,0,$E60*J$68)</f>
        <v>0</v>
      </c>
      <c r="K60" s="955">
        <f>IF('Estimate Summary'!$D$9&lt;6,0,$E60*K$68)</f>
        <v>0</v>
      </c>
      <c r="L60" s="2207" t="e">
        <f t="shared" ca="1" si="43"/>
        <v>#N/A</v>
      </c>
      <c r="M60" s="1571" t="e">
        <f t="shared" ca="1" si="69"/>
        <v>#N/A</v>
      </c>
      <c r="N60" s="1572" t="e">
        <f t="shared" ref="N60:N66" ca="1" si="217">AL60+AU60+BD60</f>
        <v>#N/A</v>
      </c>
      <c r="O60" s="1573">
        <f t="shared" ref="O60:O66" si="218">AM60+AV60+BE60</f>
        <v>0</v>
      </c>
      <c r="P60" s="1553">
        <f t="shared" ref="P60:P66" si="219">AN60+AW60+BF60</f>
        <v>0</v>
      </c>
      <c r="Q60" s="1553">
        <f t="shared" ref="Q60:Q66" si="220">AO60+AX60+BG60</f>
        <v>0</v>
      </c>
      <c r="R60" s="1553">
        <f t="shared" ref="R60:R66" si="221">AP60+AY60+BH60</f>
        <v>0</v>
      </c>
      <c r="S60" s="955">
        <f t="shared" ref="S60:S66" si="222">AQ60+AZ60+BI60</f>
        <v>0</v>
      </c>
      <c r="T60" s="2207">
        <f t="shared" si="11"/>
        <v>0</v>
      </c>
      <c r="U60" s="1571">
        <f t="shared" ca="1" si="12"/>
        <v>0</v>
      </c>
      <c r="V60" s="1572"/>
      <c r="W60" s="1573"/>
      <c r="X60" s="1553"/>
      <c r="Y60" s="1553"/>
      <c r="Z60" s="1553"/>
      <c r="AA60" s="955"/>
      <c r="AB60" s="2207">
        <f t="shared" si="13"/>
        <v>0</v>
      </c>
      <c r="AC60" s="1571">
        <f t="shared" ca="1" si="14"/>
        <v>0</v>
      </c>
      <c r="AD60" s="1572"/>
      <c r="AE60" s="1573"/>
      <c r="AF60" s="1553"/>
      <c r="AG60" s="1553"/>
      <c r="AH60" s="1553"/>
      <c r="AI60" s="955"/>
      <c r="AJ60" s="2208" t="e">
        <f t="shared" ca="1" si="15"/>
        <v>#N/A</v>
      </c>
      <c r="AK60" s="2209" t="e">
        <f t="shared" ca="1" si="85"/>
        <v>#N/A</v>
      </c>
      <c r="AL60" s="1580" t="e">
        <f t="shared" ref="AL60:AL66" ca="1" si="223">F60-AU60-BD60</f>
        <v>#N/A</v>
      </c>
      <c r="AM60" s="1553">
        <f t="shared" ref="AM60:AM66" si="224">G60-AV60-BE60</f>
        <v>0</v>
      </c>
      <c r="AN60" s="1553">
        <f t="shared" ref="AN60:AN66" si="225">H60-AW60-BF60</f>
        <v>0</v>
      </c>
      <c r="AO60" s="1553">
        <f t="shared" ref="AO60:AO66" si="226">I60-AX60-BG60</f>
        <v>0</v>
      </c>
      <c r="AP60" s="1553">
        <f t="shared" ref="AP60:AP66" si="227">J60-AY60-BH60</f>
        <v>0</v>
      </c>
      <c r="AQ60" s="955">
        <f t="shared" ref="AQ60:AQ66" si="228">K60-AZ60-BI60</f>
        <v>0</v>
      </c>
      <c r="AS60" s="2208">
        <f t="shared" si="17"/>
        <v>0</v>
      </c>
      <c r="AT60" s="1576">
        <f t="shared" si="18"/>
        <v>0</v>
      </c>
      <c r="AU60" s="1580"/>
      <c r="AV60" s="2210"/>
      <c r="AW60" s="1566"/>
      <c r="AX60" s="1553"/>
      <c r="AY60" s="1553"/>
      <c r="AZ60" s="955"/>
      <c r="BA60" s="1965"/>
      <c r="BB60" s="2208">
        <f t="shared" si="19"/>
        <v>0</v>
      </c>
      <c r="BC60" s="1578">
        <f t="shared" si="20"/>
        <v>0</v>
      </c>
      <c r="BD60" s="919"/>
      <c r="BE60" s="955"/>
      <c r="BF60" s="1579"/>
      <c r="BG60" s="1553"/>
      <c r="BH60" s="1553"/>
      <c r="BI60" s="955"/>
      <c r="BJ60" s="2208">
        <f t="shared" si="21"/>
        <v>0</v>
      </c>
      <c r="BK60" s="2192">
        <f t="shared" ca="1" si="22"/>
        <v>0</v>
      </c>
      <c r="BL60" s="919"/>
      <c r="BM60" s="955"/>
      <c r="BN60" s="1579"/>
      <c r="BO60" s="1553"/>
      <c r="BP60" s="1553"/>
      <c r="BQ60" s="955"/>
    </row>
    <row r="61" spans="2:72" ht="14.25" hidden="1" customHeight="1" outlineLevel="1">
      <c r="B61" s="1568">
        <v>28</v>
      </c>
      <c r="C61" s="2206" t="s">
        <v>767</v>
      </c>
      <c r="D61" s="2207" t="e">
        <f t="shared" ca="1" si="2"/>
        <v>#N/A</v>
      </c>
      <c r="E61" s="1571"/>
      <c r="F61" s="1572" t="e">
        <f t="shared" ca="1" si="216"/>
        <v>#N/A</v>
      </c>
      <c r="G61" s="1573">
        <f>IF('Estimate Summary'!$D$9&lt;2,0,$E61*G$68)</f>
        <v>0</v>
      </c>
      <c r="H61" s="1553">
        <f>IF('Estimate Summary'!$D$9&lt;3,0,$E61*H$68)</f>
        <v>0</v>
      </c>
      <c r="I61" s="1553">
        <f>IF('Estimate Summary'!$D$9&lt;4,0,$E61*I$68)</f>
        <v>0</v>
      </c>
      <c r="J61" s="1553">
        <f>IF('Estimate Summary'!$D$9&lt;5,0,$E61*J$68)</f>
        <v>0</v>
      </c>
      <c r="K61" s="955">
        <f>IF('Estimate Summary'!$D$9&lt;6,0,$E61*K$68)</f>
        <v>0</v>
      </c>
      <c r="L61" s="2207" t="e">
        <f t="shared" ca="1" si="43"/>
        <v>#N/A</v>
      </c>
      <c r="M61" s="1571" t="e">
        <f t="shared" ca="1" si="69"/>
        <v>#N/A</v>
      </c>
      <c r="N61" s="1572" t="e">
        <f t="shared" ca="1" si="217"/>
        <v>#N/A</v>
      </c>
      <c r="O61" s="1573">
        <f t="shared" si="218"/>
        <v>0</v>
      </c>
      <c r="P61" s="1553">
        <f t="shared" si="219"/>
        <v>0</v>
      </c>
      <c r="Q61" s="1553">
        <f t="shared" si="220"/>
        <v>0</v>
      </c>
      <c r="R61" s="1553">
        <f t="shared" si="221"/>
        <v>0</v>
      </c>
      <c r="S61" s="955">
        <f t="shared" si="222"/>
        <v>0</v>
      </c>
      <c r="T61" s="2207">
        <f t="shared" si="11"/>
        <v>0</v>
      </c>
      <c r="U61" s="1571">
        <f t="shared" ca="1" si="12"/>
        <v>0</v>
      </c>
      <c r="V61" s="1572"/>
      <c r="W61" s="1573"/>
      <c r="X61" s="1553"/>
      <c r="Y61" s="1553"/>
      <c r="Z61" s="1553"/>
      <c r="AA61" s="955"/>
      <c r="AB61" s="2207">
        <f t="shared" si="13"/>
        <v>0</v>
      </c>
      <c r="AC61" s="1571">
        <f t="shared" ca="1" si="14"/>
        <v>0</v>
      </c>
      <c r="AD61" s="1572"/>
      <c r="AE61" s="1573"/>
      <c r="AF61" s="1553"/>
      <c r="AG61" s="1553"/>
      <c r="AH61" s="1553"/>
      <c r="AI61" s="955"/>
      <c r="AJ61" s="2208" t="e">
        <f t="shared" ca="1" si="15"/>
        <v>#N/A</v>
      </c>
      <c r="AK61" s="2209" t="e">
        <f t="shared" ca="1" si="85"/>
        <v>#N/A</v>
      </c>
      <c r="AL61" s="1580" t="e">
        <f t="shared" ca="1" si="223"/>
        <v>#N/A</v>
      </c>
      <c r="AM61" s="1553">
        <f t="shared" si="224"/>
        <v>0</v>
      </c>
      <c r="AN61" s="1553">
        <f t="shared" si="225"/>
        <v>0</v>
      </c>
      <c r="AO61" s="1553">
        <f t="shared" si="226"/>
        <v>0</v>
      </c>
      <c r="AP61" s="1553">
        <f t="shared" si="227"/>
        <v>0</v>
      </c>
      <c r="AQ61" s="955">
        <f t="shared" si="228"/>
        <v>0</v>
      </c>
      <c r="AS61" s="2208">
        <f t="shared" si="17"/>
        <v>0</v>
      </c>
      <c r="AT61" s="1576">
        <f t="shared" si="18"/>
        <v>0</v>
      </c>
      <c r="AU61" s="1580"/>
      <c r="AV61" s="2210"/>
      <c r="AW61" s="1566"/>
      <c r="AX61" s="1553"/>
      <c r="AY61" s="1553"/>
      <c r="AZ61" s="955"/>
      <c r="BA61" s="1965"/>
      <c r="BB61" s="2208">
        <f t="shared" si="19"/>
        <v>0</v>
      </c>
      <c r="BC61" s="1578">
        <f t="shared" si="20"/>
        <v>0</v>
      </c>
      <c r="BD61" s="919"/>
      <c r="BE61" s="955"/>
      <c r="BF61" s="1579"/>
      <c r="BG61" s="1553"/>
      <c r="BH61" s="1553"/>
      <c r="BI61" s="955"/>
      <c r="BJ61" s="2208">
        <f t="shared" si="21"/>
        <v>0</v>
      </c>
      <c r="BK61" s="2192">
        <f t="shared" ca="1" si="22"/>
        <v>0</v>
      </c>
      <c r="BL61" s="919"/>
      <c r="BM61" s="955"/>
      <c r="BN61" s="1579"/>
      <c r="BO61" s="1553"/>
      <c r="BP61" s="1553"/>
      <c r="BQ61" s="955"/>
    </row>
    <row r="62" spans="2:72" ht="14.25" hidden="1" customHeight="1" outlineLevel="1">
      <c r="B62" s="1568">
        <v>29</v>
      </c>
      <c r="C62" s="2206" t="s">
        <v>768</v>
      </c>
      <c r="D62" s="2207" t="e">
        <f t="shared" ca="1" si="2"/>
        <v>#N/A</v>
      </c>
      <c r="E62" s="1571"/>
      <c r="F62" s="1572" t="e">
        <f t="shared" ca="1" si="216"/>
        <v>#N/A</v>
      </c>
      <c r="G62" s="1573">
        <f>IF('Estimate Summary'!$D$9&lt;2,0,$E62*G$68)</f>
        <v>0</v>
      </c>
      <c r="H62" s="1553">
        <f>IF('Estimate Summary'!$D$9&lt;3,0,$E62*H$68)</f>
        <v>0</v>
      </c>
      <c r="I62" s="1553">
        <f>IF('Estimate Summary'!$D$9&lt;4,0,$E62*I$68)</f>
        <v>0</v>
      </c>
      <c r="J62" s="1553">
        <f>IF('Estimate Summary'!$D$9&lt;5,0,$E62*J$68)</f>
        <v>0</v>
      </c>
      <c r="K62" s="955">
        <f>IF('Estimate Summary'!$D$9&lt;6,0,$E62*K$68)</f>
        <v>0</v>
      </c>
      <c r="L62" s="2207" t="e">
        <f t="shared" ca="1" si="43"/>
        <v>#N/A</v>
      </c>
      <c r="M62" s="1571" t="e">
        <f t="shared" ca="1" si="69"/>
        <v>#N/A</v>
      </c>
      <c r="N62" s="1572" t="e">
        <f t="shared" ca="1" si="217"/>
        <v>#N/A</v>
      </c>
      <c r="O62" s="1573">
        <f t="shared" si="218"/>
        <v>0</v>
      </c>
      <c r="P62" s="1553">
        <f t="shared" si="219"/>
        <v>0</v>
      </c>
      <c r="Q62" s="1553">
        <f t="shared" si="220"/>
        <v>0</v>
      </c>
      <c r="R62" s="1553">
        <f t="shared" si="221"/>
        <v>0</v>
      </c>
      <c r="S62" s="955">
        <f t="shared" si="222"/>
        <v>0</v>
      </c>
      <c r="T62" s="2207">
        <f t="shared" si="11"/>
        <v>0</v>
      </c>
      <c r="U62" s="1571">
        <f t="shared" ca="1" si="12"/>
        <v>0</v>
      </c>
      <c r="V62" s="1572"/>
      <c r="W62" s="1573"/>
      <c r="X62" s="1553"/>
      <c r="Y62" s="1553"/>
      <c r="Z62" s="1553"/>
      <c r="AA62" s="955"/>
      <c r="AB62" s="2207">
        <f t="shared" si="13"/>
        <v>0</v>
      </c>
      <c r="AC62" s="1571">
        <f t="shared" ca="1" si="14"/>
        <v>0</v>
      </c>
      <c r="AD62" s="1572"/>
      <c r="AE62" s="1573"/>
      <c r="AF62" s="1553"/>
      <c r="AG62" s="1553"/>
      <c r="AH62" s="1553"/>
      <c r="AI62" s="955"/>
      <c r="AJ62" s="2208" t="e">
        <f t="shared" ca="1" si="15"/>
        <v>#N/A</v>
      </c>
      <c r="AK62" s="2209" t="e">
        <f t="shared" ca="1" si="85"/>
        <v>#N/A</v>
      </c>
      <c r="AL62" s="1580" t="e">
        <f t="shared" ca="1" si="223"/>
        <v>#N/A</v>
      </c>
      <c r="AM62" s="1553">
        <f t="shared" si="224"/>
        <v>0</v>
      </c>
      <c r="AN62" s="1553">
        <f t="shared" si="225"/>
        <v>0</v>
      </c>
      <c r="AO62" s="1553">
        <f t="shared" si="226"/>
        <v>0</v>
      </c>
      <c r="AP62" s="1553">
        <f t="shared" si="227"/>
        <v>0</v>
      </c>
      <c r="AQ62" s="955">
        <f t="shared" si="228"/>
        <v>0</v>
      </c>
      <c r="AS62" s="2208">
        <f t="shared" si="17"/>
        <v>0</v>
      </c>
      <c r="AT62" s="1576">
        <f t="shared" si="18"/>
        <v>0</v>
      </c>
      <c r="AU62" s="1580"/>
      <c r="AV62" s="2210"/>
      <c r="AW62" s="1566"/>
      <c r="AX62" s="1553"/>
      <c r="AY62" s="1553"/>
      <c r="AZ62" s="955"/>
      <c r="BA62" s="1965"/>
      <c r="BB62" s="2208">
        <f t="shared" si="19"/>
        <v>0</v>
      </c>
      <c r="BC62" s="1578">
        <f t="shared" si="20"/>
        <v>0</v>
      </c>
      <c r="BD62" s="919"/>
      <c r="BE62" s="955"/>
      <c r="BF62" s="1579"/>
      <c r="BG62" s="1553"/>
      <c r="BH62" s="1553"/>
      <c r="BI62" s="955"/>
      <c r="BJ62" s="2208">
        <f t="shared" si="21"/>
        <v>0</v>
      </c>
      <c r="BK62" s="2192">
        <f t="shared" ca="1" si="22"/>
        <v>0</v>
      </c>
      <c r="BL62" s="919"/>
      <c r="BM62" s="955"/>
      <c r="BN62" s="1579"/>
      <c r="BO62" s="1553"/>
      <c r="BP62" s="1553"/>
      <c r="BQ62" s="955"/>
    </row>
    <row r="63" spans="2:72" ht="14.25" hidden="1" customHeight="1" outlineLevel="1">
      <c r="B63" s="1568">
        <v>30</v>
      </c>
      <c r="C63" s="2206" t="s">
        <v>769</v>
      </c>
      <c r="D63" s="2207" t="e">
        <f t="shared" ca="1" si="2"/>
        <v>#N/A</v>
      </c>
      <c r="E63" s="1571"/>
      <c r="F63" s="1572" t="e">
        <f t="shared" ca="1" si="216"/>
        <v>#N/A</v>
      </c>
      <c r="G63" s="1573">
        <f>IF('Estimate Summary'!$D$9&lt;2,0,$E63*G$68)</f>
        <v>0</v>
      </c>
      <c r="H63" s="1553">
        <f>IF('Estimate Summary'!$D$9&lt;3,0,$E63*H$68)</f>
        <v>0</v>
      </c>
      <c r="I63" s="1553">
        <f>IF('Estimate Summary'!$D$9&lt;4,0,$E63*I$68)</f>
        <v>0</v>
      </c>
      <c r="J63" s="1553">
        <f>IF('Estimate Summary'!$D$9&lt;5,0,$E63*J$68)</f>
        <v>0</v>
      </c>
      <c r="K63" s="955">
        <f>IF('Estimate Summary'!$D$9&lt;6,0,$E63*K$68)</f>
        <v>0</v>
      </c>
      <c r="L63" s="2207" t="e">
        <f t="shared" ca="1" si="43"/>
        <v>#N/A</v>
      </c>
      <c r="M63" s="1571" t="e">
        <f t="shared" ca="1" si="69"/>
        <v>#N/A</v>
      </c>
      <c r="N63" s="1572" t="e">
        <f t="shared" ca="1" si="217"/>
        <v>#N/A</v>
      </c>
      <c r="O63" s="1573">
        <f t="shared" si="218"/>
        <v>0</v>
      </c>
      <c r="P63" s="1553">
        <f t="shared" si="219"/>
        <v>0</v>
      </c>
      <c r="Q63" s="1553">
        <f t="shared" si="220"/>
        <v>0</v>
      </c>
      <c r="R63" s="1553">
        <f t="shared" si="221"/>
        <v>0</v>
      </c>
      <c r="S63" s="955">
        <f t="shared" si="222"/>
        <v>0</v>
      </c>
      <c r="T63" s="2207">
        <f t="shared" si="11"/>
        <v>0</v>
      </c>
      <c r="U63" s="1571">
        <f t="shared" ca="1" si="12"/>
        <v>0</v>
      </c>
      <c r="V63" s="1572"/>
      <c r="W63" s="1573"/>
      <c r="X63" s="1553"/>
      <c r="Y63" s="1553"/>
      <c r="Z63" s="1553"/>
      <c r="AA63" s="955"/>
      <c r="AB63" s="2207">
        <f t="shared" si="13"/>
        <v>0</v>
      </c>
      <c r="AC63" s="1571">
        <f t="shared" ca="1" si="14"/>
        <v>0</v>
      </c>
      <c r="AD63" s="1572"/>
      <c r="AE63" s="1573"/>
      <c r="AF63" s="1553"/>
      <c r="AG63" s="1553"/>
      <c r="AH63" s="1553"/>
      <c r="AI63" s="955"/>
      <c r="AJ63" s="2208" t="e">
        <f t="shared" ca="1" si="15"/>
        <v>#N/A</v>
      </c>
      <c r="AK63" s="2209" t="e">
        <f t="shared" ca="1" si="85"/>
        <v>#N/A</v>
      </c>
      <c r="AL63" s="1580" t="e">
        <f t="shared" ca="1" si="223"/>
        <v>#N/A</v>
      </c>
      <c r="AM63" s="1553">
        <f t="shared" si="224"/>
        <v>0</v>
      </c>
      <c r="AN63" s="1553">
        <f t="shared" si="225"/>
        <v>0</v>
      </c>
      <c r="AO63" s="1553">
        <f t="shared" si="226"/>
        <v>0</v>
      </c>
      <c r="AP63" s="1553">
        <f t="shared" si="227"/>
        <v>0</v>
      </c>
      <c r="AQ63" s="955">
        <f t="shared" si="228"/>
        <v>0</v>
      </c>
      <c r="AS63" s="2208">
        <f t="shared" si="17"/>
        <v>0</v>
      </c>
      <c r="AT63" s="1576">
        <f t="shared" si="18"/>
        <v>0</v>
      </c>
      <c r="AU63" s="1580"/>
      <c r="AV63" s="2210"/>
      <c r="AW63" s="1566"/>
      <c r="AX63" s="1553"/>
      <c r="AY63" s="1553"/>
      <c r="AZ63" s="955"/>
      <c r="BA63" s="1965"/>
      <c r="BB63" s="2208">
        <f t="shared" si="19"/>
        <v>0</v>
      </c>
      <c r="BC63" s="1578">
        <f t="shared" si="20"/>
        <v>0</v>
      </c>
      <c r="BD63" s="919"/>
      <c r="BE63" s="955"/>
      <c r="BF63" s="1579"/>
      <c r="BG63" s="1553"/>
      <c r="BH63" s="1553"/>
      <c r="BI63" s="955"/>
      <c r="BJ63" s="2208">
        <f t="shared" si="21"/>
        <v>0</v>
      </c>
      <c r="BK63" s="2192">
        <f t="shared" ca="1" si="22"/>
        <v>0</v>
      </c>
      <c r="BL63" s="919"/>
      <c r="BM63" s="955"/>
      <c r="BN63" s="1579"/>
      <c r="BO63" s="1553"/>
      <c r="BP63" s="1553"/>
      <c r="BQ63" s="955"/>
    </row>
    <row r="64" spans="2:72" ht="14.25" hidden="1" customHeight="1" outlineLevel="1">
      <c r="B64" s="1568">
        <v>31</v>
      </c>
      <c r="C64" s="2206" t="s">
        <v>75</v>
      </c>
      <c r="D64" s="2207" t="e">
        <f t="shared" ca="1" si="2"/>
        <v>#N/A</v>
      </c>
      <c r="E64" s="2211"/>
      <c r="F64" s="1572" t="e">
        <f t="shared" ca="1" si="216"/>
        <v>#N/A</v>
      </c>
      <c r="G64" s="2182">
        <f>IF('Estimate Summary'!$D$9&lt;2,0,$E64*G$68)</f>
        <v>0</v>
      </c>
      <c r="H64" s="2189">
        <f>IF('Estimate Summary'!$D$9&lt;3,0,$E64*H$68)</f>
        <v>0</v>
      </c>
      <c r="I64" s="2189">
        <f>IF('Estimate Summary'!$D$9&lt;4,0,$E64*I$68)</f>
        <v>0</v>
      </c>
      <c r="J64" s="2189">
        <f>IF('Estimate Summary'!$D$9&lt;5,0,$E64*J$68)</f>
        <v>0</v>
      </c>
      <c r="K64" s="955">
        <f>IF('Estimate Summary'!$D$9&lt;6,0,$E64*K$68)</f>
        <v>0</v>
      </c>
      <c r="L64" s="2207" t="e">
        <f t="shared" ca="1" si="43"/>
        <v>#N/A</v>
      </c>
      <c r="M64" s="2211" t="e">
        <f t="shared" ca="1" si="69"/>
        <v>#N/A</v>
      </c>
      <c r="N64" s="1572" t="e">
        <f t="shared" ca="1" si="217"/>
        <v>#N/A</v>
      </c>
      <c r="O64" s="2182">
        <f t="shared" si="218"/>
        <v>0</v>
      </c>
      <c r="P64" s="2189">
        <f t="shared" si="219"/>
        <v>0</v>
      </c>
      <c r="Q64" s="2189">
        <f t="shared" si="220"/>
        <v>0</v>
      </c>
      <c r="R64" s="2189">
        <f t="shared" si="221"/>
        <v>0</v>
      </c>
      <c r="S64" s="955">
        <f t="shared" si="222"/>
        <v>0</v>
      </c>
      <c r="T64" s="2207">
        <f t="shared" si="11"/>
        <v>0</v>
      </c>
      <c r="U64" s="2211">
        <f t="shared" ca="1" si="12"/>
        <v>0</v>
      </c>
      <c r="V64" s="1572"/>
      <c r="W64" s="2182"/>
      <c r="X64" s="2189"/>
      <c r="Y64" s="2189"/>
      <c r="Z64" s="2189"/>
      <c r="AA64" s="955"/>
      <c r="AB64" s="2207">
        <f t="shared" si="13"/>
        <v>0</v>
      </c>
      <c r="AC64" s="1571">
        <f t="shared" ca="1" si="14"/>
        <v>0</v>
      </c>
      <c r="AD64" s="1572"/>
      <c r="AE64" s="2182"/>
      <c r="AF64" s="2189"/>
      <c r="AG64" s="2189"/>
      <c r="AH64" s="2189"/>
      <c r="AI64" s="955"/>
      <c r="AJ64" s="2208" t="e">
        <f t="shared" ca="1" si="15"/>
        <v>#N/A</v>
      </c>
      <c r="AK64" s="2209" t="e">
        <f t="shared" ca="1" si="85"/>
        <v>#N/A</v>
      </c>
      <c r="AL64" s="1580" t="e">
        <f t="shared" ca="1" si="223"/>
        <v>#N/A</v>
      </c>
      <c r="AM64" s="2189">
        <f t="shared" si="224"/>
        <v>0</v>
      </c>
      <c r="AN64" s="2189">
        <f t="shared" si="225"/>
        <v>0</v>
      </c>
      <c r="AO64" s="2189">
        <f t="shared" si="226"/>
        <v>0</v>
      </c>
      <c r="AP64" s="2189">
        <f t="shared" si="227"/>
        <v>0</v>
      </c>
      <c r="AQ64" s="955">
        <f t="shared" si="228"/>
        <v>0</v>
      </c>
      <c r="AS64" s="2208">
        <f t="shared" si="17"/>
        <v>0</v>
      </c>
      <c r="AT64" s="2209">
        <f t="shared" si="18"/>
        <v>0</v>
      </c>
      <c r="AU64" s="1580"/>
      <c r="AV64" s="2212"/>
      <c r="AW64" s="1566"/>
      <c r="AX64" s="934"/>
      <c r="AY64" s="934"/>
      <c r="AZ64" s="955"/>
      <c r="BA64" s="1965"/>
      <c r="BB64" s="2208">
        <f t="shared" si="19"/>
        <v>0</v>
      </c>
      <c r="BC64" s="1578">
        <f t="shared" si="20"/>
        <v>0</v>
      </c>
      <c r="BD64" s="919"/>
      <c r="BE64" s="955"/>
      <c r="BF64" s="1579"/>
      <c r="BG64" s="2189"/>
      <c r="BH64" s="2189"/>
      <c r="BI64" s="955"/>
      <c r="BJ64" s="2208">
        <f t="shared" si="21"/>
        <v>0</v>
      </c>
      <c r="BK64" s="2192">
        <f t="shared" ca="1" si="22"/>
        <v>0</v>
      </c>
      <c r="BL64" s="919"/>
      <c r="BM64" s="955"/>
      <c r="BN64" s="1579"/>
      <c r="BO64" s="934"/>
      <c r="BP64" s="934"/>
      <c r="BQ64" s="955"/>
    </row>
    <row r="65" spans="1:69" ht="14.25" hidden="1" customHeight="1" outlineLevel="1">
      <c r="B65" s="1568">
        <v>32</v>
      </c>
      <c r="C65" s="2206" t="s">
        <v>75</v>
      </c>
      <c r="D65" s="2207" t="e">
        <f t="shared" ca="1" si="2"/>
        <v>#N/A</v>
      </c>
      <c r="E65" s="992"/>
      <c r="F65" s="1572" t="e">
        <f t="shared" ca="1" si="216"/>
        <v>#N/A</v>
      </c>
      <c r="G65" s="2182">
        <f>IF('Estimate Summary'!$D$9&lt;2,0,$E65*G$68)</f>
        <v>0</v>
      </c>
      <c r="H65" s="2189">
        <f>IF('Estimate Summary'!$D$9&lt;3,0,$E65*H$68)</f>
        <v>0</v>
      </c>
      <c r="I65" s="2189">
        <f>IF('Estimate Summary'!$D$9&lt;4,0,$E65*I$68)</f>
        <v>0</v>
      </c>
      <c r="J65" s="2189">
        <f>IF('Estimate Summary'!$D$9&lt;5,0,$E65*J$68)</f>
        <v>0</v>
      </c>
      <c r="K65" s="955">
        <f>IF('Estimate Summary'!$D$9&lt;6,0,$E65*K$68)</f>
        <v>0</v>
      </c>
      <c r="L65" s="2207" t="e">
        <f t="shared" ca="1" si="43"/>
        <v>#N/A</v>
      </c>
      <c r="M65" s="992" t="e">
        <f t="shared" ca="1" si="69"/>
        <v>#N/A</v>
      </c>
      <c r="N65" s="1572" t="e">
        <f t="shared" ca="1" si="217"/>
        <v>#N/A</v>
      </c>
      <c r="O65" s="2182">
        <f t="shared" si="218"/>
        <v>0</v>
      </c>
      <c r="P65" s="2189">
        <f t="shared" si="219"/>
        <v>0</v>
      </c>
      <c r="Q65" s="2189">
        <f t="shared" si="220"/>
        <v>0</v>
      </c>
      <c r="R65" s="2189">
        <f t="shared" si="221"/>
        <v>0</v>
      </c>
      <c r="S65" s="955">
        <f t="shared" si="222"/>
        <v>0</v>
      </c>
      <c r="T65" s="2207">
        <f t="shared" si="11"/>
        <v>0</v>
      </c>
      <c r="U65" s="1290">
        <f t="shared" ca="1" si="12"/>
        <v>0</v>
      </c>
      <c r="V65" s="1572"/>
      <c r="W65" s="2182"/>
      <c r="X65" s="2189"/>
      <c r="Y65" s="2189"/>
      <c r="Z65" s="2189"/>
      <c r="AA65" s="955"/>
      <c r="AB65" s="2207">
        <f t="shared" si="13"/>
        <v>0</v>
      </c>
      <c r="AC65" s="992">
        <f t="shared" ca="1" si="14"/>
        <v>0</v>
      </c>
      <c r="AD65" s="1572"/>
      <c r="AE65" s="2182"/>
      <c r="AF65" s="2189"/>
      <c r="AG65" s="2189"/>
      <c r="AH65" s="2189"/>
      <c r="AI65" s="955"/>
      <c r="AJ65" s="2208" t="e">
        <f t="shared" ca="1" si="15"/>
        <v>#N/A</v>
      </c>
      <c r="AK65" s="1353" t="e">
        <f t="shared" ca="1" si="85"/>
        <v>#N/A</v>
      </c>
      <c r="AL65" s="1580" t="e">
        <f t="shared" ca="1" si="223"/>
        <v>#N/A</v>
      </c>
      <c r="AM65" s="2189">
        <f t="shared" si="224"/>
        <v>0</v>
      </c>
      <c r="AN65" s="2189">
        <f t="shared" si="225"/>
        <v>0</v>
      </c>
      <c r="AO65" s="2189">
        <f t="shared" si="226"/>
        <v>0</v>
      </c>
      <c r="AP65" s="2189">
        <f t="shared" si="227"/>
        <v>0</v>
      </c>
      <c r="AQ65" s="955">
        <f t="shared" si="228"/>
        <v>0</v>
      </c>
      <c r="AS65" s="2208">
        <f t="shared" si="17"/>
        <v>0</v>
      </c>
      <c r="AT65" s="1353">
        <f t="shared" si="18"/>
        <v>0</v>
      </c>
      <c r="AU65" s="2202"/>
      <c r="AV65" s="2213"/>
      <c r="AW65" s="2214"/>
      <c r="AX65" s="2215"/>
      <c r="AY65" s="2215"/>
      <c r="AZ65" s="955"/>
      <c r="BA65" s="1965"/>
      <c r="BB65" s="2208">
        <f t="shared" si="19"/>
        <v>0</v>
      </c>
      <c r="BC65" s="2201">
        <f t="shared" si="20"/>
        <v>0</v>
      </c>
      <c r="BD65" s="919"/>
      <c r="BE65" s="955"/>
      <c r="BF65" s="1579">
        <f>IF('Estimate Summary'!$D$9&lt;3,0,$BD65)</f>
        <v>0</v>
      </c>
      <c r="BG65" s="2189">
        <f>IF('Estimate Summary'!$D$9&lt;4,0,$BD65)</f>
        <v>0</v>
      </c>
      <c r="BH65" s="2189">
        <f>IF('Estimate Summary'!$D$9&lt;5,0,$BD65)</f>
        <v>0</v>
      </c>
      <c r="BI65" s="955">
        <f>IF('Estimate Summary'!$D$9&lt;6,0,$BD65)</f>
        <v>0</v>
      </c>
      <c r="BJ65" s="2208">
        <f t="shared" ca="1" si="21"/>
        <v>0</v>
      </c>
      <c r="BK65" s="2201">
        <f t="shared" ca="1" si="22"/>
        <v>0</v>
      </c>
      <c r="BL65" s="919"/>
      <c r="BM65" s="955">
        <f ca="1">BK65*BM68</f>
        <v>0</v>
      </c>
      <c r="BN65" s="1579">
        <f>IF('Estimate Summary'!$D$9&lt;3,0,$BD65)</f>
        <v>0</v>
      </c>
      <c r="BO65" s="934">
        <f>IF('Estimate Summary'!$D$9&lt;4,0,$BD65)</f>
        <v>0</v>
      </c>
      <c r="BP65" s="934">
        <f>IF('Estimate Summary'!$D$9&lt;5,0,$BD65)</f>
        <v>0</v>
      </c>
      <c r="BQ65" s="955">
        <f>IF('Estimate Summary'!$D$9&lt;6,0,$BD65)</f>
        <v>0</v>
      </c>
    </row>
    <row r="66" spans="1:69" ht="14.25" hidden="1" customHeight="1" outlineLevel="1">
      <c r="B66" s="1568">
        <v>33</v>
      </c>
      <c r="C66" s="2206" t="s">
        <v>75</v>
      </c>
      <c r="D66" s="2207" t="e">
        <f t="shared" ca="1" si="2"/>
        <v>#N/A</v>
      </c>
      <c r="E66" s="1571"/>
      <c r="F66" s="1572" t="e">
        <f t="shared" ca="1" si="216"/>
        <v>#N/A</v>
      </c>
      <c r="G66" s="2182">
        <f>IF('Estimate Summary'!$D$9&lt;2,0,$E66*G$68)</f>
        <v>0</v>
      </c>
      <c r="H66" s="2189">
        <f>IF('Estimate Summary'!$D$9&lt;3,0,$E66*H$68)</f>
        <v>0</v>
      </c>
      <c r="I66" s="2189">
        <f>IF('Estimate Summary'!$D$9&lt;4,0,$E66*I$68)</f>
        <v>0</v>
      </c>
      <c r="J66" s="2189">
        <f>IF('Estimate Summary'!$D$9&lt;5,0,$E66*J$68)</f>
        <v>0</v>
      </c>
      <c r="K66" s="955">
        <f>IF('Estimate Summary'!$D$9&lt;6,0,$E66*K$68)</f>
        <v>0</v>
      </c>
      <c r="L66" s="2207" t="e">
        <f t="shared" ca="1" si="43"/>
        <v>#N/A</v>
      </c>
      <c r="M66" s="1571" t="e">
        <f t="shared" ca="1" si="69"/>
        <v>#N/A</v>
      </c>
      <c r="N66" s="1572" t="e">
        <f t="shared" ca="1" si="217"/>
        <v>#N/A</v>
      </c>
      <c r="O66" s="2182">
        <f t="shared" si="218"/>
        <v>0</v>
      </c>
      <c r="P66" s="2189">
        <f t="shared" si="219"/>
        <v>0</v>
      </c>
      <c r="Q66" s="2189">
        <f t="shared" si="220"/>
        <v>0</v>
      </c>
      <c r="R66" s="2189">
        <f t="shared" si="221"/>
        <v>0</v>
      </c>
      <c r="S66" s="955">
        <f t="shared" si="222"/>
        <v>0</v>
      </c>
      <c r="T66" s="2207">
        <f t="shared" si="11"/>
        <v>0</v>
      </c>
      <c r="U66" s="1571">
        <f t="shared" ca="1" si="12"/>
        <v>0</v>
      </c>
      <c r="V66" s="1572"/>
      <c r="W66" s="2182"/>
      <c r="X66" s="2189"/>
      <c r="Y66" s="2189"/>
      <c r="Z66" s="2189"/>
      <c r="AA66" s="955"/>
      <c r="AB66" s="2207">
        <f t="shared" si="13"/>
        <v>0</v>
      </c>
      <c r="AC66" s="1571">
        <f t="shared" ca="1" si="14"/>
        <v>0</v>
      </c>
      <c r="AD66" s="1572"/>
      <c r="AE66" s="2182">
        <f>IF('Estimate Summary'!$D$9&lt;2,0,$V66)</f>
        <v>0</v>
      </c>
      <c r="AF66" s="2189">
        <f>IF('Estimate Summary'!$D$9&lt;3,0,$V66)</f>
        <v>0</v>
      </c>
      <c r="AG66" s="2189">
        <f>IF('Estimate Summary'!$D$9&lt;4,0,$V66)</f>
        <v>0</v>
      </c>
      <c r="AH66" s="2189">
        <f>IF('Estimate Summary'!$D$9&lt;5,0,$V66)</f>
        <v>0</v>
      </c>
      <c r="AI66" s="955">
        <f>IF('Estimate Summary'!$D$9&lt;6,0,$V66)</f>
        <v>0</v>
      </c>
      <c r="AJ66" s="2208" t="e">
        <f t="shared" ca="1" si="15"/>
        <v>#N/A</v>
      </c>
      <c r="AK66" s="2209" t="e">
        <f t="shared" ca="1" si="85"/>
        <v>#N/A</v>
      </c>
      <c r="AL66" s="1580" t="e">
        <f t="shared" ca="1" si="223"/>
        <v>#N/A</v>
      </c>
      <c r="AM66" s="2189">
        <f t="shared" si="224"/>
        <v>0</v>
      </c>
      <c r="AN66" s="2189">
        <f t="shared" si="225"/>
        <v>0</v>
      </c>
      <c r="AO66" s="2189">
        <f t="shared" si="226"/>
        <v>0</v>
      </c>
      <c r="AP66" s="2189">
        <f t="shared" si="227"/>
        <v>0</v>
      </c>
      <c r="AQ66" s="955">
        <f t="shared" si="228"/>
        <v>0</v>
      </c>
      <c r="AS66" s="2208">
        <f t="shared" si="17"/>
        <v>0</v>
      </c>
      <c r="AT66" s="2209">
        <f t="shared" si="18"/>
        <v>0</v>
      </c>
      <c r="AU66" s="2216"/>
      <c r="AV66" s="2212"/>
      <c r="AW66" s="1566"/>
      <c r="AX66" s="934"/>
      <c r="AY66" s="934"/>
      <c r="AZ66" s="955"/>
      <c r="BA66" s="1965"/>
      <c r="BB66" s="2208">
        <f t="shared" si="19"/>
        <v>0</v>
      </c>
      <c r="BC66" s="2192">
        <f t="shared" si="20"/>
        <v>0</v>
      </c>
      <c r="BD66" s="919"/>
      <c r="BE66" s="955"/>
      <c r="BF66" s="1579">
        <f>IF('Estimate Summary'!$D$9&lt;3,0,$BD66)</f>
        <v>0</v>
      </c>
      <c r="BG66" s="2189">
        <f>IF('Estimate Summary'!$D$9&lt;4,0,$BD66)</f>
        <v>0</v>
      </c>
      <c r="BH66" s="2189">
        <f>IF('Estimate Summary'!$D$9&lt;5,0,$BD66)</f>
        <v>0</v>
      </c>
      <c r="BI66" s="955">
        <f>IF('Estimate Summary'!$D$9&lt;6,0,$BD66)</f>
        <v>0</v>
      </c>
      <c r="BJ66" s="2208">
        <f t="shared" si="21"/>
        <v>0</v>
      </c>
      <c r="BK66" s="2192">
        <f t="shared" ca="1" si="22"/>
        <v>0</v>
      </c>
      <c r="BL66" s="919"/>
      <c r="BM66" s="955"/>
      <c r="BN66" s="1579">
        <f>IF('Estimate Summary'!$D$9&lt;3,0,$BD66)</f>
        <v>0</v>
      </c>
      <c r="BO66" s="934">
        <f>IF('Estimate Summary'!$D$9&lt;4,0,$BD66)</f>
        <v>0</v>
      </c>
      <c r="BP66" s="934">
        <f>IF('Estimate Summary'!$D$9&lt;5,0,$BD66)</f>
        <v>0</v>
      </c>
      <c r="BQ66" s="955">
        <f>IF('Estimate Summary'!$D$9&lt;6,0,$BD66)</f>
        <v>0</v>
      </c>
    </row>
    <row r="67" spans="1:69" s="918" customFormat="1" ht="14.25" hidden="1" customHeight="1" outlineLevel="1">
      <c r="B67" s="827">
        <v>34</v>
      </c>
      <c r="C67" s="75" t="s">
        <v>780</v>
      </c>
      <c r="D67" s="464" t="e">
        <f ca="1">SUM(F67:K67)</f>
        <v>#N/A</v>
      </c>
      <c r="E67" s="806" t="e">
        <f t="shared" ca="1" si="67"/>
        <v>#N/A</v>
      </c>
      <c r="F67" s="680" t="e">
        <f ca="1">SUM(F57,F59:F66)</f>
        <v>#N/A</v>
      </c>
      <c r="G67" s="1582">
        <f t="shared" ref="G67:K67" si="229">SUM(G57,G59:G66)</f>
        <v>0</v>
      </c>
      <c r="H67" s="1583" t="e">
        <f t="shared" ca="1" si="229"/>
        <v>#N/A</v>
      </c>
      <c r="I67" s="1583">
        <f t="shared" si="229"/>
        <v>0</v>
      </c>
      <c r="J67" s="1583">
        <f t="shared" si="229"/>
        <v>0</v>
      </c>
      <c r="K67" s="78">
        <f t="shared" si="229"/>
        <v>0</v>
      </c>
      <c r="L67" s="464" t="e">
        <f t="shared" ca="1" si="43"/>
        <v>#N/A</v>
      </c>
      <c r="M67" s="806" t="e">
        <f t="shared" ca="1" si="69"/>
        <v>#N/A</v>
      </c>
      <c r="N67" s="680" t="e">
        <f ca="1">SUM(N57,N59:N66)</f>
        <v>#N/A</v>
      </c>
      <c r="O67" s="1582">
        <f t="shared" ref="O67" si="230">SUM(O57,O59:O66)</f>
        <v>0</v>
      </c>
      <c r="P67" s="1583" t="e">
        <f t="shared" ref="P67" ca="1" si="231">SUM(P57,P59:P66)</f>
        <v>#N/A</v>
      </c>
      <c r="Q67" s="1583">
        <f t="shared" ref="Q67" si="232">SUM(Q57,Q59:Q66)</f>
        <v>0</v>
      </c>
      <c r="R67" s="1583">
        <f t="shared" ref="R67" si="233">SUM(R57,R59:R66)</f>
        <v>0</v>
      </c>
      <c r="S67" s="78">
        <f t="shared" ref="S67" si="234">SUM(S57,S59:S66)</f>
        <v>0</v>
      </c>
      <c r="T67" s="464">
        <f t="shared" si="11"/>
        <v>0</v>
      </c>
      <c r="U67" s="935">
        <f t="shared" ca="1" si="12"/>
        <v>0</v>
      </c>
      <c r="V67" s="680">
        <f>SUM(V57,V59:V66)</f>
        <v>0</v>
      </c>
      <c r="W67" s="1582">
        <f t="shared" ref="W67" si="235">SUM(W57,W59:W66)</f>
        <v>0</v>
      </c>
      <c r="X67" s="1583">
        <f t="shared" ref="X67" si="236">SUM(X57,X59:X66)</f>
        <v>0</v>
      </c>
      <c r="Y67" s="1583">
        <f t="shared" ref="Y67" si="237">SUM(Y57,Y59:Y66)</f>
        <v>0</v>
      </c>
      <c r="Z67" s="1583">
        <f t="shared" ref="Z67" si="238">SUM(Z57,Z59:Z66)</f>
        <v>0</v>
      </c>
      <c r="AA67" s="78">
        <f t="shared" ref="AA67" si="239">SUM(AA57,AA59:AA66)</f>
        <v>0</v>
      </c>
      <c r="AB67" s="464">
        <f t="shared" si="13"/>
        <v>0</v>
      </c>
      <c r="AC67" s="935">
        <f t="shared" ca="1" si="14"/>
        <v>0</v>
      </c>
      <c r="AD67" s="680">
        <f>SUM(AD57,AD59:AD66)</f>
        <v>0</v>
      </c>
      <c r="AE67" s="1582">
        <f t="shared" ref="AE67" si="240">SUM(AE57,AE59:AE66)</f>
        <v>0</v>
      </c>
      <c r="AF67" s="1583">
        <f t="shared" ref="AF67" si="241">SUM(AF57,AF59:AF66)</f>
        <v>0</v>
      </c>
      <c r="AG67" s="1583">
        <f t="shared" ref="AG67" si="242">SUM(AG57,AG59:AG66)</f>
        <v>0</v>
      </c>
      <c r="AH67" s="1583">
        <f t="shared" ref="AH67" si="243">SUM(AH57,AH59:AH66)</f>
        <v>0</v>
      </c>
      <c r="AI67" s="78">
        <f t="shared" ref="AI67" si="244">SUM(AI57,AI59:AI66)</f>
        <v>0</v>
      </c>
      <c r="AJ67" s="76" t="e">
        <f t="shared" ca="1" si="15"/>
        <v>#N/A</v>
      </c>
      <c r="AK67" s="465" t="e">
        <f t="shared" ca="1" si="85"/>
        <v>#N/A</v>
      </c>
      <c r="AL67" s="680" t="e">
        <f ca="1">SUM(AL57,AL59:AL66)</f>
        <v>#N/A</v>
      </c>
      <c r="AM67" s="1582">
        <f t="shared" ref="AM67" si="245">SUM(AM57,AM59:AM66)</f>
        <v>0</v>
      </c>
      <c r="AN67" s="1583" t="e">
        <f t="shared" ref="AN67" ca="1" si="246">SUM(AN57,AN59:AN66)</f>
        <v>#N/A</v>
      </c>
      <c r="AO67" s="1583">
        <f t="shared" ref="AO67" si="247">SUM(AO57,AO59:AO66)</f>
        <v>0</v>
      </c>
      <c r="AP67" s="1583">
        <f t="shared" ref="AP67" si="248">SUM(AP57,AP59:AP66)</f>
        <v>0</v>
      </c>
      <c r="AQ67" s="78">
        <f t="shared" ref="AQ67" si="249">SUM(AQ57,AQ59:AQ66)</f>
        <v>0</v>
      </c>
      <c r="AR67" s="1588"/>
      <c r="AS67" s="76">
        <f t="shared" si="17"/>
        <v>0</v>
      </c>
      <c r="AT67" s="465">
        <f t="shared" si="18"/>
        <v>0</v>
      </c>
      <c r="AU67" s="680">
        <f>SUM(AU57,AU59:AU66)</f>
        <v>0</v>
      </c>
      <c r="AV67" s="2044">
        <f t="shared" ref="AV67" si="250">SUM(AV57,AV59:AV66)</f>
        <v>0</v>
      </c>
      <c r="AW67" s="2042">
        <f t="shared" ref="AW67" si="251">SUM(AW57,AW59:AW66)</f>
        <v>0</v>
      </c>
      <c r="AX67" s="1583">
        <f t="shared" ref="AX67" si="252">SUM(AX57,AX59:AX66)</f>
        <v>0</v>
      </c>
      <c r="AY67" s="1583">
        <f t="shared" ref="AY67" si="253">SUM(AY57,AY59:AY66)</f>
        <v>0</v>
      </c>
      <c r="AZ67" s="78">
        <f t="shared" ref="AZ67" si="254">SUM(AZ57,AZ59:AZ66)</f>
        <v>0</v>
      </c>
      <c r="BA67" s="1966"/>
      <c r="BB67" s="76">
        <f t="shared" si="19"/>
        <v>0</v>
      </c>
      <c r="BC67" s="465">
        <f t="shared" si="20"/>
        <v>0</v>
      </c>
      <c r="BD67" s="680">
        <f>SUM(BD57,BD59:BD66)</f>
        <v>0</v>
      </c>
      <c r="BE67" s="2044">
        <f t="shared" ref="BE67" si="255">SUM(BE57,BE59:BE66)</f>
        <v>0</v>
      </c>
      <c r="BF67" s="2042">
        <f t="shared" ref="BF67" si="256">SUM(BF57,BF59:BF66)</f>
        <v>0</v>
      </c>
      <c r="BG67" s="1583">
        <f t="shared" ref="BG67" si="257">SUM(BG57,BG59:BG66)</f>
        <v>0</v>
      </c>
      <c r="BH67" s="1583">
        <f t="shared" ref="BH67" si="258">SUM(BH57,BH59:BH66)</f>
        <v>0</v>
      </c>
      <c r="BI67" s="78">
        <f t="shared" ref="BI67" si="259">SUM(BI57,BI59:BI66)</f>
        <v>0</v>
      </c>
      <c r="BJ67" s="76">
        <f t="shared" ca="1" si="21"/>
        <v>0</v>
      </c>
      <c r="BK67" s="936">
        <f t="shared" ca="1" si="22"/>
        <v>0</v>
      </c>
      <c r="BL67" s="680">
        <f>SUM(BL57,BL59:BL66)</f>
        <v>0</v>
      </c>
      <c r="BM67" s="2044">
        <f t="shared" ref="BM67" ca="1" si="260">SUM(BM57,BM59:BM66)</f>
        <v>0</v>
      </c>
      <c r="BN67" s="2042">
        <f t="shared" ref="BN67" si="261">SUM(BN57,BN59:BN66)</f>
        <v>0</v>
      </c>
      <c r="BO67" s="1583">
        <f t="shared" ref="BO67" si="262">SUM(BO57,BO59:BO66)</f>
        <v>0</v>
      </c>
      <c r="BP67" s="1583">
        <f t="shared" ref="BP67" si="263">SUM(BP57,BP59:BP66)</f>
        <v>0</v>
      </c>
      <c r="BQ67" s="78">
        <f t="shared" ref="BQ67" si="264">SUM(BQ57,BQ59:BQ66)</f>
        <v>0</v>
      </c>
    </row>
    <row r="68" spans="1:69" s="918" customFormat="1" ht="14.25" hidden="1" customHeight="1" outlineLevel="1">
      <c r="B68" s="826">
        <v>35</v>
      </c>
      <c r="C68" s="75" t="s">
        <v>781</v>
      </c>
      <c r="D68" s="464" t="e">
        <f ca="1">SUM(F68:K68)</f>
        <v>#N/A</v>
      </c>
      <c r="E68" s="806" t="e">
        <f t="shared" ca="1" si="67"/>
        <v>#N/A</v>
      </c>
      <c r="F68" s="1586" t="e">
        <f ca="1">F67+F69</f>
        <v>#N/A</v>
      </c>
      <c r="G68" s="1583">
        <f t="shared" ref="G68:K68" si="265">G67+G69</f>
        <v>0</v>
      </c>
      <c r="H68" s="1583" t="e">
        <f t="shared" ca="1" si="265"/>
        <v>#N/A</v>
      </c>
      <c r="I68" s="1583">
        <f t="shared" si="265"/>
        <v>0</v>
      </c>
      <c r="J68" s="1583">
        <f t="shared" si="265"/>
        <v>0</v>
      </c>
      <c r="K68" s="78">
        <f t="shared" si="265"/>
        <v>0</v>
      </c>
      <c r="L68" s="464" t="e">
        <f t="shared" ca="1" si="43"/>
        <v>#N/A</v>
      </c>
      <c r="M68" s="806" t="e">
        <f t="shared" ca="1" si="69"/>
        <v>#N/A</v>
      </c>
      <c r="N68" s="1586" t="e">
        <f ca="1">N67+N69</f>
        <v>#N/A</v>
      </c>
      <c r="O68" s="1586">
        <f t="shared" ref="O68" si="266">O67+O69</f>
        <v>0</v>
      </c>
      <c r="P68" s="1583" t="e">
        <f t="shared" ref="P68" ca="1" si="267">P67+P69</f>
        <v>#N/A</v>
      </c>
      <c r="Q68" s="1583">
        <f t="shared" ref="Q68" si="268">Q67+Q69</f>
        <v>0</v>
      </c>
      <c r="R68" s="1583">
        <f t="shared" ref="R68" si="269">R67+R69</f>
        <v>0</v>
      </c>
      <c r="S68" s="78">
        <f t="shared" ref="S68" si="270">S67+S69</f>
        <v>0</v>
      </c>
      <c r="T68" s="464">
        <f t="shared" ca="1" si="11"/>
        <v>0</v>
      </c>
      <c r="U68" s="848">
        <f t="shared" ca="1" si="12"/>
        <v>0</v>
      </c>
      <c r="V68" s="1586">
        <f ca="1">V67+V69</f>
        <v>0</v>
      </c>
      <c r="W68" s="1586">
        <f t="shared" ref="W68" si="271">W67+W69</f>
        <v>0</v>
      </c>
      <c r="X68" s="1583">
        <f t="shared" ref="X68" si="272">X67+X69</f>
        <v>0</v>
      </c>
      <c r="Y68" s="1583">
        <f t="shared" ref="Y68" si="273">Y67+Y69</f>
        <v>0</v>
      </c>
      <c r="Z68" s="1583">
        <f t="shared" ref="Z68" si="274">Z67+Z69</f>
        <v>0</v>
      </c>
      <c r="AA68" s="78">
        <f t="shared" ref="AA68" si="275">AA67+AA69</f>
        <v>0</v>
      </c>
      <c r="AB68" s="464">
        <f t="shared" ca="1" si="13"/>
        <v>0</v>
      </c>
      <c r="AC68" s="935">
        <f t="shared" ca="1" si="14"/>
        <v>0</v>
      </c>
      <c r="AD68" s="2041">
        <f ca="1">AD67+AD69</f>
        <v>0</v>
      </c>
      <c r="AE68" s="1586">
        <f t="shared" ref="AE68" si="276">AE67+AE69</f>
        <v>0</v>
      </c>
      <c r="AF68" s="1583">
        <f t="shared" ref="AF68" si="277">AF67+AF69</f>
        <v>0</v>
      </c>
      <c r="AG68" s="1583">
        <f t="shared" ref="AG68" si="278">AG67+AG69</f>
        <v>0</v>
      </c>
      <c r="AH68" s="1583">
        <f t="shared" ref="AH68" si="279">AH67+AH69</f>
        <v>0</v>
      </c>
      <c r="AI68" s="78">
        <f t="shared" ref="AI68" si="280">AI67+AI69</f>
        <v>0</v>
      </c>
      <c r="AJ68" s="76" t="e">
        <f t="shared" ca="1" si="15"/>
        <v>#N/A</v>
      </c>
      <c r="AK68" s="77" t="e">
        <f t="shared" ca="1" si="85"/>
        <v>#N/A</v>
      </c>
      <c r="AL68" s="2041" t="e">
        <f ca="1">AL67+AL69</f>
        <v>#N/A</v>
      </c>
      <c r="AM68" s="1586">
        <f t="shared" ref="AM68" si="281">AM67+AM69</f>
        <v>0</v>
      </c>
      <c r="AN68" s="1583" t="e">
        <f t="shared" ref="AN68" ca="1" si="282">AN67+AN69</f>
        <v>#N/A</v>
      </c>
      <c r="AO68" s="1583">
        <f t="shared" ref="AO68" si="283">AO67+AO69</f>
        <v>0</v>
      </c>
      <c r="AP68" s="1583">
        <f t="shared" ref="AP68" si="284">AP67+AP69</f>
        <v>0</v>
      </c>
      <c r="AQ68" s="78">
        <f t="shared" ref="AQ68" si="285">AQ67+AQ69</f>
        <v>0</v>
      </c>
      <c r="AR68" s="1587"/>
      <c r="AS68" s="76">
        <f t="shared" si="17"/>
        <v>0</v>
      </c>
      <c r="AT68" s="77">
        <f t="shared" si="18"/>
        <v>0</v>
      </c>
      <c r="AU68" s="2041">
        <f>AU67+AU69</f>
        <v>0</v>
      </c>
      <c r="AV68" s="2045">
        <f t="shared" ref="AV68" si="286">AV67+AV69</f>
        <v>0</v>
      </c>
      <c r="AW68" s="2042">
        <f t="shared" ref="AW68" si="287">AW67+AW69</f>
        <v>0</v>
      </c>
      <c r="AX68" s="1583">
        <f t="shared" ref="AX68" si="288">AX67+AX69</f>
        <v>0</v>
      </c>
      <c r="AY68" s="1583">
        <f t="shared" ref="AY68" si="289">AY67+AY69</f>
        <v>0</v>
      </c>
      <c r="AZ68" s="78">
        <f t="shared" ref="AZ68" si="290">AZ67+AZ69</f>
        <v>0</v>
      </c>
      <c r="BA68" s="1966"/>
      <c r="BB68" s="76">
        <f t="shared" si="19"/>
        <v>0</v>
      </c>
      <c r="BC68" s="77">
        <f t="shared" si="20"/>
        <v>0</v>
      </c>
      <c r="BD68" s="2041">
        <f>BD67+BD69</f>
        <v>0</v>
      </c>
      <c r="BE68" s="2045">
        <f t="shared" ref="BE68" si="291">BE67+BE69</f>
        <v>0</v>
      </c>
      <c r="BF68" s="2042">
        <f t="shared" ref="BF68" si="292">BF67+BF69</f>
        <v>0</v>
      </c>
      <c r="BG68" s="1583">
        <f t="shared" ref="BG68" si="293">BG67+BG69</f>
        <v>0</v>
      </c>
      <c r="BH68" s="1583">
        <f t="shared" ref="BH68" si="294">BH67+BH69</f>
        <v>0</v>
      </c>
      <c r="BI68" s="78">
        <f t="shared" ref="BI68" si="295">BI67+BI69</f>
        <v>0</v>
      </c>
      <c r="BJ68" s="76">
        <f t="shared" ca="1" si="21"/>
        <v>0</v>
      </c>
      <c r="BK68" s="74">
        <f t="shared" ca="1" si="22"/>
        <v>0</v>
      </c>
      <c r="BL68" s="2041">
        <f>BL67+BL69</f>
        <v>0</v>
      </c>
      <c r="BM68" s="2045">
        <f t="shared" ref="BM68" ca="1" si="296">BM67+BM69</f>
        <v>0</v>
      </c>
      <c r="BN68" s="2042">
        <f t="shared" ref="BN68" si="297">BN67+BN69</f>
        <v>0</v>
      </c>
      <c r="BO68" s="1583">
        <f t="shared" ref="BO68" si="298">BO67+BO69</f>
        <v>0</v>
      </c>
      <c r="BP68" s="1583">
        <f t="shared" ref="BP68" si="299">BP67+BP69</f>
        <v>0</v>
      </c>
      <c r="BQ68" s="78">
        <f t="shared" ref="BQ68" si="300">BQ67+BQ69</f>
        <v>0</v>
      </c>
    </row>
    <row r="69" spans="1:69" s="918" customFormat="1" ht="14.25" hidden="1" customHeight="1" outlineLevel="1" thickBot="1">
      <c r="B69" s="1589">
        <v>36</v>
      </c>
      <c r="C69" s="1590" t="s">
        <v>782</v>
      </c>
      <c r="D69" s="1591">
        <f t="shared" si="2"/>
        <v>0</v>
      </c>
      <c r="E69" s="1592"/>
      <c r="F69" s="1593"/>
      <c r="G69" s="1594">
        <f>IF('Estimate Summary'!$D$9&lt;2,0,$E69*G$68)</f>
        <v>0</v>
      </c>
      <c r="H69" s="1595">
        <f>IF('Estimate Summary'!$D$9&lt;3,0,$E69*H$68)</f>
        <v>0</v>
      </c>
      <c r="I69" s="1595">
        <f>IF('Estimate Summary'!$D$9&lt;4,0,$E69*I$68)</f>
        <v>0</v>
      </c>
      <c r="J69" s="1595">
        <f>IF('Estimate Summary'!$D$9&lt;5,0,$E69*J$68)</f>
        <v>0</v>
      </c>
      <c r="K69" s="1596">
        <f>IF('Estimate Summary'!$D$9&lt;6,0,$E69*K$68)</f>
        <v>0</v>
      </c>
      <c r="L69" s="1591">
        <f t="shared" si="43"/>
        <v>0</v>
      </c>
      <c r="M69" s="1592" t="e">
        <f t="shared" ca="1" si="69"/>
        <v>#N/A</v>
      </c>
      <c r="N69" s="2217">
        <f>AL69+AU69+BD69</f>
        <v>0</v>
      </c>
      <c r="O69" s="1594">
        <f t="shared" ref="O69" si="301">AM69+AV69+BE69</f>
        <v>0</v>
      </c>
      <c r="P69" s="1595">
        <f t="shared" ref="P69" si="302">AN69+AW69+BF69</f>
        <v>0</v>
      </c>
      <c r="Q69" s="1595">
        <f t="shared" ref="Q69" si="303">AO69+AX69+BG69</f>
        <v>0</v>
      </c>
      <c r="R69" s="1595">
        <f t="shared" ref="R69" si="304">AP69+AY69+BH69</f>
        <v>0</v>
      </c>
      <c r="S69" s="1596">
        <f t="shared" ref="S69" si="305">AQ69+AZ69+BI69</f>
        <v>0</v>
      </c>
      <c r="T69" s="1591">
        <f t="shared" ca="1" si="11"/>
        <v>0</v>
      </c>
      <c r="U69" s="1597">
        <f t="shared" ca="1" si="12"/>
        <v>0</v>
      </c>
      <c r="V69" s="1593">
        <f ca="1">$E69*V$68</f>
        <v>0</v>
      </c>
      <c r="W69" s="1594">
        <f>IF('Estimate Summary'!$D$9&lt;2,0,$E69*W$68)</f>
        <v>0</v>
      </c>
      <c r="X69" s="1595">
        <f>IF('Estimate Summary'!$D$9&lt;3,0,$E69*X$68)</f>
        <v>0</v>
      </c>
      <c r="Y69" s="1595">
        <f>IF('Estimate Summary'!$D$9&lt;4,0,$E69*Y$68)</f>
        <v>0</v>
      </c>
      <c r="Z69" s="1595">
        <f>IF('Estimate Summary'!$D$9&lt;5,0,$E69*Z$68)</f>
        <v>0</v>
      </c>
      <c r="AA69" s="1596">
        <f>IF('Estimate Summary'!$D$9&lt;6,0,$E69*AA$68)</f>
        <v>0</v>
      </c>
      <c r="AB69" s="1591">
        <f t="shared" ca="1" si="13"/>
        <v>0</v>
      </c>
      <c r="AC69" s="1592">
        <f t="shared" ca="1" si="14"/>
        <v>0</v>
      </c>
      <c r="AD69" s="1593">
        <f ca="1">$E69*AD$68</f>
        <v>0</v>
      </c>
      <c r="AE69" s="1594">
        <f>IF('Estimate Summary'!$D$9&lt;2,0,$E69*AE$68)</f>
        <v>0</v>
      </c>
      <c r="AF69" s="1595">
        <f>IF('Estimate Summary'!$D$9&lt;3,0,$E69*AF$68)</f>
        <v>0</v>
      </c>
      <c r="AG69" s="1595">
        <f>IF('Estimate Summary'!$D$9&lt;4,0,$E69*AG$68)</f>
        <v>0</v>
      </c>
      <c r="AH69" s="1595">
        <f>IF('Estimate Summary'!$D$9&lt;5,0,$E69*AH$68)</f>
        <v>0</v>
      </c>
      <c r="AI69" s="1596">
        <f>IF('Estimate Summary'!$D$9&lt;6,0,$E69*AI$68)</f>
        <v>0</v>
      </c>
      <c r="AJ69" s="1598">
        <f t="shared" si="15"/>
        <v>0</v>
      </c>
      <c r="AK69" s="1599" t="e">
        <f t="shared" ca="1" si="85"/>
        <v>#N/A</v>
      </c>
      <c r="AL69" s="2218">
        <f t="shared" ref="AL69" si="306">F69-AU69-BD69</f>
        <v>0</v>
      </c>
      <c r="AM69" s="1594">
        <f t="shared" ref="AM69" si="307">G69-AV69-BE69</f>
        <v>0</v>
      </c>
      <c r="AN69" s="1595">
        <f t="shared" ref="AN69" si="308">H69-AW69-BF69</f>
        <v>0</v>
      </c>
      <c r="AO69" s="1595">
        <f t="shared" ref="AO69" si="309">I69-AX69-BG69</f>
        <v>0</v>
      </c>
      <c r="AP69" s="1595">
        <f t="shared" ref="AP69" si="310">J69-AY69-BH69</f>
        <v>0</v>
      </c>
      <c r="AQ69" s="1596">
        <f t="shared" ref="AQ69" si="311">K69-AZ69-BI69</f>
        <v>0</v>
      </c>
      <c r="AR69" s="1600"/>
      <c r="AS69" s="1598">
        <f t="shared" si="17"/>
        <v>0</v>
      </c>
      <c r="AT69" s="1601">
        <v>0</v>
      </c>
      <c r="AU69" s="1593"/>
      <c r="AV69" s="2046">
        <f>IF('Estimate Summary'!$D$9&lt;2,0,$AT69*AV$68)</f>
        <v>0</v>
      </c>
      <c r="AW69" s="2043">
        <f>IF('Estimate Summary'!$D$9&lt;3,0,$AT69*AW$68)</f>
        <v>0</v>
      </c>
      <c r="AX69" s="1595">
        <f>IF('Estimate Summary'!$D$9&lt;4,0,$AT69*AX$68)</f>
        <v>0</v>
      </c>
      <c r="AY69" s="1595">
        <f>IF('Estimate Summary'!$D$9&lt;5,0,$AT69*AY$68)</f>
        <v>0</v>
      </c>
      <c r="AZ69" s="1596">
        <f>IF('Estimate Summary'!$D$9&lt;6,0,$AT69*AZ$68)</f>
        <v>0</v>
      </c>
      <c r="BA69" s="1967"/>
      <c r="BB69" s="1598">
        <f t="shared" si="19"/>
        <v>0</v>
      </c>
      <c r="BC69" s="1601">
        <v>0</v>
      </c>
      <c r="BD69" s="1593"/>
      <c r="BE69" s="2046">
        <f>IF('Estimate Summary'!$D$9&lt;2,0,$BC69*BE$68)</f>
        <v>0</v>
      </c>
      <c r="BF69" s="2043">
        <f>IF('Estimate Summary'!$D$9&lt;3,0,$BC69*BF$68)</f>
        <v>0</v>
      </c>
      <c r="BG69" s="1595">
        <f>IF('Estimate Summary'!$D$9&lt;4,0,$BC69*BG$68)</f>
        <v>0</v>
      </c>
      <c r="BH69" s="1595">
        <f>IF('Estimate Summary'!$D$9&lt;5,0,$BC69*BH$68)</f>
        <v>0</v>
      </c>
      <c r="BI69" s="1596">
        <f>IF('Estimate Summary'!$D$9&lt;6,0,$BC69*BI$68)</f>
        <v>0</v>
      </c>
      <c r="BJ69" s="1598">
        <f t="shared" si="21"/>
        <v>0</v>
      </c>
      <c r="BK69" s="1601">
        <v>0</v>
      </c>
      <c r="BL69" s="1593"/>
      <c r="BM69" s="2046">
        <f>IF('Estimate Summary'!$D$9&lt;2,0,$BK69*BM$68)</f>
        <v>0</v>
      </c>
      <c r="BN69" s="2043">
        <f>IF('Estimate Summary'!$D$9&lt;3,0,$BK69*BN$68)</f>
        <v>0</v>
      </c>
      <c r="BO69" s="1595">
        <f>IF('Estimate Summary'!$D$9&lt;4,0,$BK69*BO$68)</f>
        <v>0</v>
      </c>
      <c r="BP69" s="1595">
        <f>IF('Estimate Summary'!$D$9&lt;5,0,$BK69*BP$68)</f>
        <v>0</v>
      </c>
      <c r="BQ69" s="1596">
        <f>IF('Estimate Summary'!$D$9&lt;6,0,$BK69*BQ$68)</f>
        <v>0</v>
      </c>
    </row>
    <row r="70" spans="1:69" collapsed="1"/>
    <row r="71" spans="1:69" ht="13.5" customHeight="1">
      <c r="C71" s="2219"/>
      <c r="D71" s="2220"/>
      <c r="E71" s="2221"/>
      <c r="F71" s="2221"/>
      <c r="G71" s="2221"/>
      <c r="H71" s="2221"/>
      <c r="I71" s="2221"/>
      <c r="J71" s="2221"/>
      <c r="K71" s="2221"/>
      <c r="L71" s="2220"/>
      <c r="T71" s="2220"/>
      <c r="AJ71" s="2220"/>
      <c r="AS71" s="2222"/>
      <c r="AT71" s="1328"/>
      <c r="AU71" s="422"/>
      <c r="AV71" s="422"/>
      <c r="BB71" s="2106"/>
    </row>
    <row r="72" spans="1:69">
      <c r="C72" s="2223"/>
      <c r="D72" s="2220">
        <f>'Estimate Detail'!H280+'Estimate Detail'!H227+'Estimate Detail'!H207+'Estimate Detail'!H153+'Estimate Detail'!H127+'Estimate Detail'!H86</f>
        <v>0</v>
      </c>
      <c r="L72" s="2220"/>
      <c r="T72" s="2220"/>
      <c r="AS72" s="2224"/>
      <c r="AT72" s="466"/>
      <c r="AU72" s="470"/>
      <c r="AV72" s="422"/>
    </row>
    <row r="73" spans="1:69">
      <c r="C73" s="2223"/>
      <c r="D73" s="2222"/>
      <c r="M73" s="2225"/>
      <c r="N73" s="2225"/>
      <c r="O73" s="2225"/>
      <c r="P73" s="2225"/>
      <c r="Q73" s="2225"/>
      <c r="R73" s="2225"/>
      <c r="S73" s="2225"/>
      <c r="T73" s="2225"/>
      <c r="U73" s="2225"/>
      <c r="V73" s="2225"/>
      <c r="W73" s="2225"/>
      <c r="X73" s="2225"/>
      <c r="Y73" s="2225"/>
      <c r="Z73" s="2225"/>
      <c r="AA73" s="2225"/>
      <c r="AB73" s="2225"/>
      <c r="AC73" s="2225"/>
      <c r="AD73" s="2225"/>
      <c r="AE73" s="2225"/>
      <c r="AF73" s="2225"/>
      <c r="AG73" s="2225"/>
      <c r="AH73" s="2225"/>
      <c r="AI73" s="2225"/>
      <c r="AS73" s="2224"/>
      <c r="AT73" s="466"/>
      <c r="AU73" s="470"/>
      <c r="AV73" s="422"/>
    </row>
    <row r="74" spans="1:69">
      <c r="D74" s="2222"/>
      <c r="L74" s="2226"/>
      <c r="AJ74" s="2224"/>
      <c r="AT74" s="466"/>
      <c r="AU74" s="422"/>
      <c r="AV74" s="422"/>
    </row>
    <row r="75" spans="1:69">
      <c r="D75" s="2222"/>
      <c r="AJ75" s="2224"/>
      <c r="AT75" s="466"/>
      <c r="AU75" s="422"/>
      <c r="AV75" s="422"/>
    </row>
    <row r="76" spans="1:69">
      <c r="B76" s="828"/>
      <c r="C76" s="478"/>
      <c r="D76" s="478"/>
      <c r="E76" s="478"/>
      <c r="F76" s="478"/>
      <c r="G76" s="478"/>
      <c r="H76" s="478"/>
      <c r="I76" s="478"/>
      <c r="J76" s="478"/>
      <c r="K76" s="478"/>
      <c r="L76" s="478"/>
      <c r="M76" s="479"/>
      <c r="N76" s="479"/>
      <c r="O76" s="479"/>
      <c r="P76" s="479"/>
      <c r="Q76" s="479"/>
      <c r="R76" s="479"/>
      <c r="S76" s="479"/>
      <c r="T76" s="479"/>
      <c r="U76" s="479"/>
      <c r="V76" s="479"/>
      <c r="W76" s="479"/>
      <c r="X76" s="479"/>
      <c r="Y76" s="479"/>
      <c r="Z76" s="479"/>
      <c r="AA76" s="479"/>
      <c r="AB76" s="479"/>
      <c r="AC76" s="479"/>
      <c r="AD76" s="479"/>
      <c r="AE76" s="479"/>
      <c r="AF76" s="479"/>
      <c r="AG76" s="479"/>
      <c r="AH76" s="479"/>
      <c r="AI76" s="479"/>
      <c r="AJ76" s="480"/>
      <c r="AK76" s="479"/>
      <c r="AL76" s="478"/>
      <c r="AV76" s="422"/>
    </row>
    <row r="77" spans="1:69">
      <c r="B77" s="828"/>
      <c r="C77" s="478"/>
      <c r="D77" s="478"/>
      <c r="E77" s="478"/>
      <c r="F77" s="478"/>
      <c r="G77" s="478"/>
      <c r="H77" s="478"/>
      <c r="I77" s="478"/>
      <c r="J77" s="478"/>
      <c r="K77" s="478"/>
      <c r="L77" s="478"/>
      <c r="M77" s="479"/>
      <c r="N77" s="479"/>
      <c r="O77" s="479"/>
      <c r="P77" s="479"/>
      <c r="Q77" s="479"/>
      <c r="R77" s="479"/>
      <c r="S77" s="479"/>
      <c r="T77" s="479"/>
      <c r="U77" s="479"/>
      <c r="V77" s="479"/>
      <c r="W77" s="479"/>
      <c r="X77" s="479"/>
      <c r="Y77" s="479"/>
      <c r="Z77" s="479"/>
      <c r="AA77" s="479"/>
      <c r="AB77" s="479"/>
      <c r="AC77" s="479"/>
      <c r="AD77" s="479"/>
      <c r="AE77" s="479"/>
      <c r="AF77" s="479"/>
      <c r="AG77" s="479"/>
      <c r="AH77" s="479"/>
      <c r="AI77" s="479"/>
      <c r="AJ77" s="480"/>
      <c r="AK77" s="479"/>
      <c r="AL77" s="478"/>
    </row>
    <row r="78" spans="1:69">
      <c r="B78" s="828"/>
      <c r="C78" s="478"/>
      <c r="D78" s="478"/>
      <c r="E78" s="478"/>
      <c r="F78" s="478"/>
      <c r="G78" s="478"/>
      <c r="H78" s="478"/>
      <c r="I78" s="478"/>
      <c r="J78" s="478"/>
      <c r="K78" s="478"/>
      <c r="L78" s="478"/>
      <c r="M78" s="479"/>
      <c r="N78" s="479"/>
      <c r="O78" s="479"/>
      <c r="P78" s="479"/>
      <c r="Q78" s="479"/>
      <c r="R78" s="479"/>
      <c r="S78" s="479"/>
      <c r="T78" s="479"/>
      <c r="U78" s="479"/>
      <c r="V78" s="479"/>
      <c r="W78" s="479"/>
      <c r="X78" s="479"/>
      <c r="Y78" s="479"/>
      <c r="Z78" s="479"/>
      <c r="AA78" s="479"/>
      <c r="AB78" s="479"/>
      <c r="AC78" s="479"/>
      <c r="AD78" s="479"/>
      <c r="AE78" s="479"/>
      <c r="AF78" s="479"/>
      <c r="AG78" s="479"/>
      <c r="AH78" s="479"/>
      <c r="AI78" s="479"/>
      <c r="AJ78" s="481"/>
      <c r="AK78" s="479"/>
      <c r="AL78" s="478"/>
    </row>
    <row r="79" spans="1:69">
      <c r="B79" s="828"/>
      <c r="C79" s="478"/>
      <c r="D79" s="478"/>
      <c r="O79" s="479"/>
      <c r="P79" s="479"/>
      <c r="Q79" s="479"/>
      <c r="R79" s="479"/>
      <c r="S79" s="479"/>
      <c r="T79" s="479"/>
      <c r="U79" s="479"/>
      <c r="V79" s="479"/>
      <c r="W79" s="479"/>
      <c r="X79" s="479"/>
      <c r="Y79" s="479"/>
      <c r="Z79" s="479"/>
      <c r="AA79" s="479"/>
      <c r="AB79" s="479"/>
      <c r="AC79" s="479"/>
      <c r="AD79" s="479"/>
      <c r="AE79" s="479"/>
      <c r="AF79" s="479"/>
      <c r="AG79" s="479"/>
      <c r="AH79" s="479"/>
      <c r="AI79" s="479"/>
      <c r="AJ79" s="480"/>
      <c r="AK79" s="479"/>
      <c r="AL79" s="478"/>
    </row>
    <row r="80" spans="1:69">
      <c r="A80" s="478"/>
      <c r="B80" s="828"/>
      <c r="C80" s="466"/>
      <c r="D80" s="466"/>
      <c r="E80" s="1329"/>
      <c r="F80" s="1329"/>
      <c r="G80" s="1329"/>
      <c r="H80" s="1329"/>
      <c r="I80" s="1329"/>
      <c r="J80" s="1329"/>
      <c r="K80" s="1329"/>
      <c r="L80" s="1329"/>
      <c r="O80" s="466"/>
      <c r="P80" s="466"/>
      <c r="Q80" s="466"/>
      <c r="R80" s="423"/>
      <c r="S80" s="466"/>
      <c r="T80" s="466"/>
      <c r="U80" s="466"/>
      <c r="V80" s="466"/>
      <c r="W80" s="466"/>
      <c r="X80" s="466"/>
      <c r="Y80" s="466"/>
      <c r="Z80" s="466"/>
      <c r="AA80" s="466"/>
      <c r="AB80" s="466"/>
      <c r="AC80" s="466"/>
      <c r="AD80" s="466"/>
      <c r="AE80" s="466"/>
      <c r="AF80" s="466"/>
      <c r="AG80" s="466"/>
      <c r="AH80" s="466"/>
      <c r="AI80" s="466"/>
      <c r="AJ80" s="423"/>
      <c r="AK80" s="479"/>
      <c r="AL80" s="478"/>
    </row>
    <row r="81" spans="1:38">
      <c r="A81" s="478"/>
      <c r="B81" s="828"/>
      <c r="C81" s="466"/>
      <c r="D81" s="466"/>
      <c r="E81" s="1331"/>
      <c r="F81" s="1331"/>
      <c r="G81" s="1331"/>
      <c r="H81" s="1331"/>
      <c r="I81" s="1331"/>
      <c r="J81" s="1331"/>
      <c r="K81" s="1331"/>
      <c r="L81" s="1331"/>
      <c r="M81" s="1331"/>
      <c r="N81" s="1331"/>
      <c r="O81" s="466"/>
      <c r="P81" s="466"/>
      <c r="Q81" s="466"/>
      <c r="R81" s="423"/>
      <c r="S81" s="466"/>
      <c r="T81" s="466"/>
      <c r="U81" s="466"/>
      <c r="V81" s="466"/>
      <c r="W81" s="466"/>
      <c r="X81" s="466"/>
      <c r="Y81" s="466"/>
      <c r="Z81" s="466"/>
      <c r="AA81" s="466"/>
      <c r="AB81" s="466"/>
      <c r="AC81" s="466"/>
      <c r="AD81" s="466"/>
      <c r="AE81" s="466"/>
      <c r="AF81" s="466"/>
      <c r="AG81" s="466"/>
      <c r="AH81" s="466"/>
      <c r="AI81" s="466"/>
      <c r="AJ81" s="423"/>
      <c r="AK81" s="479"/>
      <c r="AL81" s="478"/>
    </row>
    <row r="82" spans="1:38">
      <c r="A82" s="479"/>
      <c r="B82" s="829"/>
      <c r="C82" s="466"/>
      <c r="D82" s="466"/>
      <c r="E82" s="1331"/>
      <c r="F82" s="1331"/>
      <c r="G82" s="1331"/>
      <c r="H82" s="1331"/>
      <c r="I82" s="1331"/>
      <c r="J82" s="1331"/>
      <c r="K82" s="1331"/>
      <c r="L82" s="2227" t="s">
        <v>136</v>
      </c>
      <c r="M82" s="2228"/>
      <c r="N82" s="1331"/>
      <c r="O82" s="466"/>
      <c r="P82" s="466"/>
      <c r="Q82" s="466"/>
      <c r="R82" s="423"/>
      <c r="S82" s="466"/>
      <c r="T82" s="466"/>
      <c r="U82" s="466"/>
      <c r="V82" s="466"/>
      <c r="W82" s="466"/>
      <c r="X82" s="466"/>
      <c r="Y82" s="466"/>
      <c r="Z82" s="466"/>
      <c r="AA82" s="466"/>
      <c r="AB82" s="466"/>
      <c r="AC82" s="466"/>
      <c r="AD82" s="466"/>
      <c r="AE82" s="466"/>
      <c r="AF82" s="466"/>
      <c r="AG82" s="466"/>
      <c r="AH82" s="466"/>
      <c r="AI82" s="466"/>
      <c r="AJ82" s="423"/>
      <c r="AK82" s="479"/>
      <c r="AL82" s="478"/>
    </row>
    <row r="83" spans="1:38">
      <c r="A83" s="479"/>
      <c r="B83" s="829"/>
      <c r="C83" s="466"/>
      <c r="D83" s="466"/>
      <c r="E83" s="1331"/>
      <c r="F83" s="1331"/>
      <c r="G83" s="1331"/>
      <c r="H83" s="1331"/>
      <c r="I83" s="1331"/>
      <c r="J83" s="1331"/>
      <c r="K83" s="1331"/>
      <c r="L83" s="2229" t="s">
        <v>137</v>
      </c>
      <c r="M83" s="2230"/>
      <c r="N83" s="1331"/>
      <c r="O83" s="466"/>
      <c r="P83" s="466"/>
      <c r="Q83" s="466"/>
      <c r="R83" s="423"/>
      <c r="S83" s="466"/>
      <c r="T83" s="466"/>
      <c r="U83" s="466"/>
      <c r="V83" s="466"/>
      <c r="W83" s="466"/>
      <c r="X83" s="466"/>
      <c r="Y83" s="466"/>
      <c r="Z83" s="466"/>
      <c r="AA83" s="466"/>
      <c r="AB83" s="466"/>
      <c r="AC83" s="466"/>
      <c r="AD83" s="466"/>
      <c r="AE83" s="466"/>
      <c r="AF83" s="466"/>
      <c r="AG83" s="466"/>
      <c r="AH83" s="466"/>
      <c r="AI83" s="466"/>
      <c r="AJ83" s="423"/>
      <c r="AK83" s="479"/>
      <c r="AL83" s="478"/>
    </row>
    <row r="84" spans="1:38">
      <c r="A84" s="479"/>
      <c r="B84" s="829"/>
      <c r="C84" s="466"/>
      <c r="D84" s="466"/>
      <c r="E84" s="1331"/>
      <c r="F84" s="1331"/>
      <c r="G84" s="1331"/>
      <c r="H84" s="1331"/>
      <c r="I84" s="1331"/>
      <c r="J84" s="1331"/>
      <c r="K84" s="1331"/>
      <c r="L84" s="2229" t="s">
        <v>138</v>
      </c>
      <c r="M84" s="2230"/>
      <c r="N84" s="1331"/>
      <c r="O84" s="466"/>
      <c r="P84" s="466"/>
      <c r="Q84" s="466"/>
      <c r="R84" s="423"/>
      <c r="S84" s="466"/>
      <c r="T84" s="466"/>
      <c r="U84" s="466"/>
      <c r="V84" s="466"/>
      <c r="W84" s="466"/>
      <c r="X84" s="466"/>
      <c r="Y84" s="466"/>
      <c r="Z84" s="466"/>
      <c r="AA84" s="466"/>
      <c r="AB84" s="466"/>
      <c r="AC84" s="466"/>
      <c r="AD84" s="466"/>
      <c r="AE84" s="466"/>
      <c r="AF84" s="466"/>
      <c r="AG84" s="466"/>
      <c r="AH84" s="466"/>
      <c r="AI84" s="466"/>
      <c r="AJ84" s="423"/>
      <c r="AK84" s="479"/>
      <c r="AL84" s="478"/>
    </row>
    <row r="85" spans="1:38">
      <c r="A85" s="479"/>
      <c r="B85" s="829"/>
      <c r="C85" s="466"/>
      <c r="D85" s="466"/>
      <c r="E85" s="1331"/>
      <c r="F85" s="1331"/>
      <c r="G85" s="1331"/>
      <c r="H85" s="1331"/>
      <c r="I85" s="1331"/>
      <c r="J85" s="1331"/>
      <c r="K85" s="1331"/>
      <c r="L85" s="2231" t="s">
        <v>287</v>
      </c>
      <c r="M85" s="2232"/>
      <c r="N85" s="1331"/>
      <c r="O85" s="466"/>
      <c r="P85" s="466"/>
      <c r="Q85" s="466"/>
      <c r="R85" s="423"/>
      <c r="S85" s="466"/>
      <c r="T85" s="466"/>
      <c r="U85" s="466"/>
      <c r="V85" s="466"/>
      <c r="W85" s="466"/>
      <c r="X85" s="466"/>
      <c r="Y85" s="466"/>
      <c r="Z85" s="466"/>
      <c r="AA85" s="466"/>
      <c r="AB85" s="466"/>
      <c r="AC85" s="466"/>
      <c r="AD85" s="466"/>
      <c r="AE85" s="466"/>
      <c r="AF85" s="466"/>
      <c r="AG85" s="466"/>
      <c r="AH85" s="466"/>
      <c r="AI85" s="466"/>
      <c r="AJ85" s="423"/>
      <c r="AK85" s="479"/>
      <c r="AL85" s="478"/>
    </row>
    <row r="86" spans="1:38">
      <c r="A86" s="479"/>
      <c r="B86" s="829"/>
      <c r="C86" s="466"/>
      <c r="D86" s="466"/>
      <c r="E86" s="1329"/>
      <c r="F86" s="1329"/>
      <c r="G86" s="1329"/>
      <c r="H86" s="1329"/>
      <c r="I86" s="1329"/>
      <c r="J86" s="1329"/>
      <c r="K86" s="1329"/>
      <c r="L86" s="1330"/>
      <c r="O86" s="466"/>
      <c r="P86" s="466"/>
      <c r="Q86" s="466"/>
      <c r="R86" s="423"/>
      <c r="S86" s="466"/>
      <c r="T86" s="466"/>
      <c r="U86" s="466"/>
      <c r="V86" s="466"/>
      <c r="W86" s="466"/>
      <c r="X86" s="466"/>
      <c r="Y86" s="466"/>
      <c r="Z86" s="466"/>
      <c r="AA86" s="466"/>
      <c r="AB86" s="466"/>
      <c r="AC86" s="466"/>
      <c r="AD86" s="466"/>
      <c r="AE86" s="466"/>
      <c r="AF86" s="466"/>
      <c r="AG86" s="466"/>
      <c r="AH86" s="466"/>
      <c r="AI86" s="466"/>
      <c r="AJ86" s="423"/>
      <c r="AK86" s="479"/>
      <c r="AL86" s="478"/>
    </row>
    <row r="87" spans="1:38">
      <c r="A87" s="478"/>
      <c r="B87" s="828"/>
      <c r="C87" s="466"/>
      <c r="D87" s="466"/>
      <c r="E87" s="1329"/>
      <c r="F87" s="1329"/>
      <c r="G87" s="1329"/>
      <c r="H87" s="1329"/>
      <c r="I87" s="1329"/>
      <c r="J87" s="1329"/>
      <c r="K87" s="1329"/>
      <c r="L87" s="1329"/>
      <c r="O87" s="466"/>
      <c r="P87" s="466"/>
      <c r="Q87" s="466"/>
      <c r="R87" s="423"/>
      <c r="S87" s="466"/>
      <c r="T87" s="466"/>
      <c r="U87" s="466"/>
      <c r="V87" s="466"/>
      <c r="W87" s="466"/>
      <c r="X87" s="466"/>
      <c r="Y87" s="466"/>
      <c r="Z87" s="466"/>
      <c r="AA87" s="466"/>
      <c r="AB87" s="466"/>
      <c r="AC87" s="466"/>
      <c r="AD87" s="466"/>
      <c r="AE87" s="466"/>
      <c r="AF87" s="466"/>
      <c r="AG87" s="466"/>
      <c r="AH87" s="466"/>
      <c r="AI87" s="466"/>
      <c r="AJ87" s="423"/>
      <c r="AK87" s="479"/>
      <c r="AL87" s="478"/>
    </row>
    <row r="88" spans="1:38">
      <c r="C88" s="466"/>
      <c r="D88" s="466"/>
      <c r="E88" s="1329"/>
      <c r="F88" s="1329"/>
      <c r="G88" s="1329"/>
      <c r="H88" s="1329"/>
      <c r="I88" s="1329"/>
      <c r="J88" s="1329"/>
      <c r="K88" s="1329"/>
      <c r="L88" s="1329"/>
      <c r="O88" s="466"/>
      <c r="P88" s="466"/>
      <c r="Q88" s="466"/>
      <c r="R88" s="423"/>
      <c r="S88" s="466"/>
      <c r="T88" s="466"/>
      <c r="U88" s="466"/>
      <c r="V88" s="466"/>
      <c r="W88" s="466"/>
      <c r="X88" s="466"/>
      <c r="Y88" s="466"/>
      <c r="Z88" s="466"/>
      <c r="AA88" s="466"/>
      <c r="AB88" s="466"/>
      <c r="AC88" s="466"/>
      <c r="AD88" s="466"/>
      <c r="AE88" s="466"/>
      <c r="AF88" s="466"/>
      <c r="AG88" s="466"/>
      <c r="AH88" s="466"/>
      <c r="AI88" s="466"/>
      <c r="AJ88" s="423"/>
    </row>
  </sheetData>
  <sheetProtection selectLockedCells="1"/>
  <mergeCells count="8">
    <mergeCell ref="D22:K23"/>
    <mergeCell ref="AJ22:AQ23"/>
    <mergeCell ref="BB22:BE23"/>
    <mergeCell ref="BJ22:BM23"/>
    <mergeCell ref="AB22:AI23"/>
    <mergeCell ref="AS22:AV23"/>
    <mergeCell ref="L22:S23"/>
    <mergeCell ref="T22:AA23"/>
  </mergeCells>
  <phoneticPr fontId="42" type="noConversion"/>
  <pageMargins left="0.59055118110236227" right="0.23622047244094491" top="0.51181102362204722" bottom="0.43307086614173229" header="0.31496062992125984" footer="0.19685039370078741"/>
  <pageSetup paperSize="9" scale="49" orientation="landscape" r:id="rId1"/>
  <headerFooter alignWithMargins="0">
    <oddFooter>&amp;L&amp;F / &amp;A&amp;RPage&amp;P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AW409"/>
  <sheetViews>
    <sheetView showZeros="0" tabSelected="1" topLeftCell="B292" zoomScale="90" zoomScaleNormal="90" workbookViewId="0">
      <selection activeCell="S303" sqref="S303"/>
    </sheetView>
  </sheetViews>
  <sheetFormatPr defaultRowHeight="12.75" outlineLevelRow="1" outlineLevelCol="1"/>
  <cols>
    <col min="1" max="1" width="3.42578125" style="610" customWidth="1"/>
    <col min="2" max="2" width="17.42578125" style="610" customWidth="1"/>
    <col min="3" max="3" width="40.140625" style="610" customWidth="1"/>
    <col min="4" max="4" width="10" style="603" customWidth="1"/>
    <col min="5" max="5" width="12.42578125" style="1014" customWidth="1"/>
    <col min="6" max="6" width="10.140625" style="2383" bestFit="1" customWidth="1"/>
    <col min="7" max="7" width="12.140625" style="2383" customWidth="1"/>
    <col min="8" max="8" width="9.5703125" style="2383" customWidth="1"/>
    <col min="9" max="9" width="9.5703125" style="2383" hidden="1" customWidth="1" outlineLevel="1"/>
    <col min="10" max="11" width="9.28515625" style="2383" hidden="1" customWidth="1" outlineLevel="1"/>
    <col min="12" max="12" width="9.42578125" style="2383" hidden="1" customWidth="1" outlineLevel="1"/>
    <col min="13" max="13" width="9.5703125" style="2383" hidden="1" customWidth="1" outlineLevel="1"/>
    <col min="14" max="14" width="15.7109375" style="605" customWidth="1" collapsed="1"/>
    <col min="15" max="15" width="2.5703125" style="610" customWidth="1"/>
    <col min="16" max="16" width="11.140625" style="603" customWidth="1" outlineLevel="1"/>
    <col min="17" max="17" width="13" style="610" customWidth="1" outlineLevel="1"/>
    <col min="18" max="18" width="12.28515625" style="610" customWidth="1" outlineLevel="1"/>
    <col min="19" max="19" width="8.85546875" style="551" customWidth="1" outlineLevel="1"/>
    <col min="20" max="20" width="11.5703125" style="610" customWidth="1" outlineLevel="1"/>
    <col min="21" max="21" width="22.42578125" style="610" customWidth="1" outlineLevel="1"/>
    <col min="22" max="22" width="9.28515625" style="603" customWidth="1" outlineLevel="1"/>
    <col min="23" max="23" width="12.7109375" style="874" customWidth="1" outlineLevel="1"/>
    <col min="24" max="24" width="11.85546875" style="874" customWidth="1" outlineLevel="1"/>
    <col min="25" max="25" width="12.7109375" style="1671" customWidth="1" outlineLevel="1"/>
    <col min="26" max="26" width="6.7109375" style="1874" customWidth="1" outlineLevel="1"/>
    <col min="27" max="27" width="12.28515625" style="1874" customWidth="1" outlineLevel="1"/>
    <col min="28" max="28" width="12.140625" style="1022" customWidth="1" outlineLevel="1"/>
    <col min="29" max="29" width="11.85546875" style="1671" customWidth="1" outlineLevel="1"/>
    <col min="30" max="30" width="11.140625" style="610" customWidth="1" outlineLevel="1"/>
    <col min="31" max="31" width="10.85546875" style="610" customWidth="1" outlineLevel="1"/>
    <col min="32" max="32" width="10.5703125" style="874" customWidth="1" outlineLevel="1"/>
    <col min="33" max="33" width="10.7109375" style="610" customWidth="1" outlineLevel="1"/>
    <col min="34" max="34" width="15.5703125" style="874" customWidth="1" outlineLevel="1"/>
    <col min="35" max="35" width="11.42578125" style="874" customWidth="1" outlineLevel="1"/>
    <col min="36" max="40" width="9.140625" style="610" customWidth="1" outlineLevel="1"/>
    <col min="41" max="41" width="14.28515625" style="610" customWidth="1" outlineLevel="1"/>
    <col min="42" max="48" width="9.140625" style="610" customWidth="1" outlineLevel="1"/>
    <col min="49" max="49" width="14.28515625" style="610" customWidth="1" outlineLevel="1"/>
    <col min="50" max="16384" width="9.140625" style="610"/>
  </cols>
  <sheetData>
    <row r="1" spans="1:49" ht="24.75" customHeight="1">
      <c r="E1" s="2233"/>
      <c r="F1" s="2233"/>
      <c r="G1" s="2233"/>
      <c r="H1" s="922"/>
      <c r="I1" s="606"/>
      <c r="J1" s="808"/>
      <c r="K1" s="81"/>
      <c r="L1" s="81"/>
      <c r="M1" s="81"/>
      <c r="N1" s="79" t="s">
        <v>1318</v>
      </c>
      <c r="AC1" s="894"/>
      <c r="AD1" s="483"/>
      <c r="AE1" s="483"/>
    </row>
    <row r="2" spans="1:49" ht="15.75">
      <c r="B2" s="2234" t="s">
        <v>0</v>
      </c>
      <c r="E2" s="2233"/>
      <c r="F2" s="2233"/>
      <c r="G2" s="2233"/>
      <c r="H2" s="2233"/>
      <c r="I2" s="2233"/>
      <c r="J2" s="81"/>
      <c r="K2" s="81"/>
      <c r="L2" s="81"/>
      <c r="M2" s="81"/>
      <c r="N2" s="81" t="s">
        <v>1319</v>
      </c>
      <c r="Q2" s="2235" t="s">
        <v>200</v>
      </c>
      <c r="R2" s="2236">
        <f>MAX('Estimate Summary'!D14)</f>
        <v>43591</v>
      </c>
      <c r="AB2" s="1901"/>
      <c r="AC2" s="888"/>
      <c r="AD2" s="384"/>
      <c r="AE2" s="384"/>
    </row>
    <row r="3" spans="1:49" ht="4.5" customHeight="1" thickBot="1">
      <c r="B3" s="2237"/>
      <c r="C3" s="82"/>
      <c r="D3" s="1835"/>
      <c r="E3" s="102"/>
      <c r="F3" s="102"/>
      <c r="G3" s="102"/>
      <c r="H3" s="81"/>
      <c r="I3" s="81"/>
      <c r="J3" s="81"/>
      <c r="K3" s="81"/>
      <c r="L3" s="81"/>
      <c r="M3" s="81"/>
      <c r="N3" s="81"/>
    </row>
    <row r="4" spans="1:49" s="84" customFormat="1" ht="15">
      <c r="B4" s="2238" t="s">
        <v>184</v>
      </c>
      <c r="C4" s="611">
        <f>'Estimate Summary'!AT5</f>
        <v>0</v>
      </c>
      <c r="D4" s="2239"/>
      <c r="E4" s="586"/>
      <c r="F4" s="554"/>
      <c r="G4" s="554"/>
      <c r="H4" s="554"/>
      <c r="I4" s="554"/>
      <c r="J4" s="554"/>
      <c r="K4" s="554"/>
      <c r="L4" s="554"/>
      <c r="M4" s="554"/>
      <c r="N4" s="83"/>
      <c r="P4" s="85"/>
      <c r="Q4" s="84" t="s">
        <v>1655</v>
      </c>
      <c r="S4" s="899"/>
      <c r="T4" s="2240"/>
      <c r="V4" s="85"/>
      <c r="W4" s="857"/>
      <c r="X4" s="857"/>
      <c r="Y4" s="877"/>
      <c r="Z4" s="889"/>
      <c r="AA4" s="889"/>
      <c r="AB4" s="1901"/>
      <c r="AC4" s="888"/>
      <c r="AD4" s="384"/>
      <c r="AE4" s="384"/>
      <c r="AF4" s="857"/>
      <c r="AH4" s="857"/>
      <c r="AI4" s="857"/>
    </row>
    <row r="5" spans="1:49" s="84" customFormat="1" ht="15">
      <c r="B5" s="2241" t="s">
        <v>185</v>
      </c>
      <c r="C5" s="612">
        <f>'Estimate Summary'!AT6</f>
        <v>0</v>
      </c>
      <c r="D5" s="2242"/>
      <c r="E5" s="357"/>
      <c r="F5" s="357"/>
      <c r="G5" s="357"/>
      <c r="H5" s="357"/>
      <c r="I5" s="357"/>
      <c r="J5" s="357"/>
      <c r="K5" s="357"/>
      <c r="L5" s="357"/>
      <c r="M5" s="357"/>
      <c r="N5" s="87"/>
      <c r="P5" s="85"/>
      <c r="Q5" s="399"/>
      <c r="R5" s="686"/>
      <c r="S5" s="550" t="s">
        <v>195</v>
      </c>
      <c r="T5" s="1004">
        <v>7.9771000000000001</v>
      </c>
      <c r="U5" s="400" t="s">
        <v>65</v>
      </c>
      <c r="V5" s="1995"/>
      <c r="W5" s="857"/>
      <c r="X5" s="857"/>
      <c r="Y5" s="877"/>
      <c r="Z5" s="889"/>
      <c r="AA5" s="889"/>
      <c r="AB5" s="1901"/>
      <c r="AC5" s="888"/>
      <c r="AD5" s="384"/>
      <c r="AE5" s="384"/>
      <c r="AF5" s="857"/>
      <c r="AH5" s="857"/>
      <c r="AI5" s="857"/>
    </row>
    <row r="6" spans="1:49" s="84" customFormat="1" ht="15">
      <c r="B6" s="2241" t="s">
        <v>214</v>
      </c>
      <c r="C6" s="903">
        <f>'Estimate Summary'!AT7</f>
        <v>0</v>
      </c>
      <c r="D6" s="2242"/>
      <c r="E6" s="102"/>
      <c r="F6" s="357"/>
      <c r="G6" s="357"/>
      <c r="H6" s="357"/>
      <c r="I6" s="357"/>
      <c r="J6" s="357"/>
      <c r="K6" s="357"/>
      <c r="L6" s="357"/>
      <c r="M6" s="357"/>
      <c r="N6" s="87"/>
      <c r="P6" s="85"/>
      <c r="Q6" s="643" t="s">
        <v>195</v>
      </c>
      <c r="R6" s="1002">
        <f>IF(T6=0,0,T5/T6)</f>
        <v>0</v>
      </c>
      <c r="S6" s="550" t="s">
        <v>174</v>
      </c>
      <c r="T6" s="1337"/>
      <c r="U6" s="400" t="s">
        <v>65</v>
      </c>
      <c r="V6" s="1995"/>
      <c r="W6" s="858"/>
      <c r="X6" s="858"/>
      <c r="Y6" s="877"/>
      <c r="Z6" s="889"/>
      <c r="AA6" s="889"/>
      <c r="AB6" s="1022"/>
      <c r="AC6" s="877"/>
      <c r="AF6" s="857"/>
      <c r="AH6" s="857"/>
      <c r="AI6" s="857"/>
    </row>
    <row r="7" spans="1:49" s="84" customFormat="1" ht="15.75" thickBot="1">
      <c r="B7" s="2243" t="s">
        <v>208</v>
      </c>
      <c r="C7" s="613">
        <f>'Estimate Summary'!AT8</f>
        <v>0</v>
      </c>
      <c r="D7" s="2244"/>
      <c r="E7" s="587"/>
      <c r="F7" s="555"/>
      <c r="G7" s="555"/>
      <c r="H7" s="555"/>
      <c r="I7" s="555"/>
      <c r="J7" s="555"/>
      <c r="K7" s="555"/>
      <c r="L7" s="555"/>
      <c r="M7" s="555"/>
      <c r="N7" s="88"/>
      <c r="P7" s="85"/>
      <c r="Q7" s="643" t="s">
        <v>195</v>
      </c>
      <c r="R7" s="1278">
        <f>T5/T7</f>
        <v>1.1506981709076221</v>
      </c>
      <c r="S7" s="550" t="s">
        <v>278</v>
      </c>
      <c r="T7" s="1004">
        <v>6.9324000000000003</v>
      </c>
      <c r="U7" s="400" t="s">
        <v>65</v>
      </c>
      <c r="V7" s="1995"/>
      <c r="W7" s="858"/>
      <c r="X7" s="858"/>
      <c r="Y7" s="877"/>
      <c r="Z7" s="889"/>
      <c r="AA7" s="889"/>
      <c r="AB7" s="1022"/>
      <c r="AC7" s="877"/>
      <c r="AD7" s="471"/>
      <c r="AE7" s="471"/>
      <c r="AF7" s="857"/>
      <c r="AH7" s="857"/>
      <c r="AI7" s="857"/>
    </row>
    <row r="8" spans="1:49" s="84" customFormat="1" ht="14.25" customHeight="1" thickBot="1">
      <c r="B8" s="2245"/>
      <c r="C8" s="89"/>
      <c r="D8" s="1836"/>
      <c r="E8" s="102"/>
      <c r="F8" s="357"/>
      <c r="G8" s="357"/>
      <c r="H8" s="357"/>
      <c r="I8" s="357"/>
      <c r="J8" s="357"/>
      <c r="K8" s="357"/>
      <c r="L8" s="357"/>
      <c r="M8" s="357"/>
      <c r="N8" s="86"/>
      <c r="P8" s="85"/>
      <c r="Q8" s="643" t="s">
        <v>195</v>
      </c>
      <c r="R8" s="1278">
        <f>IF(T8=0,0,T5/T8)</f>
        <v>0</v>
      </c>
      <c r="S8" s="550" t="s">
        <v>752</v>
      </c>
      <c r="T8" s="1337"/>
      <c r="U8" s="400" t="s">
        <v>65</v>
      </c>
      <c r="V8" s="85"/>
      <c r="W8" s="857"/>
      <c r="X8" s="857"/>
      <c r="Y8" s="877"/>
      <c r="Z8" s="889"/>
      <c r="AA8" s="889"/>
      <c r="AB8" s="1022"/>
      <c r="AC8" s="877"/>
      <c r="AD8" s="610"/>
      <c r="AE8" s="610"/>
      <c r="AF8" s="857"/>
      <c r="AH8" s="857"/>
      <c r="AI8" s="857"/>
    </row>
    <row r="9" spans="1:49" ht="18.75" customHeight="1">
      <c r="B9" s="2246"/>
      <c r="C9" s="614"/>
      <c r="D9" s="2247"/>
      <c r="E9" s="556" t="s">
        <v>1056</v>
      </c>
      <c r="F9" s="556" t="s">
        <v>255</v>
      </c>
      <c r="G9" s="1603" t="s">
        <v>10</v>
      </c>
      <c r="H9" s="557" t="s">
        <v>10</v>
      </c>
      <c r="I9" s="557" t="s">
        <v>288</v>
      </c>
      <c r="J9" s="557" t="s">
        <v>12</v>
      </c>
      <c r="K9" s="557" t="s">
        <v>13</v>
      </c>
      <c r="L9" s="557" t="s">
        <v>183</v>
      </c>
      <c r="M9" s="557" t="s">
        <v>2</v>
      </c>
      <c r="N9" s="2690" t="s">
        <v>1096</v>
      </c>
      <c r="T9" s="603"/>
      <c r="W9" s="603"/>
    </row>
    <row r="10" spans="1:49" ht="26.25" thickBot="1">
      <c r="B10" s="90" t="s">
        <v>964</v>
      </c>
      <c r="C10" s="91" t="s">
        <v>829</v>
      </c>
      <c r="D10" s="1623" t="s">
        <v>255</v>
      </c>
      <c r="E10" s="1629" t="s">
        <v>783</v>
      </c>
      <c r="F10" s="558" t="s">
        <v>47</v>
      </c>
      <c r="G10" s="1628" t="s">
        <v>1335</v>
      </c>
      <c r="H10" s="559" t="s">
        <v>303</v>
      </c>
      <c r="I10" s="559" t="s">
        <v>60</v>
      </c>
      <c r="J10" s="559" t="s">
        <v>60</v>
      </c>
      <c r="K10" s="559" t="s">
        <v>60</v>
      </c>
      <c r="L10" s="559" t="s">
        <v>60</v>
      </c>
      <c r="M10" s="559" t="s">
        <v>60</v>
      </c>
      <c r="N10" s="2691"/>
      <c r="P10" s="2248"/>
      <c r="Q10" s="2249"/>
      <c r="R10" s="2250"/>
      <c r="S10" s="1958"/>
      <c r="T10" s="1958"/>
      <c r="U10" s="1958"/>
      <c r="V10" s="1958"/>
      <c r="W10" s="2251"/>
      <c r="X10" s="2251"/>
      <c r="Y10" s="1959"/>
      <c r="Z10" s="1959"/>
      <c r="AA10" s="1960"/>
      <c r="AB10" s="1960"/>
      <c r="AC10" s="1960"/>
      <c r="AD10" s="1960"/>
      <c r="AE10" s="1960"/>
      <c r="AF10" s="1961"/>
      <c r="AG10" s="1962"/>
      <c r="AH10" s="1961"/>
      <c r="AI10" s="1961"/>
    </row>
    <row r="11" spans="1:49" ht="19.5" customHeight="1" thickBot="1">
      <c r="B11" s="92" t="s">
        <v>945</v>
      </c>
      <c r="C11" s="93"/>
      <c r="D11" s="1717"/>
      <c r="E11" s="560"/>
      <c r="F11" s="560"/>
      <c r="G11" s="1604"/>
      <c r="H11" s="561"/>
      <c r="I11" s="562"/>
      <c r="J11" s="562"/>
      <c r="K11" s="562"/>
      <c r="L11" s="562"/>
      <c r="M11" s="562"/>
      <c r="N11" s="94"/>
      <c r="P11" s="2002" t="s">
        <v>409</v>
      </c>
      <c r="Q11" s="2003" t="s">
        <v>410</v>
      </c>
      <c r="R11" s="2004" t="s">
        <v>411</v>
      </c>
      <c r="S11" s="856" t="s">
        <v>84</v>
      </c>
      <c r="T11" s="856" t="s">
        <v>1104</v>
      </c>
      <c r="U11" s="856" t="s">
        <v>83</v>
      </c>
      <c r="V11" s="2005" t="s">
        <v>255</v>
      </c>
      <c r="W11" s="2006" t="s">
        <v>412</v>
      </c>
      <c r="X11" s="2006" t="s">
        <v>412</v>
      </c>
      <c r="Y11" s="2007" t="s">
        <v>413</v>
      </c>
      <c r="Z11" s="2007" t="s">
        <v>1077</v>
      </c>
      <c r="AA11" s="855" t="s">
        <v>1059</v>
      </c>
      <c r="AB11" s="855" t="s">
        <v>1060</v>
      </c>
      <c r="AC11" s="855" t="s">
        <v>414</v>
      </c>
      <c r="AD11" s="855" t="s">
        <v>415</v>
      </c>
      <c r="AE11" s="855" t="s">
        <v>416</v>
      </c>
      <c r="AF11" s="873" t="s">
        <v>417</v>
      </c>
      <c r="AG11" s="856" t="s">
        <v>418</v>
      </c>
      <c r="AH11" s="873" t="s">
        <v>270</v>
      </c>
      <c r="AI11" s="873" t="s">
        <v>269</v>
      </c>
      <c r="AJ11" s="1999" t="s">
        <v>1097</v>
      </c>
      <c r="AK11" s="1999" t="s">
        <v>1105</v>
      </c>
      <c r="AL11" s="1999" t="s">
        <v>1098</v>
      </c>
      <c r="AM11" s="1999" t="s">
        <v>755</v>
      </c>
      <c r="AN11" s="1999" t="s">
        <v>580</v>
      </c>
      <c r="AO11" s="1999" t="s">
        <v>1137</v>
      </c>
      <c r="AP11" s="1999" t="s">
        <v>1138</v>
      </c>
      <c r="AQ11" s="1999" t="s">
        <v>1099</v>
      </c>
      <c r="AR11" s="1999" t="s">
        <v>1100</v>
      </c>
      <c r="AS11" s="1999" t="s">
        <v>1101</v>
      </c>
      <c r="AT11" s="1999" t="s">
        <v>76</v>
      </c>
      <c r="AU11" s="1999" t="s">
        <v>1102</v>
      </c>
      <c r="AV11" s="1999" t="s">
        <v>1103</v>
      </c>
      <c r="AW11" s="1999" t="s">
        <v>761</v>
      </c>
    </row>
    <row r="12" spans="1:49" ht="13.5" hidden="1" outlineLevel="1" thickTop="1">
      <c r="A12" s="383"/>
      <c r="B12" s="1077" t="s">
        <v>724</v>
      </c>
      <c r="C12" s="482" t="s">
        <v>725</v>
      </c>
      <c r="D12" s="1823" t="s">
        <v>181</v>
      </c>
      <c r="E12" s="2252">
        <f>IF(ISERROR(VLOOKUP($C12&amp;$D12,'WBC Mfg Matl'!$C$5:$N$22,4,0)),0,VLOOKUP($C12&amp;$D12,'WBC Mfg Matl'!$C$5:$N$22,4,0))</f>
        <v>0</v>
      </c>
      <c r="F12" s="1886">
        <f>IF(ISERROR(VLOOKUP($C12&amp;$D12,'WBC Mfg Matl'!$C$5:$N$22,12,0)),0,VLOOKUP($C12&amp;$D12,'WBC Mfg Matl'!$C$5:$N$22,12,0))</f>
        <v>0</v>
      </c>
      <c r="G12" s="1870">
        <f>IF($D12="CNY",IF(ISERROR(VLOOKUP($C12&amp;$D12,'WBC Mfg Matl'!$C$5:$N$22,5,0)),0,VLOOKUP($C12&amp;$D12,'WBC Mfg Matl'!$C$5:$N$22,5,0)/1000),IF(ISERROR(VLOOKUP($C12&amp;$D12,'WBC Mfg Matl'!$C$5:$N$22,6,0)),0,VLOOKUP($C12&amp;$D12,'WBC Mfg Matl'!$C$5:$N$22,6,0)/1000))</f>
        <v>0</v>
      </c>
      <c r="H12" s="1870">
        <f>IF(ISERROR(VLOOKUP($C12&amp;$D12,'WBC Mfg Matl'!$C$5:$N$22,11,0)),0,VLOOKUP($C12&amp;$D12,'WBC Mfg Matl'!$C$5:$N$22,11,0)/1000)</f>
        <v>0</v>
      </c>
      <c r="I12" s="1718">
        <f>IF('Estimate Summary'!$D$9&lt;2,0,$H12)</f>
        <v>0</v>
      </c>
      <c r="J12" s="1718">
        <f>IF('Estimate Summary'!$D$9&lt;3,0,$H12)</f>
        <v>0</v>
      </c>
      <c r="K12" s="1718">
        <f>IF('Estimate Summary'!$D$9&lt;4,0,$H12)</f>
        <v>0</v>
      </c>
      <c r="L12" s="1718">
        <f>IF('Estimate Summary'!$D$9&lt;5,0,$H12)</f>
        <v>0</v>
      </c>
      <c r="M12" s="1718">
        <f>IF('Estimate Summary'!$D$9&lt;6,0,$H12)</f>
        <v>0</v>
      </c>
      <c r="N12" s="1630"/>
      <c r="P12" s="1014"/>
      <c r="Q12" s="794">
        <v>42943</v>
      </c>
      <c r="R12" s="605"/>
      <c r="S12" s="899"/>
      <c r="T12" s="899"/>
      <c r="U12" s="605" t="s">
        <v>676</v>
      </c>
      <c r="V12" s="1014" t="str">
        <f>D12</f>
        <v>CNY</v>
      </c>
      <c r="W12" s="870"/>
      <c r="X12" s="870"/>
      <c r="Y12" s="900"/>
      <c r="Z12" s="900"/>
      <c r="AA12" s="900"/>
      <c r="AC12" s="900"/>
      <c r="AD12" s="2254"/>
      <c r="AE12" s="2254"/>
      <c r="AF12" s="870"/>
      <c r="AG12" s="2254"/>
      <c r="AH12" s="870"/>
      <c r="AI12" s="870"/>
      <c r="AJ12" s="610" t="s">
        <v>669</v>
      </c>
      <c r="AK12" s="610" t="s">
        <v>1128</v>
      </c>
      <c r="AL12" s="610" t="str">
        <f>IF(D12="CNY","CN",IF(D12="EUR","DE",IF(D12="USD","US",IF(D12="JPY","JP",IF(D12="INR","IN")))))</f>
        <v>CN</v>
      </c>
      <c r="AM12" s="551">
        <f>'Estimate Summary'!$D$9</f>
        <v>1</v>
      </c>
      <c r="AN12" s="610" t="s">
        <v>1136</v>
      </c>
      <c r="AO12" s="551">
        <f>G12</f>
        <v>0</v>
      </c>
      <c r="AP12" s="610" t="str">
        <f>D12</f>
        <v>CNY</v>
      </c>
      <c r="AQ12" s="610" t="s">
        <v>1139</v>
      </c>
      <c r="AR12" s="610" t="s">
        <v>670</v>
      </c>
      <c r="AS12" s="605" t="s">
        <v>745</v>
      </c>
      <c r="AT12" s="610" t="str">
        <f>'Estimate Summary'!$AT$11</f>
        <v>FOB SH</v>
      </c>
      <c r="AU12" s="610" t="str">
        <f>AL12</f>
        <v>CN</v>
      </c>
      <c r="AV12" s="610" t="s">
        <v>1140</v>
      </c>
      <c r="AW12" s="2255">
        <f>Q12</f>
        <v>42943</v>
      </c>
    </row>
    <row r="13" spans="1:49" hidden="1" outlineLevel="1">
      <c r="A13" s="383"/>
      <c r="B13" s="1077" t="s">
        <v>724</v>
      </c>
      <c r="C13" s="482" t="s">
        <v>725</v>
      </c>
      <c r="D13" s="1823" t="s">
        <v>179</v>
      </c>
      <c r="E13" s="2252">
        <f>IF(ISERROR(VLOOKUP($C13&amp;$D13,'WBC Mfg Matl'!$C$5:$N$22,4,0)),0,VLOOKUP($C13&amp;$D13,'WBC Mfg Matl'!$C$5:$N$22,4,0))</f>
        <v>0</v>
      </c>
      <c r="F13" s="1886">
        <f>IF(ISERROR(VLOOKUP($C13&amp;$D13,'WBC Mfg Matl'!$C$5:$N$22,12,0)),0,VLOOKUP($C13&amp;$D13,'WBC Mfg Matl'!$C$5:$N$22,12,0))</f>
        <v>0</v>
      </c>
      <c r="G13" s="1870">
        <f>IF($D13="CNY",IF(ISERROR(VLOOKUP($C13&amp;$D13,'WBC Mfg Matl'!$C$5:$N$22,5,0)),0,VLOOKUP($C13&amp;$D13,'WBC Mfg Matl'!$C$5:$N$22,5,0)/1000),IF(ISERROR(VLOOKUP($C13&amp;$D13,'WBC Mfg Matl'!$C$5:$N$22,6,0)),0,VLOOKUP($C13&amp;$D13,'WBC Mfg Matl'!$C$5:$N$22,6,0)/1000))</f>
        <v>0</v>
      </c>
      <c r="H13" s="1870">
        <f>IF(ISERROR(VLOOKUP($C13&amp;$D13,'WBC Mfg Matl'!$C$5:$N$22,11,0)),0,VLOOKUP($C13&amp;$D13,'WBC Mfg Matl'!$C$5:$N$22,11,0)/1000)</f>
        <v>0</v>
      </c>
      <c r="I13" s="1718">
        <f>IF('Estimate Summary'!$D$9&lt;2,0,$H13)</f>
        <v>0</v>
      </c>
      <c r="J13" s="1718">
        <f>IF('Estimate Summary'!$D$9&lt;3,0,$H13)</f>
        <v>0</v>
      </c>
      <c r="K13" s="1718">
        <f>IF('Estimate Summary'!$D$9&lt;4,0,$H13)</f>
        <v>0</v>
      </c>
      <c r="L13" s="1718">
        <f>IF('Estimate Summary'!$D$9&lt;5,0,$H13)</f>
        <v>0</v>
      </c>
      <c r="M13" s="1718">
        <f>IF('Estimate Summary'!$D$9&lt;6,0,$H13)</f>
        <v>0</v>
      </c>
      <c r="N13" s="1630"/>
      <c r="P13" s="2256"/>
      <c r="Q13" s="794">
        <v>42943</v>
      </c>
      <c r="R13" s="697"/>
      <c r="S13" s="475"/>
      <c r="T13" s="899"/>
      <c r="U13" s="605" t="s">
        <v>676</v>
      </c>
      <c r="V13" s="1014" t="str">
        <f t="shared" ref="V13:V76" si="0">D13</f>
        <v>EUR</v>
      </c>
      <c r="W13" s="932"/>
      <c r="X13" s="932"/>
      <c r="Y13" s="933"/>
      <c r="Z13" s="933"/>
      <c r="AA13" s="933"/>
      <c r="AB13" s="1902"/>
      <c r="AC13" s="933"/>
      <c r="AD13" s="1013"/>
      <c r="AE13" s="1013"/>
      <c r="AF13" s="897"/>
      <c r="AG13" s="1013"/>
      <c r="AH13" s="897"/>
      <c r="AI13" s="897"/>
      <c r="AJ13" s="610" t="s">
        <v>669</v>
      </c>
      <c r="AK13" s="610" t="s">
        <v>1128</v>
      </c>
      <c r="AL13" s="610" t="str">
        <f t="shared" ref="AL13:AL75" si="1">IF(D13="CNY","CN",IF(D13="EUR","DE",IF(D13="USD","US",IF(D13="JPY","JP",IF(D13="INR","IN")))))</f>
        <v>DE</v>
      </c>
      <c r="AM13" s="551">
        <f>'Estimate Summary'!$D$9</f>
        <v>1</v>
      </c>
      <c r="AN13" s="610" t="s">
        <v>1136</v>
      </c>
      <c r="AO13" s="551">
        <f t="shared" ref="AO13:AO59" si="2">G13</f>
        <v>0</v>
      </c>
      <c r="AP13" s="610" t="str">
        <f t="shared" ref="AP13:AP76" si="3">D13</f>
        <v>EUR</v>
      </c>
      <c r="AQ13" s="610" t="s">
        <v>1139</v>
      </c>
      <c r="AR13" s="610" t="s">
        <v>670</v>
      </c>
      <c r="AS13" s="605" t="s">
        <v>745</v>
      </c>
      <c r="AT13" s="610" t="str">
        <f>'Estimate Summary'!$AT$11</f>
        <v>FOB SH</v>
      </c>
      <c r="AU13" s="610" t="str">
        <f t="shared" ref="AU13:AU76" si="4">AL13</f>
        <v>DE</v>
      </c>
      <c r="AV13" s="610" t="s">
        <v>1140</v>
      </c>
      <c r="AW13" s="2255">
        <f t="shared" ref="AW13:AW76" si="5">Q13</f>
        <v>42943</v>
      </c>
    </row>
    <row r="14" spans="1:49" hidden="1" outlineLevel="1">
      <c r="A14" s="383"/>
      <c r="B14" s="1077" t="s">
        <v>724</v>
      </c>
      <c r="C14" s="1624" t="s">
        <v>725</v>
      </c>
      <c r="D14" s="1823" t="s">
        <v>257</v>
      </c>
      <c r="E14" s="2252">
        <f>IF(ISERROR(VLOOKUP($C14&amp;$D14,'WBC Mfg Matl'!$C$5:$N$22,4,0)),0,VLOOKUP($C14&amp;$D14,'WBC Mfg Matl'!$C$5:$N$22,4,0))</f>
        <v>0</v>
      </c>
      <c r="F14" s="1886">
        <f>IF(ISERROR(VLOOKUP($C14&amp;$D14,'WBC Mfg Matl'!$C$5:$N$22,12,0)),0,VLOOKUP($C14&amp;$D14,'WBC Mfg Matl'!$C$5:$N$22,12,0))</f>
        <v>0</v>
      </c>
      <c r="G14" s="1870">
        <f>IF($D14="CNY",IF(ISERROR(VLOOKUP($C14&amp;$D14,'WBC Mfg Matl'!$C$5:$N$22,5,0)),0,VLOOKUP($C14&amp;$D14,'WBC Mfg Matl'!$C$5:$N$22,5,0)/1000),IF(ISERROR(VLOOKUP($C14&amp;$D14,'WBC Mfg Matl'!$C$5:$N$22,6,0)),0,VLOOKUP($C14&amp;$D14,'WBC Mfg Matl'!$C$5:$N$22,6,0)/1000))</f>
        <v>0</v>
      </c>
      <c r="H14" s="1870">
        <f>IF(ISERROR(VLOOKUP($C14&amp;$D14,'WBC Mfg Matl'!$C$5:$N$22,11,0)),0,VLOOKUP($C14&amp;$D14,'WBC Mfg Matl'!$C$5:$N$22,11,0)/1000)</f>
        <v>0</v>
      </c>
      <c r="I14" s="1718">
        <f>IF('Estimate Summary'!$D$9&lt;2,0,$H14)</f>
        <v>0</v>
      </c>
      <c r="J14" s="1718">
        <f>IF('Estimate Summary'!$D$9&lt;3,0,$H14)</f>
        <v>0</v>
      </c>
      <c r="K14" s="1718">
        <f>IF('Estimate Summary'!$D$9&lt;4,0,$H14)</f>
        <v>0</v>
      </c>
      <c r="L14" s="1718">
        <f>IF('Estimate Summary'!$D$9&lt;5,0,$H14)</f>
        <v>0</v>
      </c>
      <c r="M14" s="1718">
        <f>IF('Estimate Summary'!$D$9&lt;6,0,$H14)</f>
        <v>0</v>
      </c>
      <c r="N14" s="1630"/>
      <c r="P14" s="2256"/>
      <c r="Q14" s="794">
        <v>42943</v>
      </c>
      <c r="R14" s="697"/>
      <c r="S14" s="475"/>
      <c r="T14" s="899"/>
      <c r="U14" s="605" t="s">
        <v>676</v>
      </c>
      <c r="V14" s="1014" t="str">
        <f t="shared" si="0"/>
        <v>USD</v>
      </c>
      <c r="W14" s="932"/>
      <c r="X14" s="932"/>
      <c r="Y14" s="933"/>
      <c r="Z14" s="933"/>
      <c r="AA14" s="933"/>
      <c r="AB14" s="1902"/>
      <c r="AC14" s="933"/>
      <c r="AD14" s="1013"/>
      <c r="AE14" s="1013"/>
      <c r="AF14" s="897"/>
      <c r="AG14" s="1013"/>
      <c r="AH14" s="897"/>
      <c r="AI14" s="897"/>
      <c r="AJ14" s="610" t="s">
        <v>669</v>
      </c>
      <c r="AK14" s="610" t="s">
        <v>1128</v>
      </c>
      <c r="AL14" s="610" t="str">
        <f t="shared" si="1"/>
        <v>US</v>
      </c>
      <c r="AM14" s="551">
        <f>'Estimate Summary'!$D$9</f>
        <v>1</v>
      </c>
      <c r="AN14" s="610" t="s">
        <v>1136</v>
      </c>
      <c r="AO14" s="551">
        <f t="shared" si="2"/>
        <v>0</v>
      </c>
      <c r="AP14" s="610" t="str">
        <f t="shared" si="3"/>
        <v>USD</v>
      </c>
      <c r="AQ14" s="610" t="s">
        <v>1139</v>
      </c>
      <c r="AR14" s="610" t="s">
        <v>670</v>
      </c>
      <c r="AS14" s="605" t="s">
        <v>745</v>
      </c>
      <c r="AT14" s="610" t="str">
        <f>'Estimate Summary'!$AT$11</f>
        <v>FOB SH</v>
      </c>
      <c r="AU14" s="610" t="str">
        <f t="shared" si="4"/>
        <v>US</v>
      </c>
      <c r="AV14" s="610" t="s">
        <v>1140</v>
      </c>
      <c r="AW14" s="2255">
        <f t="shared" si="5"/>
        <v>42943</v>
      </c>
    </row>
    <row r="15" spans="1:49" hidden="1" outlineLevel="1" collapsed="1">
      <c r="A15" s="383"/>
      <c r="B15" s="1077" t="s">
        <v>726</v>
      </c>
      <c r="C15" s="482" t="s">
        <v>735</v>
      </c>
      <c r="D15" s="1823" t="s">
        <v>181</v>
      </c>
      <c r="E15" s="2252">
        <f>IF(ISERROR(VLOOKUP($C15&amp;$D15,'WBC Mfg Matl'!$C$5:$N$22,4,0)),0,VLOOKUP($C15&amp;$D15,'WBC Mfg Matl'!$C$5:$N$22,4,0))</f>
        <v>0</v>
      </c>
      <c r="F15" s="1886">
        <f>IF(ISERROR(VLOOKUP($C15&amp;$D15,'WBC Mfg Matl'!$C$5:$N$22,12,0)),0,VLOOKUP($C15&amp;$D15,'WBC Mfg Matl'!$C$5:$N$22,12,0))</f>
        <v>0</v>
      </c>
      <c r="G15" s="1870">
        <f>IF($D15="CNY",IF(ISERROR(VLOOKUP($C15&amp;$D15,'WBC Mfg Matl'!$C$5:$N$22,5,0)),0,VLOOKUP($C15&amp;$D15,'WBC Mfg Matl'!$C$5:$N$22,5,0)/1000),IF(ISERROR(VLOOKUP($C15&amp;$D15,'WBC Mfg Matl'!$C$5:$N$22,6,0)),0,VLOOKUP($C15&amp;$D15,'WBC Mfg Matl'!$C$5:$N$22,6,0)/1000))</f>
        <v>0</v>
      </c>
      <c r="H15" s="1870">
        <f>IF(ISERROR(VLOOKUP($C15&amp;$D15,'WBC Mfg Matl'!$C$5:$N$22,11,0)),0,VLOOKUP($C15&amp;$D15,'WBC Mfg Matl'!$C$5:$N$22,11,0)/1000)</f>
        <v>0</v>
      </c>
      <c r="I15" s="1718">
        <f>IF('Estimate Summary'!$D$9&lt;2,0,$H15)</f>
        <v>0</v>
      </c>
      <c r="J15" s="1718">
        <f>IF('Estimate Summary'!$D$9&lt;3,0,$H15)</f>
        <v>0</v>
      </c>
      <c r="K15" s="1718">
        <f>IF('Estimate Summary'!$D$9&lt;4,0,$H15)</f>
        <v>0</v>
      </c>
      <c r="L15" s="1718">
        <f>IF('Estimate Summary'!$D$9&lt;5,0,$H15)</f>
        <v>0</v>
      </c>
      <c r="M15" s="1718">
        <f>IF('Estimate Summary'!$D$9&lt;6,0,$H15)</f>
        <v>0</v>
      </c>
      <c r="N15" s="1630"/>
      <c r="P15" s="2256"/>
      <c r="Q15" s="794">
        <v>42943</v>
      </c>
      <c r="R15" s="697"/>
      <c r="S15" s="475"/>
      <c r="T15" s="899"/>
      <c r="U15" s="605" t="s">
        <v>676</v>
      </c>
      <c r="V15" s="1014" t="str">
        <f t="shared" si="0"/>
        <v>CNY</v>
      </c>
      <c r="W15" s="932"/>
      <c r="X15" s="932"/>
      <c r="Y15" s="933"/>
      <c r="Z15" s="933"/>
      <c r="AA15" s="933"/>
      <c r="AB15" s="1902"/>
      <c r="AC15" s="933"/>
      <c r="AD15" s="1013"/>
      <c r="AE15" s="1013"/>
      <c r="AF15" s="897"/>
      <c r="AG15" s="1013"/>
      <c r="AH15" s="897"/>
      <c r="AI15" s="897"/>
      <c r="AJ15" s="610" t="s">
        <v>669</v>
      </c>
      <c r="AK15" s="610" t="s">
        <v>1128</v>
      </c>
      <c r="AL15" s="610" t="str">
        <f t="shared" si="1"/>
        <v>CN</v>
      </c>
      <c r="AM15" s="551">
        <f>'Estimate Summary'!$D$9</f>
        <v>1</v>
      </c>
      <c r="AN15" s="610" t="s">
        <v>1136</v>
      </c>
      <c r="AO15" s="551">
        <f t="shared" si="2"/>
        <v>0</v>
      </c>
      <c r="AP15" s="610" t="str">
        <f t="shared" si="3"/>
        <v>CNY</v>
      </c>
      <c r="AQ15" s="610" t="s">
        <v>1139</v>
      </c>
      <c r="AR15" s="610" t="s">
        <v>670</v>
      </c>
      <c r="AS15" s="605" t="s">
        <v>745</v>
      </c>
      <c r="AT15" s="610" t="str">
        <f>'Estimate Summary'!$AT$11</f>
        <v>FOB SH</v>
      </c>
      <c r="AU15" s="610" t="str">
        <f t="shared" si="4"/>
        <v>CN</v>
      </c>
      <c r="AV15" s="610" t="s">
        <v>1140</v>
      </c>
      <c r="AW15" s="2255">
        <f t="shared" si="5"/>
        <v>42943</v>
      </c>
    </row>
    <row r="16" spans="1:49" hidden="1" outlineLevel="1">
      <c r="A16" s="383"/>
      <c r="B16" s="1077" t="s">
        <v>726</v>
      </c>
      <c r="C16" s="482" t="s">
        <v>735</v>
      </c>
      <c r="D16" s="2266" t="s">
        <v>179</v>
      </c>
      <c r="E16" s="2252">
        <f>IF(ISERROR(VLOOKUP($C16&amp;$D16,'WBC Mfg Matl'!$C$5:$N$22,4,0)),0,VLOOKUP($C16&amp;$D16,'WBC Mfg Matl'!$C$5:$N$22,4,0))</f>
        <v>0</v>
      </c>
      <c r="F16" s="1886">
        <f>IF(ISERROR(VLOOKUP($C16&amp;$D16,'WBC Mfg Matl'!$C$5:$N$22,12,0)),0,VLOOKUP($C16&amp;$D16,'WBC Mfg Matl'!$C$5:$N$22,12,0))</f>
        <v>0</v>
      </c>
      <c r="G16" s="1870">
        <f>IF($D16="CNY",IF(ISERROR(VLOOKUP($C16&amp;$D16,'WBC Mfg Matl'!$C$5:$N$22,5,0)),0,VLOOKUP($C16&amp;$D16,'WBC Mfg Matl'!$C$5:$N$22,5,0)/1000),IF(ISERROR(VLOOKUP($C16&amp;$D16,'WBC Mfg Matl'!$C$5:$N$22,6,0)),0,VLOOKUP($C16&amp;$D16,'WBC Mfg Matl'!$C$5:$N$22,6,0)/1000))</f>
        <v>0</v>
      </c>
      <c r="H16" s="1870">
        <f>IF(ISERROR(VLOOKUP($C16&amp;$D16,'WBC Mfg Matl'!$C$5:$N$22,11,0)),0,VLOOKUP($C16&amp;$D16,'WBC Mfg Matl'!$C$5:$N$22,11,0)/1000)</f>
        <v>0</v>
      </c>
      <c r="I16" s="1718">
        <f>IF('Estimate Summary'!$D$9&lt;2,0,$H16)</f>
        <v>0</v>
      </c>
      <c r="J16" s="1718">
        <f>IF('Estimate Summary'!$D$9&lt;3,0,$H16)</f>
        <v>0</v>
      </c>
      <c r="K16" s="1718">
        <f>IF('Estimate Summary'!$D$9&lt;4,0,$H16)</f>
        <v>0</v>
      </c>
      <c r="L16" s="1718">
        <f>IF('Estimate Summary'!$D$9&lt;5,0,$H16)</f>
        <v>0</v>
      </c>
      <c r="M16" s="1718">
        <f>IF('Estimate Summary'!$D$9&lt;6,0,$H16)</f>
        <v>0</v>
      </c>
      <c r="N16" s="1630"/>
      <c r="P16" s="2256"/>
      <c r="Q16" s="794">
        <v>42943</v>
      </c>
      <c r="R16" s="697"/>
      <c r="S16" s="475"/>
      <c r="T16" s="899"/>
      <c r="U16" s="605" t="s">
        <v>676</v>
      </c>
      <c r="V16" s="1014" t="str">
        <f t="shared" si="0"/>
        <v>EUR</v>
      </c>
      <c r="W16" s="932"/>
      <c r="X16" s="932"/>
      <c r="Y16" s="933"/>
      <c r="Z16" s="933"/>
      <c r="AA16" s="933"/>
      <c r="AB16" s="1902"/>
      <c r="AC16" s="933"/>
      <c r="AD16" s="1013"/>
      <c r="AE16" s="1013"/>
      <c r="AF16" s="897"/>
      <c r="AG16" s="1013"/>
      <c r="AH16" s="897"/>
      <c r="AI16" s="897"/>
      <c r="AJ16" s="610" t="s">
        <v>669</v>
      </c>
      <c r="AK16" s="610" t="s">
        <v>1128</v>
      </c>
      <c r="AL16" s="610" t="str">
        <f t="shared" si="1"/>
        <v>DE</v>
      </c>
      <c r="AM16" s="551">
        <f>'Estimate Summary'!$D$9</f>
        <v>1</v>
      </c>
      <c r="AN16" s="610" t="s">
        <v>1136</v>
      </c>
      <c r="AO16" s="551">
        <f t="shared" si="2"/>
        <v>0</v>
      </c>
      <c r="AP16" s="610" t="str">
        <f t="shared" si="3"/>
        <v>EUR</v>
      </c>
      <c r="AQ16" s="610" t="s">
        <v>1139</v>
      </c>
      <c r="AR16" s="610" t="s">
        <v>670</v>
      </c>
      <c r="AS16" s="605" t="s">
        <v>745</v>
      </c>
      <c r="AT16" s="610" t="str">
        <f>'Estimate Summary'!$AT$11</f>
        <v>FOB SH</v>
      </c>
      <c r="AU16" s="610" t="str">
        <f t="shared" si="4"/>
        <v>DE</v>
      </c>
      <c r="AV16" s="610" t="s">
        <v>1140</v>
      </c>
      <c r="AW16" s="2255">
        <f t="shared" si="5"/>
        <v>42943</v>
      </c>
    </row>
    <row r="17" spans="1:49" hidden="1" outlineLevel="1">
      <c r="A17" s="383"/>
      <c r="B17" s="1077" t="s">
        <v>726</v>
      </c>
      <c r="C17" s="482" t="s">
        <v>735</v>
      </c>
      <c r="D17" s="2266" t="s">
        <v>257</v>
      </c>
      <c r="E17" s="2252">
        <f>IF(ISERROR(VLOOKUP($C17&amp;$D17,'WBC Mfg Matl'!$C$5:$N$22,4,0)),0,VLOOKUP($C17&amp;$D17,'WBC Mfg Matl'!$C$5:$N$22,4,0))</f>
        <v>0</v>
      </c>
      <c r="F17" s="1886">
        <f>IF(ISERROR(VLOOKUP($C17&amp;$D17,'WBC Mfg Matl'!$C$5:$N$22,12,0)),0,VLOOKUP($C17&amp;$D17,'WBC Mfg Matl'!$C$5:$N$22,12,0))</f>
        <v>0</v>
      </c>
      <c r="G17" s="1870">
        <f>IF($D17="CNY",IF(ISERROR(VLOOKUP($C17&amp;$D17,'WBC Mfg Matl'!$C$5:$N$22,5,0)),0,VLOOKUP($C17&amp;$D17,'WBC Mfg Matl'!$C$5:$N$22,5,0)/1000),IF(ISERROR(VLOOKUP($C17&amp;$D17,'WBC Mfg Matl'!$C$5:$N$22,6,0)),0,VLOOKUP($C17&amp;$D17,'WBC Mfg Matl'!$C$5:$N$22,6,0)/1000))</f>
        <v>0</v>
      </c>
      <c r="H17" s="1870">
        <f>IF(ISERROR(VLOOKUP($C17&amp;$D17,'WBC Mfg Matl'!$C$5:$N$22,11,0)),0,VLOOKUP($C17&amp;$D17,'WBC Mfg Matl'!$C$5:$N$22,11,0)/1000)</f>
        <v>0</v>
      </c>
      <c r="I17" s="1718">
        <f>IF('Estimate Summary'!$D$9&lt;2,0,$H17)</f>
        <v>0</v>
      </c>
      <c r="J17" s="1718">
        <f>IF('Estimate Summary'!$D$9&lt;3,0,$H17)</f>
        <v>0</v>
      </c>
      <c r="K17" s="1718">
        <f>IF('Estimate Summary'!$D$9&lt;4,0,$H17)</f>
        <v>0</v>
      </c>
      <c r="L17" s="1718">
        <f>IF('Estimate Summary'!$D$9&lt;5,0,$H17)</f>
        <v>0</v>
      </c>
      <c r="M17" s="1718">
        <f>IF('Estimate Summary'!$D$9&lt;6,0,$H17)</f>
        <v>0</v>
      </c>
      <c r="N17" s="1630"/>
      <c r="P17" s="2256"/>
      <c r="Q17" s="794">
        <v>42943</v>
      </c>
      <c r="R17" s="697"/>
      <c r="S17" s="475"/>
      <c r="T17" s="899"/>
      <c r="U17" s="605" t="s">
        <v>676</v>
      </c>
      <c r="V17" s="1014" t="str">
        <f t="shared" si="0"/>
        <v>USD</v>
      </c>
      <c r="W17" s="932"/>
      <c r="X17" s="932"/>
      <c r="Y17" s="933"/>
      <c r="Z17" s="933"/>
      <c r="AA17" s="933"/>
      <c r="AB17" s="1902"/>
      <c r="AC17" s="933"/>
      <c r="AD17" s="1013"/>
      <c r="AE17" s="1013"/>
      <c r="AF17" s="897"/>
      <c r="AG17" s="1013"/>
      <c r="AH17" s="897"/>
      <c r="AI17" s="897"/>
      <c r="AJ17" s="610" t="s">
        <v>669</v>
      </c>
      <c r="AK17" s="610" t="s">
        <v>1128</v>
      </c>
      <c r="AL17" s="610" t="str">
        <f t="shared" si="1"/>
        <v>US</v>
      </c>
      <c r="AM17" s="551">
        <f>'Estimate Summary'!$D$9</f>
        <v>1</v>
      </c>
      <c r="AN17" s="610" t="s">
        <v>1136</v>
      </c>
      <c r="AO17" s="551">
        <f t="shared" si="2"/>
        <v>0</v>
      </c>
      <c r="AP17" s="610" t="str">
        <f t="shared" si="3"/>
        <v>USD</v>
      </c>
      <c r="AQ17" s="610" t="s">
        <v>1139</v>
      </c>
      <c r="AR17" s="610" t="s">
        <v>670</v>
      </c>
      <c r="AS17" s="605" t="s">
        <v>745</v>
      </c>
      <c r="AT17" s="610" t="str">
        <f>'Estimate Summary'!$AT$11</f>
        <v>FOB SH</v>
      </c>
      <c r="AU17" s="610" t="str">
        <f t="shared" si="4"/>
        <v>US</v>
      </c>
      <c r="AV17" s="610" t="s">
        <v>1140</v>
      </c>
      <c r="AW17" s="2255">
        <f t="shared" si="5"/>
        <v>42943</v>
      </c>
    </row>
    <row r="18" spans="1:49" hidden="1" outlineLevel="1">
      <c r="A18" s="383"/>
      <c r="B18" s="1077" t="s">
        <v>784</v>
      </c>
      <c r="C18" s="1624" t="s">
        <v>785</v>
      </c>
      <c r="D18" s="2266" t="s">
        <v>181</v>
      </c>
      <c r="E18" s="2252">
        <f>IF(ISERROR(VLOOKUP($C18&amp;$D18,'WBC Mfg Matl'!$C$5:$N$22,4,0)),0,VLOOKUP($C18&amp;$D18,'WBC Mfg Matl'!$C$5:$N$22,4,0))</f>
        <v>0</v>
      </c>
      <c r="F18" s="1886">
        <f>IF(ISERROR(VLOOKUP($C18&amp;$D18,'WBC Mfg Matl'!$C$5:$N$22,12,0)),0,VLOOKUP($C18&amp;$D18,'WBC Mfg Matl'!$C$5:$N$22,12,0))</f>
        <v>0</v>
      </c>
      <c r="G18" s="1870">
        <f>IF($D18="CNY",IF(ISERROR(VLOOKUP($C18&amp;$D18,'WBC Mfg Matl'!$C$5:$N$22,5,0)),0,VLOOKUP($C18&amp;$D18,'WBC Mfg Matl'!$C$5:$N$22,5,0)/1000),IF(ISERROR(VLOOKUP($C18&amp;$D18,'WBC Mfg Matl'!$C$5:$N$22,6,0)),0,VLOOKUP($C18&amp;$D18,'WBC Mfg Matl'!$C$5:$N$22,6,0)/1000))</f>
        <v>0</v>
      </c>
      <c r="H18" s="1870">
        <f>IF(ISERROR(VLOOKUP($C18&amp;$D18,'WBC Mfg Matl'!$C$5:$N$22,11,0)),0,VLOOKUP($C18&amp;$D18,'WBC Mfg Matl'!$C$5:$N$22,11,0)/1000)</f>
        <v>0</v>
      </c>
      <c r="I18" s="1718">
        <f>IF('Estimate Summary'!$D$9&lt;2,0,$H18)</f>
        <v>0</v>
      </c>
      <c r="J18" s="1718">
        <f>IF('Estimate Summary'!$D$9&lt;3,0,$H18)</f>
        <v>0</v>
      </c>
      <c r="K18" s="1718">
        <f>IF('Estimate Summary'!$D$9&lt;4,0,$H18)</f>
        <v>0</v>
      </c>
      <c r="L18" s="1718">
        <f>IF('Estimate Summary'!$D$9&lt;5,0,$H18)</f>
        <v>0</v>
      </c>
      <c r="M18" s="1718">
        <f>IF('Estimate Summary'!$D$9&lt;6,0,$H18)</f>
        <v>0</v>
      </c>
      <c r="N18" s="1630"/>
      <c r="P18" s="2256"/>
      <c r="Q18" s="794">
        <v>42943</v>
      </c>
      <c r="R18" s="697"/>
      <c r="S18" s="475"/>
      <c r="T18" s="899"/>
      <c r="U18" s="605" t="s">
        <v>676</v>
      </c>
      <c r="V18" s="1014" t="str">
        <f t="shared" si="0"/>
        <v>CNY</v>
      </c>
      <c r="W18" s="932"/>
      <c r="X18" s="932"/>
      <c r="Y18" s="933"/>
      <c r="Z18" s="933"/>
      <c r="AA18" s="933"/>
      <c r="AB18" s="1902"/>
      <c r="AC18" s="933"/>
      <c r="AD18" s="1013"/>
      <c r="AE18" s="1013"/>
      <c r="AF18" s="897"/>
      <c r="AG18" s="1013"/>
      <c r="AH18" s="897"/>
      <c r="AI18" s="897"/>
      <c r="AJ18" s="610" t="s">
        <v>669</v>
      </c>
      <c r="AK18" s="610" t="s">
        <v>1128</v>
      </c>
      <c r="AL18" s="610" t="str">
        <f t="shared" si="1"/>
        <v>CN</v>
      </c>
      <c r="AM18" s="551">
        <f>'Estimate Summary'!$D$9</f>
        <v>1</v>
      </c>
      <c r="AN18" s="610" t="s">
        <v>1136</v>
      </c>
      <c r="AO18" s="551">
        <f t="shared" si="2"/>
        <v>0</v>
      </c>
      <c r="AP18" s="610" t="str">
        <f t="shared" si="3"/>
        <v>CNY</v>
      </c>
      <c r="AQ18" s="610" t="s">
        <v>1139</v>
      </c>
      <c r="AR18" s="610" t="s">
        <v>670</v>
      </c>
      <c r="AS18" s="605" t="s">
        <v>745</v>
      </c>
      <c r="AT18" s="610" t="str">
        <f>'Estimate Summary'!$AT$11</f>
        <v>FOB SH</v>
      </c>
      <c r="AU18" s="610" t="str">
        <f t="shared" si="4"/>
        <v>CN</v>
      </c>
      <c r="AV18" s="610" t="s">
        <v>1140</v>
      </c>
      <c r="AW18" s="2255">
        <f t="shared" si="5"/>
        <v>42943</v>
      </c>
    </row>
    <row r="19" spans="1:49" hidden="1" outlineLevel="1">
      <c r="A19" s="383"/>
      <c r="B19" s="1077" t="s">
        <v>784</v>
      </c>
      <c r="C19" s="1624" t="s">
        <v>785</v>
      </c>
      <c r="D19" s="2266" t="s">
        <v>179</v>
      </c>
      <c r="E19" s="2252">
        <f>IF(ISERROR(VLOOKUP($C19&amp;$D19,'WBC Mfg Matl'!$C$5:$N$22,4,0)),0,VLOOKUP($C19&amp;$D19,'WBC Mfg Matl'!$C$5:$N$22,4,0))</f>
        <v>0</v>
      </c>
      <c r="F19" s="1886">
        <f>IF(ISERROR(VLOOKUP($C19&amp;$D19,'WBC Mfg Matl'!$C$5:$N$22,12,0)),0,VLOOKUP($C19&amp;$D19,'WBC Mfg Matl'!$C$5:$N$22,12,0))</f>
        <v>0</v>
      </c>
      <c r="G19" s="1870">
        <f>IF($D19="CNY",IF(ISERROR(VLOOKUP($C19&amp;$D19,'WBC Mfg Matl'!$C$5:$N$22,5,0)),0,VLOOKUP($C19&amp;$D19,'WBC Mfg Matl'!$C$5:$N$22,5,0)/1000),IF(ISERROR(VLOOKUP($C19&amp;$D19,'WBC Mfg Matl'!$C$5:$N$22,6,0)),0,VLOOKUP($C19&amp;$D19,'WBC Mfg Matl'!$C$5:$N$22,6,0)/1000))</f>
        <v>0</v>
      </c>
      <c r="H19" s="1870">
        <f>IF(ISERROR(VLOOKUP($C19&amp;$D19,'WBC Mfg Matl'!$C$5:$N$22,11,0)),0,VLOOKUP($C19&amp;$D19,'WBC Mfg Matl'!$C$5:$N$22,11,0)/1000)</f>
        <v>0</v>
      </c>
      <c r="I19" s="1718">
        <f>IF('Estimate Summary'!$D$9&lt;2,0,$H19)</f>
        <v>0</v>
      </c>
      <c r="J19" s="1718">
        <f>IF('Estimate Summary'!$D$9&lt;3,0,$H19)</f>
        <v>0</v>
      </c>
      <c r="K19" s="1718">
        <f>IF('Estimate Summary'!$D$9&lt;4,0,$H19)</f>
        <v>0</v>
      </c>
      <c r="L19" s="1718">
        <f>IF('Estimate Summary'!$D$9&lt;5,0,$H19)</f>
        <v>0</v>
      </c>
      <c r="M19" s="1718">
        <f>IF('Estimate Summary'!$D$9&lt;6,0,$H19)</f>
        <v>0</v>
      </c>
      <c r="N19" s="1630"/>
      <c r="P19" s="2256"/>
      <c r="Q19" s="794">
        <v>42943</v>
      </c>
      <c r="R19" s="697"/>
      <c r="S19" s="475"/>
      <c r="T19" s="899"/>
      <c r="U19" s="605" t="s">
        <v>676</v>
      </c>
      <c r="V19" s="1014" t="str">
        <f t="shared" si="0"/>
        <v>EUR</v>
      </c>
      <c r="W19" s="932"/>
      <c r="X19" s="932"/>
      <c r="Y19" s="933"/>
      <c r="Z19" s="933"/>
      <c r="AA19" s="933"/>
      <c r="AB19" s="1902"/>
      <c r="AC19" s="933"/>
      <c r="AD19" s="1013"/>
      <c r="AE19" s="1013"/>
      <c r="AF19" s="897"/>
      <c r="AG19" s="1013"/>
      <c r="AH19" s="897"/>
      <c r="AI19" s="897"/>
      <c r="AJ19" s="610" t="s">
        <v>669</v>
      </c>
      <c r="AK19" s="610" t="s">
        <v>1128</v>
      </c>
      <c r="AL19" s="610" t="str">
        <f t="shared" si="1"/>
        <v>DE</v>
      </c>
      <c r="AM19" s="551">
        <f>'Estimate Summary'!$D$9</f>
        <v>1</v>
      </c>
      <c r="AN19" s="610" t="s">
        <v>1136</v>
      </c>
      <c r="AO19" s="551">
        <f t="shared" si="2"/>
        <v>0</v>
      </c>
      <c r="AP19" s="610" t="str">
        <f t="shared" si="3"/>
        <v>EUR</v>
      </c>
      <c r="AQ19" s="610" t="s">
        <v>1139</v>
      </c>
      <c r="AR19" s="610" t="s">
        <v>670</v>
      </c>
      <c r="AS19" s="605" t="s">
        <v>745</v>
      </c>
      <c r="AT19" s="610" t="str">
        <f>'Estimate Summary'!$AT$11</f>
        <v>FOB SH</v>
      </c>
      <c r="AU19" s="610" t="str">
        <f t="shared" si="4"/>
        <v>DE</v>
      </c>
      <c r="AV19" s="610" t="s">
        <v>1140</v>
      </c>
      <c r="AW19" s="2255">
        <f t="shared" si="5"/>
        <v>42943</v>
      </c>
    </row>
    <row r="20" spans="1:49" hidden="1" outlineLevel="1">
      <c r="A20" s="383"/>
      <c r="B20" s="1077" t="s">
        <v>784</v>
      </c>
      <c r="C20" s="1624" t="s">
        <v>785</v>
      </c>
      <c r="D20" s="2266" t="s">
        <v>257</v>
      </c>
      <c r="E20" s="2252">
        <f>IF(ISERROR(VLOOKUP($C20&amp;$D20,'WBC Mfg Matl'!$C$5:$N$22,4,0)),0,VLOOKUP($C20&amp;$D20,'WBC Mfg Matl'!$C$5:$N$22,4,0))</f>
        <v>0</v>
      </c>
      <c r="F20" s="1886">
        <f>IF(ISERROR(VLOOKUP($C20&amp;$D20,'WBC Mfg Matl'!$C$5:$N$22,12,0)),0,VLOOKUP($C20&amp;$D20,'WBC Mfg Matl'!$C$5:$N$22,12,0))</f>
        <v>0</v>
      </c>
      <c r="G20" s="1870">
        <f>IF($D20="CNY",IF(ISERROR(VLOOKUP($C20&amp;$D20,'WBC Mfg Matl'!$C$5:$N$22,5,0)),0,VLOOKUP($C20&amp;$D20,'WBC Mfg Matl'!$C$5:$N$22,5,0)/1000),IF(ISERROR(VLOOKUP($C20&amp;$D20,'WBC Mfg Matl'!$C$5:$N$22,6,0)),0,VLOOKUP($C20&amp;$D20,'WBC Mfg Matl'!$C$5:$N$22,6,0)/1000))</f>
        <v>0</v>
      </c>
      <c r="H20" s="1870">
        <f>IF(ISERROR(VLOOKUP($C20&amp;$D20,'WBC Mfg Matl'!$C$5:$N$22,11,0)),0,VLOOKUP($C20&amp;$D20,'WBC Mfg Matl'!$C$5:$N$22,11,0)/1000)</f>
        <v>0</v>
      </c>
      <c r="I20" s="1718">
        <f>IF('Estimate Summary'!$D$9&lt;2,0,$H20)</f>
        <v>0</v>
      </c>
      <c r="J20" s="1718">
        <f>IF('Estimate Summary'!$D$9&lt;3,0,$H20)</f>
        <v>0</v>
      </c>
      <c r="K20" s="1718">
        <f>IF('Estimate Summary'!$D$9&lt;4,0,$H20)</f>
        <v>0</v>
      </c>
      <c r="L20" s="1718">
        <f>IF('Estimate Summary'!$D$9&lt;5,0,$H20)</f>
        <v>0</v>
      </c>
      <c r="M20" s="1718">
        <f>IF('Estimate Summary'!$D$9&lt;6,0,$H20)</f>
        <v>0</v>
      </c>
      <c r="N20" s="1630"/>
      <c r="P20" s="2256"/>
      <c r="Q20" s="794">
        <v>42943</v>
      </c>
      <c r="R20" s="697"/>
      <c r="S20" s="475"/>
      <c r="T20" s="899"/>
      <c r="U20" s="605" t="s">
        <v>676</v>
      </c>
      <c r="V20" s="1014" t="str">
        <f t="shared" si="0"/>
        <v>USD</v>
      </c>
      <c r="W20" s="932"/>
      <c r="X20" s="932"/>
      <c r="Y20" s="933"/>
      <c r="Z20" s="933"/>
      <c r="AA20" s="933"/>
      <c r="AB20" s="1902"/>
      <c r="AC20" s="933"/>
      <c r="AD20" s="1013"/>
      <c r="AE20" s="1013"/>
      <c r="AF20" s="897"/>
      <c r="AG20" s="1013"/>
      <c r="AH20" s="897"/>
      <c r="AI20" s="897"/>
      <c r="AJ20" s="610" t="s">
        <v>669</v>
      </c>
      <c r="AK20" s="610" t="s">
        <v>1128</v>
      </c>
      <c r="AL20" s="610" t="str">
        <f t="shared" si="1"/>
        <v>US</v>
      </c>
      <c r="AM20" s="551">
        <f>'Estimate Summary'!$D$9</f>
        <v>1</v>
      </c>
      <c r="AN20" s="610" t="s">
        <v>1136</v>
      </c>
      <c r="AO20" s="551">
        <f t="shared" si="2"/>
        <v>0</v>
      </c>
      <c r="AP20" s="610" t="str">
        <f t="shared" si="3"/>
        <v>USD</v>
      </c>
      <c r="AQ20" s="610" t="s">
        <v>1139</v>
      </c>
      <c r="AR20" s="610" t="s">
        <v>670</v>
      </c>
      <c r="AS20" s="605" t="s">
        <v>745</v>
      </c>
      <c r="AT20" s="610" t="str">
        <f>'Estimate Summary'!$AT$11</f>
        <v>FOB SH</v>
      </c>
      <c r="AU20" s="610" t="str">
        <f t="shared" si="4"/>
        <v>US</v>
      </c>
      <c r="AV20" s="610" t="s">
        <v>1140</v>
      </c>
      <c r="AW20" s="2255">
        <f t="shared" si="5"/>
        <v>42943</v>
      </c>
    </row>
    <row r="21" spans="1:49" hidden="1" outlineLevel="1">
      <c r="A21" s="383"/>
      <c r="B21" s="1077" t="s">
        <v>727</v>
      </c>
      <c r="C21" s="482" t="s">
        <v>222</v>
      </c>
      <c r="D21" s="2266" t="s">
        <v>181</v>
      </c>
      <c r="E21" s="2252">
        <f>IF(ISERROR(VLOOKUP($C21&amp;$D21,'WBC Mfg Matl'!$C$5:$N$22,4,0)),0,VLOOKUP($C21&amp;$D21,'WBC Mfg Matl'!$C$5:$N$22,4,0))</f>
        <v>0</v>
      </c>
      <c r="F21" s="1886">
        <f>IF(ISERROR(VLOOKUP($C21&amp;$D21,'WBC Mfg Matl'!$C$5:$N$22,12,0)),0,VLOOKUP($C21&amp;$D21,'WBC Mfg Matl'!$C$5:$N$22,12,0))</f>
        <v>0</v>
      </c>
      <c r="G21" s="1870">
        <f>IF($D21="CNY",IF(ISERROR(VLOOKUP($C21&amp;$D21,'WBC Mfg Matl'!$C$5:$N$22,5,0)),0,VLOOKUP($C21&amp;$D21,'WBC Mfg Matl'!$C$5:$N$22,5,0)/1000),IF(ISERROR(VLOOKUP($C21&amp;$D21,'WBC Mfg Matl'!$C$5:$N$22,6,0)),0,VLOOKUP($C21&amp;$D21,'WBC Mfg Matl'!$C$5:$N$22,6,0)/1000))</f>
        <v>0</v>
      </c>
      <c r="H21" s="1870">
        <f>IF(ISERROR(VLOOKUP($C21&amp;$D21,'WBC Mfg Matl'!$C$5:$N$22,11,0)),0,VLOOKUP($C21&amp;$D21,'WBC Mfg Matl'!$C$5:$N$22,11,0)/1000)</f>
        <v>0</v>
      </c>
      <c r="I21" s="1718">
        <f>IF('Estimate Summary'!$D$9&lt;2,0,$H21)</f>
        <v>0</v>
      </c>
      <c r="J21" s="1718">
        <f>IF('Estimate Summary'!$D$9&lt;3,0,$H21)</f>
        <v>0</v>
      </c>
      <c r="K21" s="1718">
        <f>IF('Estimate Summary'!$D$9&lt;4,0,$H21)</f>
        <v>0</v>
      </c>
      <c r="L21" s="1718">
        <f>IF('Estimate Summary'!$D$9&lt;5,0,$H21)</f>
        <v>0</v>
      </c>
      <c r="M21" s="1718">
        <f>IF('Estimate Summary'!$D$9&lt;6,0,$H21)</f>
        <v>0</v>
      </c>
      <c r="N21" s="1630"/>
      <c r="P21" s="2256"/>
      <c r="Q21" s="794">
        <v>42943</v>
      </c>
      <c r="R21" s="697"/>
      <c r="S21" s="475"/>
      <c r="T21" s="899"/>
      <c r="U21" s="605" t="s">
        <v>676</v>
      </c>
      <c r="V21" s="1014" t="str">
        <f t="shared" si="0"/>
        <v>CNY</v>
      </c>
      <c r="W21" s="932"/>
      <c r="X21" s="932"/>
      <c r="Y21" s="933"/>
      <c r="Z21" s="933"/>
      <c r="AA21" s="933"/>
      <c r="AB21" s="1902"/>
      <c r="AC21" s="933"/>
      <c r="AD21" s="1013"/>
      <c r="AE21" s="1013"/>
      <c r="AF21" s="897"/>
      <c r="AG21" s="1013"/>
      <c r="AH21" s="897"/>
      <c r="AI21" s="897"/>
      <c r="AJ21" s="610" t="s">
        <v>669</v>
      </c>
      <c r="AK21" s="610" t="s">
        <v>1128</v>
      </c>
      <c r="AL21" s="610" t="str">
        <f t="shared" si="1"/>
        <v>CN</v>
      </c>
      <c r="AM21" s="551">
        <f>'Estimate Summary'!$D$9</f>
        <v>1</v>
      </c>
      <c r="AN21" s="610" t="s">
        <v>1136</v>
      </c>
      <c r="AO21" s="551">
        <f t="shared" si="2"/>
        <v>0</v>
      </c>
      <c r="AP21" s="610" t="str">
        <f t="shared" si="3"/>
        <v>CNY</v>
      </c>
      <c r="AQ21" s="610" t="s">
        <v>1139</v>
      </c>
      <c r="AR21" s="610" t="s">
        <v>670</v>
      </c>
      <c r="AS21" s="605" t="s">
        <v>745</v>
      </c>
      <c r="AT21" s="610" t="str">
        <f>'Estimate Summary'!$AT$11</f>
        <v>FOB SH</v>
      </c>
      <c r="AU21" s="610" t="str">
        <f t="shared" si="4"/>
        <v>CN</v>
      </c>
      <c r="AV21" s="610" t="s">
        <v>1140</v>
      </c>
      <c r="AW21" s="2255">
        <f t="shared" si="5"/>
        <v>42943</v>
      </c>
    </row>
    <row r="22" spans="1:49" hidden="1" outlineLevel="1">
      <c r="A22" s="383"/>
      <c r="B22" s="1077" t="s">
        <v>727</v>
      </c>
      <c r="C22" s="482" t="s">
        <v>222</v>
      </c>
      <c r="D22" s="2266" t="s">
        <v>179</v>
      </c>
      <c r="E22" s="2252">
        <f>IF(ISERROR(VLOOKUP($C22&amp;$D22,'WBC Mfg Matl'!$C$5:$N$22,4,0)),0,VLOOKUP($C22&amp;$D22,'WBC Mfg Matl'!$C$5:$N$22,4,0))</f>
        <v>0</v>
      </c>
      <c r="F22" s="1886">
        <f>IF(ISERROR(VLOOKUP($C22&amp;$D22,'WBC Mfg Matl'!$C$5:$N$22,12,0)),0,VLOOKUP($C22&amp;$D22,'WBC Mfg Matl'!$C$5:$N$22,12,0))</f>
        <v>0</v>
      </c>
      <c r="G22" s="1870">
        <f>IF($D22="CNY",IF(ISERROR(VLOOKUP($C22&amp;$D22,'WBC Mfg Matl'!$C$5:$N$22,5,0)),0,VLOOKUP($C22&amp;$D22,'WBC Mfg Matl'!$C$5:$N$22,5,0)/1000),IF(ISERROR(VLOOKUP($C22&amp;$D22,'WBC Mfg Matl'!$C$5:$N$22,6,0)),0,VLOOKUP($C22&amp;$D22,'WBC Mfg Matl'!$C$5:$N$22,6,0)/1000))</f>
        <v>0</v>
      </c>
      <c r="H22" s="1870">
        <f>IF(ISERROR(VLOOKUP($C22&amp;$D22,'WBC Mfg Matl'!$C$5:$N$22,11,0)),0,VLOOKUP($C22&amp;$D22,'WBC Mfg Matl'!$C$5:$N$22,11,0)/1000)</f>
        <v>0</v>
      </c>
      <c r="I22" s="1718">
        <f>IF('Estimate Summary'!$D$9&lt;2,0,$H22)</f>
        <v>0</v>
      </c>
      <c r="J22" s="1718">
        <f>IF('Estimate Summary'!$D$9&lt;3,0,$H22)</f>
        <v>0</v>
      </c>
      <c r="K22" s="1718">
        <f>IF('Estimate Summary'!$D$9&lt;4,0,$H22)</f>
        <v>0</v>
      </c>
      <c r="L22" s="1718">
        <f>IF('Estimate Summary'!$D$9&lt;5,0,$H22)</f>
        <v>0</v>
      </c>
      <c r="M22" s="1718">
        <f>IF('Estimate Summary'!$D$9&lt;6,0,$H22)</f>
        <v>0</v>
      </c>
      <c r="N22" s="1630"/>
      <c r="P22" s="2256"/>
      <c r="Q22" s="794">
        <v>42943</v>
      </c>
      <c r="R22" s="697"/>
      <c r="S22" s="475"/>
      <c r="T22" s="899"/>
      <c r="U22" s="605" t="s">
        <v>676</v>
      </c>
      <c r="V22" s="1014" t="str">
        <f t="shared" si="0"/>
        <v>EUR</v>
      </c>
      <c r="W22" s="932"/>
      <c r="X22" s="932"/>
      <c r="Y22" s="933"/>
      <c r="Z22" s="933"/>
      <c r="AA22" s="933"/>
      <c r="AB22" s="1902"/>
      <c r="AC22" s="933"/>
      <c r="AD22" s="1013"/>
      <c r="AE22" s="1013"/>
      <c r="AF22" s="897"/>
      <c r="AG22" s="1013"/>
      <c r="AH22" s="897"/>
      <c r="AI22" s="897"/>
      <c r="AJ22" s="610" t="s">
        <v>669</v>
      </c>
      <c r="AK22" s="610" t="s">
        <v>1128</v>
      </c>
      <c r="AL22" s="610" t="str">
        <f t="shared" si="1"/>
        <v>DE</v>
      </c>
      <c r="AM22" s="551">
        <f>'Estimate Summary'!$D$9</f>
        <v>1</v>
      </c>
      <c r="AN22" s="610" t="s">
        <v>1136</v>
      </c>
      <c r="AO22" s="551">
        <f t="shared" si="2"/>
        <v>0</v>
      </c>
      <c r="AP22" s="610" t="str">
        <f t="shared" si="3"/>
        <v>EUR</v>
      </c>
      <c r="AQ22" s="610" t="s">
        <v>1139</v>
      </c>
      <c r="AR22" s="610" t="s">
        <v>670</v>
      </c>
      <c r="AS22" s="605" t="s">
        <v>745</v>
      </c>
      <c r="AT22" s="610" t="str">
        <f>'Estimate Summary'!$AT$11</f>
        <v>FOB SH</v>
      </c>
      <c r="AU22" s="610" t="str">
        <f t="shared" si="4"/>
        <v>DE</v>
      </c>
      <c r="AV22" s="610" t="s">
        <v>1140</v>
      </c>
      <c r="AW22" s="2255">
        <f t="shared" si="5"/>
        <v>42943</v>
      </c>
    </row>
    <row r="23" spans="1:49" hidden="1" outlineLevel="1">
      <c r="A23" s="383"/>
      <c r="B23" s="1077" t="s">
        <v>727</v>
      </c>
      <c r="C23" s="482" t="s">
        <v>222</v>
      </c>
      <c r="D23" s="1823" t="s">
        <v>257</v>
      </c>
      <c r="E23" s="2252">
        <f>IF(ISERROR(VLOOKUP($C23&amp;$D23,'WBC Mfg Matl'!$C$5:$N$22,4,0)),0,VLOOKUP($C23&amp;$D23,'WBC Mfg Matl'!$C$5:$N$22,4,0))</f>
        <v>0</v>
      </c>
      <c r="F23" s="1886">
        <f>IF(ISERROR(VLOOKUP($C23&amp;$D23,'WBC Mfg Matl'!$C$5:$N$22,12,0)),0,VLOOKUP($C23&amp;$D23,'WBC Mfg Matl'!$C$5:$N$22,12,0))</f>
        <v>0</v>
      </c>
      <c r="G23" s="1870">
        <f>IF($D23="CNY",IF(ISERROR(VLOOKUP($C23&amp;$D23,'WBC Mfg Matl'!$C$5:$N$22,5,0)),0,VLOOKUP($C23&amp;$D23,'WBC Mfg Matl'!$C$5:$N$22,5,0)/1000),IF(ISERROR(VLOOKUP($C23&amp;$D23,'WBC Mfg Matl'!$C$5:$N$22,6,0)),0,VLOOKUP($C23&amp;$D23,'WBC Mfg Matl'!$C$5:$N$22,6,0)/1000))</f>
        <v>0</v>
      </c>
      <c r="H23" s="1870">
        <f>IF(ISERROR(VLOOKUP($C23&amp;$D23,'WBC Mfg Matl'!$C$5:$N$22,11,0)),0,VLOOKUP($C23&amp;$D23,'WBC Mfg Matl'!$C$5:$N$22,11,0)/1000)</f>
        <v>0</v>
      </c>
      <c r="I23" s="1718">
        <f>IF('Estimate Summary'!$D$9&lt;2,0,$H23)</f>
        <v>0</v>
      </c>
      <c r="J23" s="1718">
        <f>IF('Estimate Summary'!$D$9&lt;3,0,$H23)</f>
        <v>0</v>
      </c>
      <c r="K23" s="1718">
        <f>IF('Estimate Summary'!$D$9&lt;4,0,$H23)</f>
        <v>0</v>
      </c>
      <c r="L23" s="1718">
        <f>IF('Estimate Summary'!$D$9&lt;5,0,$H23)</f>
        <v>0</v>
      </c>
      <c r="M23" s="1718">
        <f>IF('Estimate Summary'!$D$9&lt;6,0,$H23)</f>
        <v>0</v>
      </c>
      <c r="N23" s="1630"/>
      <c r="P23" s="2256"/>
      <c r="Q23" s="794">
        <v>42943</v>
      </c>
      <c r="R23" s="697"/>
      <c r="S23" s="475"/>
      <c r="T23" s="899"/>
      <c r="U23" s="605" t="s">
        <v>676</v>
      </c>
      <c r="V23" s="1014" t="str">
        <f t="shared" si="0"/>
        <v>USD</v>
      </c>
      <c r="W23" s="932"/>
      <c r="X23" s="932"/>
      <c r="Y23" s="933"/>
      <c r="Z23" s="933"/>
      <c r="AA23" s="933"/>
      <c r="AB23" s="1902"/>
      <c r="AC23" s="933"/>
      <c r="AD23" s="1013"/>
      <c r="AE23" s="1013"/>
      <c r="AF23" s="897"/>
      <c r="AG23" s="1013"/>
      <c r="AH23" s="897"/>
      <c r="AI23" s="897"/>
      <c r="AJ23" s="610" t="s">
        <v>669</v>
      </c>
      <c r="AK23" s="610" t="s">
        <v>1128</v>
      </c>
      <c r="AL23" s="610" t="str">
        <f t="shared" si="1"/>
        <v>US</v>
      </c>
      <c r="AM23" s="551">
        <f>'Estimate Summary'!$D$9</f>
        <v>1</v>
      </c>
      <c r="AN23" s="610" t="s">
        <v>1136</v>
      </c>
      <c r="AO23" s="551">
        <f t="shared" si="2"/>
        <v>0</v>
      </c>
      <c r="AP23" s="610" t="str">
        <f t="shared" si="3"/>
        <v>USD</v>
      </c>
      <c r="AQ23" s="610" t="s">
        <v>1139</v>
      </c>
      <c r="AR23" s="610" t="s">
        <v>670</v>
      </c>
      <c r="AS23" s="605" t="s">
        <v>745</v>
      </c>
      <c r="AT23" s="610" t="str">
        <f>'Estimate Summary'!$AT$11</f>
        <v>FOB SH</v>
      </c>
      <c r="AU23" s="610" t="str">
        <f t="shared" si="4"/>
        <v>US</v>
      </c>
      <c r="AV23" s="610" t="s">
        <v>1140</v>
      </c>
      <c r="AW23" s="2255">
        <f t="shared" si="5"/>
        <v>42943</v>
      </c>
    </row>
    <row r="24" spans="1:49" hidden="1" outlineLevel="1">
      <c r="A24" s="383"/>
      <c r="B24" s="1077" t="s">
        <v>728</v>
      </c>
      <c r="C24" s="482" t="s">
        <v>221</v>
      </c>
      <c r="D24" s="1823" t="s">
        <v>181</v>
      </c>
      <c r="E24" s="2252">
        <f>IF(ISERROR(VLOOKUP($C24&amp;$D24,'WBC Mfg Matl'!$C$5:$N$22,4,0)),0,VLOOKUP($C24&amp;$D24,'WBC Mfg Matl'!$C$5:$N$22,4,0))</f>
        <v>0</v>
      </c>
      <c r="F24" s="1886">
        <f>IF(ISERROR(VLOOKUP($C24&amp;$D24,'WBC Mfg Matl'!$C$5:$N$22,12,0)),0,VLOOKUP($C24&amp;$D24,'WBC Mfg Matl'!$C$5:$N$22,12,0))</f>
        <v>0</v>
      </c>
      <c r="G24" s="1870">
        <f>IF($D24="CNY",IF(ISERROR(VLOOKUP($C24&amp;$D24,'WBC Mfg Matl'!$C$5:$N$22,5,0)),0,VLOOKUP($C24&amp;$D24,'WBC Mfg Matl'!$C$5:$N$22,5,0)/1000),IF(ISERROR(VLOOKUP($C24&amp;$D24,'WBC Mfg Matl'!$C$5:$N$22,6,0)),0,VLOOKUP($C24&amp;$D24,'WBC Mfg Matl'!$C$5:$N$22,6,0)/1000))</f>
        <v>0</v>
      </c>
      <c r="H24" s="1870">
        <f>IF(ISERROR(VLOOKUP($C24&amp;$D24,'WBC Mfg Matl'!$C$5:$N$22,11,0)),0,VLOOKUP($C24&amp;$D24,'WBC Mfg Matl'!$C$5:$N$22,11,0)/1000)</f>
        <v>0</v>
      </c>
      <c r="I24" s="1718">
        <f>IF('Estimate Summary'!$D$9&lt;2,0,$H24)</f>
        <v>0</v>
      </c>
      <c r="J24" s="1718">
        <f>IF('Estimate Summary'!$D$9&lt;3,0,$H24)</f>
        <v>0</v>
      </c>
      <c r="K24" s="1718">
        <f>IF('Estimate Summary'!$D$9&lt;4,0,$H24)</f>
        <v>0</v>
      </c>
      <c r="L24" s="1718">
        <f>IF('Estimate Summary'!$D$9&lt;5,0,$H24)</f>
        <v>0</v>
      </c>
      <c r="M24" s="1718">
        <f>IF('Estimate Summary'!$D$9&lt;6,0,$H24)</f>
        <v>0</v>
      </c>
      <c r="N24" s="1630"/>
      <c r="P24" s="2256"/>
      <c r="Q24" s="794">
        <v>42943</v>
      </c>
      <c r="R24" s="697"/>
      <c r="S24" s="475"/>
      <c r="T24" s="899"/>
      <c r="U24" s="605" t="s">
        <v>676</v>
      </c>
      <c r="V24" s="1014" t="str">
        <f t="shared" si="0"/>
        <v>CNY</v>
      </c>
      <c r="W24" s="932"/>
      <c r="X24" s="932"/>
      <c r="Y24" s="933"/>
      <c r="Z24" s="933"/>
      <c r="AA24" s="933"/>
      <c r="AB24" s="1902"/>
      <c r="AC24" s="933"/>
      <c r="AD24" s="1013"/>
      <c r="AE24" s="1013"/>
      <c r="AF24" s="897"/>
      <c r="AG24" s="1013"/>
      <c r="AH24" s="897"/>
      <c r="AI24" s="897"/>
      <c r="AJ24" s="610" t="s">
        <v>669</v>
      </c>
      <c r="AK24" s="610" t="s">
        <v>1128</v>
      </c>
      <c r="AL24" s="610" t="str">
        <f t="shared" si="1"/>
        <v>CN</v>
      </c>
      <c r="AM24" s="551">
        <f>'Estimate Summary'!$D$9</f>
        <v>1</v>
      </c>
      <c r="AN24" s="610" t="s">
        <v>1136</v>
      </c>
      <c r="AO24" s="551">
        <f t="shared" si="2"/>
        <v>0</v>
      </c>
      <c r="AP24" s="610" t="str">
        <f t="shared" si="3"/>
        <v>CNY</v>
      </c>
      <c r="AQ24" s="610" t="s">
        <v>1139</v>
      </c>
      <c r="AR24" s="610" t="s">
        <v>670</v>
      </c>
      <c r="AS24" s="605" t="s">
        <v>745</v>
      </c>
      <c r="AT24" s="610" t="str">
        <f>'Estimate Summary'!$AT$11</f>
        <v>FOB SH</v>
      </c>
      <c r="AU24" s="610" t="str">
        <f t="shared" si="4"/>
        <v>CN</v>
      </c>
      <c r="AV24" s="610" t="s">
        <v>1140</v>
      </c>
      <c r="AW24" s="2255">
        <f t="shared" si="5"/>
        <v>42943</v>
      </c>
    </row>
    <row r="25" spans="1:49" hidden="1" outlineLevel="1">
      <c r="A25" s="383"/>
      <c r="B25" s="1077" t="s">
        <v>728</v>
      </c>
      <c r="C25" s="482" t="s">
        <v>221</v>
      </c>
      <c r="D25" s="1823" t="s">
        <v>179</v>
      </c>
      <c r="E25" s="2252">
        <f>IF(ISERROR(VLOOKUP($C25&amp;$D25,'WBC Mfg Matl'!$C$5:$N$22,4,0)),0,VLOOKUP($C25&amp;$D25,'WBC Mfg Matl'!$C$5:$N$22,4,0))</f>
        <v>0</v>
      </c>
      <c r="F25" s="1886">
        <f>IF(ISERROR(VLOOKUP($C25&amp;$D25,'WBC Mfg Matl'!$C$5:$N$22,12,0)),0,VLOOKUP($C25&amp;$D25,'WBC Mfg Matl'!$C$5:$N$22,12,0))</f>
        <v>0</v>
      </c>
      <c r="G25" s="1870">
        <f>IF($D25="CNY",IF(ISERROR(VLOOKUP($C25&amp;$D25,'WBC Mfg Matl'!$C$5:$N$22,5,0)),0,VLOOKUP($C25&amp;$D25,'WBC Mfg Matl'!$C$5:$N$22,5,0)/1000),IF(ISERROR(VLOOKUP($C25&amp;$D25,'WBC Mfg Matl'!$C$5:$N$22,6,0)),0,VLOOKUP($C25&amp;$D25,'WBC Mfg Matl'!$C$5:$N$22,6,0)/1000))</f>
        <v>0</v>
      </c>
      <c r="H25" s="1870">
        <f>IF(ISERROR(VLOOKUP($C25&amp;$D25,'WBC Mfg Matl'!$C$5:$N$22,11,0)),0,VLOOKUP($C25&amp;$D25,'WBC Mfg Matl'!$C$5:$N$22,11,0)/1000)</f>
        <v>0</v>
      </c>
      <c r="I25" s="1718">
        <f>IF('Estimate Summary'!$D$9&lt;2,0,$H25)</f>
        <v>0</v>
      </c>
      <c r="J25" s="1718">
        <f>IF('Estimate Summary'!$D$9&lt;3,0,$H25)</f>
        <v>0</v>
      </c>
      <c r="K25" s="1718">
        <f>IF('Estimate Summary'!$D$9&lt;4,0,$H25)</f>
        <v>0</v>
      </c>
      <c r="L25" s="1718">
        <f>IF('Estimate Summary'!$D$9&lt;5,0,$H25)</f>
        <v>0</v>
      </c>
      <c r="M25" s="1718">
        <f>IF('Estimate Summary'!$D$9&lt;6,0,$H25)</f>
        <v>0</v>
      </c>
      <c r="N25" s="1630"/>
      <c r="P25" s="2256"/>
      <c r="Q25" s="794">
        <v>42943</v>
      </c>
      <c r="R25" s="697"/>
      <c r="S25" s="475"/>
      <c r="T25" s="899"/>
      <c r="U25" s="605" t="s">
        <v>676</v>
      </c>
      <c r="V25" s="1014" t="str">
        <f t="shared" si="0"/>
        <v>EUR</v>
      </c>
      <c r="W25" s="932"/>
      <c r="X25" s="932"/>
      <c r="Y25" s="933"/>
      <c r="Z25" s="933"/>
      <c r="AA25" s="933"/>
      <c r="AB25" s="1902"/>
      <c r="AC25" s="933"/>
      <c r="AD25" s="1013"/>
      <c r="AE25" s="1013"/>
      <c r="AF25" s="897"/>
      <c r="AG25" s="1013"/>
      <c r="AH25" s="897"/>
      <c r="AI25" s="897"/>
      <c r="AJ25" s="610" t="s">
        <v>669</v>
      </c>
      <c r="AK25" s="610" t="s">
        <v>1128</v>
      </c>
      <c r="AL25" s="610" t="str">
        <f t="shared" si="1"/>
        <v>DE</v>
      </c>
      <c r="AM25" s="551">
        <f>'Estimate Summary'!$D$9</f>
        <v>1</v>
      </c>
      <c r="AN25" s="610" t="s">
        <v>1136</v>
      </c>
      <c r="AO25" s="551">
        <f t="shared" si="2"/>
        <v>0</v>
      </c>
      <c r="AP25" s="610" t="str">
        <f t="shared" si="3"/>
        <v>EUR</v>
      </c>
      <c r="AQ25" s="610" t="s">
        <v>1139</v>
      </c>
      <c r="AR25" s="610" t="s">
        <v>670</v>
      </c>
      <c r="AS25" s="605" t="s">
        <v>745</v>
      </c>
      <c r="AT25" s="610" t="str">
        <f>'Estimate Summary'!$AT$11</f>
        <v>FOB SH</v>
      </c>
      <c r="AU25" s="610" t="str">
        <f t="shared" si="4"/>
        <v>DE</v>
      </c>
      <c r="AV25" s="610" t="s">
        <v>1140</v>
      </c>
      <c r="AW25" s="2255">
        <f t="shared" si="5"/>
        <v>42943</v>
      </c>
    </row>
    <row r="26" spans="1:49" hidden="1" outlineLevel="1">
      <c r="A26" s="383"/>
      <c r="B26" s="1077" t="s">
        <v>728</v>
      </c>
      <c r="C26" s="482" t="s">
        <v>221</v>
      </c>
      <c r="D26" s="1823" t="s">
        <v>257</v>
      </c>
      <c r="E26" s="2252">
        <f>IF(ISERROR(VLOOKUP($C26&amp;$D26,'WBC Mfg Matl'!$C$5:$N$22,4,0)),0,VLOOKUP($C26&amp;$D26,'WBC Mfg Matl'!$C$5:$N$22,4,0))</f>
        <v>0</v>
      </c>
      <c r="F26" s="1886">
        <f>IF(ISERROR(VLOOKUP($C26&amp;$D26,'WBC Mfg Matl'!$C$5:$N$22,12,0)),0,VLOOKUP($C26&amp;$D26,'WBC Mfg Matl'!$C$5:$N$22,12,0))</f>
        <v>0</v>
      </c>
      <c r="G26" s="1870">
        <f>IF($D26="CNY",IF(ISERROR(VLOOKUP($C26&amp;$D26,'WBC Mfg Matl'!$C$5:$N$22,5,0)),0,VLOOKUP($C26&amp;$D26,'WBC Mfg Matl'!$C$5:$N$22,5,0)/1000),IF(ISERROR(VLOOKUP($C26&amp;$D26,'WBC Mfg Matl'!$C$5:$N$22,6,0)),0,VLOOKUP($C26&amp;$D26,'WBC Mfg Matl'!$C$5:$N$22,6,0)/1000))</f>
        <v>0</v>
      </c>
      <c r="H26" s="1870">
        <f>IF(ISERROR(VLOOKUP($C26&amp;$D26,'WBC Mfg Matl'!$C$5:$N$22,11,0)),0,VLOOKUP($C26&amp;$D26,'WBC Mfg Matl'!$C$5:$N$22,11,0)/1000)</f>
        <v>0</v>
      </c>
      <c r="I26" s="1718">
        <f>IF('Estimate Summary'!$D$9&lt;2,0,$H26)</f>
        <v>0</v>
      </c>
      <c r="J26" s="1718">
        <f>IF('Estimate Summary'!$D$9&lt;3,0,$H26)</f>
        <v>0</v>
      </c>
      <c r="K26" s="1718">
        <f>IF('Estimate Summary'!$D$9&lt;4,0,$H26)</f>
        <v>0</v>
      </c>
      <c r="L26" s="1718">
        <f>IF('Estimate Summary'!$D$9&lt;5,0,$H26)</f>
        <v>0</v>
      </c>
      <c r="M26" s="1718">
        <f>IF('Estimate Summary'!$D$9&lt;6,0,$H26)</f>
        <v>0</v>
      </c>
      <c r="N26" s="1630"/>
      <c r="P26" s="2256"/>
      <c r="Q26" s="794">
        <v>42943</v>
      </c>
      <c r="R26" s="697"/>
      <c r="S26" s="475"/>
      <c r="T26" s="899"/>
      <c r="U26" s="605" t="s">
        <v>676</v>
      </c>
      <c r="V26" s="1014" t="str">
        <f t="shared" si="0"/>
        <v>USD</v>
      </c>
      <c r="W26" s="932"/>
      <c r="X26" s="932"/>
      <c r="Y26" s="933"/>
      <c r="Z26" s="933"/>
      <c r="AA26" s="933"/>
      <c r="AB26" s="1902"/>
      <c r="AC26" s="933"/>
      <c r="AD26" s="1013"/>
      <c r="AE26" s="1013"/>
      <c r="AF26" s="897"/>
      <c r="AG26" s="1013"/>
      <c r="AH26" s="897"/>
      <c r="AI26" s="897"/>
      <c r="AJ26" s="610" t="s">
        <v>669</v>
      </c>
      <c r="AK26" s="610" t="s">
        <v>1128</v>
      </c>
      <c r="AL26" s="610" t="str">
        <f t="shared" si="1"/>
        <v>US</v>
      </c>
      <c r="AM26" s="551">
        <f>'Estimate Summary'!$D$9</f>
        <v>1</v>
      </c>
      <c r="AN26" s="610" t="s">
        <v>1136</v>
      </c>
      <c r="AO26" s="551">
        <f t="shared" si="2"/>
        <v>0</v>
      </c>
      <c r="AP26" s="610" t="str">
        <f t="shared" si="3"/>
        <v>USD</v>
      </c>
      <c r="AQ26" s="610" t="s">
        <v>1139</v>
      </c>
      <c r="AR26" s="610" t="s">
        <v>670</v>
      </c>
      <c r="AS26" s="605" t="s">
        <v>745</v>
      </c>
      <c r="AT26" s="610" t="str">
        <f>'Estimate Summary'!$AT$11</f>
        <v>FOB SH</v>
      </c>
      <c r="AU26" s="610" t="str">
        <f t="shared" si="4"/>
        <v>US</v>
      </c>
      <c r="AV26" s="610" t="s">
        <v>1140</v>
      </c>
      <c r="AW26" s="2255">
        <f t="shared" si="5"/>
        <v>42943</v>
      </c>
    </row>
    <row r="27" spans="1:49" hidden="1" outlineLevel="1">
      <c r="A27" s="383"/>
      <c r="B27" s="1077" t="s">
        <v>729</v>
      </c>
      <c r="C27" s="1624" t="s">
        <v>739</v>
      </c>
      <c r="D27" s="1823" t="s">
        <v>181</v>
      </c>
      <c r="E27" s="2252">
        <f>IF(ISERROR(VLOOKUP($C27&amp;$D27,'WBC Mfg Matl'!$C$5:$N$22,4,0)),0,VLOOKUP($C27&amp;$D27,'WBC Mfg Matl'!$C$5:$N$22,4,0))</f>
        <v>0</v>
      </c>
      <c r="F27" s="1886">
        <f>IF(ISERROR(VLOOKUP($C27&amp;$D27,'WBC Mfg Matl'!$C$5:$N$22,12,0)),0,VLOOKUP($C27&amp;$D27,'WBC Mfg Matl'!$C$5:$N$22,12,0))</f>
        <v>0</v>
      </c>
      <c r="G27" s="1870">
        <f>IF($D27="CNY",IF(ISERROR(VLOOKUP($C27&amp;$D27,'WBC Mfg Matl'!$C$5:$N$22,5,0)),0,VLOOKUP($C27&amp;$D27,'WBC Mfg Matl'!$C$5:$N$22,5,0)/1000),IF(ISERROR(VLOOKUP($C27&amp;$D27,'WBC Mfg Matl'!$C$5:$N$22,6,0)),0,VLOOKUP($C27&amp;$D27,'WBC Mfg Matl'!$C$5:$N$22,6,0)/1000))</f>
        <v>0</v>
      </c>
      <c r="H27" s="1870">
        <f>IF(ISERROR(VLOOKUP($C27&amp;$D27,'WBC Mfg Matl'!$C$5:$N$22,11,0)),0,VLOOKUP($C27&amp;$D27,'WBC Mfg Matl'!$C$5:$N$22,11,0)/1000)</f>
        <v>0</v>
      </c>
      <c r="I27" s="1718">
        <f>IF('Estimate Summary'!$D$9&lt;2,0,$H27)</f>
        <v>0</v>
      </c>
      <c r="J27" s="1718">
        <f>IF('Estimate Summary'!$D$9&lt;3,0,$H27)</f>
        <v>0</v>
      </c>
      <c r="K27" s="1718">
        <f>IF('Estimate Summary'!$D$9&lt;4,0,$H27)</f>
        <v>0</v>
      </c>
      <c r="L27" s="1718">
        <f>IF('Estimate Summary'!$D$9&lt;5,0,$H27)</f>
        <v>0</v>
      </c>
      <c r="M27" s="1718">
        <f>IF('Estimate Summary'!$D$9&lt;6,0,$H27)</f>
        <v>0</v>
      </c>
      <c r="N27" s="1630"/>
      <c r="P27" s="2256"/>
      <c r="Q27" s="794">
        <v>42943</v>
      </c>
      <c r="R27" s="697"/>
      <c r="S27" s="475"/>
      <c r="T27" s="899"/>
      <c r="U27" s="605" t="s">
        <v>676</v>
      </c>
      <c r="V27" s="1014" t="str">
        <f t="shared" si="0"/>
        <v>CNY</v>
      </c>
      <c r="W27" s="932"/>
      <c r="X27" s="932"/>
      <c r="Y27" s="933"/>
      <c r="Z27" s="933"/>
      <c r="AA27" s="933"/>
      <c r="AB27" s="1902"/>
      <c r="AC27" s="933"/>
      <c r="AD27" s="1013"/>
      <c r="AE27" s="1013"/>
      <c r="AF27" s="897"/>
      <c r="AG27" s="1013"/>
      <c r="AH27" s="897"/>
      <c r="AI27" s="897"/>
      <c r="AJ27" s="610" t="s">
        <v>669</v>
      </c>
      <c r="AK27" s="610" t="s">
        <v>1128</v>
      </c>
      <c r="AL27" s="610" t="str">
        <f t="shared" si="1"/>
        <v>CN</v>
      </c>
      <c r="AM27" s="551">
        <f>'Estimate Summary'!$D$9</f>
        <v>1</v>
      </c>
      <c r="AN27" s="610" t="s">
        <v>1136</v>
      </c>
      <c r="AO27" s="551">
        <f t="shared" si="2"/>
        <v>0</v>
      </c>
      <c r="AP27" s="610" t="str">
        <f t="shared" si="3"/>
        <v>CNY</v>
      </c>
      <c r="AQ27" s="610" t="s">
        <v>1139</v>
      </c>
      <c r="AR27" s="610" t="s">
        <v>670</v>
      </c>
      <c r="AS27" s="605" t="s">
        <v>745</v>
      </c>
      <c r="AT27" s="610" t="str">
        <f>'Estimate Summary'!$AT$11</f>
        <v>FOB SH</v>
      </c>
      <c r="AU27" s="610" t="str">
        <f t="shared" si="4"/>
        <v>CN</v>
      </c>
      <c r="AV27" s="610" t="s">
        <v>1140</v>
      </c>
      <c r="AW27" s="2255">
        <f t="shared" si="5"/>
        <v>42943</v>
      </c>
    </row>
    <row r="28" spans="1:49" hidden="1" outlineLevel="1">
      <c r="A28" s="383"/>
      <c r="B28" s="1077" t="s">
        <v>729</v>
      </c>
      <c r="C28" s="1624" t="s">
        <v>739</v>
      </c>
      <c r="D28" s="1823" t="s">
        <v>179</v>
      </c>
      <c r="E28" s="2252">
        <f>IF(ISERROR(VLOOKUP($C28&amp;$D28,'WBC Mfg Matl'!$C$5:$N$22,4,0)),0,VLOOKUP($C28&amp;$D28,'WBC Mfg Matl'!$C$5:$N$22,4,0))</f>
        <v>0</v>
      </c>
      <c r="F28" s="1886">
        <f>IF(ISERROR(VLOOKUP($C28&amp;$D28,'WBC Mfg Matl'!$C$5:$N$22,12,0)),0,VLOOKUP($C28&amp;$D28,'WBC Mfg Matl'!$C$5:$N$22,12,0))</f>
        <v>0</v>
      </c>
      <c r="G28" s="1870">
        <f>IF($D28="CNY",IF(ISERROR(VLOOKUP($C28&amp;$D28,'WBC Mfg Matl'!$C$5:$N$22,5,0)),0,VLOOKUP($C28&amp;$D28,'WBC Mfg Matl'!$C$5:$N$22,5,0)/1000),IF(ISERROR(VLOOKUP($C28&amp;$D28,'WBC Mfg Matl'!$C$5:$N$22,6,0)),0,VLOOKUP($C28&amp;$D28,'WBC Mfg Matl'!$C$5:$N$22,6,0)/1000))</f>
        <v>0</v>
      </c>
      <c r="H28" s="1870">
        <f>IF(ISERROR(VLOOKUP($C28&amp;$D28,'WBC Mfg Matl'!$C$5:$N$22,11,0)),0,VLOOKUP($C28&amp;$D28,'WBC Mfg Matl'!$C$5:$N$22,11,0)/1000)</f>
        <v>0</v>
      </c>
      <c r="I28" s="1718">
        <f>IF('Estimate Summary'!$D$9&lt;2,0,$H28)</f>
        <v>0</v>
      </c>
      <c r="J28" s="1718">
        <f>IF('Estimate Summary'!$D$9&lt;3,0,$H28)</f>
        <v>0</v>
      </c>
      <c r="K28" s="1718">
        <f>IF('Estimate Summary'!$D$9&lt;4,0,$H28)</f>
        <v>0</v>
      </c>
      <c r="L28" s="1718">
        <f>IF('Estimate Summary'!$D$9&lt;5,0,$H28)</f>
        <v>0</v>
      </c>
      <c r="M28" s="1718">
        <f>IF('Estimate Summary'!$D$9&lt;6,0,$H28)</f>
        <v>0</v>
      </c>
      <c r="N28" s="1630"/>
      <c r="P28" s="2256"/>
      <c r="Q28" s="794">
        <v>42943</v>
      </c>
      <c r="R28" s="697"/>
      <c r="S28" s="475"/>
      <c r="T28" s="899"/>
      <c r="U28" s="605" t="s">
        <v>676</v>
      </c>
      <c r="V28" s="1014" t="str">
        <f t="shared" si="0"/>
        <v>EUR</v>
      </c>
      <c r="W28" s="932"/>
      <c r="X28" s="932"/>
      <c r="Y28" s="933"/>
      <c r="Z28" s="933"/>
      <c r="AA28" s="933"/>
      <c r="AB28" s="1902"/>
      <c r="AC28" s="933"/>
      <c r="AD28" s="1013"/>
      <c r="AE28" s="1013"/>
      <c r="AF28" s="897"/>
      <c r="AG28" s="1013"/>
      <c r="AH28" s="897"/>
      <c r="AI28" s="897"/>
      <c r="AJ28" s="610" t="s">
        <v>669</v>
      </c>
      <c r="AK28" s="610" t="s">
        <v>1128</v>
      </c>
      <c r="AL28" s="610" t="str">
        <f t="shared" si="1"/>
        <v>DE</v>
      </c>
      <c r="AM28" s="551">
        <f>'Estimate Summary'!$D$9</f>
        <v>1</v>
      </c>
      <c r="AN28" s="610" t="s">
        <v>1136</v>
      </c>
      <c r="AO28" s="551">
        <f t="shared" si="2"/>
        <v>0</v>
      </c>
      <c r="AP28" s="610" t="str">
        <f t="shared" si="3"/>
        <v>EUR</v>
      </c>
      <c r="AQ28" s="610" t="s">
        <v>1139</v>
      </c>
      <c r="AR28" s="610" t="s">
        <v>670</v>
      </c>
      <c r="AS28" s="605" t="s">
        <v>745</v>
      </c>
      <c r="AT28" s="610" t="str">
        <f>'Estimate Summary'!$AT$11</f>
        <v>FOB SH</v>
      </c>
      <c r="AU28" s="610" t="str">
        <f t="shared" si="4"/>
        <v>DE</v>
      </c>
      <c r="AV28" s="610" t="s">
        <v>1140</v>
      </c>
      <c r="AW28" s="2255">
        <f t="shared" si="5"/>
        <v>42943</v>
      </c>
    </row>
    <row r="29" spans="1:49" hidden="1" outlineLevel="1">
      <c r="A29" s="383"/>
      <c r="B29" s="1077" t="s">
        <v>729</v>
      </c>
      <c r="C29" s="1624" t="s">
        <v>739</v>
      </c>
      <c r="D29" s="1823" t="s">
        <v>257</v>
      </c>
      <c r="E29" s="2252">
        <f>IF(ISERROR(VLOOKUP($C29&amp;$D29,'WBC Mfg Matl'!$C$5:$N$22,4,0)),0,VLOOKUP($C29&amp;$D29,'WBC Mfg Matl'!$C$5:$N$22,4,0))</f>
        <v>0</v>
      </c>
      <c r="F29" s="1886">
        <f>IF(ISERROR(VLOOKUP($C29&amp;$D29,'WBC Mfg Matl'!$C$5:$N$22,12,0)),0,VLOOKUP($C29&amp;$D29,'WBC Mfg Matl'!$C$5:$N$22,12,0))</f>
        <v>0</v>
      </c>
      <c r="G29" s="1870">
        <f>IF($D29="CNY",IF(ISERROR(VLOOKUP($C29&amp;$D29,'WBC Mfg Matl'!$C$5:$N$22,5,0)),0,VLOOKUP($C29&amp;$D29,'WBC Mfg Matl'!$C$5:$N$22,5,0)/1000),IF(ISERROR(VLOOKUP($C29&amp;$D29,'WBC Mfg Matl'!$C$5:$N$22,6,0)),0,VLOOKUP($C29&amp;$D29,'WBC Mfg Matl'!$C$5:$N$22,6,0)/1000))</f>
        <v>0</v>
      </c>
      <c r="H29" s="1870">
        <f>IF(ISERROR(VLOOKUP($C29&amp;$D29,'WBC Mfg Matl'!$C$5:$N$22,11,0)),0,VLOOKUP($C29&amp;$D29,'WBC Mfg Matl'!$C$5:$N$22,11,0)/1000)</f>
        <v>0</v>
      </c>
      <c r="I29" s="1718">
        <f>IF('Estimate Summary'!$D$9&lt;2,0,$H29)</f>
        <v>0</v>
      </c>
      <c r="J29" s="1718">
        <f>IF('Estimate Summary'!$D$9&lt;3,0,$H29)</f>
        <v>0</v>
      </c>
      <c r="K29" s="1718">
        <f>IF('Estimate Summary'!$D$9&lt;4,0,$H29)</f>
        <v>0</v>
      </c>
      <c r="L29" s="1718">
        <f>IF('Estimate Summary'!$D$9&lt;5,0,$H29)</f>
        <v>0</v>
      </c>
      <c r="M29" s="1718">
        <f>IF('Estimate Summary'!$D$9&lt;6,0,$H29)</f>
        <v>0</v>
      </c>
      <c r="N29" s="1630"/>
      <c r="P29" s="2256"/>
      <c r="Q29" s="794">
        <v>42943</v>
      </c>
      <c r="R29" s="697"/>
      <c r="S29" s="475"/>
      <c r="T29" s="899"/>
      <c r="U29" s="605" t="s">
        <v>676</v>
      </c>
      <c r="V29" s="1014" t="str">
        <f t="shared" si="0"/>
        <v>USD</v>
      </c>
      <c r="W29" s="932"/>
      <c r="X29" s="932"/>
      <c r="Y29" s="933"/>
      <c r="Z29" s="933"/>
      <c r="AA29" s="933"/>
      <c r="AB29" s="1902"/>
      <c r="AC29" s="933"/>
      <c r="AD29" s="1013"/>
      <c r="AE29" s="1013"/>
      <c r="AF29" s="897"/>
      <c r="AG29" s="1013"/>
      <c r="AH29" s="897"/>
      <c r="AI29" s="897"/>
      <c r="AJ29" s="610" t="s">
        <v>669</v>
      </c>
      <c r="AK29" s="610" t="s">
        <v>1128</v>
      </c>
      <c r="AL29" s="610" t="str">
        <f t="shared" si="1"/>
        <v>US</v>
      </c>
      <c r="AM29" s="551">
        <f>'Estimate Summary'!$D$9</f>
        <v>1</v>
      </c>
      <c r="AN29" s="610" t="s">
        <v>1136</v>
      </c>
      <c r="AO29" s="551">
        <f t="shared" si="2"/>
        <v>0</v>
      </c>
      <c r="AP29" s="610" t="str">
        <f t="shared" si="3"/>
        <v>USD</v>
      </c>
      <c r="AQ29" s="610" t="s">
        <v>1139</v>
      </c>
      <c r="AR29" s="610" t="s">
        <v>670</v>
      </c>
      <c r="AS29" s="605" t="s">
        <v>745</v>
      </c>
      <c r="AT29" s="610" t="str">
        <f>'Estimate Summary'!$AT$11</f>
        <v>FOB SH</v>
      </c>
      <c r="AU29" s="610" t="str">
        <f t="shared" si="4"/>
        <v>US</v>
      </c>
      <c r="AV29" s="610" t="s">
        <v>1140</v>
      </c>
      <c r="AW29" s="2255">
        <f t="shared" si="5"/>
        <v>42943</v>
      </c>
    </row>
    <row r="30" spans="1:49" hidden="1" outlineLevel="1">
      <c r="A30" s="383"/>
      <c r="B30" s="1077" t="s">
        <v>730</v>
      </c>
      <c r="C30" s="1624" t="s">
        <v>737</v>
      </c>
      <c r="D30" s="1823" t="s">
        <v>181</v>
      </c>
      <c r="E30" s="2252">
        <f>IF(ISERROR(VLOOKUP($C30&amp;$D30,'WBC Mfg Matl'!$C$5:$N$22,4,0)),0,VLOOKUP($C30&amp;$D30,'WBC Mfg Matl'!$C$5:$N$22,4,0))</f>
        <v>0</v>
      </c>
      <c r="F30" s="1886">
        <f>IF(ISERROR(VLOOKUP($C30&amp;$D30,'WBC Mfg Matl'!$C$5:$N$22,12,0)),0,VLOOKUP($C30&amp;$D30,'WBC Mfg Matl'!$C$5:$N$22,12,0))</f>
        <v>0</v>
      </c>
      <c r="G30" s="1870">
        <f>IF($D30="CNY",IF(ISERROR(VLOOKUP($C30&amp;$D30,'WBC Mfg Matl'!$C$5:$N$22,5,0)),0,VLOOKUP($C30&amp;$D30,'WBC Mfg Matl'!$C$5:$N$22,5,0)/1000),IF(ISERROR(VLOOKUP($C30&amp;$D30,'WBC Mfg Matl'!$C$5:$N$22,6,0)),0,VLOOKUP($C30&amp;$D30,'WBC Mfg Matl'!$C$5:$N$22,6,0)/1000))</f>
        <v>0</v>
      </c>
      <c r="H30" s="1870">
        <f>IF(ISERROR(VLOOKUP($C30&amp;$D30,'WBC Mfg Matl'!$C$5:$N$22,11,0)),0,VLOOKUP($C30&amp;$D30,'WBC Mfg Matl'!$C$5:$N$22,11,0)/1000)</f>
        <v>0</v>
      </c>
      <c r="I30" s="1718">
        <f>IF('Estimate Summary'!$D$9&lt;2,0,$H30)</f>
        <v>0</v>
      </c>
      <c r="J30" s="1718">
        <f>IF('Estimate Summary'!$D$9&lt;3,0,$H30)</f>
        <v>0</v>
      </c>
      <c r="K30" s="1718">
        <f>IF('Estimate Summary'!$D$9&lt;4,0,$H30)</f>
        <v>0</v>
      </c>
      <c r="L30" s="1718">
        <f>IF('Estimate Summary'!$D$9&lt;5,0,$H30)</f>
        <v>0</v>
      </c>
      <c r="M30" s="1718">
        <f>IF('Estimate Summary'!$D$9&lt;6,0,$H30)</f>
        <v>0</v>
      </c>
      <c r="N30" s="1630"/>
      <c r="P30" s="2256"/>
      <c r="Q30" s="794">
        <v>42943</v>
      </c>
      <c r="R30" s="697"/>
      <c r="S30" s="475"/>
      <c r="T30" s="899"/>
      <c r="U30" s="605" t="s">
        <v>676</v>
      </c>
      <c r="V30" s="1014" t="str">
        <f t="shared" si="0"/>
        <v>CNY</v>
      </c>
      <c r="W30" s="932"/>
      <c r="X30" s="932"/>
      <c r="Y30" s="933"/>
      <c r="Z30" s="933"/>
      <c r="AA30" s="933"/>
      <c r="AB30" s="1902"/>
      <c r="AC30" s="933"/>
      <c r="AD30" s="1013"/>
      <c r="AE30" s="1013"/>
      <c r="AF30" s="897"/>
      <c r="AG30" s="1013"/>
      <c r="AH30" s="897"/>
      <c r="AI30" s="897"/>
      <c r="AJ30" s="610" t="s">
        <v>669</v>
      </c>
      <c r="AK30" s="610" t="s">
        <v>1128</v>
      </c>
      <c r="AL30" s="610" t="str">
        <f t="shared" si="1"/>
        <v>CN</v>
      </c>
      <c r="AM30" s="551">
        <f>'Estimate Summary'!$D$9</f>
        <v>1</v>
      </c>
      <c r="AN30" s="610" t="s">
        <v>1136</v>
      </c>
      <c r="AO30" s="551">
        <f t="shared" si="2"/>
        <v>0</v>
      </c>
      <c r="AP30" s="610" t="str">
        <f t="shared" si="3"/>
        <v>CNY</v>
      </c>
      <c r="AQ30" s="610" t="s">
        <v>1139</v>
      </c>
      <c r="AR30" s="610" t="s">
        <v>670</v>
      </c>
      <c r="AS30" s="605" t="s">
        <v>745</v>
      </c>
      <c r="AT30" s="610" t="str">
        <f>'Estimate Summary'!$AT$11</f>
        <v>FOB SH</v>
      </c>
      <c r="AU30" s="610" t="str">
        <f t="shared" si="4"/>
        <v>CN</v>
      </c>
      <c r="AV30" s="610" t="s">
        <v>1140</v>
      </c>
      <c r="AW30" s="2255">
        <f t="shared" si="5"/>
        <v>42943</v>
      </c>
    </row>
    <row r="31" spans="1:49" hidden="1" outlineLevel="1">
      <c r="A31" s="383"/>
      <c r="B31" s="1077" t="s">
        <v>730</v>
      </c>
      <c r="C31" s="1624" t="s">
        <v>737</v>
      </c>
      <c r="D31" s="1823" t="s">
        <v>179</v>
      </c>
      <c r="E31" s="2252">
        <f>IF(ISERROR(VLOOKUP($C31&amp;$D31,'WBC Mfg Matl'!$C$5:$N$22,4,0)),0,VLOOKUP($C31&amp;$D31,'WBC Mfg Matl'!$C$5:$N$22,4,0))</f>
        <v>0</v>
      </c>
      <c r="F31" s="1886">
        <f>IF(ISERROR(VLOOKUP($C31&amp;$D31,'WBC Mfg Matl'!$C$5:$N$22,12,0)),0,VLOOKUP($C31&amp;$D31,'WBC Mfg Matl'!$C$5:$N$22,12,0))</f>
        <v>0</v>
      </c>
      <c r="G31" s="1870">
        <f>IF($D31="CNY",IF(ISERROR(VLOOKUP($C31&amp;$D31,'WBC Mfg Matl'!$C$5:$N$22,5,0)),0,VLOOKUP($C31&amp;$D31,'WBC Mfg Matl'!$C$5:$N$22,5,0)/1000),IF(ISERROR(VLOOKUP($C31&amp;$D31,'WBC Mfg Matl'!$C$5:$N$22,6,0)),0,VLOOKUP($C31&amp;$D31,'WBC Mfg Matl'!$C$5:$N$22,6,0)/1000))</f>
        <v>0</v>
      </c>
      <c r="H31" s="1870">
        <f>IF(ISERROR(VLOOKUP($C31&amp;$D31,'WBC Mfg Matl'!$C$5:$N$22,11,0)),0,VLOOKUP($C31&amp;$D31,'WBC Mfg Matl'!$C$5:$N$22,11,0)/1000)</f>
        <v>0</v>
      </c>
      <c r="I31" s="1718">
        <f>IF('Estimate Summary'!$D$9&lt;2,0,$H31)</f>
        <v>0</v>
      </c>
      <c r="J31" s="1718">
        <f>IF('Estimate Summary'!$D$9&lt;3,0,$H31)</f>
        <v>0</v>
      </c>
      <c r="K31" s="1718">
        <f>IF('Estimate Summary'!$D$9&lt;4,0,$H31)</f>
        <v>0</v>
      </c>
      <c r="L31" s="1718">
        <f>IF('Estimate Summary'!$D$9&lt;5,0,$H31)</f>
        <v>0</v>
      </c>
      <c r="M31" s="1718">
        <f>IF('Estimate Summary'!$D$9&lt;6,0,$H31)</f>
        <v>0</v>
      </c>
      <c r="N31" s="1630"/>
      <c r="P31" s="2256"/>
      <c r="Q31" s="794">
        <v>42943</v>
      </c>
      <c r="R31" s="697"/>
      <c r="S31" s="475"/>
      <c r="T31" s="899"/>
      <c r="U31" s="605" t="s">
        <v>676</v>
      </c>
      <c r="V31" s="1014" t="str">
        <f t="shared" si="0"/>
        <v>EUR</v>
      </c>
      <c r="W31" s="932"/>
      <c r="X31" s="932"/>
      <c r="Y31" s="933"/>
      <c r="Z31" s="933"/>
      <c r="AA31" s="933"/>
      <c r="AB31" s="1902"/>
      <c r="AC31" s="933"/>
      <c r="AD31" s="1013"/>
      <c r="AE31" s="1013"/>
      <c r="AF31" s="897"/>
      <c r="AG31" s="1013"/>
      <c r="AH31" s="897"/>
      <c r="AI31" s="897"/>
      <c r="AJ31" s="610" t="s">
        <v>669</v>
      </c>
      <c r="AK31" s="610" t="s">
        <v>1128</v>
      </c>
      <c r="AL31" s="610" t="str">
        <f t="shared" si="1"/>
        <v>DE</v>
      </c>
      <c r="AM31" s="551">
        <f>'Estimate Summary'!$D$9</f>
        <v>1</v>
      </c>
      <c r="AN31" s="610" t="s">
        <v>1136</v>
      </c>
      <c r="AO31" s="551">
        <f t="shared" si="2"/>
        <v>0</v>
      </c>
      <c r="AP31" s="610" t="str">
        <f t="shared" si="3"/>
        <v>EUR</v>
      </c>
      <c r="AQ31" s="610" t="s">
        <v>1139</v>
      </c>
      <c r="AR31" s="610" t="s">
        <v>670</v>
      </c>
      <c r="AS31" s="605" t="s">
        <v>745</v>
      </c>
      <c r="AT31" s="610" t="str">
        <f>'Estimate Summary'!$AT$11</f>
        <v>FOB SH</v>
      </c>
      <c r="AU31" s="610" t="str">
        <f t="shared" si="4"/>
        <v>DE</v>
      </c>
      <c r="AV31" s="610" t="s">
        <v>1140</v>
      </c>
      <c r="AW31" s="2255">
        <f t="shared" si="5"/>
        <v>42943</v>
      </c>
    </row>
    <row r="32" spans="1:49" hidden="1" outlineLevel="1">
      <c r="A32" s="383"/>
      <c r="B32" s="1077" t="s">
        <v>730</v>
      </c>
      <c r="C32" s="1624" t="s">
        <v>737</v>
      </c>
      <c r="D32" s="1823" t="s">
        <v>257</v>
      </c>
      <c r="E32" s="2252">
        <f>IF(ISERROR(VLOOKUP($C32&amp;$D32,'WBC Mfg Matl'!$C$5:$N$22,4,0)),0,VLOOKUP($C32&amp;$D32,'WBC Mfg Matl'!$C$5:$N$22,4,0))</f>
        <v>0</v>
      </c>
      <c r="F32" s="1886">
        <f>IF(ISERROR(VLOOKUP($C32&amp;$D32,'WBC Mfg Matl'!$C$5:$N$22,12,0)),0,VLOOKUP($C32&amp;$D32,'WBC Mfg Matl'!$C$5:$N$22,12,0))</f>
        <v>0</v>
      </c>
      <c r="G32" s="1870">
        <f>IF($D32="CNY",IF(ISERROR(VLOOKUP($C32&amp;$D32,'WBC Mfg Matl'!$C$5:$N$22,5,0)),0,VLOOKUP($C32&amp;$D32,'WBC Mfg Matl'!$C$5:$N$22,5,0)/1000),IF(ISERROR(VLOOKUP($C32&amp;$D32,'WBC Mfg Matl'!$C$5:$N$22,6,0)),0,VLOOKUP($C32&amp;$D32,'WBC Mfg Matl'!$C$5:$N$22,6,0)/1000))</f>
        <v>0</v>
      </c>
      <c r="H32" s="1870">
        <f>IF(ISERROR(VLOOKUP($C32&amp;$D32,'WBC Mfg Matl'!$C$5:$N$22,11,0)),0,VLOOKUP($C32&amp;$D32,'WBC Mfg Matl'!$C$5:$N$22,11,0)/1000)</f>
        <v>0</v>
      </c>
      <c r="I32" s="1718">
        <f>IF('Estimate Summary'!$D$9&lt;2,0,$H32)</f>
        <v>0</v>
      </c>
      <c r="J32" s="1718">
        <f>IF('Estimate Summary'!$D$9&lt;3,0,$H32)</f>
        <v>0</v>
      </c>
      <c r="K32" s="1718">
        <f>IF('Estimate Summary'!$D$9&lt;4,0,$H32)</f>
        <v>0</v>
      </c>
      <c r="L32" s="1718">
        <f>IF('Estimate Summary'!$D$9&lt;5,0,$H32)</f>
        <v>0</v>
      </c>
      <c r="M32" s="1718">
        <f>IF('Estimate Summary'!$D$9&lt;6,0,$H32)</f>
        <v>0</v>
      </c>
      <c r="N32" s="1630"/>
      <c r="P32" s="2256"/>
      <c r="Q32" s="794">
        <v>42943</v>
      </c>
      <c r="R32" s="697"/>
      <c r="S32" s="475"/>
      <c r="T32" s="899"/>
      <c r="U32" s="605" t="s">
        <v>676</v>
      </c>
      <c r="V32" s="1014" t="str">
        <f t="shared" si="0"/>
        <v>USD</v>
      </c>
      <c r="W32" s="932"/>
      <c r="X32" s="932"/>
      <c r="Y32" s="933"/>
      <c r="Z32" s="933"/>
      <c r="AA32" s="933"/>
      <c r="AB32" s="1902"/>
      <c r="AC32" s="933"/>
      <c r="AD32" s="1013"/>
      <c r="AE32" s="1013"/>
      <c r="AF32" s="897"/>
      <c r="AG32" s="1013"/>
      <c r="AH32" s="897"/>
      <c r="AI32" s="897"/>
      <c r="AJ32" s="610" t="s">
        <v>669</v>
      </c>
      <c r="AK32" s="610" t="s">
        <v>1128</v>
      </c>
      <c r="AL32" s="610" t="str">
        <f t="shared" si="1"/>
        <v>US</v>
      </c>
      <c r="AM32" s="551">
        <f>'Estimate Summary'!$D$9</f>
        <v>1</v>
      </c>
      <c r="AN32" s="610" t="s">
        <v>1136</v>
      </c>
      <c r="AO32" s="551">
        <f t="shared" si="2"/>
        <v>0</v>
      </c>
      <c r="AP32" s="610" t="str">
        <f t="shared" si="3"/>
        <v>USD</v>
      </c>
      <c r="AQ32" s="610" t="s">
        <v>1139</v>
      </c>
      <c r="AR32" s="610" t="s">
        <v>670</v>
      </c>
      <c r="AS32" s="605" t="s">
        <v>745</v>
      </c>
      <c r="AT32" s="610" t="str">
        <f>'Estimate Summary'!$AT$11</f>
        <v>FOB SH</v>
      </c>
      <c r="AU32" s="610" t="str">
        <f t="shared" si="4"/>
        <v>US</v>
      </c>
      <c r="AV32" s="610" t="s">
        <v>1140</v>
      </c>
      <c r="AW32" s="2255">
        <f t="shared" si="5"/>
        <v>42943</v>
      </c>
    </row>
    <row r="33" spans="1:49" hidden="1" outlineLevel="1">
      <c r="A33" s="383"/>
      <c r="B33" s="1077" t="s">
        <v>731</v>
      </c>
      <c r="C33" s="1624" t="s">
        <v>738</v>
      </c>
      <c r="D33" s="1823" t="s">
        <v>181</v>
      </c>
      <c r="E33" s="2252">
        <f>IF(ISERROR(VLOOKUP($C33&amp;$D33,'WBC Mfg Matl'!$C$5:$N$22,4,0)),0,VLOOKUP($C33&amp;$D33,'WBC Mfg Matl'!$C$5:$N$22,4,0))</f>
        <v>0</v>
      </c>
      <c r="F33" s="1886">
        <f>IF(ISERROR(VLOOKUP($C33&amp;$D33,'WBC Mfg Matl'!$C$5:$N$22,12,0)),0,VLOOKUP($C33&amp;$D33,'WBC Mfg Matl'!$C$5:$N$22,12,0))</f>
        <v>0</v>
      </c>
      <c r="G33" s="1870">
        <f>IF($D33="CNY",IF(ISERROR(VLOOKUP($C33&amp;$D33,'WBC Mfg Matl'!$C$5:$N$22,5,0)),0,VLOOKUP($C33&amp;$D33,'WBC Mfg Matl'!$C$5:$N$22,5,0)/1000),IF(ISERROR(VLOOKUP($C33&amp;$D33,'WBC Mfg Matl'!$C$5:$N$22,6,0)),0,VLOOKUP($C33&amp;$D33,'WBC Mfg Matl'!$C$5:$N$22,6,0)/1000))</f>
        <v>0</v>
      </c>
      <c r="H33" s="1870">
        <f>IF(ISERROR(VLOOKUP($C33&amp;$D33,'WBC Mfg Matl'!$C$5:$N$22,11,0)),0,VLOOKUP($C33&amp;$D33,'WBC Mfg Matl'!$C$5:$N$22,11,0)/1000)</f>
        <v>0</v>
      </c>
      <c r="I33" s="1718">
        <f>IF('Estimate Summary'!$D$9&lt;2,0,$H33)</f>
        <v>0</v>
      </c>
      <c r="J33" s="1718">
        <f>IF('Estimate Summary'!$D$9&lt;3,0,$H33)</f>
        <v>0</v>
      </c>
      <c r="K33" s="1718">
        <f>IF('Estimate Summary'!$D$9&lt;4,0,$H33)</f>
        <v>0</v>
      </c>
      <c r="L33" s="1718">
        <f>IF('Estimate Summary'!$D$9&lt;5,0,$H33)</f>
        <v>0</v>
      </c>
      <c r="M33" s="1718">
        <f>IF('Estimate Summary'!$D$9&lt;6,0,$H33)</f>
        <v>0</v>
      </c>
      <c r="N33" s="1630"/>
      <c r="P33" s="2256"/>
      <c r="Q33" s="794">
        <v>42943</v>
      </c>
      <c r="R33" s="697"/>
      <c r="S33" s="475"/>
      <c r="T33" s="899"/>
      <c r="U33" s="605" t="s">
        <v>676</v>
      </c>
      <c r="V33" s="1014" t="str">
        <f t="shared" si="0"/>
        <v>CNY</v>
      </c>
      <c r="W33" s="932"/>
      <c r="X33" s="932"/>
      <c r="Y33" s="933"/>
      <c r="Z33" s="933"/>
      <c r="AA33" s="933"/>
      <c r="AB33" s="1902"/>
      <c r="AC33" s="933"/>
      <c r="AD33" s="1013"/>
      <c r="AE33" s="1013"/>
      <c r="AF33" s="897"/>
      <c r="AG33" s="1013"/>
      <c r="AH33" s="897"/>
      <c r="AI33" s="897"/>
      <c r="AJ33" s="610" t="s">
        <v>669</v>
      </c>
      <c r="AK33" s="610" t="s">
        <v>1128</v>
      </c>
      <c r="AL33" s="610" t="str">
        <f t="shared" si="1"/>
        <v>CN</v>
      </c>
      <c r="AM33" s="551">
        <f>'Estimate Summary'!$D$9</f>
        <v>1</v>
      </c>
      <c r="AN33" s="610" t="s">
        <v>1136</v>
      </c>
      <c r="AO33" s="551">
        <f t="shared" si="2"/>
        <v>0</v>
      </c>
      <c r="AP33" s="610" t="str">
        <f t="shared" si="3"/>
        <v>CNY</v>
      </c>
      <c r="AQ33" s="610" t="s">
        <v>1139</v>
      </c>
      <c r="AR33" s="610" t="s">
        <v>670</v>
      </c>
      <c r="AS33" s="605" t="s">
        <v>745</v>
      </c>
      <c r="AT33" s="610" t="str">
        <f>'Estimate Summary'!$AT$11</f>
        <v>FOB SH</v>
      </c>
      <c r="AU33" s="610" t="str">
        <f t="shared" si="4"/>
        <v>CN</v>
      </c>
      <c r="AV33" s="610" t="s">
        <v>1140</v>
      </c>
      <c r="AW33" s="2255">
        <f t="shared" si="5"/>
        <v>42943</v>
      </c>
    </row>
    <row r="34" spans="1:49" hidden="1" outlineLevel="1">
      <c r="A34" s="383"/>
      <c r="B34" s="1077" t="s">
        <v>731</v>
      </c>
      <c r="C34" s="1624" t="s">
        <v>738</v>
      </c>
      <c r="D34" s="1823" t="s">
        <v>179</v>
      </c>
      <c r="E34" s="2252">
        <f>IF(ISERROR(VLOOKUP($C34&amp;$D34,'WBC Mfg Matl'!$C$5:$N$22,4,0)),0,VLOOKUP($C34&amp;$D34,'WBC Mfg Matl'!$C$5:$N$22,4,0))</f>
        <v>0</v>
      </c>
      <c r="F34" s="1886">
        <f>IF(ISERROR(VLOOKUP($C34&amp;$D34,'WBC Mfg Matl'!$C$5:$N$22,12,0)),0,VLOOKUP($C34&amp;$D34,'WBC Mfg Matl'!$C$5:$N$22,12,0))</f>
        <v>0</v>
      </c>
      <c r="G34" s="1870">
        <f>IF($D34="CNY",IF(ISERROR(VLOOKUP($C34&amp;$D34,'WBC Mfg Matl'!$C$5:$N$22,5,0)),0,VLOOKUP($C34&amp;$D34,'WBC Mfg Matl'!$C$5:$N$22,5,0)/1000),IF(ISERROR(VLOOKUP($C34&amp;$D34,'WBC Mfg Matl'!$C$5:$N$22,6,0)),0,VLOOKUP($C34&amp;$D34,'WBC Mfg Matl'!$C$5:$N$22,6,0)/1000))</f>
        <v>0</v>
      </c>
      <c r="H34" s="1870">
        <f>IF(ISERROR(VLOOKUP($C34&amp;$D34,'WBC Mfg Matl'!$C$5:$N$22,11,0)),0,VLOOKUP($C34&amp;$D34,'WBC Mfg Matl'!$C$5:$N$22,11,0)/1000)</f>
        <v>0</v>
      </c>
      <c r="I34" s="1718">
        <f>IF('Estimate Summary'!$D$9&lt;2,0,$H34)</f>
        <v>0</v>
      </c>
      <c r="J34" s="1718">
        <f>IF('Estimate Summary'!$D$9&lt;3,0,$H34)</f>
        <v>0</v>
      </c>
      <c r="K34" s="1718">
        <f>IF('Estimate Summary'!$D$9&lt;4,0,$H34)</f>
        <v>0</v>
      </c>
      <c r="L34" s="1718">
        <f>IF('Estimate Summary'!$D$9&lt;5,0,$H34)</f>
        <v>0</v>
      </c>
      <c r="M34" s="1718">
        <f>IF('Estimate Summary'!$D$9&lt;6,0,$H34)</f>
        <v>0</v>
      </c>
      <c r="N34" s="1630"/>
      <c r="P34" s="2256"/>
      <c r="Q34" s="794">
        <v>42943</v>
      </c>
      <c r="R34" s="697"/>
      <c r="S34" s="475"/>
      <c r="T34" s="899"/>
      <c r="U34" s="605" t="s">
        <v>676</v>
      </c>
      <c r="V34" s="1014" t="str">
        <f t="shared" si="0"/>
        <v>EUR</v>
      </c>
      <c r="W34" s="932"/>
      <c r="X34" s="932"/>
      <c r="Y34" s="933"/>
      <c r="Z34" s="933"/>
      <c r="AA34" s="933"/>
      <c r="AB34" s="1902"/>
      <c r="AC34" s="933"/>
      <c r="AD34" s="1013"/>
      <c r="AE34" s="1013"/>
      <c r="AF34" s="897"/>
      <c r="AG34" s="1013"/>
      <c r="AH34" s="897"/>
      <c r="AI34" s="897"/>
      <c r="AJ34" s="610" t="s">
        <v>669</v>
      </c>
      <c r="AK34" s="610" t="s">
        <v>1128</v>
      </c>
      <c r="AL34" s="610" t="str">
        <f t="shared" si="1"/>
        <v>DE</v>
      </c>
      <c r="AM34" s="551">
        <f>'Estimate Summary'!$D$9</f>
        <v>1</v>
      </c>
      <c r="AN34" s="610" t="s">
        <v>1136</v>
      </c>
      <c r="AO34" s="551">
        <f t="shared" si="2"/>
        <v>0</v>
      </c>
      <c r="AP34" s="610" t="str">
        <f t="shared" si="3"/>
        <v>EUR</v>
      </c>
      <c r="AQ34" s="610" t="s">
        <v>1139</v>
      </c>
      <c r="AR34" s="610" t="s">
        <v>670</v>
      </c>
      <c r="AS34" s="605" t="s">
        <v>745</v>
      </c>
      <c r="AT34" s="610" t="str">
        <f>'Estimate Summary'!$AT$11</f>
        <v>FOB SH</v>
      </c>
      <c r="AU34" s="610" t="str">
        <f t="shared" si="4"/>
        <v>DE</v>
      </c>
      <c r="AV34" s="610" t="s">
        <v>1140</v>
      </c>
      <c r="AW34" s="2255">
        <f t="shared" si="5"/>
        <v>42943</v>
      </c>
    </row>
    <row r="35" spans="1:49" hidden="1" outlineLevel="1">
      <c r="A35" s="383"/>
      <c r="B35" s="1077" t="s">
        <v>731</v>
      </c>
      <c r="C35" s="1624" t="s">
        <v>738</v>
      </c>
      <c r="D35" s="1823" t="s">
        <v>257</v>
      </c>
      <c r="E35" s="2252">
        <f>IF(ISERROR(VLOOKUP($C35&amp;$D35,'WBC Mfg Matl'!$C$5:$N$22,4,0)),0,VLOOKUP($C35&amp;$D35,'WBC Mfg Matl'!$C$5:$N$22,4,0))</f>
        <v>0</v>
      </c>
      <c r="F35" s="1886">
        <f>IF(ISERROR(VLOOKUP($C35&amp;$D35,'WBC Mfg Matl'!$C$5:$N$22,12,0)),0,VLOOKUP($C35&amp;$D35,'WBC Mfg Matl'!$C$5:$N$22,12,0))</f>
        <v>0</v>
      </c>
      <c r="G35" s="1870">
        <f>IF($D35="CNY",IF(ISERROR(VLOOKUP($C35&amp;$D35,'WBC Mfg Matl'!$C$5:$N$22,5,0)),0,VLOOKUP($C35&amp;$D35,'WBC Mfg Matl'!$C$5:$N$22,5,0)/1000),IF(ISERROR(VLOOKUP($C35&amp;$D35,'WBC Mfg Matl'!$C$5:$N$22,6,0)),0,VLOOKUP($C35&amp;$D35,'WBC Mfg Matl'!$C$5:$N$22,6,0)/1000))</f>
        <v>0</v>
      </c>
      <c r="H35" s="1870">
        <f>IF(ISERROR(VLOOKUP($C35&amp;$D35,'WBC Mfg Matl'!$C$5:$N$22,11,0)),0,VLOOKUP($C35&amp;$D35,'WBC Mfg Matl'!$C$5:$N$22,11,0)/1000)</f>
        <v>0</v>
      </c>
      <c r="I35" s="1718">
        <f>IF('Estimate Summary'!$D$9&lt;2,0,$H35)</f>
        <v>0</v>
      </c>
      <c r="J35" s="1718">
        <f>IF('Estimate Summary'!$D$9&lt;3,0,$H35)</f>
        <v>0</v>
      </c>
      <c r="K35" s="1718">
        <f>IF('Estimate Summary'!$D$9&lt;4,0,$H35)</f>
        <v>0</v>
      </c>
      <c r="L35" s="1718">
        <f>IF('Estimate Summary'!$D$9&lt;5,0,$H35)</f>
        <v>0</v>
      </c>
      <c r="M35" s="1718">
        <f>IF('Estimate Summary'!$D$9&lt;6,0,$H35)</f>
        <v>0</v>
      </c>
      <c r="N35" s="1630"/>
      <c r="P35" s="2256"/>
      <c r="Q35" s="794">
        <v>42943</v>
      </c>
      <c r="R35" s="697"/>
      <c r="S35" s="475"/>
      <c r="T35" s="899"/>
      <c r="U35" s="605" t="s">
        <v>676</v>
      </c>
      <c r="V35" s="1014" t="str">
        <f t="shared" si="0"/>
        <v>USD</v>
      </c>
      <c r="W35" s="932"/>
      <c r="X35" s="932"/>
      <c r="Y35" s="933"/>
      <c r="Z35" s="933"/>
      <c r="AA35" s="933"/>
      <c r="AB35" s="1902"/>
      <c r="AC35" s="933"/>
      <c r="AD35" s="1013"/>
      <c r="AE35" s="1013"/>
      <c r="AF35" s="897"/>
      <c r="AG35" s="1013"/>
      <c r="AH35" s="897"/>
      <c r="AI35" s="897"/>
      <c r="AJ35" s="610" t="s">
        <v>669</v>
      </c>
      <c r="AK35" s="610" t="s">
        <v>1128</v>
      </c>
      <c r="AL35" s="610" t="str">
        <f t="shared" si="1"/>
        <v>US</v>
      </c>
      <c r="AM35" s="551">
        <f>'Estimate Summary'!$D$9</f>
        <v>1</v>
      </c>
      <c r="AN35" s="610" t="s">
        <v>1136</v>
      </c>
      <c r="AO35" s="551">
        <f t="shared" si="2"/>
        <v>0</v>
      </c>
      <c r="AP35" s="610" t="str">
        <f t="shared" si="3"/>
        <v>USD</v>
      </c>
      <c r="AQ35" s="610" t="s">
        <v>1139</v>
      </c>
      <c r="AR35" s="610" t="s">
        <v>670</v>
      </c>
      <c r="AS35" s="605" t="s">
        <v>745</v>
      </c>
      <c r="AT35" s="610" t="str">
        <f>'Estimate Summary'!$AT$11</f>
        <v>FOB SH</v>
      </c>
      <c r="AU35" s="610" t="str">
        <f t="shared" si="4"/>
        <v>US</v>
      </c>
      <c r="AV35" s="610" t="s">
        <v>1140</v>
      </c>
      <c r="AW35" s="2255">
        <f t="shared" si="5"/>
        <v>42943</v>
      </c>
    </row>
    <row r="36" spans="1:49" hidden="1" outlineLevel="1">
      <c r="A36" s="383"/>
      <c r="B36" s="1077" t="s">
        <v>732</v>
      </c>
      <c r="C36" s="1624" t="s">
        <v>736</v>
      </c>
      <c r="D36" s="1823" t="s">
        <v>181</v>
      </c>
      <c r="E36" s="2252">
        <f>IF(ISERROR(VLOOKUP($C36&amp;$D36,'WBC Mfg Matl'!$C$5:$N$22,4,0)),0,VLOOKUP($C36&amp;$D36,'WBC Mfg Matl'!$C$5:$N$22,4,0))</f>
        <v>0</v>
      </c>
      <c r="F36" s="1886">
        <f>IF(ISERROR(VLOOKUP($C36&amp;$D36,'WBC Mfg Matl'!$C$5:$N$22,12,0)),0,VLOOKUP($C36&amp;$D36,'WBC Mfg Matl'!$C$5:$N$22,12,0))</f>
        <v>0</v>
      </c>
      <c r="G36" s="1870">
        <f>IF($D36="CNY",IF(ISERROR(VLOOKUP($C36&amp;$D36,'WBC Mfg Matl'!$C$5:$N$22,5,0)),0,VLOOKUP($C36&amp;$D36,'WBC Mfg Matl'!$C$5:$N$22,5,0)/1000),IF(ISERROR(VLOOKUP($C36&amp;$D36,'WBC Mfg Matl'!$C$5:$N$22,6,0)),0,VLOOKUP($C36&amp;$D36,'WBC Mfg Matl'!$C$5:$N$22,6,0)/1000))</f>
        <v>0</v>
      </c>
      <c r="H36" s="1870">
        <f>IF(ISERROR(VLOOKUP($C36&amp;$D36,'WBC Mfg Matl'!$C$5:$N$22,11,0)),0,VLOOKUP($C36&amp;$D36,'WBC Mfg Matl'!$C$5:$N$22,11,0)/1000)</f>
        <v>0</v>
      </c>
      <c r="I36" s="1718">
        <f>IF('Estimate Summary'!$D$9&lt;2,0,$H36)</f>
        <v>0</v>
      </c>
      <c r="J36" s="1718">
        <f>IF('Estimate Summary'!$D$9&lt;3,0,$H36)</f>
        <v>0</v>
      </c>
      <c r="K36" s="1718">
        <f>IF('Estimate Summary'!$D$9&lt;4,0,$H36)</f>
        <v>0</v>
      </c>
      <c r="L36" s="1718">
        <f>IF('Estimate Summary'!$D$9&lt;5,0,$H36)</f>
        <v>0</v>
      </c>
      <c r="M36" s="1718">
        <f>IF('Estimate Summary'!$D$9&lt;6,0,$H36)</f>
        <v>0</v>
      </c>
      <c r="N36" s="1630"/>
      <c r="P36" s="2256"/>
      <c r="Q36" s="794">
        <v>42943</v>
      </c>
      <c r="R36" s="697"/>
      <c r="S36" s="475"/>
      <c r="T36" s="899"/>
      <c r="U36" s="605" t="s">
        <v>676</v>
      </c>
      <c r="V36" s="1014" t="str">
        <f t="shared" si="0"/>
        <v>CNY</v>
      </c>
      <c r="W36" s="932"/>
      <c r="X36" s="932"/>
      <c r="Y36" s="933"/>
      <c r="Z36" s="933"/>
      <c r="AA36" s="933"/>
      <c r="AB36" s="1902"/>
      <c r="AC36" s="933"/>
      <c r="AD36" s="1013"/>
      <c r="AE36" s="1013"/>
      <c r="AF36" s="897"/>
      <c r="AG36" s="1013"/>
      <c r="AH36" s="897"/>
      <c r="AI36" s="897"/>
      <c r="AJ36" s="610" t="s">
        <v>669</v>
      </c>
      <c r="AK36" s="610" t="s">
        <v>1128</v>
      </c>
      <c r="AL36" s="610" t="str">
        <f t="shared" si="1"/>
        <v>CN</v>
      </c>
      <c r="AM36" s="551">
        <f>'Estimate Summary'!$D$9</f>
        <v>1</v>
      </c>
      <c r="AN36" s="610" t="s">
        <v>1136</v>
      </c>
      <c r="AO36" s="551">
        <f t="shared" si="2"/>
        <v>0</v>
      </c>
      <c r="AP36" s="610" t="str">
        <f t="shared" si="3"/>
        <v>CNY</v>
      </c>
      <c r="AQ36" s="610" t="s">
        <v>1139</v>
      </c>
      <c r="AR36" s="610" t="s">
        <v>670</v>
      </c>
      <c r="AS36" s="605" t="s">
        <v>745</v>
      </c>
      <c r="AT36" s="610" t="str">
        <f>'Estimate Summary'!$AT$11</f>
        <v>FOB SH</v>
      </c>
      <c r="AU36" s="610" t="str">
        <f t="shared" si="4"/>
        <v>CN</v>
      </c>
      <c r="AV36" s="610" t="s">
        <v>1140</v>
      </c>
      <c r="AW36" s="2255">
        <f t="shared" si="5"/>
        <v>42943</v>
      </c>
    </row>
    <row r="37" spans="1:49" hidden="1" outlineLevel="1">
      <c r="A37" s="383"/>
      <c r="B37" s="1077" t="s">
        <v>732</v>
      </c>
      <c r="C37" s="1624" t="s">
        <v>736</v>
      </c>
      <c r="D37" s="1823" t="s">
        <v>179</v>
      </c>
      <c r="E37" s="2252">
        <f>IF(ISERROR(VLOOKUP($C37&amp;$D37,'WBC Mfg Matl'!$C$5:$N$22,4,0)),0,VLOOKUP($C37&amp;$D37,'WBC Mfg Matl'!$C$5:$N$22,4,0))</f>
        <v>0</v>
      </c>
      <c r="F37" s="1886">
        <f>IF(ISERROR(VLOOKUP($C37&amp;$D37,'WBC Mfg Matl'!$C$5:$N$22,12,0)),0,VLOOKUP($C37&amp;$D37,'WBC Mfg Matl'!$C$5:$N$22,12,0))</f>
        <v>0</v>
      </c>
      <c r="G37" s="1870">
        <f>IF($D37="CNY",IF(ISERROR(VLOOKUP($C37&amp;$D37,'WBC Mfg Matl'!$C$5:$N$22,5,0)),0,VLOOKUP($C37&amp;$D37,'WBC Mfg Matl'!$C$5:$N$22,5,0)/1000),IF(ISERROR(VLOOKUP($C37&amp;$D37,'WBC Mfg Matl'!$C$5:$N$22,6,0)),0,VLOOKUP($C37&amp;$D37,'WBC Mfg Matl'!$C$5:$N$22,6,0)/1000))</f>
        <v>0</v>
      </c>
      <c r="H37" s="1870">
        <f>IF(ISERROR(VLOOKUP($C37&amp;$D37,'WBC Mfg Matl'!$C$5:$N$22,11,0)),0,VLOOKUP($C37&amp;$D37,'WBC Mfg Matl'!$C$5:$N$22,11,0)/1000)</f>
        <v>0</v>
      </c>
      <c r="I37" s="1718">
        <f>IF('Estimate Summary'!$D$9&lt;2,0,$H37)</f>
        <v>0</v>
      </c>
      <c r="J37" s="1718">
        <f>IF('Estimate Summary'!$D$9&lt;3,0,$H37)</f>
        <v>0</v>
      </c>
      <c r="K37" s="1718">
        <f>IF('Estimate Summary'!$D$9&lt;4,0,$H37)</f>
        <v>0</v>
      </c>
      <c r="L37" s="1718">
        <f>IF('Estimate Summary'!$D$9&lt;5,0,$H37)</f>
        <v>0</v>
      </c>
      <c r="M37" s="1718">
        <f>IF('Estimate Summary'!$D$9&lt;6,0,$H37)</f>
        <v>0</v>
      </c>
      <c r="N37" s="1630"/>
      <c r="P37" s="2256"/>
      <c r="Q37" s="794">
        <v>42943</v>
      </c>
      <c r="R37" s="697"/>
      <c r="S37" s="475"/>
      <c r="T37" s="899"/>
      <c r="U37" s="605" t="s">
        <v>676</v>
      </c>
      <c r="V37" s="1014" t="str">
        <f t="shared" si="0"/>
        <v>EUR</v>
      </c>
      <c r="W37" s="932"/>
      <c r="X37" s="932"/>
      <c r="Y37" s="933"/>
      <c r="Z37" s="933"/>
      <c r="AA37" s="933"/>
      <c r="AB37" s="1902"/>
      <c r="AC37" s="933"/>
      <c r="AD37" s="1013"/>
      <c r="AE37" s="1013"/>
      <c r="AF37" s="897"/>
      <c r="AG37" s="1013"/>
      <c r="AH37" s="897"/>
      <c r="AI37" s="897"/>
      <c r="AJ37" s="610" t="s">
        <v>669</v>
      </c>
      <c r="AK37" s="610" t="s">
        <v>1128</v>
      </c>
      <c r="AL37" s="610" t="str">
        <f t="shared" si="1"/>
        <v>DE</v>
      </c>
      <c r="AM37" s="551">
        <f>'Estimate Summary'!$D$9</f>
        <v>1</v>
      </c>
      <c r="AN37" s="610" t="s">
        <v>1136</v>
      </c>
      <c r="AO37" s="551">
        <f t="shared" si="2"/>
        <v>0</v>
      </c>
      <c r="AP37" s="610" t="str">
        <f t="shared" si="3"/>
        <v>EUR</v>
      </c>
      <c r="AQ37" s="610" t="s">
        <v>1139</v>
      </c>
      <c r="AR37" s="610" t="s">
        <v>670</v>
      </c>
      <c r="AS37" s="605" t="s">
        <v>745</v>
      </c>
      <c r="AT37" s="610" t="str">
        <f>'Estimate Summary'!$AT$11</f>
        <v>FOB SH</v>
      </c>
      <c r="AU37" s="610" t="str">
        <f t="shared" si="4"/>
        <v>DE</v>
      </c>
      <c r="AV37" s="610" t="s">
        <v>1140</v>
      </c>
      <c r="AW37" s="2255">
        <f t="shared" si="5"/>
        <v>42943</v>
      </c>
    </row>
    <row r="38" spans="1:49" hidden="1" outlineLevel="1">
      <c r="A38" s="383"/>
      <c r="B38" s="1077" t="s">
        <v>732</v>
      </c>
      <c r="C38" s="1624" t="s">
        <v>736</v>
      </c>
      <c r="D38" s="1823" t="s">
        <v>257</v>
      </c>
      <c r="E38" s="2252">
        <f>IF(ISERROR(VLOOKUP($C38&amp;$D38,'WBC Mfg Matl'!$C$5:$N$22,4,0)),0,VLOOKUP($C38&amp;$D38,'WBC Mfg Matl'!$C$5:$N$22,4,0))</f>
        <v>0</v>
      </c>
      <c r="F38" s="1886">
        <f>IF(ISERROR(VLOOKUP($C38&amp;$D38,'WBC Mfg Matl'!$C$5:$N$22,12,0)),0,VLOOKUP($C38&amp;$D38,'WBC Mfg Matl'!$C$5:$N$22,12,0))</f>
        <v>0</v>
      </c>
      <c r="G38" s="1870">
        <f>IF($D38="CNY",IF(ISERROR(VLOOKUP($C38&amp;$D38,'WBC Mfg Matl'!$C$5:$N$22,5,0)),0,VLOOKUP($C38&amp;$D38,'WBC Mfg Matl'!$C$5:$N$22,5,0)/1000),IF(ISERROR(VLOOKUP($C38&amp;$D38,'WBC Mfg Matl'!$C$5:$N$22,6,0)),0,VLOOKUP($C38&amp;$D38,'WBC Mfg Matl'!$C$5:$N$22,6,0)/1000))</f>
        <v>0</v>
      </c>
      <c r="H38" s="1870">
        <f>IF(ISERROR(VLOOKUP($C38&amp;$D38,'WBC Mfg Matl'!$C$5:$N$22,11,0)),0,VLOOKUP($C38&amp;$D38,'WBC Mfg Matl'!$C$5:$N$22,11,0)/1000)</f>
        <v>0</v>
      </c>
      <c r="I38" s="1718">
        <f>IF('Estimate Summary'!$D$9&lt;2,0,$H38)</f>
        <v>0</v>
      </c>
      <c r="J38" s="1718">
        <f>IF('Estimate Summary'!$D$9&lt;3,0,$H38)</f>
        <v>0</v>
      </c>
      <c r="K38" s="1718">
        <f>IF('Estimate Summary'!$D$9&lt;4,0,$H38)</f>
        <v>0</v>
      </c>
      <c r="L38" s="1718">
        <f>IF('Estimate Summary'!$D$9&lt;5,0,$H38)</f>
        <v>0</v>
      </c>
      <c r="M38" s="1718">
        <f>IF('Estimate Summary'!$D$9&lt;6,0,$H38)</f>
        <v>0</v>
      </c>
      <c r="N38" s="1630"/>
      <c r="P38" s="2256"/>
      <c r="Q38" s="794">
        <v>42943</v>
      </c>
      <c r="R38" s="697"/>
      <c r="S38" s="475"/>
      <c r="T38" s="899"/>
      <c r="U38" s="605" t="s">
        <v>676</v>
      </c>
      <c r="V38" s="1014" t="str">
        <f t="shared" si="0"/>
        <v>USD</v>
      </c>
      <c r="W38" s="932"/>
      <c r="X38" s="932"/>
      <c r="Y38" s="933"/>
      <c r="Z38" s="933"/>
      <c r="AA38" s="933"/>
      <c r="AB38" s="1902"/>
      <c r="AC38" s="933"/>
      <c r="AD38" s="1013"/>
      <c r="AE38" s="1013"/>
      <c r="AF38" s="897"/>
      <c r="AG38" s="1013"/>
      <c r="AH38" s="897"/>
      <c r="AI38" s="897"/>
      <c r="AJ38" s="610" t="s">
        <v>669</v>
      </c>
      <c r="AK38" s="610" t="s">
        <v>1128</v>
      </c>
      <c r="AL38" s="610" t="str">
        <f t="shared" si="1"/>
        <v>US</v>
      </c>
      <c r="AM38" s="551">
        <f>'Estimate Summary'!$D$9</f>
        <v>1</v>
      </c>
      <c r="AN38" s="610" t="s">
        <v>1136</v>
      </c>
      <c r="AO38" s="551">
        <f t="shared" si="2"/>
        <v>0</v>
      </c>
      <c r="AP38" s="610" t="str">
        <f t="shared" si="3"/>
        <v>USD</v>
      </c>
      <c r="AQ38" s="610" t="s">
        <v>1139</v>
      </c>
      <c r="AR38" s="610" t="s">
        <v>670</v>
      </c>
      <c r="AS38" s="605" t="s">
        <v>745</v>
      </c>
      <c r="AT38" s="610" t="str">
        <f>'Estimate Summary'!$AT$11</f>
        <v>FOB SH</v>
      </c>
      <c r="AU38" s="610" t="str">
        <f t="shared" si="4"/>
        <v>US</v>
      </c>
      <c r="AV38" s="610" t="s">
        <v>1140</v>
      </c>
      <c r="AW38" s="2255">
        <f t="shared" si="5"/>
        <v>42943</v>
      </c>
    </row>
    <row r="39" spans="1:49" ht="13.5" collapsed="1" thickTop="1">
      <c r="A39" s="383"/>
      <c r="B39" s="1077" t="s">
        <v>733</v>
      </c>
      <c r="C39" s="1624" t="s">
        <v>205</v>
      </c>
      <c r="D39" s="1823" t="s">
        <v>181</v>
      </c>
      <c r="E39" s="2252">
        <f>IF(ISERROR(VLOOKUP($C39&amp;$D39,'WBC Mfg Matl'!$C$5:$N$22,4,0)),0,VLOOKUP($C39&amp;$D39,'WBC Mfg Matl'!$C$5:$N$22,4,0))</f>
        <v>3094.3688237941901</v>
      </c>
      <c r="F39" s="1886">
        <f>IF(ISERROR(VLOOKUP($C39&amp;$D39,'WBC Mfg Matl'!$C$5:$N$22,12,0)),0,VLOOKUP($C39&amp;$D39,'WBC Mfg Matl'!$C$5:$N$22,12,0))</f>
        <v>30.257168882092873</v>
      </c>
      <c r="G39" s="1870">
        <f>IF($D39="CNY",IF(ISERROR(VLOOKUP($C39&amp;$D39,'WBC Mfg Matl'!$C$5:$N$22,5,0)),0,VLOOKUP($C39&amp;$D39,'WBC Mfg Matl'!$C$5:$N$22,5,0)/1000),IF(ISERROR(VLOOKUP($C39&amp;$D39,'WBC Mfg Matl'!$C$5:$N$22,6,0)),0,VLOOKUP($C39&amp;$D39,'WBC Mfg Matl'!$C$5:$N$22,6,0)/1000))</f>
        <v>0</v>
      </c>
      <c r="H39" s="1870">
        <f>IF(ISERROR(VLOOKUP($C39&amp;$D39,'WBC Mfg Matl'!$C$5:$N$22,11,0)),0,VLOOKUP($C39&amp;$D39,'WBC Mfg Matl'!$C$5:$N$22,11,0)/1000)</f>
        <v>93.6268400850239</v>
      </c>
      <c r="I39" s="1718">
        <f>IF('Estimate Summary'!$D$9&lt;2,0,$H39)</f>
        <v>0</v>
      </c>
      <c r="J39" s="1718">
        <f>IF('Estimate Summary'!$D$9&lt;3,0,$H39)</f>
        <v>0</v>
      </c>
      <c r="K39" s="1718">
        <f>IF('Estimate Summary'!$D$9&lt;4,0,$H39)</f>
        <v>0</v>
      </c>
      <c r="L39" s="1718">
        <f>IF('Estimate Summary'!$D$9&lt;5,0,$H39)</f>
        <v>0</v>
      </c>
      <c r="M39" s="1718">
        <f>IF('Estimate Summary'!$D$9&lt;6,0,$H39)</f>
        <v>0</v>
      </c>
      <c r="N39" s="1630"/>
      <c r="P39" s="2256"/>
      <c r="Q39" s="794">
        <v>42943</v>
      </c>
      <c r="R39" s="697"/>
      <c r="S39" s="475"/>
      <c r="T39" s="899"/>
      <c r="U39" s="605" t="s">
        <v>676</v>
      </c>
      <c r="V39" s="1014" t="str">
        <f t="shared" si="0"/>
        <v>CNY</v>
      </c>
      <c r="W39" s="932"/>
      <c r="X39" s="932"/>
      <c r="Y39" s="933"/>
      <c r="Z39" s="933"/>
      <c r="AA39" s="933"/>
      <c r="AB39" s="1902"/>
      <c r="AC39" s="933"/>
      <c r="AD39" s="1013"/>
      <c r="AE39" s="1013"/>
      <c r="AF39" s="897"/>
      <c r="AG39" s="1013"/>
      <c r="AH39" s="897"/>
      <c r="AI39" s="897"/>
      <c r="AJ39" s="610" t="s">
        <v>669</v>
      </c>
      <c r="AK39" s="610" t="s">
        <v>1128</v>
      </c>
      <c r="AL39" s="610" t="str">
        <f t="shared" si="1"/>
        <v>CN</v>
      </c>
      <c r="AM39" s="551">
        <f>'Estimate Summary'!$D$9</f>
        <v>1</v>
      </c>
      <c r="AN39" s="610" t="s">
        <v>1136</v>
      </c>
      <c r="AO39" s="551">
        <f t="shared" si="2"/>
        <v>0</v>
      </c>
      <c r="AP39" s="610" t="str">
        <f t="shared" si="3"/>
        <v>CNY</v>
      </c>
      <c r="AQ39" s="610" t="s">
        <v>1139</v>
      </c>
      <c r="AR39" s="610" t="s">
        <v>670</v>
      </c>
      <c r="AS39" s="605" t="s">
        <v>745</v>
      </c>
      <c r="AT39" s="610" t="str">
        <f>'Estimate Summary'!$AT$11</f>
        <v>FOB SH</v>
      </c>
      <c r="AU39" s="610" t="str">
        <f t="shared" si="4"/>
        <v>CN</v>
      </c>
      <c r="AV39" s="610" t="s">
        <v>1140</v>
      </c>
      <c r="AW39" s="2255">
        <f t="shared" si="5"/>
        <v>42943</v>
      </c>
    </row>
    <row r="40" spans="1:49" hidden="1" outlineLevel="1">
      <c r="A40" s="383"/>
      <c r="B40" s="1077" t="s">
        <v>733</v>
      </c>
      <c r="C40" s="1624" t="s">
        <v>205</v>
      </c>
      <c r="D40" s="1823" t="s">
        <v>179</v>
      </c>
      <c r="E40" s="2252">
        <f>IF(ISERROR(VLOOKUP($C40&amp;$D40,'WBC Mfg Matl'!$C$5:$N$22,4,0)),0,VLOOKUP($C40&amp;$D40,'WBC Mfg Matl'!$C$5:$N$22,4,0))</f>
        <v>0</v>
      </c>
      <c r="F40" s="1886">
        <f>IF(ISERROR(VLOOKUP($C40&amp;$D40,'WBC Mfg Matl'!$C$5:$N$22,12,0)),0,VLOOKUP($C40&amp;$D40,'WBC Mfg Matl'!$C$5:$N$22,12,0))</f>
        <v>0</v>
      </c>
      <c r="G40" s="1870">
        <f>IF($D40="CNY",IF(ISERROR(VLOOKUP($C40&amp;$D40,'WBC Mfg Matl'!$C$5:$N$22,5,0)),0,VLOOKUP($C40&amp;$D40,'WBC Mfg Matl'!$C$5:$N$22,5,0)/1000),IF(ISERROR(VLOOKUP($C40&amp;$D40,'WBC Mfg Matl'!$C$5:$N$22,6,0)),0,VLOOKUP($C40&amp;$D40,'WBC Mfg Matl'!$C$5:$N$22,6,0)/1000))</f>
        <v>0</v>
      </c>
      <c r="H40" s="1870">
        <f>IF(ISERROR(VLOOKUP($C40&amp;$D40,'WBC Mfg Matl'!$C$5:$N$22,11,0)),0,VLOOKUP($C40&amp;$D40,'WBC Mfg Matl'!$C$5:$N$22,11,0)/1000)</f>
        <v>0</v>
      </c>
      <c r="I40" s="1718">
        <f>IF('Estimate Summary'!$D$9&lt;2,0,$H40)</f>
        <v>0</v>
      </c>
      <c r="J40" s="1718">
        <f>IF('Estimate Summary'!$D$9&lt;3,0,$H40)</f>
        <v>0</v>
      </c>
      <c r="K40" s="1718">
        <f>IF('Estimate Summary'!$D$9&lt;4,0,$H40)</f>
        <v>0</v>
      </c>
      <c r="L40" s="1718">
        <f>IF('Estimate Summary'!$D$9&lt;5,0,$H40)</f>
        <v>0</v>
      </c>
      <c r="M40" s="1718">
        <f>IF('Estimate Summary'!$D$9&lt;6,0,$H40)</f>
        <v>0</v>
      </c>
      <c r="N40" s="1630"/>
      <c r="P40" s="2256"/>
      <c r="Q40" s="794">
        <v>42943</v>
      </c>
      <c r="R40" s="697"/>
      <c r="S40" s="475"/>
      <c r="T40" s="899"/>
      <c r="U40" s="605" t="s">
        <v>676</v>
      </c>
      <c r="V40" s="1014" t="str">
        <f t="shared" si="0"/>
        <v>EUR</v>
      </c>
      <c r="W40" s="932"/>
      <c r="X40" s="932"/>
      <c r="Y40" s="933"/>
      <c r="Z40" s="933"/>
      <c r="AA40" s="933"/>
      <c r="AB40" s="1902"/>
      <c r="AC40" s="933"/>
      <c r="AD40" s="1013"/>
      <c r="AE40" s="1013"/>
      <c r="AF40" s="897"/>
      <c r="AG40" s="1013"/>
      <c r="AH40" s="897"/>
      <c r="AI40" s="897"/>
      <c r="AJ40" s="610" t="s">
        <v>669</v>
      </c>
      <c r="AK40" s="610" t="s">
        <v>1128</v>
      </c>
      <c r="AL40" s="610" t="str">
        <f t="shared" si="1"/>
        <v>DE</v>
      </c>
      <c r="AM40" s="551">
        <f>'Estimate Summary'!$D$9</f>
        <v>1</v>
      </c>
      <c r="AN40" s="610" t="s">
        <v>1136</v>
      </c>
      <c r="AO40" s="551">
        <f t="shared" si="2"/>
        <v>0</v>
      </c>
      <c r="AP40" s="610" t="str">
        <f t="shared" si="3"/>
        <v>EUR</v>
      </c>
      <c r="AQ40" s="610" t="s">
        <v>1139</v>
      </c>
      <c r="AR40" s="610" t="s">
        <v>670</v>
      </c>
      <c r="AS40" s="605" t="s">
        <v>745</v>
      </c>
      <c r="AT40" s="610" t="str">
        <f>'Estimate Summary'!$AT$11</f>
        <v>FOB SH</v>
      </c>
      <c r="AU40" s="610" t="str">
        <f t="shared" si="4"/>
        <v>DE</v>
      </c>
      <c r="AV40" s="610" t="s">
        <v>1140</v>
      </c>
      <c r="AW40" s="2255">
        <f t="shared" si="5"/>
        <v>42943</v>
      </c>
    </row>
    <row r="41" spans="1:49" hidden="1" outlineLevel="1">
      <c r="A41" s="383"/>
      <c r="B41" s="1077" t="s">
        <v>733</v>
      </c>
      <c r="C41" s="1624" t="s">
        <v>205</v>
      </c>
      <c r="D41" s="1823" t="s">
        <v>257</v>
      </c>
      <c r="E41" s="2252">
        <f>IF(ISERROR(VLOOKUP($C41&amp;$D41,'WBC Mfg Matl'!$C$5:$N$22,4,0)),0,VLOOKUP($C41&amp;$D41,'WBC Mfg Matl'!$C$5:$N$22,4,0))</f>
        <v>0</v>
      </c>
      <c r="F41" s="1886">
        <f>IF(ISERROR(VLOOKUP($C41&amp;$D41,'WBC Mfg Matl'!$C$5:$N$22,12,0)),0,VLOOKUP($C41&amp;$D41,'WBC Mfg Matl'!$C$5:$N$22,12,0))</f>
        <v>0</v>
      </c>
      <c r="G41" s="1870">
        <f>IF($D41="CNY",IF(ISERROR(VLOOKUP($C41&amp;$D41,'WBC Mfg Matl'!$C$5:$N$22,5,0)),0,VLOOKUP($C41&amp;$D41,'WBC Mfg Matl'!$C$5:$N$22,5,0)/1000),IF(ISERROR(VLOOKUP($C41&amp;$D41,'WBC Mfg Matl'!$C$5:$N$22,6,0)),0,VLOOKUP($C41&amp;$D41,'WBC Mfg Matl'!$C$5:$N$22,6,0)/1000))</f>
        <v>0</v>
      </c>
      <c r="H41" s="1870">
        <f>IF(ISERROR(VLOOKUP($C41&amp;$D41,'WBC Mfg Matl'!$C$5:$N$22,11,0)),0,VLOOKUP($C41&amp;$D41,'WBC Mfg Matl'!$C$5:$N$22,11,0)/1000)</f>
        <v>0</v>
      </c>
      <c r="I41" s="1718">
        <f>IF('Estimate Summary'!$D$9&lt;2,0,$H41)</f>
        <v>0</v>
      </c>
      <c r="J41" s="1718">
        <f>IF('Estimate Summary'!$D$9&lt;3,0,$H41)</f>
        <v>0</v>
      </c>
      <c r="K41" s="1718">
        <f>IF('Estimate Summary'!$D$9&lt;4,0,$H41)</f>
        <v>0</v>
      </c>
      <c r="L41" s="1718">
        <f>IF('Estimate Summary'!$D$9&lt;5,0,$H41)</f>
        <v>0</v>
      </c>
      <c r="M41" s="1718">
        <f>IF('Estimate Summary'!$D$9&lt;6,0,$H41)</f>
        <v>0</v>
      </c>
      <c r="N41" s="1630"/>
      <c r="P41" s="2256"/>
      <c r="Q41" s="794">
        <v>42943</v>
      </c>
      <c r="R41" s="697"/>
      <c r="S41" s="475"/>
      <c r="T41" s="899"/>
      <c r="U41" s="605" t="s">
        <v>676</v>
      </c>
      <c r="V41" s="1014" t="str">
        <f t="shared" si="0"/>
        <v>USD</v>
      </c>
      <c r="W41" s="932"/>
      <c r="X41" s="932"/>
      <c r="Y41" s="933"/>
      <c r="Z41" s="933"/>
      <c r="AA41" s="933"/>
      <c r="AB41" s="1902"/>
      <c r="AC41" s="933"/>
      <c r="AD41" s="1013"/>
      <c r="AE41" s="1013"/>
      <c r="AF41" s="897"/>
      <c r="AG41" s="1013"/>
      <c r="AH41" s="897"/>
      <c r="AI41" s="897"/>
      <c r="AJ41" s="610" t="s">
        <v>669</v>
      </c>
      <c r="AK41" s="610" t="s">
        <v>1128</v>
      </c>
      <c r="AL41" s="610" t="str">
        <f t="shared" si="1"/>
        <v>US</v>
      </c>
      <c r="AM41" s="551">
        <f>'Estimate Summary'!$D$9</f>
        <v>1</v>
      </c>
      <c r="AN41" s="610" t="s">
        <v>1136</v>
      </c>
      <c r="AO41" s="551">
        <f t="shared" si="2"/>
        <v>0</v>
      </c>
      <c r="AP41" s="610" t="str">
        <f t="shared" si="3"/>
        <v>USD</v>
      </c>
      <c r="AQ41" s="610" t="s">
        <v>1139</v>
      </c>
      <c r="AR41" s="610" t="s">
        <v>670</v>
      </c>
      <c r="AS41" s="605" t="s">
        <v>745</v>
      </c>
      <c r="AT41" s="610" t="str">
        <f>'Estimate Summary'!$AT$11</f>
        <v>FOB SH</v>
      </c>
      <c r="AU41" s="610" t="str">
        <f t="shared" si="4"/>
        <v>US</v>
      </c>
      <c r="AV41" s="610" t="s">
        <v>1140</v>
      </c>
      <c r="AW41" s="2255">
        <f t="shared" si="5"/>
        <v>42943</v>
      </c>
    </row>
    <row r="42" spans="1:49" hidden="1" outlineLevel="1">
      <c r="A42" s="383"/>
      <c r="B42" s="1077" t="s">
        <v>734</v>
      </c>
      <c r="C42" s="1624" t="s">
        <v>740</v>
      </c>
      <c r="D42" s="1823" t="s">
        <v>181</v>
      </c>
      <c r="E42" s="2252">
        <f>IF(ISERROR(VLOOKUP($C42&amp;$D42,'WBC Mfg Matl'!$C$5:$N$22,4,0)),0,VLOOKUP($C42&amp;$D42,'WBC Mfg Matl'!$C$5:$N$22,4,0))</f>
        <v>0</v>
      </c>
      <c r="F42" s="1886">
        <f>IF(ISERROR(VLOOKUP($C42&amp;$D42,'WBC Mfg Matl'!$C$5:$N$22,12,0)),0,VLOOKUP($C42&amp;$D42,'WBC Mfg Matl'!$C$5:$N$22,12,0))</f>
        <v>0</v>
      </c>
      <c r="G42" s="1870">
        <f>IF($D42="CNY",IF(ISERROR(VLOOKUP($C42&amp;$D42,'WBC Mfg Matl'!$C$5:$N$22,5,0)),0,VLOOKUP($C42&amp;$D42,'WBC Mfg Matl'!$C$5:$N$22,5,0)/1000),IF(ISERROR(VLOOKUP($C42&amp;$D42,'WBC Mfg Matl'!$C$5:$N$22,6,0)),0,VLOOKUP($C42&amp;$D42,'WBC Mfg Matl'!$C$5:$N$22,6,0)/1000))</f>
        <v>0</v>
      </c>
      <c r="H42" s="1870">
        <f>IF(ISERROR(VLOOKUP($C42&amp;$D42,'WBC Mfg Matl'!$C$5:$N$22,11,0)),0,VLOOKUP($C42&amp;$D42,'WBC Mfg Matl'!$C$5:$N$22,11,0)/1000)</f>
        <v>0</v>
      </c>
      <c r="I42" s="1718">
        <f>IF('Estimate Summary'!$D$9&lt;2,0,$H42)</f>
        <v>0</v>
      </c>
      <c r="J42" s="1718">
        <f>IF('Estimate Summary'!$D$9&lt;3,0,$H42)</f>
        <v>0</v>
      </c>
      <c r="K42" s="1718">
        <f>IF('Estimate Summary'!$D$9&lt;4,0,$H42)</f>
        <v>0</v>
      </c>
      <c r="L42" s="1718">
        <f>IF('Estimate Summary'!$D$9&lt;5,0,$H42)</f>
        <v>0</v>
      </c>
      <c r="M42" s="1718">
        <f>IF('Estimate Summary'!$D$9&lt;6,0,$H42)</f>
        <v>0</v>
      </c>
      <c r="N42" s="1630"/>
      <c r="P42" s="2256"/>
      <c r="Q42" s="794">
        <v>42943</v>
      </c>
      <c r="R42" s="697"/>
      <c r="S42" s="475"/>
      <c r="T42" s="899"/>
      <c r="U42" s="605" t="s">
        <v>676</v>
      </c>
      <c r="V42" s="1014" t="str">
        <f t="shared" si="0"/>
        <v>CNY</v>
      </c>
      <c r="W42" s="932"/>
      <c r="X42" s="932"/>
      <c r="Y42" s="933"/>
      <c r="Z42" s="933"/>
      <c r="AA42" s="933"/>
      <c r="AB42" s="1902"/>
      <c r="AC42" s="933"/>
      <c r="AD42" s="1013"/>
      <c r="AE42" s="1013"/>
      <c r="AF42" s="897"/>
      <c r="AG42" s="1013"/>
      <c r="AH42" s="897"/>
      <c r="AI42" s="897"/>
      <c r="AJ42" s="610" t="s">
        <v>669</v>
      </c>
      <c r="AK42" s="610" t="s">
        <v>1128</v>
      </c>
      <c r="AL42" s="610" t="str">
        <f t="shared" si="1"/>
        <v>CN</v>
      </c>
      <c r="AM42" s="551">
        <f>'Estimate Summary'!$D$9</f>
        <v>1</v>
      </c>
      <c r="AN42" s="610" t="s">
        <v>1136</v>
      </c>
      <c r="AO42" s="551">
        <f t="shared" si="2"/>
        <v>0</v>
      </c>
      <c r="AP42" s="610" t="str">
        <f t="shared" si="3"/>
        <v>CNY</v>
      </c>
      <c r="AQ42" s="610" t="s">
        <v>1139</v>
      </c>
      <c r="AR42" s="610" t="s">
        <v>670</v>
      </c>
      <c r="AS42" s="605" t="s">
        <v>745</v>
      </c>
      <c r="AT42" s="610" t="str">
        <f>'Estimate Summary'!$AT$11</f>
        <v>FOB SH</v>
      </c>
      <c r="AU42" s="610" t="str">
        <f t="shared" si="4"/>
        <v>CN</v>
      </c>
      <c r="AV42" s="610" t="s">
        <v>1140</v>
      </c>
      <c r="AW42" s="2255">
        <f t="shared" si="5"/>
        <v>42943</v>
      </c>
    </row>
    <row r="43" spans="1:49" hidden="1" outlineLevel="1">
      <c r="A43" s="383"/>
      <c r="B43" s="1077" t="s">
        <v>734</v>
      </c>
      <c r="C43" s="1624" t="s">
        <v>740</v>
      </c>
      <c r="D43" s="1823" t="s">
        <v>179</v>
      </c>
      <c r="E43" s="2252">
        <f>IF(ISERROR(VLOOKUP($C43&amp;$D43,'WBC Mfg Matl'!$C$5:$N$22,4,0)),0,VLOOKUP($C43&amp;$D43,'WBC Mfg Matl'!$C$5:$N$22,4,0))</f>
        <v>0</v>
      </c>
      <c r="F43" s="1886">
        <f>IF(ISERROR(VLOOKUP($C43&amp;$D43,'WBC Mfg Matl'!$C$5:$N$22,12,0)),0,VLOOKUP($C43&amp;$D43,'WBC Mfg Matl'!$C$5:$N$22,12,0))</f>
        <v>0</v>
      </c>
      <c r="G43" s="1870">
        <f>IF($D43="CNY",IF(ISERROR(VLOOKUP($C43&amp;$D43,'WBC Mfg Matl'!$C$5:$N$22,5,0)),0,VLOOKUP($C43&amp;$D43,'WBC Mfg Matl'!$C$5:$N$22,5,0)/1000),IF(ISERROR(VLOOKUP($C43&amp;$D43,'WBC Mfg Matl'!$C$5:$N$22,6,0)),0,VLOOKUP($C43&amp;$D43,'WBC Mfg Matl'!$C$5:$N$22,6,0)/1000))</f>
        <v>0</v>
      </c>
      <c r="H43" s="1870">
        <f>IF(ISERROR(VLOOKUP($C43&amp;$D43,'WBC Mfg Matl'!$C$5:$N$22,11,0)),0,VLOOKUP($C43&amp;$D43,'WBC Mfg Matl'!$C$5:$N$22,11,0)/1000)</f>
        <v>0</v>
      </c>
      <c r="I43" s="1718">
        <f>IF('Estimate Summary'!$D$9&lt;2,0,$H43)</f>
        <v>0</v>
      </c>
      <c r="J43" s="1718">
        <f>IF('Estimate Summary'!$D$9&lt;3,0,$H43)</f>
        <v>0</v>
      </c>
      <c r="K43" s="1718">
        <f>IF('Estimate Summary'!$D$9&lt;4,0,$H43)</f>
        <v>0</v>
      </c>
      <c r="L43" s="1718">
        <f>IF('Estimate Summary'!$D$9&lt;5,0,$H43)</f>
        <v>0</v>
      </c>
      <c r="M43" s="1718">
        <f>IF('Estimate Summary'!$D$9&lt;6,0,$H43)</f>
        <v>0</v>
      </c>
      <c r="N43" s="1630"/>
      <c r="P43" s="2256"/>
      <c r="Q43" s="794">
        <v>42943</v>
      </c>
      <c r="R43" s="697"/>
      <c r="S43" s="475"/>
      <c r="T43" s="899"/>
      <c r="U43" s="605" t="s">
        <v>676</v>
      </c>
      <c r="V43" s="1014" t="str">
        <f t="shared" si="0"/>
        <v>EUR</v>
      </c>
      <c r="W43" s="932"/>
      <c r="X43" s="932"/>
      <c r="Y43" s="933"/>
      <c r="Z43" s="933"/>
      <c r="AA43" s="933"/>
      <c r="AB43" s="1902"/>
      <c r="AC43" s="933"/>
      <c r="AD43" s="1013"/>
      <c r="AE43" s="1013"/>
      <c r="AF43" s="897"/>
      <c r="AG43" s="1013"/>
      <c r="AH43" s="897"/>
      <c r="AI43" s="897"/>
      <c r="AJ43" s="610" t="s">
        <v>669</v>
      </c>
      <c r="AK43" s="610" t="s">
        <v>1128</v>
      </c>
      <c r="AL43" s="610" t="str">
        <f t="shared" si="1"/>
        <v>DE</v>
      </c>
      <c r="AM43" s="551">
        <f>'Estimate Summary'!$D$9</f>
        <v>1</v>
      </c>
      <c r="AN43" s="610" t="s">
        <v>1136</v>
      </c>
      <c r="AO43" s="551">
        <f t="shared" si="2"/>
        <v>0</v>
      </c>
      <c r="AP43" s="610" t="str">
        <f t="shared" si="3"/>
        <v>EUR</v>
      </c>
      <c r="AQ43" s="610" t="s">
        <v>1139</v>
      </c>
      <c r="AR43" s="610" t="s">
        <v>670</v>
      </c>
      <c r="AS43" s="605" t="s">
        <v>745</v>
      </c>
      <c r="AT43" s="610" t="str">
        <f>'Estimate Summary'!$AT$11</f>
        <v>FOB SH</v>
      </c>
      <c r="AU43" s="610" t="str">
        <f t="shared" si="4"/>
        <v>DE</v>
      </c>
      <c r="AV43" s="610" t="s">
        <v>1140</v>
      </c>
      <c r="AW43" s="2255">
        <f t="shared" si="5"/>
        <v>42943</v>
      </c>
    </row>
    <row r="44" spans="1:49" hidden="1" outlineLevel="1">
      <c r="A44" s="383"/>
      <c r="B44" s="1077" t="s">
        <v>734</v>
      </c>
      <c r="C44" s="1624" t="s">
        <v>740</v>
      </c>
      <c r="D44" s="1823" t="s">
        <v>257</v>
      </c>
      <c r="E44" s="2252">
        <f>IF(ISERROR(VLOOKUP($C44&amp;$D44,'WBC Mfg Matl'!$C$5:$N$22,4,0)),0,VLOOKUP($C44&amp;$D44,'WBC Mfg Matl'!$C$5:$N$22,4,0))</f>
        <v>0</v>
      </c>
      <c r="F44" s="1886">
        <f>IF(ISERROR(VLOOKUP($C44&amp;$D44,'WBC Mfg Matl'!$C$5:$N$22,12,0)),0,VLOOKUP($C44&amp;$D44,'WBC Mfg Matl'!$C$5:$N$22,12,0))</f>
        <v>0</v>
      </c>
      <c r="G44" s="1870">
        <f>IF($D44="CNY",IF(ISERROR(VLOOKUP($C44&amp;$D44,'WBC Mfg Matl'!$C$5:$N$22,5,0)),0,VLOOKUP($C44&amp;$D44,'WBC Mfg Matl'!$C$5:$N$22,5,0)/1000),IF(ISERROR(VLOOKUP($C44&amp;$D44,'WBC Mfg Matl'!$C$5:$N$22,6,0)),0,VLOOKUP($C44&amp;$D44,'WBC Mfg Matl'!$C$5:$N$22,6,0)/1000))</f>
        <v>0</v>
      </c>
      <c r="H44" s="1870">
        <f>IF(ISERROR(VLOOKUP($C44&amp;$D44,'WBC Mfg Matl'!$C$5:$N$22,11,0)),0,VLOOKUP($C44&amp;$D44,'WBC Mfg Matl'!$C$5:$N$22,11,0)/1000)</f>
        <v>0</v>
      </c>
      <c r="I44" s="1718">
        <f>IF('Estimate Summary'!$D$9&lt;2,0,$H44)</f>
        <v>0</v>
      </c>
      <c r="J44" s="1718">
        <f>IF('Estimate Summary'!$D$9&lt;3,0,$H44)</f>
        <v>0</v>
      </c>
      <c r="K44" s="1718">
        <f>IF('Estimate Summary'!$D$9&lt;4,0,$H44)</f>
        <v>0</v>
      </c>
      <c r="L44" s="1718">
        <f>IF('Estimate Summary'!$D$9&lt;5,0,$H44)</f>
        <v>0</v>
      </c>
      <c r="M44" s="1718">
        <f>IF('Estimate Summary'!$D$9&lt;6,0,$H44)</f>
        <v>0</v>
      </c>
      <c r="N44" s="1630"/>
      <c r="P44" s="2256"/>
      <c r="Q44" s="794">
        <v>42943</v>
      </c>
      <c r="R44" s="697"/>
      <c r="S44" s="475"/>
      <c r="T44" s="899"/>
      <c r="U44" s="605" t="s">
        <v>676</v>
      </c>
      <c r="V44" s="1014" t="str">
        <f t="shared" si="0"/>
        <v>USD</v>
      </c>
      <c r="W44" s="932"/>
      <c r="X44" s="932"/>
      <c r="Y44" s="933"/>
      <c r="Z44" s="933"/>
      <c r="AA44" s="933"/>
      <c r="AB44" s="1902"/>
      <c r="AC44" s="933"/>
      <c r="AD44" s="1013"/>
      <c r="AE44" s="1013"/>
      <c r="AF44" s="897"/>
      <c r="AG44" s="1013"/>
      <c r="AH44" s="897"/>
      <c r="AI44" s="897"/>
      <c r="AJ44" s="610" t="s">
        <v>669</v>
      </c>
      <c r="AK44" s="610" t="s">
        <v>1128</v>
      </c>
      <c r="AL44" s="610" t="str">
        <f t="shared" si="1"/>
        <v>US</v>
      </c>
      <c r="AM44" s="551">
        <f>'Estimate Summary'!$D$9</f>
        <v>1</v>
      </c>
      <c r="AN44" s="610" t="s">
        <v>1136</v>
      </c>
      <c r="AO44" s="551">
        <f t="shared" si="2"/>
        <v>0</v>
      </c>
      <c r="AP44" s="610" t="str">
        <f t="shared" si="3"/>
        <v>USD</v>
      </c>
      <c r="AQ44" s="610" t="s">
        <v>1139</v>
      </c>
      <c r="AR44" s="610" t="s">
        <v>670</v>
      </c>
      <c r="AS44" s="605" t="s">
        <v>745</v>
      </c>
      <c r="AT44" s="610" t="str">
        <f>'Estimate Summary'!$AT$11</f>
        <v>FOB SH</v>
      </c>
      <c r="AU44" s="610" t="str">
        <f t="shared" si="4"/>
        <v>US</v>
      </c>
      <c r="AV44" s="610" t="s">
        <v>1140</v>
      </c>
      <c r="AW44" s="2255">
        <f t="shared" si="5"/>
        <v>42943</v>
      </c>
    </row>
    <row r="45" spans="1:49" hidden="1" outlineLevel="1">
      <c r="A45" s="383"/>
      <c r="B45" s="1077" t="s">
        <v>1227</v>
      </c>
      <c r="C45" s="1624" t="s">
        <v>787</v>
      </c>
      <c r="D45" s="1823" t="s">
        <v>181</v>
      </c>
      <c r="E45" s="2252">
        <f>IF(ISERROR(VLOOKUP($C45&amp;$D45,'WBC Mfg Matl'!$C$5:$N$22,4,0)),0,VLOOKUP($C45&amp;$D45,'WBC Mfg Matl'!$C$5:$N$22,4,0))</f>
        <v>0</v>
      </c>
      <c r="F45" s="1886">
        <f>IF(ISERROR(VLOOKUP($C45&amp;$D45,'WBC Mfg Matl'!$C$5:$N$22,12,0)),0,VLOOKUP($C45&amp;$D45,'WBC Mfg Matl'!$C$5:$N$22,12,0))</f>
        <v>0</v>
      </c>
      <c r="G45" s="1870">
        <f>IF($D45="CNY",IF(ISERROR(VLOOKUP($C45&amp;$D45,'WBC Mfg Matl'!$C$5:$N$22,5,0)),0,VLOOKUP($C45&amp;$D45,'WBC Mfg Matl'!$C$5:$N$22,5,0)/1000),IF(ISERROR(VLOOKUP($C45&amp;$D45,'WBC Mfg Matl'!$C$5:$N$22,6,0)),0,VLOOKUP($C45&amp;$D45,'WBC Mfg Matl'!$C$5:$N$22,6,0)/1000))</f>
        <v>0</v>
      </c>
      <c r="H45" s="1870">
        <f>IF(ISERROR(VLOOKUP($C45&amp;$D45,'WBC Mfg Matl'!$C$5:$N$22,11,0)),0,VLOOKUP($C45&amp;$D45,'WBC Mfg Matl'!$C$5:$N$22,11,0)/1000)</f>
        <v>0</v>
      </c>
      <c r="I45" s="1718">
        <f>IF('Estimate Summary'!$D$9&lt;2,0,$H45)</f>
        <v>0</v>
      </c>
      <c r="J45" s="1718">
        <f>IF('Estimate Summary'!$D$9&lt;3,0,$H45)</f>
        <v>0</v>
      </c>
      <c r="K45" s="1718">
        <f>IF('Estimate Summary'!$D$9&lt;4,0,$H45)</f>
        <v>0</v>
      </c>
      <c r="L45" s="1718">
        <f>IF('Estimate Summary'!$D$9&lt;5,0,$H45)</f>
        <v>0</v>
      </c>
      <c r="M45" s="1718">
        <f>IF('Estimate Summary'!$D$9&lt;6,0,$H45)</f>
        <v>0</v>
      </c>
      <c r="N45" s="1630"/>
      <c r="P45" s="2256"/>
      <c r="Q45" s="794">
        <v>42943</v>
      </c>
      <c r="R45" s="697"/>
      <c r="S45" s="475"/>
      <c r="T45" s="899"/>
      <c r="U45" s="605" t="s">
        <v>676</v>
      </c>
      <c r="V45" s="1014" t="str">
        <f t="shared" si="0"/>
        <v>CNY</v>
      </c>
      <c r="W45" s="932"/>
      <c r="X45" s="932"/>
      <c r="Y45" s="933"/>
      <c r="Z45" s="933"/>
      <c r="AA45" s="933"/>
      <c r="AB45" s="1902"/>
      <c r="AC45" s="933"/>
      <c r="AD45" s="1013"/>
      <c r="AE45" s="1013"/>
      <c r="AF45" s="897"/>
      <c r="AG45" s="1013"/>
      <c r="AH45" s="897"/>
      <c r="AI45" s="897"/>
      <c r="AJ45" s="610" t="s">
        <v>669</v>
      </c>
      <c r="AK45" s="610" t="s">
        <v>1128</v>
      </c>
      <c r="AL45" s="610" t="str">
        <f t="shared" si="1"/>
        <v>CN</v>
      </c>
      <c r="AM45" s="551">
        <f>'Estimate Summary'!$D$9</f>
        <v>1</v>
      </c>
      <c r="AN45" s="610" t="s">
        <v>1136</v>
      </c>
      <c r="AO45" s="551">
        <f t="shared" si="2"/>
        <v>0</v>
      </c>
      <c r="AP45" s="610" t="str">
        <f t="shared" si="3"/>
        <v>CNY</v>
      </c>
      <c r="AQ45" s="610" t="s">
        <v>1139</v>
      </c>
      <c r="AR45" s="610" t="s">
        <v>670</v>
      </c>
      <c r="AS45" s="605" t="s">
        <v>745</v>
      </c>
      <c r="AT45" s="610" t="str">
        <f>'Estimate Summary'!$AT$11</f>
        <v>FOB SH</v>
      </c>
      <c r="AU45" s="610" t="str">
        <f t="shared" si="4"/>
        <v>CN</v>
      </c>
      <c r="AV45" s="610" t="s">
        <v>1140</v>
      </c>
      <c r="AW45" s="2255">
        <f t="shared" si="5"/>
        <v>42943</v>
      </c>
    </row>
    <row r="46" spans="1:49" hidden="1" outlineLevel="1">
      <c r="A46" s="383"/>
      <c r="B46" s="1077" t="s">
        <v>1227</v>
      </c>
      <c r="C46" s="1624" t="s">
        <v>787</v>
      </c>
      <c r="D46" s="1823" t="s">
        <v>179</v>
      </c>
      <c r="E46" s="2252">
        <f>IF(ISERROR(VLOOKUP($C46&amp;$D46,'WBC Mfg Matl'!$C$5:$N$22,4,0)),0,VLOOKUP($C46&amp;$D46,'WBC Mfg Matl'!$C$5:$N$22,4,0))</f>
        <v>0</v>
      </c>
      <c r="F46" s="1886">
        <f>IF(ISERROR(VLOOKUP($C46&amp;$D46,'WBC Mfg Matl'!$C$5:$N$22,12,0)),0,VLOOKUP($C46&amp;$D46,'WBC Mfg Matl'!$C$5:$N$22,12,0))</f>
        <v>0</v>
      </c>
      <c r="G46" s="1870">
        <f>IF($D46="CNY",IF(ISERROR(VLOOKUP($C46&amp;$D46,'WBC Mfg Matl'!$C$5:$N$22,5,0)),0,VLOOKUP($C46&amp;$D46,'WBC Mfg Matl'!$C$5:$N$22,5,0)/1000),IF(ISERROR(VLOOKUP($C46&amp;$D46,'WBC Mfg Matl'!$C$5:$N$22,6,0)),0,VLOOKUP($C46&amp;$D46,'WBC Mfg Matl'!$C$5:$N$22,6,0)/1000))</f>
        <v>0</v>
      </c>
      <c r="H46" s="1870">
        <f>IF(ISERROR(VLOOKUP($C46&amp;$D46,'WBC Mfg Matl'!$C$5:$N$22,11,0)),0,VLOOKUP($C46&amp;$D46,'WBC Mfg Matl'!$C$5:$N$22,11,0)/1000)</f>
        <v>0</v>
      </c>
      <c r="I46" s="1718">
        <f>IF('Estimate Summary'!$D$9&lt;2,0,$H46)</f>
        <v>0</v>
      </c>
      <c r="J46" s="1718">
        <f>IF('Estimate Summary'!$D$9&lt;3,0,$H46)</f>
        <v>0</v>
      </c>
      <c r="K46" s="1718">
        <f>IF('Estimate Summary'!$D$9&lt;4,0,$H46)</f>
        <v>0</v>
      </c>
      <c r="L46" s="1718">
        <f>IF('Estimate Summary'!$D$9&lt;5,0,$H46)</f>
        <v>0</v>
      </c>
      <c r="M46" s="1718">
        <f>IF('Estimate Summary'!$D$9&lt;6,0,$H46)</f>
        <v>0</v>
      </c>
      <c r="N46" s="1630"/>
      <c r="P46" s="2256"/>
      <c r="Q46" s="794">
        <v>42943</v>
      </c>
      <c r="R46" s="697"/>
      <c r="S46" s="475"/>
      <c r="T46" s="899"/>
      <c r="U46" s="605" t="s">
        <v>676</v>
      </c>
      <c r="V46" s="1014" t="str">
        <f t="shared" si="0"/>
        <v>EUR</v>
      </c>
      <c r="W46" s="932"/>
      <c r="X46" s="932"/>
      <c r="Y46" s="933"/>
      <c r="Z46" s="933"/>
      <c r="AA46" s="933"/>
      <c r="AB46" s="1902"/>
      <c r="AC46" s="933"/>
      <c r="AD46" s="1013"/>
      <c r="AE46" s="1013"/>
      <c r="AF46" s="897"/>
      <c r="AG46" s="1013"/>
      <c r="AH46" s="897"/>
      <c r="AI46" s="897"/>
      <c r="AJ46" s="610" t="s">
        <v>669</v>
      </c>
      <c r="AK46" s="610" t="s">
        <v>1128</v>
      </c>
      <c r="AL46" s="610" t="str">
        <f t="shared" si="1"/>
        <v>DE</v>
      </c>
      <c r="AM46" s="551">
        <f>'Estimate Summary'!$D$9</f>
        <v>1</v>
      </c>
      <c r="AN46" s="610" t="s">
        <v>1136</v>
      </c>
      <c r="AO46" s="551">
        <f t="shared" si="2"/>
        <v>0</v>
      </c>
      <c r="AP46" s="610" t="str">
        <f t="shared" si="3"/>
        <v>EUR</v>
      </c>
      <c r="AQ46" s="610" t="s">
        <v>1139</v>
      </c>
      <c r="AR46" s="610" t="s">
        <v>670</v>
      </c>
      <c r="AS46" s="605" t="s">
        <v>745</v>
      </c>
      <c r="AT46" s="610" t="str">
        <f>'Estimate Summary'!$AT$11</f>
        <v>FOB SH</v>
      </c>
      <c r="AU46" s="610" t="str">
        <f t="shared" si="4"/>
        <v>DE</v>
      </c>
      <c r="AV46" s="610" t="s">
        <v>1140</v>
      </c>
      <c r="AW46" s="2255">
        <f t="shared" si="5"/>
        <v>42943</v>
      </c>
    </row>
    <row r="47" spans="1:49" hidden="1" outlineLevel="1">
      <c r="A47" s="383"/>
      <c r="B47" s="1077" t="s">
        <v>1227</v>
      </c>
      <c r="C47" s="1624" t="s">
        <v>787</v>
      </c>
      <c r="D47" s="1823" t="s">
        <v>257</v>
      </c>
      <c r="E47" s="2252">
        <f>IF(ISERROR(VLOOKUP($C47&amp;$D47,'WBC Mfg Matl'!$C$5:$N$22,4,0)),0,VLOOKUP($C47&amp;$D47,'WBC Mfg Matl'!$C$5:$N$22,4,0))</f>
        <v>0</v>
      </c>
      <c r="F47" s="1886">
        <f>IF(ISERROR(VLOOKUP($C47&amp;$D47,'WBC Mfg Matl'!$C$5:$N$22,12,0)),0,VLOOKUP($C47&amp;$D47,'WBC Mfg Matl'!$C$5:$N$22,12,0))</f>
        <v>0</v>
      </c>
      <c r="G47" s="1870">
        <f>IF($D47="CNY",IF(ISERROR(VLOOKUP($C47&amp;$D47,'WBC Mfg Matl'!$C$5:$N$22,5,0)),0,VLOOKUP($C47&amp;$D47,'WBC Mfg Matl'!$C$5:$N$22,5,0)/1000),IF(ISERROR(VLOOKUP($C47&amp;$D47,'WBC Mfg Matl'!$C$5:$N$22,6,0)),0,VLOOKUP($C47&amp;$D47,'WBC Mfg Matl'!$C$5:$N$22,6,0)/1000))</f>
        <v>0</v>
      </c>
      <c r="H47" s="1870">
        <f>IF(ISERROR(VLOOKUP($C47&amp;$D47,'WBC Mfg Matl'!$C$5:$N$22,11,0)),0,VLOOKUP($C47&amp;$D47,'WBC Mfg Matl'!$C$5:$N$22,11,0)/1000)</f>
        <v>0</v>
      </c>
      <c r="I47" s="1718">
        <f>IF('Estimate Summary'!$D$9&lt;2,0,$H47)</f>
        <v>0</v>
      </c>
      <c r="J47" s="1718">
        <f>IF('Estimate Summary'!$D$9&lt;3,0,$H47)</f>
        <v>0</v>
      </c>
      <c r="K47" s="1718">
        <f>IF('Estimate Summary'!$D$9&lt;4,0,$H47)</f>
        <v>0</v>
      </c>
      <c r="L47" s="1718">
        <f>IF('Estimate Summary'!$D$9&lt;5,0,$H47)</f>
        <v>0</v>
      </c>
      <c r="M47" s="1718">
        <f>IF('Estimate Summary'!$D$9&lt;6,0,$H47)</f>
        <v>0</v>
      </c>
      <c r="N47" s="1630"/>
      <c r="P47" s="2256"/>
      <c r="Q47" s="794">
        <v>42943</v>
      </c>
      <c r="R47" s="697"/>
      <c r="S47" s="475"/>
      <c r="T47" s="899"/>
      <c r="U47" s="605" t="s">
        <v>676</v>
      </c>
      <c r="V47" s="1014" t="str">
        <f t="shared" si="0"/>
        <v>USD</v>
      </c>
      <c r="W47" s="932"/>
      <c r="X47" s="932"/>
      <c r="Y47" s="933"/>
      <c r="Z47" s="933"/>
      <c r="AA47" s="933"/>
      <c r="AB47" s="1902"/>
      <c r="AC47" s="933"/>
      <c r="AD47" s="1013"/>
      <c r="AE47" s="1013"/>
      <c r="AF47" s="897"/>
      <c r="AG47" s="1013"/>
      <c r="AH47" s="897"/>
      <c r="AI47" s="897"/>
      <c r="AJ47" s="610" t="s">
        <v>669</v>
      </c>
      <c r="AK47" s="610" t="s">
        <v>1128</v>
      </c>
      <c r="AL47" s="610" t="str">
        <f t="shared" si="1"/>
        <v>US</v>
      </c>
      <c r="AM47" s="551">
        <f>'Estimate Summary'!$D$9</f>
        <v>1</v>
      </c>
      <c r="AN47" s="610" t="s">
        <v>1136</v>
      </c>
      <c r="AO47" s="551">
        <f t="shared" si="2"/>
        <v>0</v>
      </c>
      <c r="AP47" s="610" t="str">
        <f t="shared" si="3"/>
        <v>USD</v>
      </c>
      <c r="AQ47" s="610" t="s">
        <v>1139</v>
      </c>
      <c r="AR47" s="610" t="s">
        <v>670</v>
      </c>
      <c r="AS47" s="605" t="s">
        <v>745</v>
      </c>
      <c r="AT47" s="610" t="str">
        <f>'Estimate Summary'!$AT$11</f>
        <v>FOB SH</v>
      </c>
      <c r="AU47" s="610" t="str">
        <f t="shared" si="4"/>
        <v>US</v>
      </c>
      <c r="AV47" s="610" t="s">
        <v>1140</v>
      </c>
      <c r="AW47" s="2255">
        <f t="shared" si="5"/>
        <v>42943</v>
      </c>
    </row>
    <row r="48" spans="1:49" collapsed="1">
      <c r="B48" s="2257"/>
      <c r="C48" s="95" t="s">
        <v>789</v>
      </c>
      <c r="D48" s="1823"/>
      <c r="E48" s="351">
        <f>SUM(E12:E47)</f>
        <v>3094.3688237941901</v>
      </c>
      <c r="F48" s="1868">
        <f>H48/E48*1000</f>
        <v>30.257168882092877</v>
      </c>
      <c r="G48" s="1870">
        <f>IF($D48="CNY",IF(ISERROR(VLOOKUP($C48&amp;$D48,'WBC Mfg Matl'!$C$5:$N$22,7,0)),0,VLOOKUP($C48&amp;$D48,'WBC Mfg Matl'!$C$5:$N$22,7,0)/1000),IF(ISERROR(VLOOKUP($C48&amp;$D48,'WBC Mfg Matl'!$C$5:$N$22,6,0)),0,VLOOKUP($C48&amp;$D48,'WBC Mfg Matl'!$C$5:$N$22,6,0)/1000))</f>
        <v>0</v>
      </c>
      <c r="H48" s="1712">
        <f t="shared" ref="H48:M48" si="6">SUM(H12:H47)</f>
        <v>93.6268400850239</v>
      </c>
      <c r="I48" s="104">
        <f t="shared" si="6"/>
        <v>0</v>
      </c>
      <c r="J48" s="104">
        <f t="shared" si="6"/>
        <v>0</v>
      </c>
      <c r="K48" s="104">
        <f t="shared" si="6"/>
        <v>0</v>
      </c>
      <c r="L48" s="104">
        <f t="shared" si="6"/>
        <v>0</v>
      </c>
      <c r="M48" s="104">
        <f t="shared" si="6"/>
        <v>0</v>
      </c>
      <c r="N48" s="2258"/>
      <c r="P48" s="1014"/>
      <c r="Q48" s="794">
        <v>42943</v>
      </c>
      <c r="R48" s="1014"/>
      <c r="S48" s="1014"/>
      <c r="T48" s="1014"/>
      <c r="U48" s="1014"/>
      <c r="V48" s="1014">
        <f t="shared" si="0"/>
        <v>0</v>
      </c>
      <c r="W48" s="932"/>
      <c r="X48" s="932"/>
      <c r="Y48" s="2259"/>
      <c r="Z48" s="2259"/>
      <c r="AA48" s="2259"/>
      <c r="AB48" s="1903"/>
      <c r="AC48" s="2259"/>
      <c r="AD48" s="1014"/>
      <c r="AE48" s="1014"/>
      <c r="AF48" s="932"/>
      <c r="AG48" s="1014"/>
      <c r="AH48" s="932"/>
      <c r="AI48" s="932"/>
      <c r="AL48" s="610" t="b">
        <f t="shared" si="1"/>
        <v>0</v>
      </c>
      <c r="AM48" s="551">
        <f>'Estimate Summary'!$D$9</f>
        <v>1</v>
      </c>
      <c r="AN48" s="610" t="s">
        <v>1136</v>
      </c>
      <c r="AO48" s="551">
        <f t="shared" si="2"/>
        <v>0</v>
      </c>
      <c r="AP48" s="610">
        <f t="shared" si="3"/>
        <v>0</v>
      </c>
      <c r="AQ48" s="610" t="s">
        <v>1139</v>
      </c>
      <c r="AR48" s="610" t="s">
        <v>670</v>
      </c>
      <c r="AS48" s="605" t="s">
        <v>745</v>
      </c>
      <c r="AT48" s="610" t="str">
        <f>'Estimate Summary'!$AT$11</f>
        <v>FOB SH</v>
      </c>
      <c r="AU48" s="610" t="b">
        <f t="shared" si="4"/>
        <v>0</v>
      </c>
      <c r="AV48" s="610" t="s">
        <v>1140</v>
      </c>
      <c r="AW48" s="2255">
        <f t="shared" si="5"/>
        <v>42943</v>
      </c>
    </row>
    <row r="49" spans="1:49">
      <c r="B49" s="96" t="s">
        <v>790</v>
      </c>
      <c r="C49" s="95"/>
      <c r="D49" s="1824"/>
      <c r="E49" s="588"/>
      <c r="F49" s="1886"/>
      <c r="G49" s="1869"/>
      <c r="H49" s="1736"/>
      <c r="I49" s="1743"/>
      <c r="J49" s="104"/>
      <c r="K49" s="104"/>
      <c r="L49" s="104"/>
      <c r="M49" s="104"/>
      <c r="N49" s="2260"/>
      <c r="P49" s="1926"/>
      <c r="Q49" s="2010">
        <v>42943</v>
      </c>
      <c r="R49" s="1926"/>
      <c r="S49" s="1926"/>
      <c r="T49" s="1926"/>
      <c r="U49" s="1926"/>
      <c r="V49" s="1926">
        <f t="shared" si="0"/>
        <v>0</v>
      </c>
      <c r="W49" s="875"/>
      <c r="X49" s="875"/>
      <c r="Y49" s="2261"/>
      <c r="Z49" s="2261"/>
      <c r="AA49" s="2261"/>
      <c r="AB49" s="2261"/>
      <c r="AC49" s="2261"/>
      <c r="AD49" s="1926"/>
      <c r="AE49" s="1926"/>
      <c r="AF49" s="875"/>
      <c r="AG49" s="1926"/>
      <c r="AH49" s="875"/>
      <c r="AI49" s="875"/>
      <c r="AL49" s="610" t="b">
        <f t="shared" si="1"/>
        <v>0</v>
      </c>
      <c r="AM49" s="551">
        <f>'Estimate Summary'!$D$9</f>
        <v>1</v>
      </c>
      <c r="AN49" s="610" t="s">
        <v>1136</v>
      </c>
      <c r="AO49" s="551">
        <f t="shared" si="2"/>
        <v>0</v>
      </c>
      <c r="AP49" s="610">
        <f t="shared" si="3"/>
        <v>0</v>
      </c>
      <c r="AQ49" s="610" t="s">
        <v>1139</v>
      </c>
      <c r="AR49" s="610" t="s">
        <v>670</v>
      </c>
      <c r="AS49" s="605" t="s">
        <v>745</v>
      </c>
      <c r="AT49" s="610" t="str">
        <f>'Estimate Summary'!$AT$11</f>
        <v>FOB SH</v>
      </c>
      <c r="AU49" s="610" t="b">
        <f t="shared" si="4"/>
        <v>0</v>
      </c>
      <c r="AV49" s="610" t="s">
        <v>1140</v>
      </c>
      <c r="AW49" s="2255">
        <f t="shared" si="5"/>
        <v>42943</v>
      </c>
    </row>
    <row r="50" spans="1:49">
      <c r="A50" s="383"/>
      <c r="B50" s="1077" t="s">
        <v>788</v>
      </c>
      <c r="C50" s="482" t="s">
        <v>791</v>
      </c>
      <c r="D50" s="1823" t="s">
        <v>181</v>
      </c>
      <c r="E50" s="2252"/>
      <c r="F50" s="1886"/>
      <c r="G50" s="1809">
        <f>E50*F50/1000</f>
        <v>0</v>
      </c>
      <c r="H50" s="1808">
        <f>G50</f>
        <v>0</v>
      </c>
      <c r="I50" s="1718">
        <f>IF('Estimate Summary'!$D$9&lt;2,0,$H50)</f>
        <v>0</v>
      </c>
      <c r="J50" s="1718">
        <f>IF('Estimate Summary'!$D$9&lt;3,0,$H50)</f>
        <v>0</v>
      </c>
      <c r="K50" s="1718">
        <f>IF('Estimate Summary'!$D$9&lt;4,0,$H50)</f>
        <v>0</v>
      </c>
      <c r="L50" s="1718">
        <f>IF('Estimate Summary'!$D$9&lt;5,0,$H50)</f>
        <v>0</v>
      </c>
      <c r="M50" s="1718">
        <f>IF('Estimate Summary'!$D$9&lt;6,0,$H50)</f>
        <v>0</v>
      </c>
      <c r="N50" s="1630"/>
      <c r="P50" s="1014"/>
      <c r="Q50" s="794">
        <v>42943</v>
      </c>
      <c r="R50" s="1014"/>
      <c r="S50" s="1014"/>
      <c r="T50" s="1014"/>
      <c r="U50" s="1014" t="s">
        <v>676</v>
      </c>
      <c r="V50" s="1014" t="str">
        <f t="shared" si="0"/>
        <v>CNY</v>
      </c>
      <c r="W50" s="932"/>
      <c r="X50" s="932"/>
      <c r="Y50" s="2259"/>
      <c r="Z50" s="2259"/>
      <c r="AA50" s="2259"/>
      <c r="AB50" s="1903"/>
      <c r="AC50" s="2259"/>
      <c r="AD50" s="1014"/>
      <c r="AE50" s="1014"/>
      <c r="AF50" s="932"/>
      <c r="AG50" s="1014"/>
      <c r="AH50" s="932"/>
      <c r="AI50" s="932"/>
      <c r="AJ50" s="610" t="s">
        <v>669</v>
      </c>
      <c r="AK50" s="610" t="s">
        <v>1128</v>
      </c>
      <c r="AL50" s="610" t="str">
        <f t="shared" si="1"/>
        <v>CN</v>
      </c>
      <c r="AM50" s="551">
        <f>'Estimate Summary'!$D$9</f>
        <v>1</v>
      </c>
      <c r="AN50" s="610" t="s">
        <v>1136</v>
      </c>
      <c r="AO50" s="551">
        <f t="shared" si="2"/>
        <v>0</v>
      </c>
      <c r="AP50" s="610" t="str">
        <f t="shared" si="3"/>
        <v>CNY</v>
      </c>
      <c r="AQ50" s="610" t="s">
        <v>1139</v>
      </c>
      <c r="AR50" s="610" t="s">
        <v>670</v>
      </c>
      <c r="AS50" s="605" t="s">
        <v>745</v>
      </c>
      <c r="AT50" s="610" t="str">
        <f>'Estimate Summary'!$AT$11</f>
        <v>FOB SH</v>
      </c>
      <c r="AU50" s="610" t="str">
        <f t="shared" si="4"/>
        <v>CN</v>
      </c>
      <c r="AV50" s="610" t="s">
        <v>1140</v>
      </c>
      <c r="AW50" s="2255">
        <f t="shared" si="5"/>
        <v>42943</v>
      </c>
    </row>
    <row r="51" spans="1:49">
      <c r="A51" s="383"/>
      <c r="B51" s="1077" t="s">
        <v>788</v>
      </c>
      <c r="C51" s="482" t="s">
        <v>792</v>
      </c>
      <c r="D51" s="1823" t="s">
        <v>181</v>
      </c>
      <c r="E51" s="2252"/>
      <c r="F51" s="1886">
        <f>IF(E51=0,0,H51/E51*1000)</f>
        <v>0</v>
      </c>
      <c r="G51" s="1809"/>
      <c r="H51" s="1808">
        <f>G51</f>
        <v>0</v>
      </c>
      <c r="I51" s="1718">
        <f>IF('Estimate Summary'!$D$9&lt;2,0,$H51)</f>
        <v>0</v>
      </c>
      <c r="J51" s="1718">
        <f>IF('Estimate Summary'!$D$9&lt;3,0,$H51)</f>
        <v>0</v>
      </c>
      <c r="K51" s="1718">
        <f>IF('Estimate Summary'!$D$9&lt;4,0,$H51)</f>
        <v>0</v>
      </c>
      <c r="L51" s="1718">
        <f>IF('Estimate Summary'!$D$9&lt;5,0,$H51)</f>
        <v>0</v>
      </c>
      <c r="M51" s="1718">
        <f>IF('Estimate Summary'!$D$9&lt;6,0,$H51)</f>
        <v>0</v>
      </c>
      <c r="N51" s="1630"/>
      <c r="P51" s="1014"/>
      <c r="Q51" s="794">
        <v>42943</v>
      </c>
      <c r="R51" s="1014"/>
      <c r="S51" s="1014"/>
      <c r="T51" s="1014"/>
      <c r="U51" s="1014" t="s">
        <v>676</v>
      </c>
      <c r="V51" s="1014" t="str">
        <f t="shared" si="0"/>
        <v>CNY</v>
      </c>
      <c r="W51" s="932"/>
      <c r="X51" s="932"/>
      <c r="Y51" s="2259"/>
      <c r="Z51" s="2259"/>
      <c r="AA51" s="2259"/>
      <c r="AB51" s="1903"/>
      <c r="AC51" s="2259"/>
      <c r="AD51" s="1014"/>
      <c r="AE51" s="1014"/>
      <c r="AF51" s="932"/>
      <c r="AG51" s="1014"/>
      <c r="AH51" s="932"/>
      <c r="AI51" s="932"/>
      <c r="AJ51" s="610" t="s">
        <v>669</v>
      </c>
      <c r="AK51" s="610" t="s">
        <v>1128</v>
      </c>
      <c r="AL51" s="610" t="str">
        <f t="shared" si="1"/>
        <v>CN</v>
      </c>
      <c r="AM51" s="551">
        <f>'Estimate Summary'!$D$9</f>
        <v>1</v>
      </c>
      <c r="AN51" s="610" t="s">
        <v>1136</v>
      </c>
      <c r="AO51" s="551">
        <f t="shared" si="2"/>
        <v>0</v>
      </c>
      <c r="AP51" s="610" t="str">
        <f t="shared" si="3"/>
        <v>CNY</v>
      </c>
      <c r="AQ51" s="610" t="s">
        <v>1139</v>
      </c>
      <c r="AR51" s="610" t="s">
        <v>670</v>
      </c>
      <c r="AS51" s="605" t="s">
        <v>745</v>
      </c>
      <c r="AT51" s="610" t="str">
        <f>'Estimate Summary'!$AT$11</f>
        <v>FOB SH</v>
      </c>
      <c r="AU51" s="610" t="str">
        <f t="shared" si="4"/>
        <v>CN</v>
      </c>
      <c r="AV51" s="610" t="s">
        <v>1140</v>
      </c>
      <c r="AW51" s="2255">
        <f t="shared" si="5"/>
        <v>42943</v>
      </c>
    </row>
    <row r="52" spans="1:49">
      <c r="A52" s="383"/>
      <c r="B52" s="1077" t="s">
        <v>788</v>
      </c>
      <c r="C52" s="482" t="s">
        <v>793</v>
      </c>
      <c r="D52" s="1823" t="s">
        <v>181</v>
      </c>
      <c r="E52" s="2627">
        <f>E48*20%</f>
        <v>618.87376475883809</v>
      </c>
      <c r="F52" s="1886">
        <v>5.8</v>
      </c>
      <c r="G52" s="2619">
        <f>E52*F52/1000</f>
        <v>3.589467835601261</v>
      </c>
      <c r="H52" s="2620">
        <f>G52</f>
        <v>3.589467835601261</v>
      </c>
      <c r="I52" s="1718">
        <f>IF('Estimate Summary'!$D$9&lt;2,0,$H52)</f>
        <v>0</v>
      </c>
      <c r="J52" s="1718">
        <f>IF('Estimate Summary'!$D$9&lt;3,0,$H52)</f>
        <v>0</v>
      </c>
      <c r="K52" s="1718">
        <f>IF('Estimate Summary'!$D$9&lt;4,0,$H52)</f>
        <v>0</v>
      </c>
      <c r="L52" s="1718">
        <f>IF('Estimate Summary'!$D$9&lt;5,0,$H52)</f>
        <v>0</v>
      </c>
      <c r="M52" s="1718">
        <f>IF('Estimate Summary'!$D$9&lt;6,0,$H52)</f>
        <v>0</v>
      </c>
      <c r="N52" s="1630"/>
      <c r="P52" s="1014"/>
      <c r="Q52" s="794">
        <v>42943</v>
      </c>
      <c r="R52" s="1014"/>
      <c r="S52" s="1014"/>
      <c r="T52" s="1014"/>
      <c r="U52" s="1014" t="s">
        <v>676</v>
      </c>
      <c r="V52" s="1014" t="str">
        <f t="shared" si="0"/>
        <v>CNY</v>
      </c>
      <c r="W52" s="932"/>
      <c r="X52" s="932"/>
      <c r="Y52" s="2259"/>
      <c r="Z52" s="2259"/>
      <c r="AA52" s="2259"/>
      <c r="AB52" s="1903"/>
      <c r="AC52" s="2259"/>
      <c r="AD52" s="1014"/>
      <c r="AE52" s="1014"/>
      <c r="AF52" s="932"/>
      <c r="AG52" s="1014"/>
      <c r="AH52" s="932"/>
      <c r="AI52" s="932"/>
      <c r="AJ52" s="610" t="s">
        <v>669</v>
      </c>
      <c r="AK52" s="610" t="s">
        <v>1128</v>
      </c>
      <c r="AL52" s="610" t="str">
        <f t="shared" si="1"/>
        <v>CN</v>
      </c>
      <c r="AM52" s="551">
        <f>'Estimate Summary'!$D$9</f>
        <v>1</v>
      </c>
      <c r="AN52" s="610" t="s">
        <v>1136</v>
      </c>
      <c r="AO52" s="551">
        <f t="shared" si="2"/>
        <v>3.589467835601261</v>
      </c>
      <c r="AP52" s="610" t="str">
        <f t="shared" si="3"/>
        <v>CNY</v>
      </c>
      <c r="AQ52" s="610" t="s">
        <v>1139</v>
      </c>
      <c r="AR52" s="610" t="s">
        <v>670</v>
      </c>
      <c r="AS52" s="605" t="s">
        <v>745</v>
      </c>
      <c r="AT52" s="610" t="str">
        <f>'Estimate Summary'!$AT$11</f>
        <v>FOB SH</v>
      </c>
      <c r="AU52" s="610" t="str">
        <f t="shared" si="4"/>
        <v>CN</v>
      </c>
      <c r="AV52" s="610" t="s">
        <v>1140</v>
      </c>
      <c r="AW52" s="2255">
        <f t="shared" si="5"/>
        <v>42943</v>
      </c>
    </row>
    <row r="53" spans="1:49">
      <c r="A53" s="383"/>
      <c r="B53" s="1077" t="s">
        <v>788</v>
      </c>
      <c r="C53" s="482" t="s">
        <v>794</v>
      </c>
      <c r="D53" s="1823" t="s">
        <v>181</v>
      </c>
      <c r="E53" s="2252"/>
      <c r="F53" s="1886">
        <f>IF(E53=0,0,H53/E53*1000)</f>
        <v>0</v>
      </c>
      <c r="G53" s="1809"/>
      <c r="H53" s="1808">
        <f>G53</f>
        <v>0</v>
      </c>
      <c r="I53" s="1718">
        <f>IF('Estimate Summary'!$D$9&lt;2,0,$H53)</f>
        <v>0</v>
      </c>
      <c r="J53" s="1718">
        <f>IF('Estimate Summary'!$D$9&lt;3,0,$H53)</f>
        <v>0</v>
      </c>
      <c r="K53" s="1718">
        <f>IF('Estimate Summary'!$D$9&lt;4,0,$H53)</f>
        <v>0</v>
      </c>
      <c r="L53" s="1718">
        <f>IF('Estimate Summary'!$D$9&lt;5,0,$H53)</f>
        <v>0</v>
      </c>
      <c r="M53" s="1718">
        <f>IF('Estimate Summary'!$D$9&lt;6,0,$H53)</f>
        <v>0</v>
      </c>
      <c r="N53" s="1754"/>
      <c r="P53" s="1014"/>
      <c r="Q53" s="794">
        <v>42943</v>
      </c>
      <c r="R53" s="1014"/>
      <c r="S53" s="1014"/>
      <c r="T53" s="1014"/>
      <c r="U53" s="1014" t="s">
        <v>676</v>
      </c>
      <c r="V53" s="1014" t="str">
        <f t="shared" si="0"/>
        <v>CNY</v>
      </c>
      <c r="W53" s="932"/>
      <c r="X53" s="932"/>
      <c r="Y53" s="2259"/>
      <c r="Z53" s="2259"/>
      <c r="AA53" s="2259"/>
      <c r="AB53" s="1903"/>
      <c r="AC53" s="2259"/>
      <c r="AD53" s="1014"/>
      <c r="AE53" s="1014"/>
      <c r="AF53" s="932"/>
      <c r="AG53" s="1014"/>
      <c r="AH53" s="932"/>
      <c r="AI53" s="932"/>
      <c r="AJ53" s="610" t="s">
        <v>669</v>
      </c>
      <c r="AK53" s="610" t="s">
        <v>1128</v>
      </c>
      <c r="AL53" s="610" t="str">
        <f t="shared" si="1"/>
        <v>CN</v>
      </c>
      <c r="AM53" s="551">
        <f>'Estimate Summary'!$D$9</f>
        <v>1</v>
      </c>
      <c r="AN53" s="610" t="s">
        <v>1136</v>
      </c>
      <c r="AO53" s="551">
        <f t="shared" si="2"/>
        <v>0</v>
      </c>
      <c r="AP53" s="610" t="str">
        <f t="shared" si="3"/>
        <v>CNY</v>
      </c>
      <c r="AQ53" s="610" t="s">
        <v>1139</v>
      </c>
      <c r="AR53" s="610" t="s">
        <v>670</v>
      </c>
      <c r="AS53" s="605" t="s">
        <v>745</v>
      </c>
      <c r="AT53" s="610" t="str">
        <f>'Estimate Summary'!$AT$11</f>
        <v>FOB SH</v>
      </c>
      <c r="AU53" s="610" t="str">
        <f t="shared" si="4"/>
        <v>CN</v>
      </c>
      <c r="AV53" s="610" t="s">
        <v>1140</v>
      </c>
      <c r="AW53" s="2255">
        <f t="shared" si="5"/>
        <v>42943</v>
      </c>
    </row>
    <row r="54" spans="1:49">
      <c r="B54" s="2257"/>
      <c r="C54" s="95" t="s">
        <v>799</v>
      </c>
      <c r="D54" s="1823"/>
      <c r="E54" s="97">
        <f>SUM(E50:E53)</f>
        <v>618.87376475883809</v>
      </c>
      <c r="F54" s="1886"/>
      <c r="G54" s="1869"/>
      <c r="H54" s="97">
        <f t="shared" ref="H54:M54" si="7">SUM(H50:H53)</f>
        <v>3.589467835601261</v>
      </c>
      <c r="I54" s="104">
        <f t="shared" si="7"/>
        <v>0</v>
      </c>
      <c r="J54" s="104">
        <f t="shared" si="7"/>
        <v>0</v>
      </c>
      <c r="K54" s="104">
        <f t="shared" si="7"/>
        <v>0</v>
      </c>
      <c r="L54" s="104">
        <f t="shared" si="7"/>
        <v>0</v>
      </c>
      <c r="M54" s="104">
        <f t="shared" si="7"/>
        <v>0</v>
      </c>
      <c r="N54" s="2262"/>
      <c r="Q54" s="794">
        <v>42943</v>
      </c>
      <c r="T54" s="551"/>
      <c r="V54" s="603">
        <f t="shared" si="0"/>
        <v>0</v>
      </c>
      <c r="Z54" s="1671"/>
      <c r="AA54" s="1671"/>
      <c r="AL54" s="610" t="b">
        <f t="shared" si="1"/>
        <v>0</v>
      </c>
      <c r="AM54" s="551">
        <f>'Estimate Summary'!$D$9</f>
        <v>1</v>
      </c>
      <c r="AN54" s="610" t="s">
        <v>1136</v>
      </c>
      <c r="AO54" s="551">
        <f t="shared" si="2"/>
        <v>0</v>
      </c>
      <c r="AP54" s="610">
        <f t="shared" si="3"/>
        <v>0</v>
      </c>
      <c r="AQ54" s="610" t="s">
        <v>1139</v>
      </c>
      <c r="AR54" s="610" t="s">
        <v>670</v>
      </c>
      <c r="AS54" s="605" t="s">
        <v>745</v>
      </c>
      <c r="AT54" s="610" t="str">
        <f>'Estimate Summary'!$AT$11</f>
        <v>FOB SH</v>
      </c>
      <c r="AU54" s="610" t="b">
        <f t="shared" si="4"/>
        <v>0</v>
      </c>
      <c r="AV54" s="610" t="s">
        <v>1140</v>
      </c>
      <c r="AW54" s="2255">
        <f t="shared" si="5"/>
        <v>42943</v>
      </c>
    </row>
    <row r="55" spans="1:49">
      <c r="B55" s="1638" t="s">
        <v>798</v>
      </c>
      <c r="C55" s="1632"/>
      <c r="D55" s="1823"/>
      <c r="E55" s="1637"/>
      <c r="F55" s="1868"/>
      <c r="G55" s="1869"/>
      <c r="H55" s="1712"/>
      <c r="I55" s="104"/>
      <c r="J55" s="104"/>
      <c r="K55" s="104"/>
      <c r="L55" s="104"/>
      <c r="M55" s="104"/>
      <c r="N55" s="2262"/>
      <c r="P55" s="1926"/>
      <c r="Q55" s="2010">
        <v>42943</v>
      </c>
      <c r="R55" s="1926"/>
      <c r="S55" s="1926"/>
      <c r="T55" s="1926"/>
      <c r="U55" s="1926"/>
      <c r="V55" s="1926">
        <f t="shared" si="0"/>
        <v>0</v>
      </c>
      <c r="W55" s="875"/>
      <c r="X55" s="875"/>
      <c r="Y55" s="2261"/>
      <c r="Z55" s="2261"/>
      <c r="AA55" s="2261"/>
      <c r="AB55" s="2261"/>
      <c r="AC55" s="2261"/>
      <c r="AD55" s="1926"/>
      <c r="AE55" s="1926"/>
      <c r="AF55" s="875"/>
      <c r="AG55" s="1926"/>
      <c r="AH55" s="875"/>
      <c r="AI55" s="875"/>
      <c r="AL55" s="610" t="b">
        <f t="shared" si="1"/>
        <v>0</v>
      </c>
      <c r="AM55" s="551">
        <f>'Estimate Summary'!$D$9</f>
        <v>1</v>
      </c>
      <c r="AN55" s="610" t="s">
        <v>1136</v>
      </c>
      <c r="AO55" s="551">
        <f t="shared" si="2"/>
        <v>0</v>
      </c>
      <c r="AP55" s="610">
        <f t="shared" si="3"/>
        <v>0</v>
      </c>
      <c r="AQ55" s="610" t="s">
        <v>1139</v>
      </c>
      <c r="AR55" s="610" t="s">
        <v>670</v>
      </c>
      <c r="AS55" s="605" t="s">
        <v>745</v>
      </c>
      <c r="AT55" s="610" t="str">
        <f>'Estimate Summary'!$AT$11</f>
        <v>FOB SH</v>
      </c>
      <c r="AU55" s="610" t="b">
        <f t="shared" si="4"/>
        <v>0</v>
      </c>
      <c r="AV55" s="610" t="s">
        <v>1140</v>
      </c>
      <c r="AW55" s="2255">
        <f t="shared" si="5"/>
        <v>42943</v>
      </c>
    </row>
    <row r="56" spans="1:49">
      <c r="A56" s="383"/>
      <c r="B56" s="1077" t="s">
        <v>795</v>
      </c>
      <c r="C56" s="482" t="s">
        <v>800</v>
      </c>
      <c r="D56" s="1823" t="s">
        <v>181</v>
      </c>
      <c r="E56" s="2252">
        <f>'WBC Mfg Matl'!E27</f>
        <v>0</v>
      </c>
      <c r="F56" s="1886">
        <f>IF(E56=0,0,H56/E56*1000)</f>
        <v>0</v>
      </c>
      <c r="G56" s="1809">
        <f>'WBC Mfg Matl'!F27/1000</f>
        <v>0</v>
      </c>
      <c r="H56" s="1870">
        <f>G56</f>
        <v>0</v>
      </c>
      <c r="I56" s="1718">
        <f>IF('Estimate Summary'!$D$9&lt;2,0,$H56)</f>
        <v>0</v>
      </c>
      <c r="J56" s="1718">
        <f>IF('Estimate Summary'!$D$9&lt;3,0,$H56)</f>
        <v>0</v>
      </c>
      <c r="K56" s="1718">
        <f>IF('Estimate Summary'!$D$9&lt;4,0,$H56)</f>
        <v>0</v>
      </c>
      <c r="L56" s="1718">
        <f>IF('Estimate Summary'!$D$9&lt;5,0,$H56)</f>
        <v>0</v>
      </c>
      <c r="M56" s="1718">
        <f>IF('Estimate Summary'!$D$9&lt;6,0,$H56)</f>
        <v>0</v>
      </c>
      <c r="N56" s="1630"/>
      <c r="P56" s="1014"/>
      <c r="Q56" s="794">
        <v>42943</v>
      </c>
      <c r="R56" s="1014"/>
      <c r="S56" s="1014"/>
      <c r="T56" s="1014"/>
      <c r="U56" s="1014" t="s">
        <v>676</v>
      </c>
      <c r="V56" s="1014" t="str">
        <f t="shared" si="0"/>
        <v>CNY</v>
      </c>
      <c r="W56" s="932"/>
      <c r="X56" s="932"/>
      <c r="Y56" s="2259"/>
      <c r="Z56" s="2259"/>
      <c r="AA56" s="2259"/>
      <c r="AB56" s="2259"/>
      <c r="AC56" s="2259"/>
      <c r="AD56" s="1014"/>
      <c r="AE56" s="1014"/>
      <c r="AF56" s="932"/>
      <c r="AG56" s="1014"/>
      <c r="AH56" s="932"/>
      <c r="AI56" s="932"/>
      <c r="AJ56" s="610" t="s">
        <v>669</v>
      </c>
      <c r="AK56" s="610" t="s">
        <v>1128</v>
      </c>
      <c r="AL56" s="610" t="str">
        <f t="shared" si="1"/>
        <v>CN</v>
      </c>
      <c r="AM56" s="551">
        <f>'Estimate Summary'!$D$9</f>
        <v>1</v>
      </c>
      <c r="AN56" s="610" t="s">
        <v>1136</v>
      </c>
      <c r="AO56" s="551">
        <f t="shared" si="2"/>
        <v>0</v>
      </c>
      <c r="AP56" s="610" t="str">
        <f t="shared" si="3"/>
        <v>CNY</v>
      </c>
      <c r="AQ56" s="610" t="s">
        <v>1139</v>
      </c>
      <c r="AR56" s="610" t="s">
        <v>670</v>
      </c>
      <c r="AS56" s="605" t="s">
        <v>745</v>
      </c>
      <c r="AT56" s="610" t="str">
        <f>'Estimate Summary'!$AT$11</f>
        <v>FOB SH</v>
      </c>
      <c r="AU56" s="610" t="str">
        <f t="shared" si="4"/>
        <v>CN</v>
      </c>
      <c r="AV56" s="610" t="s">
        <v>1140</v>
      </c>
      <c r="AW56" s="2255">
        <f t="shared" si="5"/>
        <v>42943</v>
      </c>
    </row>
    <row r="57" spans="1:49" hidden="1" outlineLevel="1">
      <c r="A57" s="383"/>
      <c r="B57" s="1077" t="s">
        <v>795</v>
      </c>
      <c r="C57" s="2502" t="s">
        <v>1642</v>
      </c>
      <c r="D57" s="1823" t="s">
        <v>181</v>
      </c>
      <c r="E57" s="2367"/>
      <c r="F57" s="2503"/>
      <c r="G57" s="2367"/>
      <c r="H57" s="1870"/>
      <c r="I57" s="1718">
        <f>IF('Estimate Summary'!$D$9&lt;2,0,$H57)</f>
        <v>0</v>
      </c>
      <c r="J57" s="1718">
        <f>IF('Estimate Summary'!$D$9&lt;3,0,$H57)</f>
        <v>0</v>
      </c>
      <c r="K57" s="1718">
        <f>IF('Estimate Summary'!$D$9&lt;4,0,$H57)</f>
        <v>0</v>
      </c>
      <c r="L57" s="1718">
        <f>IF('Estimate Summary'!$D$9&lt;5,0,$H57)</f>
        <v>0</v>
      </c>
      <c r="M57" s="1718">
        <f>IF('Estimate Summary'!$D$9&lt;6,0,$H57)</f>
        <v>0</v>
      </c>
      <c r="N57" s="2504"/>
      <c r="P57" s="1014"/>
      <c r="Q57" s="794">
        <v>42944</v>
      </c>
      <c r="R57" s="1014"/>
      <c r="S57" s="1014"/>
      <c r="T57" s="1014"/>
      <c r="U57" s="1014" t="s">
        <v>676</v>
      </c>
      <c r="V57" s="1014" t="str">
        <f t="shared" ref="V57" si="8">D57</f>
        <v>CNY</v>
      </c>
      <c r="W57" s="932"/>
      <c r="X57" s="932"/>
      <c r="Y57" s="2259"/>
      <c r="Z57" s="2259"/>
      <c r="AA57" s="2259"/>
      <c r="AB57" s="2259"/>
      <c r="AC57" s="2259"/>
      <c r="AD57" s="1014"/>
      <c r="AE57" s="1014"/>
      <c r="AF57" s="932"/>
      <c r="AG57" s="1014"/>
      <c r="AH57" s="932"/>
      <c r="AI57" s="932"/>
      <c r="AJ57" s="610" t="s">
        <v>669</v>
      </c>
      <c r="AK57" s="610" t="s">
        <v>1128</v>
      </c>
      <c r="AL57" s="610" t="str">
        <f t="shared" ref="AL57" si="9">IF(D57="CNY","CN",IF(D57="EUR","DE",IF(D57="USD","US",IF(D57="JPY","JP",IF(D57="INR","IN")))))</f>
        <v>CN</v>
      </c>
      <c r="AM57" s="551">
        <f>'Estimate Summary'!$D$9</f>
        <v>1</v>
      </c>
      <c r="AN57" s="610" t="s">
        <v>1136</v>
      </c>
      <c r="AO57" s="551">
        <f t="shared" ref="AO57" si="10">G57</f>
        <v>0</v>
      </c>
      <c r="AP57" s="610" t="str">
        <f t="shared" ref="AP57" si="11">D57</f>
        <v>CNY</v>
      </c>
      <c r="AQ57" s="610" t="s">
        <v>1139</v>
      </c>
      <c r="AR57" s="610" t="s">
        <v>670</v>
      </c>
      <c r="AS57" s="605" t="s">
        <v>745</v>
      </c>
      <c r="AT57" s="610" t="str">
        <f>'Estimate Summary'!$AT$11</f>
        <v>FOB SH</v>
      </c>
      <c r="AU57" s="610" t="str">
        <f t="shared" ref="AU57" si="12">AL57</f>
        <v>CN</v>
      </c>
      <c r="AV57" s="610" t="s">
        <v>1140</v>
      </c>
      <c r="AW57" s="2255">
        <f t="shared" ref="AW57" si="13">Q57</f>
        <v>42944</v>
      </c>
    </row>
    <row r="58" spans="1:49" collapsed="1">
      <c r="B58" s="408"/>
      <c r="C58" s="95" t="s">
        <v>801</v>
      </c>
      <c r="D58" s="1823"/>
      <c r="E58" s="588"/>
      <c r="F58" s="1886"/>
      <c r="G58" s="1869"/>
      <c r="H58" s="1712">
        <f>SUM(H56:H57)</f>
        <v>0</v>
      </c>
      <c r="I58" s="1712">
        <f t="shared" ref="I58:M58" si="14">SUM(I56:I57)</f>
        <v>0</v>
      </c>
      <c r="J58" s="1712">
        <f t="shared" si="14"/>
        <v>0</v>
      </c>
      <c r="K58" s="1712">
        <f t="shared" si="14"/>
        <v>0</v>
      </c>
      <c r="L58" s="1712">
        <f t="shared" si="14"/>
        <v>0</v>
      </c>
      <c r="M58" s="1712">
        <f t="shared" si="14"/>
        <v>0</v>
      </c>
      <c r="N58" s="2262"/>
      <c r="P58" s="579"/>
      <c r="Q58" s="580"/>
      <c r="R58" s="580"/>
      <c r="S58" s="581"/>
      <c r="T58" s="581"/>
      <c r="V58" s="603">
        <f t="shared" si="0"/>
        <v>0</v>
      </c>
      <c r="AD58" s="2263"/>
      <c r="AE58" s="2263"/>
      <c r="AL58" s="610" t="b">
        <f t="shared" si="1"/>
        <v>0</v>
      </c>
      <c r="AM58" s="551">
        <f>'Estimate Summary'!$D$9</f>
        <v>1</v>
      </c>
      <c r="AN58" s="610" t="s">
        <v>1136</v>
      </c>
      <c r="AO58" s="551">
        <f t="shared" si="2"/>
        <v>0</v>
      </c>
      <c r="AP58" s="610">
        <f t="shared" si="3"/>
        <v>0</v>
      </c>
      <c r="AQ58" s="610" t="s">
        <v>1139</v>
      </c>
      <c r="AR58" s="610" t="s">
        <v>670</v>
      </c>
      <c r="AS58" s="605" t="s">
        <v>745</v>
      </c>
      <c r="AT58" s="610" t="str">
        <f>'Estimate Summary'!$AT$11</f>
        <v>FOB SH</v>
      </c>
      <c r="AU58" s="610" t="b">
        <f t="shared" si="4"/>
        <v>0</v>
      </c>
      <c r="AV58" s="610" t="s">
        <v>1140</v>
      </c>
      <c r="AW58" s="2255">
        <f t="shared" si="5"/>
        <v>0</v>
      </c>
    </row>
    <row r="59" spans="1:49" s="605" customFormat="1" ht="25.5">
      <c r="B59" s="98" t="s">
        <v>796</v>
      </c>
      <c r="C59" s="95"/>
      <c r="D59" s="1824"/>
      <c r="E59" s="420" t="s">
        <v>176</v>
      </c>
      <c r="F59" s="420"/>
      <c r="G59" s="1606"/>
      <c r="H59" s="1870"/>
      <c r="I59" s="1718"/>
      <c r="J59" s="1718"/>
      <c r="K59" s="1718"/>
      <c r="L59" s="1718"/>
      <c r="M59" s="1718"/>
      <c r="N59" s="637"/>
      <c r="P59" s="1926"/>
      <c r="Q59" s="1926"/>
      <c r="R59" s="1926"/>
      <c r="S59" s="1926"/>
      <c r="T59" s="1926"/>
      <c r="U59" s="1926"/>
      <c r="V59" s="1926">
        <f t="shared" si="0"/>
        <v>0</v>
      </c>
      <c r="W59" s="875"/>
      <c r="X59" s="875"/>
      <c r="Y59" s="2261"/>
      <c r="Z59" s="2261"/>
      <c r="AA59" s="2261"/>
      <c r="AB59" s="2261"/>
      <c r="AC59" s="2261"/>
      <c r="AD59" s="1926"/>
      <c r="AE59" s="1926"/>
      <c r="AF59" s="875"/>
      <c r="AG59" s="1926"/>
      <c r="AH59" s="875"/>
      <c r="AI59" s="875"/>
      <c r="AL59" s="605" t="b">
        <f t="shared" si="1"/>
        <v>0</v>
      </c>
      <c r="AM59" s="899">
        <f>'Estimate Summary'!$D$9</f>
        <v>1</v>
      </c>
      <c r="AN59" s="605" t="s">
        <v>1136</v>
      </c>
      <c r="AO59" s="899">
        <f t="shared" si="2"/>
        <v>0</v>
      </c>
      <c r="AP59" s="605">
        <f t="shared" si="3"/>
        <v>0</v>
      </c>
      <c r="AQ59" s="605" t="s">
        <v>1139</v>
      </c>
      <c r="AR59" s="605" t="s">
        <v>670</v>
      </c>
      <c r="AS59" s="605" t="s">
        <v>745</v>
      </c>
      <c r="AT59" s="605" t="str">
        <f>'Estimate Summary'!$AT$11</f>
        <v>FOB SH</v>
      </c>
      <c r="AU59" s="610" t="b">
        <f t="shared" si="4"/>
        <v>0</v>
      </c>
      <c r="AV59" s="605" t="s">
        <v>1140</v>
      </c>
      <c r="AW59" s="2255">
        <f t="shared" si="5"/>
        <v>0</v>
      </c>
    </row>
    <row r="60" spans="1:49" ht="14.25" hidden="1" customHeight="1" outlineLevel="1">
      <c r="A60" s="383"/>
      <c r="B60" s="1077" t="s">
        <v>724</v>
      </c>
      <c r="C60" s="585" t="s">
        <v>725</v>
      </c>
      <c r="D60" s="1823" t="s">
        <v>181</v>
      </c>
      <c r="E60" s="2252">
        <f>IF(ISERROR(VLOOKUP($C60,'WBC Mfg Matl'!$C$35:$F$38,3,0)),0,VLOOKUP($C60,'WBC Mfg Matl'!$C$35:$F$38,3,0)+VLOOKUP($C60,'WBC Mfg Matl'!$C$35:$F$38,4,0))</f>
        <v>0</v>
      </c>
      <c r="F60" s="564">
        <v>143</v>
      </c>
      <c r="G60" s="2616">
        <f>E60*F60/1000</f>
        <v>0</v>
      </c>
      <c r="H60" s="2617">
        <f>G60</f>
        <v>0</v>
      </c>
      <c r="I60" s="1718">
        <f>IF('Estimate Summary'!$D$9&lt;2,0,$H60)</f>
        <v>0</v>
      </c>
      <c r="J60" s="1718">
        <f>IF('Estimate Summary'!$D$9&lt;3,0,$H60)</f>
        <v>0</v>
      </c>
      <c r="K60" s="1718">
        <f>IF('Estimate Summary'!$D$9&lt;4,0,$H60)</f>
        <v>0</v>
      </c>
      <c r="L60" s="1718">
        <f>IF('Estimate Summary'!$D$9&lt;5,0,$H60)</f>
        <v>0</v>
      </c>
      <c r="M60" s="1718">
        <f>IF('Estimate Summary'!$D$9&lt;6,0,$H60)</f>
        <v>0</v>
      </c>
      <c r="N60" s="1630"/>
      <c r="P60" s="580"/>
      <c r="Q60" s="2264">
        <v>43100</v>
      </c>
      <c r="R60" s="583"/>
      <c r="S60" s="583">
        <f>IF('Estimate Summary'!$D$9&lt;3,0,$R60/1.05)</f>
        <v>0</v>
      </c>
      <c r="T60" s="583">
        <f>IF('Estimate Summary'!$D$9&lt;4,0,$S60/1.05)</f>
        <v>0</v>
      </c>
      <c r="U60" s="610" t="s">
        <v>677</v>
      </c>
      <c r="V60" s="603" t="str">
        <f t="shared" si="0"/>
        <v>CNY</v>
      </c>
      <c r="AC60" s="900"/>
      <c r="AD60" s="605"/>
      <c r="AE60" s="605"/>
      <c r="AJ60" s="610" t="s">
        <v>669</v>
      </c>
      <c r="AK60" s="610" t="s">
        <v>1129</v>
      </c>
      <c r="AL60" s="610" t="str">
        <f t="shared" si="1"/>
        <v>CN</v>
      </c>
      <c r="AM60" s="551">
        <f>E60</f>
        <v>0</v>
      </c>
      <c r="AN60" s="610" t="s">
        <v>1155</v>
      </c>
      <c r="AO60" s="2009">
        <f>F60/1000</f>
        <v>0.14299999999999999</v>
      </c>
      <c r="AP60" s="610" t="str">
        <f t="shared" si="3"/>
        <v>CNY</v>
      </c>
      <c r="AQ60" s="610" t="s">
        <v>700</v>
      </c>
      <c r="AR60" s="610" t="s">
        <v>670</v>
      </c>
      <c r="AS60" s="605" t="s">
        <v>745</v>
      </c>
      <c r="AU60" s="610" t="str">
        <f t="shared" si="4"/>
        <v>CN</v>
      </c>
      <c r="AV60" s="605" t="s">
        <v>1140</v>
      </c>
      <c r="AW60" s="2255">
        <f t="shared" si="5"/>
        <v>43100</v>
      </c>
    </row>
    <row r="61" spans="1:49" ht="14.25" hidden="1" customHeight="1" outlineLevel="1">
      <c r="A61" s="383"/>
      <c r="B61" s="1077" t="s">
        <v>726</v>
      </c>
      <c r="C61" s="1626" t="s">
        <v>735</v>
      </c>
      <c r="D61" s="1823" t="s">
        <v>181</v>
      </c>
      <c r="E61" s="2252">
        <f>IF(ISERROR(VLOOKUP($C61,'WBC Mfg Matl'!$C$35:$F$38,3,0)),0,VLOOKUP($C61,'WBC Mfg Matl'!$C$35:$F$38,3,0)+VLOOKUP($C61,'WBC Mfg Matl'!$C$35:$F$38,4,0))</f>
        <v>0</v>
      </c>
      <c r="F61" s="564">
        <v>143</v>
      </c>
      <c r="G61" s="1809">
        <f t="shared" ref="G61:G72" si="15">E61*F61/1000</f>
        <v>0</v>
      </c>
      <c r="H61" s="1870">
        <f t="shared" ref="H61:H72" si="16">G61</f>
        <v>0</v>
      </c>
      <c r="I61" s="1718">
        <f>IF('Estimate Summary'!$D$9&lt;2,0,$H61)</f>
        <v>0</v>
      </c>
      <c r="J61" s="1718">
        <f>IF('Estimate Summary'!$D$9&lt;3,0,$H61)</f>
        <v>0</v>
      </c>
      <c r="K61" s="1718">
        <f>IF('Estimate Summary'!$D$9&lt;4,0,$H61)</f>
        <v>0</v>
      </c>
      <c r="L61" s="1718">
        <f>IF('Estimate Summary'!$D$9&lt;5,0,$H61)</f>
        <v>0</v>
      </c>
      <c r="M61" s="1718">
        <f>IF('Estimate Summary'!$D$9&lt;6,0,$H61)</f>
        <v>0</v>
      </c>
      <c r="N61" s="1630"/>
      <c r="P61" s="580"/>
      <c r="Q61" s="2264">
        <v>43100</v>
      </c>
      <c r="R61" s="583"/>
      <c r="S61" s="583"/>
      <c r="T61" s="583"/>
      <c r="U61" s="610" t="s">
        <v>677</v>
      </c>
      <c r="V61" s="603" t="str">
        <f t="shared" si="0"/>
        <v>CNY</v>
      </c>
      <c r="AC61" s="900"/>
      <c r="AD61" s="605"/>
      <c r="AE61" s="605"/>
      <c r="AJ61" s="610" t="s">
        <v>669</v>
      </c>
      <c r="AK61" s="610" t="s">
        <v>1129</v>
      </c>
      <c r="AL61" s="610" t="str">
        <f t="shared" si="1"/>
        <v>CN</v>
      </c>
      <c r="AM61" s="551">
        <f t="shared" ref="AM61:AM75" si="17">E61</f>
        <v>0</v>
      </c>
      <c r="AN61" s="610" t="s">
        <v>1155</v>
      </c>
      <c r="AO61" s="2009">
        <f t="shared" ref="AO61:AO75" si="18">F61/1000</f>
        <v>0.14299999999999999</v>
      </c>
      <c r="AP61" s="610" t="str">
        <f t="shared" si="3"/>
        <v>CNY</v>
      </c>
      <c r="AQ61" s="610" t="s">
        <v>700</v>
      </c>
      <c r="AR61" s="610" t="s">
        <v>670</v>
      </c>
      <c r="AS61" s="605" t="s">
        <v>745</v>
      </c>
      <c r="AU61" s="610" t="str">
        <f t="shared" si="4"/>
        <v>CN</v>
      </c>
      <c r="AV61" s="605" t="s">
        <v>1140</v>
      </c>
      <c r="AW61" s="2255">
        <f t="shared" si="5"/>
        <v>43100</v>
      </c>
    </row>
    <row r="62" spans="1:49" ht="14.25" hidden="1" customHeight="1" outlineLevel="1">
      <c r="A62" s="383"/>
      <c r="B62" s="1077" t="s">
        <v>784</v>
      </c>
      <c r="C62" s="1626" t="s">
        <v>785</v>
      </c>
      <c r="D62" s="1823" t="s">
        <v>181</v>
      </c>
      <c r="E62" s="2252">
        <f>IF(ISERROR(VLOOKUP($C62,'WBC Mfg Matl'!$C$35:$F$38,3,0)),0,VLOOKUP($C62,'WBC Mfg Matl'!$C$35:$F$38,3,0)+VLOOKUP($C62,'WBC Mfg Matl'!$C$35:$F$38,4,0))</f>
        <v>0</v>
      </c>
      <c r="F62" s="564">
        <v>143</v>
      </c>
      <c r="G62" s="1809">
        <f t="shared" si="15"/>
        <v>0</v>
      </c>
      <c r="H62" s="1870">
        <f t="shared" si="16"/>
        <v>0</v>
      </c>
      <c r="I62" s="1718">
        <f>IF('Estimate Summary'!$D$9&lt;2,0,$H62)</f>
        <v>0</v>
      </c>
      <c r="J62" s="1718">
        <f>IF('Estimate Summary'!$D$9&lt;3,0,$H62)</f>
        <v>0</v>
      </c>
      <c r="K62" s="1718">
        <f>IF('Estimate Summary'!$D$9&lt;4,0,$H62)</f>
        <v>0</v>
      </c>
      <c r="L62" s="1718">
        <f>IF('Estimate Summary'!$D$9&lt;5,0,$H62)</f>
        <v>0</v>
      </c>
      <c r="M62" s="1718">
        <f>IF('Estimate Summary'!$D$9&lt;6,0,$H62)</f>
        <v>0</v>
      </c>
      <c r="N62" s="1630"/>
      <c r="P62" s="580"/>
      <c r="Q62" s="2264">
        <v>43100</v>
      </c>
      <c r="R62" s="583"/>
      <c r="S62" s="583"/>
      <c r="T62" s="583"/>
      <c r="U62" s="610" t="s">
        <v>677</v>
      </c>
      <c r="V62" s="603" t="str">
        <f t="shared" si="0"/>
        <v>CNY</v>
      </c>
      <c r="AC62" s="900"/>
      <c r="AD62" s="605"/>
      <c r="AE62" s="605"/>
      <c r="AJ62" s="610" t="s">
        <v>669</v>
      </c>
      <c r="AK62" s="610" t="s">
        <v>1129</v>
      </c>
      <c r="AL62" s="610" t="str">
        <f t="shared" si="1"/>
        <v>CN</v>
      </c>
      <c r="AM62" s="551">
        <f t="shared" si="17"/>
        <v>0</v>
      </c>
      <c r="AN62" s="610" t="s">
        <v>1155</v>
      </c>
      <c r="AO62" s="2009">
        <f t="shared" si="18"/>
        <v>0.14299999999999999</v>
      </c>
      <c r="AP62" s="610" t="str">
        <f t="shared" si="3"/>
        <v>CNY</v>
      </c>
      <c r="AQ62" s="610" t="s">
        <v>700</v>
      </c>
      <c r="AR62" s="610" t="s">
        <v>670</v>
      </c>
      <c r="AS62" s="605" t="s">
        <v>745</v>
      </c>
      <c r="AU62" s="610" t="str">
        <f t="shared" si="4"/>
        <v>CN</v>
      </c>
      <c r="AV62" s="605" t="s">
        <v>1140</v>
      </c>
      <c r="AW62" s="2255">
        <f t="shared" si="5"/>
        <v>43100</v>
      </c>
    </row>
    <row r="63" spans="1:49" ht="14.25" hidden="1" customHeight="1" outlineLevel="1" collapsed="1">
      <c r="A63" s="383"/>
      <c r="B63" s="1077" t="s">
        <v>727</v>
      </c>
      <c r="C63" s="1626" t="s">
        <v>222</v>
      </c>
      <c r="D63" s="1823" t="s">
        <v>181</v>
      </c>
      <c r="E63" s="2252">
        <f>IF(ISERROR(VLOOKUP($C63,'WBC Mfg Matl'!$C$35:$F$38,3,0)),0,VLOOKUP($C63,'WBC Mfg Matl'!$C$35:$F$38,3,0)+VLOOKUP($C63,'WBC Mfg Matl'!$C$35:$F$38,4,0))</f>
        <v>0</v>
      </c>
      <c r="F63" s="564">
        <v>143</v>
      </c>
      <c r="G63" s="1809">
        <f t="shared" si="15"/>
        <v>0</v>
      </c>
      <c r="H63" s="1870">
        <f t="shared" si="16"/>
        <v>0</v>
      </c>
      <c r="I63" s="1718">
        <f>IF('Estimate Summary'!$D$9&lt;2,0,$H63)</f>
        <v>0</v>
      </c>
      <c r="J63" s="1718">
        <f>IF('Estimate Summary'!$D$9&lt;3,0,$H63)</f>
        <v>0</v>
      </c>
      <c r="K63" s="1718">
        <f>IF('Estimate Summary'!$D$9&lt;4,0,$H63)</f>
        <v>0</v>
      </c>
      <c r="L63" s="1718">
        <f>IF('Estimate Summary'!$D$9&lt;5,0,$H63)</f>
        <v>0</v>
      </c>
      <c r="M63" s="1718">
        <f>IF('Estimate Summary'!$D$9&lt;6,0,$H63)</f>
        <v>0</v>
      </c>
      <c r="N63" s="1630"/>
      <c r="P63" s="580"/>
      <c r="Q63" s="2264">
        <v>43100</v>
      </c>
      <c r="R63" s="583"/>
      <c r="S63" s="583"/>
      <c r="T63" s="583"/>
      <c r="U63" s="610" t="s">
        <v>677</v>
      </c>
      <c r="V63" s="603" t="str">
        <f t="shared" si="0"/>
        <v>CNY</v>
      </c>
      <c r="AC63" s="900"/>
      <c r="AD63" s="605"/>
      <c r="AE63" s="605"/>
      <c r="AJ63" s="610" t="s">
        <v>669</v>
      </c>
      <c r="AK63" s="610" t="s">
        <v>1129</v>
      </c>
      <c r="AL63" s="610" t="str">
        <f t="shared" si="1"/>
        <v>CN</v>
      </c>
      <c r="AM63" s="551">
        <f t="shared" si="17"/>
        <v>0</v>
      </c>
      <c r="AN63" s="610" t="s">
        <v>1155</v>
      </c>
      <c r="AO63" s="2009">
        <f t="shared" si="18"/>
        <v>0.14299999999999999</v>
      </c>
      <c r="AP63" s="610" t="str">
        <f t="shared" si="3"/>
        <v>CNY</v>
      </c>
      <c r="AQ63" s="610" t="s">
        <v>700</v>
      </c>
      <c r="AR63" s="610" t="s">
        <v>670</v>
      </c>
      <c r="AS63" s="605" t="s">
        <v>745</v>
      </c>
      <c r="AU63" s="610" t="str">
        <f t="shared" si="4"/>
        <v>CN</v>
      </c>
      <c r="AV63" s="605" t="s">
        <v>1140</v>
      </c>
      <c r="AW63" s="2255">
        <f t="shared" si="5"/>
        <v>43100</v>
      </c>
    </row>
    <row r="64" spans="1:49" ht="14.25" hidden="1" customHeight="1" outlineLevel="1" collapsed="1">
      <c r="A64" s="383"/>
      <c r="B64" s="1077" t="s">
        <v>728</v>
      </c>
      <c r="C64" s="1626" t="s">
        <v>221</v>
      </c>
      <c r="D64" s="1823" t="s">
        <v>181</v>
      </c>
      <c r="E64" s="2532">
        <f>IF(ISERROR(VLOOKUP($C64,'WBC Mfg Matl'!$C$35:$F$38,3,0)),0,VLOOKUP($C64,'WBC Mfg Matl'!$C$35:$F$38,3,0)+VLOOKUP($C64,'WBC Mfg Matl'!$C$35:$F$38,4,0))</f>
        <v>0</v>
      </c>
      <c r="F64" s="564">
        <v>143</v>
      </c>
      <c r="G64" s="1809">
        <f t="shared" si="15"/>
        <v>0</v>
      </c>
      <c r="H64" s="1870">
        <f t="shared" si="16"/>
        <v>0</v>
      </c>
      <c r="I64" s="1718">
        <f>IF('Estimate Summary'!$D$9&lt;2,0,$H64)</f>
        <v>0</v>
      </c>
      <c r="J64" s="1718">
        <f>IF('Estimate Summary'!$D$9&lt;3,0,$H64)</f>
        <v>0</v>
      </c>
      <c r="K64" s="1718">
        <f>IF('Estimate Summary'!$D$9&lt;4,0,$H64)</f>
        <v>0</v>
      </c>
      <c r="L64" s="1718">
        <f>IF('Estimate Summary'!$D$9&lt;5,0,$H64)</f>
        <v>0</v>
      </c>
      <c r="M64" s="1718">
        <f>IF('Estimate Summary'!$D$9&lt;6,0,$H64)</f>
        <v>0</v>
      </c>
      <c r="N64" s="1630"/>
      <c r="P64" s="580"/>
      <c r="Q64" s="2264">
        <v>43100</v>
      </c>
      <c r="R64" s="583"/>
      <c r="S64" s="583"/>
      <c r="T64" s="583"/>
      <c r="U64" s="610" t="s">
        <v>677</v>
      </c>
      <c r="V64" s="603" t="str">
        <f t="shared" si="0"/>
        <v>CNY</v>
      </c>
      <c r="AC64" s="900"/>
      <c r="AD64" s="605"/>
      <c r="AE64" s="605"/>
      <c r="AJ64" s="610" t="s">
        <v>669</v>
      </c>
      <c r="AK64" s="610" t="s">
        <v>1129</v>
      </c>
      <c r="AL64" s="610" t="str">
        <f t="shared" si="1"/>
        <v>CN</v>
      </c>
      <c r="AM64" s="551">
        <f t="shared" si="17"/>
        <v>0</v>
      </c>
      <c r="AN64" s="610" t="s">
        <v>1155</v>
      </c>
      <c r="AO64" s="2009">
        <f t="shared" si="18"/>
        <v>0.14299999999999999</v>
      </c>
      <c r="AP64" s="610" t="str">
        <f t="shared" si="3"/>
        <v>CNY</v>
      </c>
      <c r="AQ64" s="610" t="s">
        <v>700</v>
      </c>
      <c r="AR64" s="610" t="s">
        <v>670</v>
      </c>
      <c r="AS64" s="605" t="s">
        <v>745</v>
      </c>
      <c r="AU64" s="610" t="str">
        <f t="shared" si="4"/>
        <v>CN</v>
      </c>
      <c r="AV64" s="605" t="s">
        <v>1140</v>
      </c>
      <c r="AW64" s="2255">
        <f t="shared" si="5"/>
        <v>43100</v>
      </c>
    </row>
    <row r="65" spans="1:49" s="605" customFormat="1" hidden="1" outlineLevel="1">
      <c r="A65" s="697"/>
      <c r="B65" s="1079" t="s">
        <v>729</v>
      </c>
      <c r="C65" s="585" t="s">
        <v>739</v>
      </c>
      <c r="D65" s="1823" t="s">
        <v>181</v>
      </c>
      <c r="E65" s="2252">
        <f>IF(ISERROR(VLOOKUP($C65,'WBC Mfg Matl'!$C$35:$F$38,3,0)),0,VLOOKUP($C65,'WBC Mfg Matl'!$C$35:$F$38,3,0)+VLOOKUP($C65,'WBC Mfg Matl'!$C$35:$F$38,4,0))</f>
        <v>0</v>
      </c>
      <c r="F65" s="564">
        <v>143</v>
      </c>
      <c r="G65" s="1809">
        <f t="shared" si="15"/>
        <v>0</v>
      </c>
      <c r="H65" s="1870">
        <f t="shared" si="16"/>
        <v>0</v>
      </c>
      <c r="I65" s="1718">
        <f>IF('Estimate Summary'!$D$9&lt;2,0,$H65)</f>
        <v>0</v>
      </c>
      <c r="J65" s="1718">
        <f>IF('Estimate Summary'!$D$9&lt;3,0,$H65)</f>
        <v>0</v>
      </c>
      <c r="K65" s="1718">
        <f>IF('Estimate Summary'!$D$9&lt;4,0,$H65)</f>
        <v>0</v>
      </c>
      <c r="L65" s="1718">
        <f>IF('Estimate Summary'!$D$9&lt;5,0,$H65)</f>
        <v>0</v>
      </c>
      <c r="M65" s="1718">
        <f>IF('Estimate Summary'!$D$9&lt;6,0,$H65)</f>
        <v>0</v>
      </c>
      <c r="N65" s="1630"/>
      <c r="P65" s="582"/>
      <c r="Q65" s="2264">
        <v>43100</v>
      </c>
      <c r="R65" s="1026"/>
      <c r="S65" s="1026">
        <f>IF('Estimate Summary'!$D$9&lt;3,0,$R65/1.05)</f>
        <v>0</v>
      </c>
      <c r="T65" s="1026">
        <f>IF('Estimate Summary'!$D$9&lt;4,0,$S65/1.05)</f>
        <v>0</v>
      </c>
      <c r="U65" s="610" t="s">
        <v>677</v>
      </c>
      <c r="V65" s="1014" t="str">
        <f t="shared" si="0"/>
        <v>CNY</v>
      </c>
      <c r="W65" s="870"/>
      <c r="X65" s="870"/>
      <c r="Y65" s="900"/>
      <c r="Z65" s="1018"/>
      <c r="AA65" s="1018"/>
      <c r="AB65" s="1022"/>
      <c r="AC65" s="900"/>
      <c r="AF65" s="870"/>
      <c r="AH65" s="870"/>
      <c r="AI65" s="870"/>
      <c r="AJ65" s="610" t="s">
        <v>669</v>
      </c>
      <c r="AK65" s="610" t="s">
        <v>1129</v>
      </c>
      <c r="AL65" s="605" t="str">
        <f t="shared" si="1"/>
        <v>CN</v>
      </c>
      <c r="AM65" s="551">
        <f t="shared" si="17"/>
        <v>0</v>
      </c>
      <c r="AN65" s="610" t="s">
        <v>1155</v>
      </c>
      <c r="AO65" s="2009">
        <f t="shared" si="18"/>
        <v>0.14299999999999999</v>
      </c>
      <c r="AP65" s="610" t="str">
        <f t="shared" si="3"/>
        <v>CNY</v>
      </c>
      <c r="AQ65" s="610" t="s">
        <v>700</v>
      </c>
      <c r="AR65" s="605" t="s">
        <v>670</v>
      </c>
      <c r="AS65" s="605" t="s">
        <v>745</v>
      </c>
      <c r="AT65" s="610"/>
      <c r="AU65" s="610" t="str">
        <f t="shared" si="4"/>
        <v>CN</v>
      </c>
      <c r="AV65" s="605" t="s">
        <v>1140</v>
      </c>
      <c r="AW65" s="2255">
        <f t="shared" si="5"/>
        <v>43100</v>
      </c>
    </row>
    <row r="66" spans="1:49" s="605" customFormat="1" hidden="1" outlineLevel="1">
      <c r="A66" s="697"/>
      <c r="B66" s="1079" t="s">
        <v>730</v>
      </c>
      <c r="C66" s="585" t="s">
        <v>737</v>
      </c>
      <c r="D66" s="1823" t="s">
        <v>181</v>
      </c>
      <c r="E66" s="2252">
        <f>IF(ISERROR(VLOOKUP($C66,'WBC Mfg Matl'!$C$35:$F$38,3,0)),0,VLOOKUP($C66,'WBC Mfg Matl'!$C$35:$F$38,3,0)+VLOOKUP($C66,'WBC Mfg Matl'!$C$35:$F$38,4,0))</f>
        <v>0</v>
      </c>
      <c r="F66" s="564">
        <v>143</v>
      </c>
      <c r="G66" s="1809">
        <f t="shared" si="15"/>
        <v>0</v>
      </c>
      <c r="H66" s="1870">
        <f t="shared" si="16"/>
        <v>0</v>
      </c>
      <c r="I66" s="1718">
        <f>IF('Estimate Summary'!$D$9&lt;2,0,$H66)</f>
        <v>0</v>
      </c>
      <c r="J66" s="1718">
        <f>IF('Estimate Summary'!$D$9&lt;3,0,$H66)</f>
        <v>0</v>
      </c>
      <c r="K66" s="1718">
        <f>IF('Estimate Summary'!$D$9&lt;4,0,$H66)</f>
        <v>0</v>
      </c>
      <c r="L66" s="1718">
        <f>IF('Estimate Summary'!$D$9&lt;5,0,$H66)</f>
        <v>0</v>
      </c>
      <c r="M66" s="1718">
        <f>IF('Estimate Summary'!$D$9&lt;6,0,$H66)</f>
        <v>0</v>
      </c>
      <c r="N66" s="1630"/>
      <c r="P66" s="582"/>
      <c r="Q66" s="2264">
        <v>43100</v>
      </c>
      <c r="R66" s="1026"/>
      <c r="S66" s="1026">
        <f>IF('Estimate Summary'!$D$9&lt;3,0,$R66/1.05)</f>
        <v>0</v>
      </c>
      <c r="T66" s="1026">
        <f>IF('Estimate Summary'!$D$9&lt;4,0,$S66/1.05)</f>
        <v>0</v>
      </c>
      <c r="U66" s="610" t="s">
        <v>677</v>
      </c>
      <c r="V66" s="1014" t="str">
        <f t="shared" si="0"/>
        <v>CNY</v>
      </c>
      <c r="W66" s="870"/>
      <c r="X66" s="870"/>
      <c r="Y66" s="900"/>
      <c r="Z66" s="1018"/>
      <c r="AA66" s="1018"/>
      <c r="AB66" s="1022"/>
      <c r="AC66" s="900"/>
      <c r="AF66" s="870"/>
      <c r="AH66" s="870"/>
      <c r="AI66" s="870"/>
      <c r="AJ66" s="610" t="s">
        <v>669</v>
      </c>
      <c r="AK66" s="610" t="s">
        <v>1129</v>
      </c>
      <c r="AL66" s="605" t="str">
        <f t="shared" si="1"/>
        <v>CN</v>
      </c>
      <c r="AM66" s="551">
        <f t="shared" si="17"/>
        <v>0</v>
      </c>
      <c r="AN66" s="610" t="s">
        <v>1155</v>
      </c>
      <c r="AO66" s="2009">
        <f t="shared" si="18"/>
        <v>0.14299999999999999</v>
      </c>
      <c r="AP66" s="610" t="str">
        <f t="shared" si="3"/>
        <v>CNY</v>
      </c>
      <c r="AQ66" s="610" t="s">
        <v>700</v>
      </c>
      <c r="AR66" s="605" t="s">
        <v>670</v>
      </c>
      <c r="AS66" s="605" t="s">
        <v>745</v>
      </c>
      <c r="AT66" s="610"/>
      <c r="AU66" s="610" t="str">
        <f t="shared" si="4"/>
        <v>CN</v>
      </c>
      <c r="AV66" s="605" t="s">
        <v>1140</v>
      </c>
      <c r="AW66" s="2255">
        <f t="shared" si="5"/>
        <v>43100</v>
      </c>
    </row>
    <row r="67" spans="1:49" s="605" customFormat="1" hidden="1" outlineLevel="1">
      <c r="A67" s="697"/>
      <c r="B67" s="1079" t="s">
        <v>731</v>
      </c>
      <c r="C67" s="585" t="s">
        <v>738</v>
      </c>
      <c r="D67" s="1823" t="s">
        <v>181</v>
      </c>
      <c r="E67" s="2252">
        <f>IF(ISERROR(VLOOKUP($C67,'WBC Mfg Matl'!$C$35:$F$38,3,0)),0,VLOOKUP($C67,'WBC Mfg Matl'!$C$35:$F$38,3,0)+VLOOKUP($C67,'WBC Mfg Matl'!$C$35:$F$38,4,0))</f>
        <v>0</v>
      </c>
      <c r="F67" s="564">
        <v>143</v>
      </c>
      <c r="G67" s="1809">
        <f t="shared" si="15"/>
        <v>0</v>
      </c>
      <c r="H67" s="1870">
        <f t="shared" si="16"/>
        <v>0</v>
      </c>
      <c r="I67" s="1718">
        <f>IF('Estimate Summary'!$D$9&lt;2,0,$H67)</f>
        <v>0</v>
      </c>
      <c r="J67" s="1718">
        <f>IF('Estimate Summary'!$D$9&lt;3,0,$H67)</f>
        <v>0</v>
      </c>
      <c r="K67" s="1718">
        <f>IF('Estimate Summary'!$D$9&lt;4,0,$H67)</f>
        <v>0</v>
      </c>
      <c r="L67" s="1718">
        <f>IF('Estimate Summary'!$D$9&lt;5,0,$H67)</f>
        <v>0</v>
      </c>
      <c r="M67" s="1718">
        <f>IF('Estimate Summary'!$D$9&lt;6,0,$H67)</f>
        <v>0</v>
      </c>
      <c r="N67" s="1630"/>
      <c r="P67" s="582"/>
      <c r="Q67" s="2264">
        <v>43100</v>
      </c>
      <c r="R67" s="1026"/>
      <c r="S67" s="1026">
        <f>IF('Estimate Summary'!$D$9&lt;3,0,$R67/1.05)</f>
        <v>0</v>
      </c>
      <c r="T67" s="1026">
        <f>IF('Estimate Summary'!$D$9&lt;4,0,$S67/1.05)</f>
        <v>0</v>
      </c>
      <c r="U67" s="610" t="s">
        <v>677</v>
      </c>
      <c r="V67" s="1014" t="str">
        <f t="shared" si="0"/>
        <v>CNY</v>
      </c>
      <c r="W67" s="870"/>
      <c r="X67" s="870"/>
      <c r="Y67" s="900"/>
      <c r="Z67" s="1018"/>
      <c r="AA67" s="1018"/>
      <c r="AB67" s="1022"/>
      <c r="AC67" s="900"/>
      <c r="AF67" s="870"/>
      <c r="AH67" s="870"/>
      <c r="AI67" s="870"/>
      <c r="AJ67" s="610" t="s">
        <v>669</v>
      </c>
      <c r="AK67" s="610" t="s">
        <v>1129</v>
      </c>
      <c r="AL67" s="605" t="str">
        <f t="shared" si="1"/>
        <v>CN</v>
      </c>
      <c r="AM67" s="551">
        <f t="shared" si="17"/>
        <v>0</v>
      </c>
      <c r="AN67" s="610" t="s">
        <v>1155</v>
      </c>
      <c r="AO67" s="2009">
        <f t="shared" si="18"/>
        <v>0.14299999999999999</v>
      </c>
      <c r="AP67" s="610" t="str">
        <f t="shared" si="3"/>
        <v>CNY</v>
      </c>
      <c r="AQ67" s="610" t="s">
        <v>700</v>
      </c>
      <c r="AR67" s="605" t="s">
        <v>670</v>
      </c>
      <c r="AS67" s="605" t="s">
        <v>745</v>
      </c>
      <c r="AT67" s="610"/>
      <c r="AU67" s="610" t="str">
        <f t="shared" si="4"/>
        <v>CN</v>
      </c>
      <c r="AV67" s="605" t="s">
        <v>1140</v>
      </c>
      <c r="AW67" s="2255">
        <f t="shared" si="5"/>
        <v>43100</v>
      </c>
    </row>
    <row r="68" spans="1:49" s="605" customFormat="1" hidden="1" outlineLevel="1">
      <c r="A68" s="697"/>
      <c r="B68" s="1079" t="s">
        <v>732</v>
      </c>
      <c r="C68" s="1078" t="s">
        <v>736</v>
      </c>
      <c r="D68" s="1823" t="s">
        <v>181</v>
      </c>
      <c r="E68" s="2252">
        <f>IF(ISERROR(VLOOKUP($C68,'WBC Mfg Matl'!$C$35:$F$38,3,0)),0,VLOOKUP($C68,'WBC Mfg Matl'!$C$35:$F$38,3,0)+VLOOKUP($C68,'WBC Mfg Matl'!$C$35:$F$38,4,0))</f>
        <v>0</v>
      </c>
      <c r="F68" s="564">
        <v>143</v>
      </c>
      <c r="G68" s="1809">
        <f t="shared" si="15"/>
        <v>0</v>
      </c>
      <c r="H68" s="1870">
        <f t="shared" si="16"/>
        <v>0</v>
      </c>
      <c r="I68" s="1718">
        <f>IF('Estimate Summary'!$D$9&lt;2,0,$H68)</f>
        <v>0</v>
      </c>
      <c r="J68" s="1718">
        <f>IF('Estimate Summary'!$D$9&lt;3,0,$H68)</f>
        <v>0</v>
      </c>
      <c r="K68" s="1718">
        <f>IF('Estimate Summary'!$D$9&lt;4,0,$H68)</f>
        <v>0</v>
      </c>
      <c r="L68" s="1718">
        <f>IF('Estimate Summary'!$D$9&lt;5,0,$H68)</f>
        <v>0</v>
      </c>
      <c r="M68" s="1718">
        <f>IF('Estimate Summary'!$D$9&lt;6,0,$H68)</f>
        <v>0</v>
      </c>
      <c r="N68" s="1630"/>
      <c r="P68" s="582"/>
      <c r="Q68" s="2264">
        <v>43100</v>
      </c>
      <c r="R68" s="1026"/>
      <c r="S68" s="1026"/>
      <c r="T68" s="1026"/>
      <c r="U68" s="610" t="s">
        <v>677</v>
      </c>
      <c r="V68" s="1014" t="str">
        <f t="shared" si="0"/>
        <v>CNY</v>
      </c>
      <c r="W68" s="870"/>
      <c r="X68" s="870"/>
      <c r="Y68" s="900"/>
      <c r="Z68" s="1018"/>
      <c r="AA68" s="1018"/>
      <c r="AB68" s="1022"/>
      <c r="AC68" s="900"/>
      <c r="AF68" s="870"/>
      <c r="AH68" s="870"/>
      <c r="AI68" s="870"/>
      <c r="AJ68" s="610" t="s">
        <v>669</v>
      </c>
      <c r="AK68" s="610" t="s">
        <v>1129</v>
      </c>
      <c r="AL68" s="605" t="str">
        <f t="shared" si="1"/>
        <v>CN</v>
      </c>
      <c r="AM68" s="551">
        <f t="shared" si="17"/>
        <v>0</v>
      </c>
      <c r="AN68" s="610" t="s">
        <v>1155</v>
      </c>
      <c r="AO68" s="2009">
        <f t="shared" si="18"/>
        <v>0.14299999999999999</v>
      </c>
      <c r="AP68" s="610" t="str">
        <f t="shared" si="3"/>
        <v>CNY</v>
      </c>
      <c r="AQ68" s="610" t="s">
        <v>700</v>
      </c>
      <c r="AR68" s="605" t="s">
        <v>670</v>
      </c>
      <c r="AS68" s="605" t="s">
        <v>745</v>
      </c>
      <c r="AT68" s="610"/>
      <c r="AU68" s="610" t="str">
        <f t="shared" si="4"/>
        <v>CN</v>
      </c>
      <c r="AV68" s="605" t="s">
        <v>1140</v>
      </c>
      <c r="AW68" s="2255">
        <f t="shared" si="5"/>
        <v>43100</v>
      </c>
    </row>
    <row r="69" spans="1:49" s="605" customFormat="1" collapsed="1">
      <c r="A69" s="697"/>
      <c r="B69" s="1079" t="s">
        <v>733</v>
      </c>
      <c r="C69" s="1078" t="s">
        <v>205</v>
      </c>
      <c r="D69" s="1823" t="s">
        <v>181</v>
      </c>
      <c r="E69" s="2252">
        <f>IF(ISERROR(VLOOKUP($C69,'WBC Mfg Matl'!$C$35:$F$38,3,0)),0,VLOOKUP($C69,'WBC Mfg Matl'!$C$35:$F$38,3,0)+VLOOKUP($C69,'WBC Mfg Matl'!$C$35:$F$38,4,0))</f>
        <v>12</v>
      </c>
      <c r="F69" s="564">
        <v>143</v>
      </c>
      <c r="G69" s="1809">
        <f t="shared" si="15"/>
        <v>1.716</v>
      </c>
      <c r="H69" s="1870">
        <f t="shared" si="16"/>
        <v>1.716</v>
      </c>
      <c r="I69" s="1718">
        <f>IF('Estimate Summary'!$D$9&lt;2,0,$H69)</f>
        <v>0</v>
      </c>
      <c r="J69" s="1718">
        <f>IF('Estimate Summary'!$D$9&lt;3,0,$H69)</f>
        <v>0</v>
      </c>
      <c r="K69" s="1718">
        <f>IF('Estimate Summary'!$D$9&lt;4,0,$H69)</f>
        <v>0</v>
      </c>
      <c r="L69" s="1718">
        <f>IF('Estimate Summary'!$D$9&lt;5,0,$H69)</f>
        <v>0</v>
      </c>
      <c r="M69" s="1718">
        <f>IF('Estimate Summary'!$D$9&lt;6,0,$H69)</f>
        <v>0</v>
      </c>
      <c r="N69" s="1630"/>
      <c r="P69" s="582"/>
      <c r="Q69" s="2264">
        <v>43100</v>
      </c>
      <c r="R69" s="1026"/>
      <c r="S69" s="1026"/>
      <c r="T69" s="1026"/>
      <c r="U69" s="610" t="s">
        <v>677</v>
      </c>
      <c r="V69" s="1014" t="str">
        <f t="shared" si="0"/>
        <v>CNY</v>
      </c>
      <c r="W69" s="870"/>
      <c r="X69" s="870"/>
      <c r="Y69" s="900"/>
      <c r="Z69" s="1018"/>
      <c r="AA69" s="1018"/>
      <c r="AB69" s="1022"/>
      <c r="AC69" s="900"/>
      <c r="AF69" s="870"/>
      <c r="AH69" s="870"/>
      <c r="AI69" s="870"/>
      <c r="AJ69" s="610" t="s">
        <v>669</v>
      </c>
      <c r="AK69" s="610" t="s">
        <v>1129</v>
      </c>
      <c r="AL69" s="605" t="str">
        <f t="shared" si="1"/>
        <v>CN</v>
      </c>
      <c r="AM69" s="551">
        <f t="shared" si="17"/>
        <v>12</v>
      </c>
      <c r="AN69" s="610" t="s">
        <v>1155</v>
      </c>
      <c r="AO69" s="2009">
        <f t="shared" si="18"/>
        <v>0.14299999999999999</v>
      </c>
      <c r="AP69" s="610" t="str">
        <f t="shared" si="3"/>
        <v>CNY</v>
      </c>
      <c r="AQ69" s="610" t="s">
        <v>700</v>
      </c>
      <c r="AR69" s="605" t="s">
        <v>670</v>
      </c>
      <c r="AS69" s="605" t="s">
        <v>745</v>
      </c>
      <c r="AT69" s="610"/>
      <c r="AU69" s="610" t="str">
        <f t="shared" si="4"/>
        <v>CN</v>
      </c>
      <c r="AV69" s="605" t="s">
        <v>1140</v>
      </c>
      <c r="AW69" s="2255">
        <f t="shared" si="5"/>
        <v>43100</v>
      </c>
    </row>
    <row r="70" spans="1:49" s="605" customFormat="1" hidden="1" outlineLevel="1">
      <c r="A70" s="697"/>
      <c r="B70" s="1079" t="s">
        <v>734</v>
      </c>
      <c r="C70" s="585" t="s">
        <v>740</v>
      </c>
      <c r="D70" s="1823" t="s">
        <v>181</v>
      </c>
      <c r="E70" s="2252">
        <f>IF(ISERROR(VLOOKUP($C70,'WBC Mfg Matl'!$C$35:$F$38,3,0)),0,VLOOKUP($C70,'WBC Mfg Matl'!$C$35:$F$38,3,0)+VLOOKUP($C70,'WBC Mfg Matl'!$C$35:$F$38,4,0))</f>
        <v>0</v>
      </c>
      <c r="F70" s="564">
        <v>143</v>
      </c>
      <c r="G70" s="1809">
        <f t="shared" si="15"/>
        <v>0</v>
      </c>
      <c r="H70" s="1870">
        <f t="shared" si="16"/>
        <v>0</v>
      </c>
      <c r="I70" s="1718">
        <f>IF('Estimate Summary'!$D$9&lt;2,0,$H70)</f>
        <v>0</v>
      </c>
      <c r="J70" s="1718">
        <f>IF('Estimate Summary'!$D$9&lt;3,0,$H70)</f>
        <v>0</v>
      </c>
      <c r="K70" s="1718">
        <f>IF('Estimate Summary'!$D$9&lt;4,0,$H70)</f>
        <v>0</v>
      </c>
      <c r="L70" s="1718">
        <f>IF('Estimate Summary'!$D$9&lt;5,0,$H70)</f>
        <v>0</v>
      </c>
      <c r="M70" s="1718">
        <f>IF('Estimate Summary'!$D$9&lt;6,0,$H70)</f>
        <v>0</v>
      </c>
      <c r="N70" s="1630"/>
      <c r="P70" s="582"/>
      <c r="Q70" s="2264">
        <v>43100</v>
      </c>
      <c r="R70" s="1026"/>
      <c r="S70" s="1026">
        <f>IF('Estimate Summary'!$D$9&lt;3,0,$R70/1.05)</f>
        <v>0</v>
      </c>
      <c r="T70" s="1026">
        <f>IF('Estimate Summary'!$D$9&lt;4,0,$S70/1.05)</f>
        <v>0</v>
      </c>
      <c r="U70" s="610" t="s">
        <v>677</v>
      </c>
      <c r="V70" s="1014" t="str">
        <f t="shared" si="0"/>
        <v>CNY</v>
      </c>
      <c r="W70" s="870"/>
      <c r="X70" s="870"/>
      <c r="Y70" s="900"/>
      <c r="Z70" s="1018"/>
      <c r="AA70" s="1018"/>
      <c r="AB70" s="1022"/>
      <c r="AC70" s="900"/>
      <c r="AF70" s="870"/>
      <c r="AH70" s="870"/>
      <c r="AI70" s="870"/>
      <c r="AJ70" s="610" t="s">
        <v>669</v>
      </c>
      <c r="AK70" s="610" t="s">
        <v>1129</v>
      </c>
      <c r="AL70" s="605" t="str">
        <f t="shared" si="1"/>
        <v>CN</v>
      </c>
      <c r="AM70" s="551">
        <f t="shared" si="17"/>
        <v>0</v>
      </c>
      <c r="AN70" s="610" t="s">
        <v>1155</v>
      </c>
      <c r="AO70" s="2009">
        <f t="shared" si="18"/>
        <v>0.14299999999999999</v>
      </c>
      <c r="AP70" s="610" t="str">
        <f t="shared" si="3"/>
        <v>CNY</v>
      </c>
      <c r="AQ70" s="610" t="s">
        <v>700</v>
      </c>
      <c r="AR70" s="605" t="s">
        <v>670</v>
      </c>
      <c r="AS70" s="605" t="s">
        <v>745</v>
      </c>
      <c r="AT70" s="610"/>
      <c r="AU70" s="610" t="str">
        <f t="shared" si="4"/>
        <v>CN</v>
      </c>
      <c r="AV70" s="605" t="s">
        <v>1140</v>
      </c>
      <c r="AW70" s="2255">
        <f t="shared" si="5"/>
        <v>43100</v>
      </c>
    </row>
    <row r="71" spans="1:49" s="605" customFormat="1" hidden="1" outlineLevel="1" collapsed="1">
      <c r="A71" s="697"/>
      <c r="B71" s="1079" t="s">
        <v>1227</v>
      </c>
      <c r="C71" s="1006" t="s">
        <v>787</v>
      </c>
      <c r="D71" s="1823" t="s">
        <v>181</v>
      </c>
      <c r="E71" s="2252">
        <f>IF(ISERROR(VLOOKUP($C71,'WBC Mfg Matl'!$C$35:$F$38,3,0)),0,VLOOKUP($C71,'WBC Mfg Matl'!$C$35:$F$38,3,0)+VLOOKUP($C71,'WBC Mfg Matl'!$C$35:$F$38,4,0))</f>
        <v>0</v>
      </c>
      <c r="F71" s="564">
        <v>143</v>
      </c>
      <c r="G71" s="1809">
        <f t="shared" si="15"/>
        <v>0</v>
      </c>
      <c r="H71" s="1870">
        <f t="shared" si="16"/>
        <v>0</v>
      </c>
      <c r="I71" s="1718">
        <f>IF('Estimate Summary'!$D$9&lt;2,0,$H71)</f>
        <v>0</v>
      </c>
      <c r="J71" s="1718">
        <f>IF('Estimate Summary'!$D$9&lt;3,0,$H71)</f>
        <v>0</v>
      </c>
      <c r="K71" s="1718">
        <f>IF('Estimate Summary'!$D$9&lt;4,0,$H71)</f>
        <v>0</v>
      </c>
      <c r="L71" s="1718">
        <f>IF('Estimate Summary'!$D$9&lt;5,0,$H71)</f>
        <v>0</v>
      </c>
      <c r="M71" s="1718">
        <f>IF('Estimate Summary'!$D$9&lt;6,0,$H71)</f>
        <v>0</v>
      </c>
      <c r="N71" s="1630"/>
      <c r="P71" s="582"/>
      <c r="Q71" s="2264">
        <v>43100</v>
      </c>
      <c r="R71" s="1026"/>
      <c r="S71" s="1026"/>
      <c r="T71" s="1026"/>
      <c r="U71" s="610" t="s">
        <v>677</v>
      </c>
      <c r="V71" s="1014" t="str">
        <f t="shared" si="0"/>
        <v>CNY</v>
      </c>
      <c r="W71" s="870"/>
      <c r="X71" s="870"/>
      <c r="Y71" s="900"/>
      <c r="Z71" s="1018"/>
      <c r="AA71" s="1018"/>
      <c r="AB71" s="1022"/>
      <c r="AC71" s="900"/>
      <c r="AF71" s="870"/>
      <c r="AH71" s="870"/>
      <c r="AI71" s="870"/>
      <c r="AJ71" s="610" t="s">
        <v>669</v>
      </c>
      <c r="AK71" s="610" t="s">
        <v>1129</v>
      </c>
      <c r="AL71" s="605" t="str">
        <f t="shared" si="1"/>
        <v>CN</v>
      </c>
      <c r="AM71" s="551">
        <f t="shared" si="17"/>
        <v>0</v>
      </c>
      <c r="AN71" s="610" t="s">
        <v>1155</v>
      </c>
      <c r="AO71" s="2009">
        <f t="shared" si="18"/>
        <v>0.14299999999999999</v>
      </c>
      <c r="AP71" s="610" t="str">
        <f t="shared" si="3"/>
        <v>CNY</v>
      </c>
      <c r="AQ71" s="610" t="s">
        <v>700</v>
      </c>
      <c r="AR71" s="605" t="s">
        <v>670</v>
      </c>
      <c r="AS71" s="605" t="s">
        <v>745</v>
      </c>
      <c r="AT71" s="610"/>
      <c r="AU71" s="610" t="str">
        <f t="shared" si="4"/>
        <v>CN</v>
      </c>
      <c r="AV71" s="605" t="s">
        <v>1140</v>
      </c>
      <c r="AW71" s="2255">
        <f t="shared" si="5"/>
        <v>43100</v>
      </c>
    </row>
    <row r="72" spans="1:49" s="605" customFormat="1" hidden="1" outlineLevel="1">
      <c r="A72" s="697"/>
      <c r="B72" s="1079" t="s">
        <v>786</v>
      </c>
      <c r="C72" s="1006" t="s">
        <v>587</v>
      </c>
      <c r="D72" s="1823" t="s">
        <v>181</v>
      </c>
      <c r="E72" s="2391">
        <f>'WBC Mfg Matl'!G35</f>
        <v>0</v>
      </c>
      <c r="F72" s="564">
        <v>143</v>
      </c>
      <c r="G72" s="1809">
        <f t="shared" si="15"/>
        <v>0</v>
      </c>
      <c r="H72" s="1870">
        <f t="shared" si="16"/>
        <v>0</v>
      </c>
      <c r="I72" s="1718">
        <f>IF('Estimate Summary'!$D$9&lt;2,0,$H72)</f>
        <v>0</v>
      </c>
      <c r="J72" s="1718">
        <f>IF('Estimate Summary'!$D$9&lt;3,0,$H72)</f>
        <v>0</v>
      </c>
      <c r="K72" s="1718">
        <f>IF('Estimate Summary'!$D$9&lt;4,0,$H72)</f>
        <v>0</v>
      </c>
      <c r="L72" s="1718">
        <f>IF('Estimate Summary'!$D$9&lt;5,0,$H72)</f>
        <v>0</v>
      </c>
      <c r="M72" s="1718">
        <f>IF('Estimate Summary'!$D$9&lt;6,0,$H72)</f>
        <v>0</v>
      </c>
      <c r="N72" s="1630"/>
      <c r="P72" s="582"/>
      <c r="Q72" s="2264">
        <v>43100</v>
      </c>
      <c r="R72" s="1026"/>
      <c r="S72" s="1026">
        <f>IF('Estimate Summary'!$D$9&lt;3,0,$Q72)</f>
        <v>0</v>
      </c>
      <c r="T72" s="1026">
        <f>IF('Estimate Summary'!$D$9&lt;4,0,$Q72)</f>
        <v>0</v>
      </c>
      <c r="U72" s="610" t="s">
        <v>677</v>
      </c>
      <c r="V72" s="1014" t="str">
        <f t="shared" si="0"/>
        <v>CNY</v>
      </c>
      <c r="W72" s="870"/>
      <c r="X72" s="870"/>
      <c r="Y72" s="900"/>
      <c r="Z72" s="1018"/>
      <c r="AA72" s="1018"/>
      <c r="AB72" s="1022"/>
      <c r="AC72" s="900"/>
      <c r="AF72" s="870"/>
      <c r="AH72" s="870"/>
      <c r="AI72" s="870"/>
      <c r="AJ72" s="610" t="s">
        <v>669</v>
      </c>
      <c r="AK72" s="610" t="s">
        <v>1129</v>
      </c>
      <c r="AL72" s="605" t="str">
        <f t="shared" si="1"/>
        <v>CN</v>
      </c>
      <c r="AM72" s="551">
        <f t="shared" si="17"/>
        <v>0</v>
      </c>
      <c r="AN72" s="610" t="s">
        <v>1155</v>
      </c>
      <c r="AO72" s="2009">
        <f t="shared" si="18"/>
        <v>0.14299999999999999</v>
      </c>
      <c r="AP72" s="610" t="str">
        <f t="shared" si="3"/>
        <v>CNY</v>
      </c>
      <c r="AQ72" s="610" t="s">
        <v>700</v>
      </c>
      <c r="AR72" s="605" t="s">
        <v>670</v>
      </c>
      <c r="AS72" s="605" t="s">
        <v>745</v>
      </c>
      <c r="AT72" s="610"/>
      <c r="AU72" s="610" t="str">
        <f t="shared" si="4"/>
        <v>CN</v>
      </c>
      <c r="AV72" s="605" t="s">
        <v>1140</v>
      </c>
      <c r="AW72" s="2255">
        <f t="shared" si="5"/>
        <v>43100</v>
      </c>
    </row>
    <row r="73" spans="1:49" s="605" customFormat="1" collapsed="1">
      <c r="B73" s="2265"/>
      <c r="C73" s="101" t="s">
        <v>33</v>
      </c>
      <c r="D73" s="2266"/>
      <c r="E73" s="594">
        <f>SUM(E60:E72)</f>
        <v>12</v>
      </c>
      <c r="F73" s="421"/>
      <c r="G73" s="1607"/>
      <c r="H73" s="1737">
        <f t="shared" ref="H73:M73" si="19">SUM(H60:H72)</f>
        <v>1.716</v>
      </c>
      <c r="I73" s="104">
        <f t="shared" si="19"/>
        <v>0</v>
      </c>
      <c r="J73" s="104">
        <f t="shared" si="19"/>
        <v>0</v>
      </c>
      <c r="K73" s="104">
        <f t="shared" si="19"/>
        <v>0</v>
      </c>
      <c r="L73" s="104">
        <f t="shared" si="19"/>
        <v>0</v>
      </c>
      <c r="M73" s="104">
        <f t="shared" si="19"/>
        <v>0</v>
      </c>
      <c r="N73" s="637"/>
      <c r="P73" s="1027"/>
      <c r="Q73" s="2264">
        <v>43100</v>
      </c>
      <c r="R73" s="1028"/>
      <c r="S73" s="1029"/>
      <c r="T73" s="1028">
        <f>SUM(T60:T72)</f>
        <v>0</v>
      </c>
      <c r="U73" s="610" t="s">
        <v>677</v>
      </c>
      <c r="V73" s="1014">
        <f t="shared" si="0"/>
        <v>0</v>
      </c>
      <c r="W73" s="870"/>
      <c r="X73" s="870"/>
      <c r="Y73" s="900"/>
      <c r="Z73" s="1018"/>
      <c r="AA73" s="1018"/>
      <c r="AB73" s="1022"/>
      <c r="AC73" s="900"/>
      <c r="AF73" s="870"/>
      <c r="AH73" s="870"/>
      <c r="AI73" s="870"/>
      <c r="AK73" s="610"/>
      <c r="AM73" s="551"/>
      <c r="AN73" s="610"/>
      <c r="AO73" s="2009"/>
      <c r="AP73" s="610">
        <f t="shared" si="3"/>
        <v>0</v>
      </c>
      <c r="AQ73" s="610" t="s">
        <v>700</v>
      </c>
      <c r="AR73" s="605" t="s">
        <v>670</v>
      </c>
      <c r="AS73" s="605" t="s">
        <v>745</v>
      </c>
      <c r="AT73" s="610"/>
      <c r="AU73" s="610">
        <f t="shared" si="4"/>
        <v>0</v>
      </c>
      <c r="AV73" s="605" t="s">
        <v>1140</v>
      </c>
      <c r="AW73" s="2255">
        <f t="shared" si="5"/>
        <v>43100</v>
      </c>
    </row>
    <row r="74" spans="1:49">
      <c r="B74" s="1631"/>
      <c r="C74" s="1632" t="s">
        <v>797</v>
      </c>
      <c r="D74" s="1825"/>
      <c r="E74" s="2288">
        <f>E73/E48*1000</f>
        <v>3.8780121838501733</v>
      </c>
      <c r="F74" s="1633"/>
      <c r="G74" s="1634"/>
      <c r="H74" s="1687"/>
      <c r="I74" s="1663"/>
      <c r="J74" s="1663"/>
      <c r="K74" s="1663"/>
      <c r="L74" s="1663"/>
      <c r="M74" s="1663"/>
      <c r="N74" s="1758"/>
      <c r="Q74" s="2264">
        <v>43100</v>
      </c>
      <c r="T74" s="551"/>
      <c r="U74" s="610" t="s">
        <v>677</v>
      </c>
      <c r="V74" s="603">
        <f t="shared" si="0"/>
        <v>0</v>
      </c>
      <c r="AF74" s="896"/>
      <c r="AG74" s="862"/>
      <c r="AM74" s="551"/>
      <c r="AO74" s="2009"/>
      <c r="AP74" s="610">
        <f t="shared" si="3"/>
        <v>0</v>
      </c>
      <c r="AQ74" s="610" t="s">
        <v>700</v>
      </c>
      <c r="AR74" s="610" t="s">
        <v>670</v>
      </c>
      <c r="AS74" s="605" t="s">
        <v>745</v>
      </c>
      <c r="AU74" s="610">
        <f t="shared" si="4"/>
        <v>0</v>
      </c>
      <c r="AV74" s="605" t="s">
        <v>1140</v>
      </c>
      <c r="AW74" s="2255">
        <f t="shared" si="5"/>
        <v>43100</v>
      </c>
    </row>
    <row r="75" spans="1:49">
      <c r="B75" s="1079" t="s">
        <v>1028</v>
      </c>
      <c r="C75" s="2267" t="s">
        <v>1027</v>
      </c>
      <c r="D75" s="1826" t="s">
        <v>181</v>
      </c>
      <c r="E75" s="2288">
        <f>E73*7%</f>
        <v>0.84000000000000008</v>
      </c>
      <c r="F75" s="564">
        <v>117</v>
      </c>
      <c r="G75" s="2624">
        <f>E75*F75/1000</f>
        <v>9.828000000000002E-2</v>
      </c>
      <c r="H75" s="2625">
        <f>G75</f>
        <v>9.828000000000002E-2</v>
      </c>
      <c r="I75" s="1718">
        <f>IF('Estimate Summary'!$D$9&lt;2,0,$H75)</f>
        <v>0</v>
      </c>
      <c r="J75" s="1718">
        <f>IF('Estimate Summary'!$D$9&lt;3,0,$H75)</f>
        <v>0</v>
      </c>
      <c r="K75" s="1718">
        <f>IF('Estimate Summary'!$D$9&lt;4,0,$H75)</f>
        <v>0</v>
      </c>
      <c r="L75" s="1718">
        <f>IF('Estimate Summary'!$D$9&lt;5,0,$H75)</f>
        <v>0</v>
      </c>
      <c r="M75" s="1718">
        <f>IF('Estimate Summary'!$D$9&lt;6,0,$H75)</f>
        <v>0</v>
      </c>
      <c r="N75" s="1758"/>
      <c r="Q75" s="2264">
        <v>43100</v>
      </c>
      <c r="T75" s="551"/>
      <c r="U75" s="610" t="s">
        <v>677</v>
      </c>
      <c r="V75" s="603" t="str">
        <f t="shared" si="0"/>
        <v>CNY</v>
      </c>
      <c r="AE75" s="862" t="s">
        <v>419</v>
      </c>
      <c r="AF75" s="896"/>
      <c r="AG75" s="862" t="s">
        <v>419</v>
      </c>
      <c r="AJ75" s="610" t="s">
        <v>669</v>
      </c>
      <c r="AK75" s="610" t="s">
        <v>1129</v>
      </c>
      <c r="AL75" s="610" t="str">
        <f t="shared" si="1"/>
        <v>CN</v>
      </c>
      <c r="AM75" s="551">
        <f t="shared" si="17"/>
        <v>0.84000000000000008</v>
      </c>
      <c r="AN75" s="610" t="s">
        <v>1155</v>
      </c>
      <c r="AO75" s="2009">
        <f t="shared" si="18"/>
        <v>0.11700000000000001</v>
      </c>
      <c r="AP75" s="610" t="str">
        <f t="shared" si="3"/>
        <v>CNY</v>
      </c>
      <c r="AQ75" s="610" t="s">
        <v>700</v>
      </c>
      <c r="AR75" s="610" t="s">
        <v>670</v>
      </c>
      <c r="AS75" s="605" t="s">
        <v>745</v>
      </c>
      <c r="AU75" s="610" t="str">
        <f t="shared" si="4"/>
        <v>CN</v>
      </c>
      <c r="AV75" s="605" t="s">
        <v>1140</v>
      </c>
      <c r="AW75" s="2255">
        <f t="shared" si="5"/>
        <v>43100</v>
      </c>
    </row>
    <row r="76" spans="1:49" ht="13.5" thickBot="1">
      <c r="B76" s="1706"/>
      <c r="C76" s="1685" t="s">
        <v>938</v>
      </c>
      <c r="D76" s="1827"/>
      <c r="E76" s="2392"/>
      <c r="F76" s="565"/>
      <c r="G76" s="1609"/>
      <c r="H76" s="426">
        <f>H48+H54+H58+H73+H75</f>
        <v>99.030587920625152</v>
      </c>
      <c r="I76" s="427">
        <f>IF('Estimate Summary'!$D$9&lt;2,0,$H76)</f>
        <v>0</v>
      </c>
      <c r="J76" s="427">
        <f>IF('Estimate Summary'!$D$9&lt;3,0,$H76)</f>
        <v>0</v>
      </c>
      <c r="K76" s="427">
        <f>IF('Estimate Summary'!$D$9&lt;4,0,$H76)</f>
        <v>0</v>
      </c>
      <c r="L76" s="427">
        <f>IF('Estimate Summary'!$D$9&lt;5,0,$H76)</f>
        <v>0</v>
      </c>
      <c r="M76" s="427">
        <f>IF('Estimate Summary'!$D$9&lt;6,0,$H76)</f>
        <v>0</v>
      </c>
      <c r="N76" s="2270"/>
      <c r="T76" s="551"/>
      <c r="U76" s="610" t="s">
        <v>677</v>
      </c>
      <c r="V76" s="603">
        <f t="shared" si="0"/>
        <v>0</v>
      </c>
      <c r="AE76" s="1964">
        <v>300</v>
      </c>
      <c r="AF76" s="1963">
        <v>1.5E-3</v>
      </c>
      <c r="AG76" s="1964">
        <f>300*0.93</f>
        <v>279</v>
      </c>
      <c r="AM76" s="551"/>
      <c r="AO76" s="551"/>
      <c r="AP76" s="610">
        <f t="shared" si="3"/>
        <v>0</v>
      </c>
      <c r="AQ76" s="610" t="s">
        <v>700</v>
      </c>
      <c r="AR76" s="610" t="s">
        <v>670</v>
      </c>
      <c r="AS76" s="605" t="s">
        <v>745</v>
      </c>
      <c r="AU76" s="610">
        <f t="shared" si="4"/>
        <v>0</v>
      </c>
      <c r="AV76" s="610" t="s">
        <v>1140</v>
      </c>
      <c r="AW76" s="2255">
        <f t="shared" si="5"/>
        <v>0</v>
      </c>
    </row>
    <row r="77" spans="1:49" s="605" customFormat="1" ht="25.5" hidden="1" outlineLevel="1" thickTop="1" thickBot="1">
      <c r="B77" s="1704" t="s">
        <v>946</v>
      </c>
      <c r="C77" s="1705"/>
      <c r="D77" s="1828"/>
      <c r="E77" s="2271"/>
      <c r="F77" s="1635"/>
      <c r="G77" s="1636"/>
      <c r="H77" s="2272"/>
      <c r="I77" s="2253"/>
      <c r="J77" s="2253"/>
      <c r="K77" s="2253"/>
      <c r="L77" s="2253"/>
      <c r="M77" s="2253"/>
      <c r="N77" s="2273"/>
      <c r="P77" s="2274" t="s">
        <v>409</v>
      </c>
      <c r="Q77" s="2275" t="s">
        <v>410</v>
      </c>
      <c r="R77" s="2276" t="s">
        <v>411</v>
      </c>
      <c r="S77" s="1998" t="s">
        <v>84</v>
      </c>
      <c r="T77" s="1998" t="s">
        <v>1104</v>
      </c>
      <c r="U77" s="1998" t="s">
        <v>83</v>
      </c>
      <c r="V77" s="1871" t="s">
        <v>255</v>
      </c>
      <c r="W77" s="2277" t="s">
        <v>412</v>
      </c>
      <c r="X77" s="2277" t="s">
        <v>412</v>
      </c>
      <c r="Y77" s="887" t="s">
        <v>413</v>
      </c>
      <c r="Z77" s="887" t="s">
        <v>1077</v>
      </c>
      <c r="AA77" s="855" t="s">
        <v>1059</v>
      </c>
      <c r="AB77" s="855" t="s">
        <v>1060</v>
      </c>
      <c r="AC77" s="855" t="s">
        <v>414</v>
      </c>
      <c r="AD77" s="855" t="s">
        <v>415</v>
      </c>
      <c r="AE77" s="855" t="s">
        <v>416</v>
      </c>
      <c r="AF77" s="873" t="s">
        <v>417</v>
      </c>
      <c r="AG77" s="856" t="s">
        <v>418</v>
      </c>
      <c r="AH77" s="873" t="s">
        <v>270</v>
      </c>
      <c r="AI77" s="873" t="s">
        <v>269</v>
      </c>
      <c r="AJ77" s="1999" t="s">
        <v>1097</v>
      </c>
      <c r="AK77" s="1999" t="s">
        <v>1105</v>
      </c>
      <c r="AL77" s="1999" t="s">
        <v>1098</v>
      </c>
      <c r="AM77" s="1999" t="s">
        <v>755</v>
      </c>
      <c r="AN77" s="1999" t="s">
        <v>580</v>
      </c>
      <c r="AO77" s="1999" t="s">
        <v>1137</v>
      </c>
      <c r="AP77" s="1999" t="s">
        <v>1138</v>
      </c>
      <c r="AQ77" s="1999" t="s">
        <v>1099</v>
      </c>
      <c r="AR77" s="1999" t="s">
        <v>1100</v>
      </c>
      <c r="AS77" s="1999" t="s">
        <v>1101</v>
      </c>
      <c r="AT77" s="1999" t="s">
        <v>76</v>
      </c>
      <c r="AU77" s="1999" t="s">
        <v>1102</v>
      </c>
      <c r="AV77" s="1999" t="s">
        <v>1103</v>
      </c>
      <c r="AW77" s="1999" t="s">
        <v>761</v>
      </c>
    </row>
    <row r="78" spans="1:49" ht="12.75" hidden="1" customHeight="1" outlineLevel="1">
      <c r="A78" s="383"/>
      <c r="B78" s="382"/>
      <c r="C78" s="585" t="s">
        <v>258</v>
      </c>
      <c r="D78" s="1829"/>
      <c r="E78" s="584">
        <f>SUM(E79:E85)</f>
        <v>0</v>
      </c>
      <c r="F78" s="1886">
        <f>IF(E78=0,0,H78/E78*1000)</f>
        <v>0</v>
      </c>
      <c r="G78" s="1886"/>
      <c r="H78" s="1693">
        <f>SUM(H79:H86)</f>
        <v>0</v>
      </c>
      <c r="I78" s="2278">
        <f>SUM(I79:I85)</f>
        <v>0</v>
      </c>
      <c r="J78" s="2278">
        <f>SUM(J79:J85)</f>
        <v>0</v>
      </c>
      <c r="K78" s="2278">
        <f>SUM(K79:K85)</f>
        <v>0</v>
      </c>
      <c r="L78" s="2278">
        <f>SUM(L79:L85)</f>
        <v>0</v>
      </c>
      <c r="M78" s="2278">
        <f>SUM(M79:M85)</f>
        <v>0</v>
      </c>
      <c r="N78" s="996"/>
      <c r="O78" s="697"/>
      <c r="P78" s="2279"/>
      <c r="Q78" s="2280"/>
      <c r="R78" s="476"/>
      <c r="S78" s="485"/>
      <c r="T78" s="2281"/>
      <c r="U78" s="1925"/>
      <c r="V78" s="1926">
        <f t="shared" ref="V78:V142" si="20">D78</f>
        <v>0</v>
      </c>
      <c r="W78" s="875"/>
      <c r="X78" s="875"/>
      <c r="Y78" s="878"/>
      <c r="Z78" s="891"/>
      <c r="AA78" s="891"/>
      <c r="AB78" s="1927"/>
      <c r="AC78" s="1927"/>
      <c r="AD78" s="476"/>
      <c r="AE78" s="476"/>
      <c r="AF78" s="2282"/>
      <c r="AG78" s="1925"/>
      <c r="AH78" s="875"/>
      <c r="AI78" s="875"/>
      <c r="AL78" s="610" t="b">
        <f t="shared" ref="AL78:AL142" si="21">IF(D78="CNY","CN",IF(D78="EUR","DE",IF(D78="USD","US",IF(D78="JPY","JP",IF(D78="INR","IN")))))</f>
        <v>0</v>
      </c>
      <c r="AM78" s="551">
        <f>'Estimate Summary'!$D$9</f>
        <v>1</v>
      </c>
      <c r="AN78" s="610" t="s">
        <v>1136</v>
      </c>
      <c r="AO78" s="551">
        <f t="shared" ref="AO78:AO142" si="22">G78</f>
        <v>0</v>
      </c>
      <c r="AP78" s="610">
        <f t="shared" ref="AP78:AP140" si="23">D78</f>
        <v>0</v>
      </c>
      <c r="AQ78" s="610" t="s">
        <v>1139</v>
      </c>
      <c r="AR78" s="610" t="s">
        <v>670</v>
      </c>
      <c r="AS78" s="605" t="s">
        <v>745</v>
      </c>
      <c r="AT78" s="610" t="str">
        <f>'Estimate Summary'!$AT$11</f>
        <v>FOB SH</v>
      </c>
      <c r="AU78" s="610" t="b">
        <f t="shared" ref="AU78:AU142" si="24">AL78</f>
        <v>0</v>
      </c>
      <c r="AV78" s="610" t="s">
        <v>1140</v>
      </c>
      <c r="AW78" s="2255">
        <f t="shared" ref="AW78:AW142" si="25">Q78</f>
        <v>0</v>
      </c>
    </row>
    <row r="79" spans="1:49" s="383" customFormat="1" ht="13.5" hidden="1" customHeight="1" outlineLevel="1">
      <c r="B79" s="1079" t="s">
        <v>802</v>
      </c>
      <c r="C79" s="385" t="s">
        <v>809</v>
      </c>
      <c r="D79" s="1830" t="s">
        <v>181</v>
      </c>
      <c r="E79" s="421"/>
      <c r="F79" s="390">
        <f>IF(E79=0,0,H79/E79*1000)</f>
        <v>0</v>
      </c>
      <c r="G79" s="1607">
        <f>AA79</f>
        <v>0</v>
      </c>
      <c r="H79" s="2017">
        <f>AB79</f>
        <v>0</v>
      </c>
      <c r="I79" s="469">
        <f>IF('Estimate Summary'!$D$9&lt;2,0,$H79)</f>
        <v>0</v>
      </c>
      <c r="J79" s="469">
        <f>IF('Estimate Summary'!$D$9&lt;3,0,$H79)</f>
        <v>0</v>
      </c>
      <c r="K79" s="469">
        <f>IF('Estimate Summary'!$D$9&lt;4,0,$H79)</f>
        <v>0</v>
      </c>
      <c r="L79" s="469">
        <f>IF('Estimate Summary'!$D$9&lt;5,0,$H79)</f>
        <v>0</v>
      </c>
      <c r="M79" s="469">
        <f>IF('Estimate Summary'!$D$9&lt;6,0,$H79)</f>
        <v>0</v>
      </c>
      <c r="N79" s="1648"/>
      <c r="P79" s="1010">
        <f t="shared" ref="P79:P86" si="26">IF(Q79=0,0,(YEAR(R79)-YEAR(Q79))*12+(MONTH(R79)-MONTH(Q79)))</f>
        <v>37</v>
      </c>
      <c r="Q79" s="794">
        <v>42683</v>
      </c>
      <c r="R79" s="795">
        <f>$R$2+30.42*'Offshore CF'!BD13</f>
        <v>43803.94</v>
      </c>
      <c r="S79" s="475" t="s">
        <v>128</v>
      </c>
      <c r="T79" s="475" t="s">
        <v>180</v>
      </c>
      <c r="U79" s="697" t="s">
        <v>582</v>
      </c>
      <c r="V79" s="391" t="str">
        <f t="shared" si="20"/>
        <v>CNY</v>
      </c>
      <c r="W79" s="547">
        <f>E79*6*1.17</f>
        <v>0</v>
      </c>
      <c r="X79" s="863">
        <f>IF(V79="CNY",W79/1.17/1000,W79/1000)</f>
        <v>0</v>
      </c>
      <c r="Y79" s="920"/>
      <c r="Z79" s="890">
        <f>Y79+$Z$78</f>
        <v>0</v>
      </c>
      <c r="AA79" s="484">
        <f>X79*(1-Z79)</f>
        <v>0</v>
      </c>
      <c r="AB79" s="484">
        <f t="shared" ref="AB79:AB86" si="27">IF(V79="CNY",X79*(1-Z79),IF(V79="EUR",X79*(1-Z79)*$T$5,IF(V79="JPY",X79*(1-Z79)*$T$6,IF(V79="USD",X79*(1-Z79)*$T$7))))</f>
        <v>0</v>
      </c>
      <c r="AC79" s="879"/>
      <c r="AD79" s="865">
        <f>IF(V79&lt;&gt;"CNY",(AB79+#REF!)*AC79,0)</f>
        <v>0</v>
      </c>
      <c r="AE79" s="865"/>
      <c r="AF79" s="866">
        <f>IF(V79&lt;&gt;"CNY",(AB79+#REF!)*#REF!,0)</f>
        <v>0</v>
      </c>
      <c r="AG79" s="865">
        <f>IF(V79&lt;&gt;"CNY",E79*#REF!/1000,0)</f>
        <v>0</v>
      </c>
      <c r="AH79" s="866">
        <f t="shared" ref="AH79:AH85" si="28">SUM(AD79:AG79)</f>
        <v>0</v>
      </c>
      <c r="AI79" s="866">
        <f t="shared" ref="AI79:AI85" si="29">AB79+AH79</f>
        <v>0</v>
      </c>
      <c r="AJ79" s="383" t="s">
        <v>669</v>
      </c>
      <c r="AK79" s="383" t="s">
        <v>1128</v>
      </c>
      <c r="AL79" s="383" t="str">
        <f t="shared" si="21"/>
        <v>CN</v>
      </c>
      <c r="AM79" s="484">
        <f>'Estimate Summary'!$D$9</f>
        <v>1</v>
      </c>
      <c r="AN79" s="383" t="s">
        <v>1136</v>
      </c>
      <c r="AO79" s="484">
        <f t="shared" si="22"/>
        <v>0</v>
      </c>
      <c r="AP79" s="383" t="str">
        <f t="shared" si="23"/>
        <v>CNY</v>
      </c>
      <c r="AQ79" s="383" t="s">
        <v>1139</v>
      </c>
      <c r="AR79" s="383" t="s">
        <v>670</v>
      </c>
      <c r="AS79" s="605" t="s">
        <v>745</v>
      </c>
      <c r="AT79" s="383" t="str">
        <f>'Estimate Summary'!$AT$11</f>
        <v>FOB SH</v>
      </c>
      <c r="AU79" s="610" t="str">
        <f t="shared" si="24"/>
        <v>CN</v>
      </c>
      <c r="AV79" s="383" t="s">
        <v>1140</v>
      </c>
      <c r="AW79" s="2255">
        <f t="shared" si="25"/>
        <v>42683</v>
      </c>
    </row>
    <row r="80" spans="1:49" s="383" customFormat="1" ht="13.5" hidden="1" customHeight="1" outlineLevel="1">
      <c r="B80" s="1079" t="s">
        <v>803</v>
      </c>
      <c r="C80" s="385" t="s">
        <v>807</v>
      </c>
      <c r="D80" s="1830" t="s">
        <v>181</v>
      </c>
      <c r="E80" s="421"/>
      <c r="F80" s="390">
        <f>IF(E80=0,0,H80/E80*1000)</f>
        <v>0</v>
      </c>
      <c r="G80" s="1607">
        <f t="shared" ref="G80:G147" si="30">AA80</f>
        <v>0</v>
      </c>
      <c r="H80" s="2017">
        <f t="shared" ref="H80:H90" si="31">AB80</f>
        <v>0</v>
      </c>
      <c r="I80" s="469">
        <f>IF('Estimate Summary'!$D$9&lt;2,0,$H80)</f>
        <v>0</v>
      </c>
      <c r="J80" s="469">
        <f>IF('Estimate Summary'!$D$9&lt;3,0,$H80)</f>
        <v>0</v>
      </c>
      <c r="K80" s="469">
        <f>IF('Estimate Summary'!$D$9&lt;4,0,$H80)</f>
        <v>0</v>
      </c>
      <c r="L80" s="469">
        <f>IF('Estimate Summary'!$D$9&lt;5,0,$H80)</f>
        <v>0</v>
      </c>
      <c r="M80" s="469">
        <f>IF('Estimate Summary'!$D$9&lt;6,0,$H80)</f>
        <v>0</v>
      </c>
      <c r="N80" s="1648"/>
      <c r="P80" s="1010">
        <f t="shared" si="26"/>
        <v>37</v>
      </c>
      <c r="Q80" s="794">
        <v>42683</v>
      </c>
      <c r="R80" s="795">
        <f>$R$2+30.42*'Offshore CF'!BD13</f>
        <v>43803.94</v>
      </c>
      <c r="S80" s="475" t="s">
        <v>128</v>
      </c>
      <c r="T80" s="475" t="s">
        <v>180</v>
      </c>
      <c r="U80" s="697" t="s">
        <v>582</v>
      </c>
      <c r="V80" s="391" t="str">
        <f t="shared" si="20"/>
        <v>CNY</v>
      </c>
      <c r="W80" s="547">
        <f>E80*6.86*1.17</f>
        <v>0</v>
      </c>
      <c r="X80" s="863">
        <f t="shared" ref="X80:X86" si="32">IF(V80="CNY",W80/1.17/1000,W80/1000)</f>
        <v>0</v>
      </c>
      <c r="Y80" s="920"/>
      <c r="Z80" s="890">
        <f t="shared" ref="Z80:Z144" si="33">Y80+$Z$78</f>
        <v>0</v>
      </c>
      <c r="AA80" s="484">
        <f t="shared" ref="AA80:AA147" si="34">X80*(1-Z80)</f>
        <v>0</v>
      </c>
      <c r="AB80" s="484">
        <f t="shared" si="27"/>
        <v>0</v>
      </c>
      <c r="AC80" s="879"/>
      <c r="AD80" s="383">
        <f>IF(V80&lt;&gt;"CNY",(AB80+#REF!)*AC80,0)</f>
        <v>0</v>
      </c>
      <c r="AF80" s="867">
        <f>IF(V80&lt;&gt;"CNY",(AB80+#REF!)*#REF!,0)</f>
        <v>0</v>
      </c>
      <c r="AG80" s="383">
        <f>IF(V80&lt;&gt;"CNY",E80*#REF!/1000,0)</f>
        <v>0</v>
      </c>
      <c r="AH80" s="867">
        <f t="shared" si="28"/>
        <v>0</v>
      </c>
      <c r="AI80" s="867">
        <f t="shared" si="29"/>
        <v>0</v>
      </c>
      <c r="AJ80" s="383" t="s">
        <v>669</v>
      </c>
      <c r="AK80" s="383" t="s">
        <v>1128</v>
      </c>
      <c r="AL80" s="383" t="str">
        <f t="shared" si="21"/>
        <v>CN</v>
      </c>
      <c r="AM80" s="484">
        <f>'Estimate Summary'!$D$9</f>
        <v>1</v>
      </c>
      <c r="AN80" s="383" t="s">
        <v>1136</v>
      </c>
      <c r="AO80" s="484">
        <f t="shared" si="22"/>
        <v>0</v>
      </c>
      <c r="AP80" s="383" t="str">
        <f t="shared" si="23"/>
        <v>CNY</v>
      </c>
      <c r="AQ80" s="383" t="s">
        <v>1139</v>
      </c>
      <c r="AR80" s="383" t="s">
        <v>670</v>
      </c>
      <c r="AS80" s="605" t="s">
        <v>745</v>
      </c>
      <c r="AT80" s="383" t="str">
        <f>'Estimate Summary'!$AT$11</f>
        <v>FOB SH</v>
      </c>
      <c r="AU80" s="610" t="str">
        <f t="shared" si="24"/>
        <v>CN</v>
      </c>
      <c r="AV80" s="383" t="s">
        <v>1140</v>
      </c>
      <c r="AW80" s="2255">
        <f t="shared" si="25"/>
        <v>42683</v>
      </c>
    </row>
    <row r="81" spans="1:49" s="383" customFormat="1" ht="13.5" hidden="1" customHeight="1" outlineLevel="1">
      <c r="B81" s="1079" t="s">
        <v>804</v>
      </c>
      <c r="C81" s="385" t="s">
        <v>808</v>
      </c>
      <c r="D81" s="1830" t="s">
        <v>181</v>
      </c>
      <c r="E81" s="421"/>
      <c r="F81" s="390">
        <f>IF(E81=0,0,H81/E81*1000)</f>
        <v>0</v>
      </c>
      <c r="G81" s="1607">
        <f t="shared" si="30"/>
        <v>0</v>
      </c>
      <c r="H81" s="2017">
        <f t="shared" si="31"/>
        <v>0</v>
      </c>
      <c r="I81" s="469">
        <f>IF('Estimate Summary'!$D$9&lt;2,0,$H81)</f>
        <v>0</v>
      </c>
      <c r="J81" s="469">
        <f>IF('Estimate Summary'!$D$9&lt;3,0,$H81)</f>
        <v>0</v>
      </c>
      <c r="K81" s="469">
        <f>IF('Estimate Summary'!$D$9&lt;4,0,$H81)</f>
        <v>0</v>
      </c>
      <c r="L81" s="469">
        <f>IF('Estimate Summary'!$D$9&lt;5,0,$H81)</f>
        <v>0</v>
      </c>
      <c r="M81" s="469">
        <f>IF('Estimate Summary'!$D$9&lt;6,0,$H81)</f>
        <v>0</v>
      </c>
      <c r="N81" s="1648"/>
      <c r="P81" s="1010">
        <f t="shared" si="26"/>
        <v>37</v>
      </c>
      <c r="Q81" s="794">
        <v>42683</v>
      </c>
      <c r="R81" s="795">
        <f>$R$2+30.42*'Offshore CF'!BD13</f>
        <v>43803.94</v>
      </c>
      <c r="S81" s="475" t="s">
        <v>128</v>
      </c>
      <c r="T81" s="475" t="s">
        <v>180</v>
      </c>
      <c r="U81" s="697" t="s">
        <v>582</v>
      </c>
      <c r="V81" s="391" t="str">
        <f t="shared" si="20"/>
        <v>CNY</v>
      </c>
      <c r="W81" s="547">
        <f>E81*5.92*1.17</f>
        <v>0</v>
      </c>
      <c r="X81" s="863">
        <f>IF(V81="CNY",W81/1.17/1000,W81/1000)</f>
        <v>0</v>
      </c>
      <c r="Y81" s="920"/>
      <c r="Z81" s="890">
        <f t="shared" si="33"/>
        <v>0</v>
      </c>
      <c r="AA81" s="484">
        <f t="shared" si="34"/>
        <v>0</v>
      </c>
      <c r="AB81" s="484">
        <f t="shared" si="27"/>
        <v>0</v>
      </c>
      <c r="AC81" s="879"/>
      <c r="AD81" s="383">
        <f>IF(V81&lt;&gt;"CNY",(AB81+#REF!)*AC81,0)</f>
        <v>0</v>
      </c>
      <c r="AF81" s="867">
        <f>IF(V81&lt;&gt;"CNY",(AB81+#REF!)*#REF!,0)</f>
        <v>0</v>
      </c>
      <c r="AG81" s="383">
        <f>IF(V81&lt;&gt;"CNY",E81*#REF!/1000,0)</f>
        <v>0</v>
      </c>
      <c r="AH81" s="867">
        <f t="shared" si="28"/>
        <v>0</v>
      </c>
      <c r="AI81" s="867">
        <f t="shared" si="29"/>
        <v>0</v>
      </c>
      <c r="AJ81" s="383" t="s">
        <v>669</v>
      </c>
      <c r="AK81" s="383" t="s">
        <v>1128</v>
      </c>
      <c r="AL81" s="383" t="str">
        <f t="shared" si="21"/>
        <v>CN</v>
      </c>
      <c r="AM81" s="484">
        <f>'Estimate Summary'!$D$9</f>
        <v>1</v>
      </c>
      <c r="AN81" s="383" t="s">
        <v>1136</v>
      </c>
      <c r="AO81" s="484">
        <f t="shared" si="22"/>
        <v>0</v>
      </c>
      <c r="AP81" s="383" t="str">
        <f t="shared" si="23"/>
        <v>CNY</v>
      </c>
      <c r="AQ81" s="383" t="s">
        <v>1139</v>
      </c>
      <c r="AR81" s="383" t="s">
        <v>670</v>
      </c>
      <c r="AS81" s="605" t="s">
        <v>745</v>
      </c>
      <c r="AT81" s="383" t="str">
        <f>'Estimate Summary'!$AT$11</f>
        <v>FOB SH</v>
      </c>
      <c r="AU81" s="610" t="str">
        <f t="shared" si="24"/>
        <v>CN</v>
      </c>
      <c r="AV81" s="383" t="s">
        <v>1140</v>
      </c>
      <c r="AW81" s="2255">
        <f t="shared" si="25"/>
        <v>42683</v>
      </c>
    </row>
    <row r="82" spans="1:49" s="383" customFormat="1" ht="13.5" hidden="1" customHeight="1" outlineLevel="1">
      <c r="B82" s="1079" t="s">
        <v>802</v>
      </c>
      <c r="C82" s="385" t="s">
        <v>810</v>
      </c>
      <c r="D82" s="1830" t="s">
        <v>181</v>
      </c>
      <c r="E82" s="421"/>
      <c r="F82" s="390">
        <f>IF(E82=0,0,H82/E82*1000)</f>
        <v>0</v>
      </c>
      <c r="G82" s="1607">
        <f t="shared" si="30"/>
        <v>0</v>
      </c>
      <c r="H82" s="2017">
        <f t="shared" si="31"/>
        <v>0</v>
      </c>
      <c r="I82" s="469">
        <f>IF('Estimate Summary'!$D$9&lt;2,0,$H82)</f>
        <v>0</v>
      </c>
      <c r="J82" s="469">
        <f>IF('Estimate Summary'!$D$9&lt;3,0,$H82)</f>
        <v>0</v>
      </c>
      <c r="K82" s="469">
        <f>IF('Estimate Summary'!$D$9&lt;4,0,$H82)</f>
        <v>0</v>
      </c>
      <c r="L82" s="469">
        <f>IF('Estimate Summary'!$D$9&lt;5,0,$H82)</f>
        <v>0</v>
      </c>
      <c r="M82" s="469">
        <f>IF('Estimate Summary'!$D$9&lt;6,0,$H82)</f>
        <v>0</v>
      </c>
      <c r="N82" s="1648"/>
      <c r="P82" s="1010">
        <f t="shared" si="26"/>
        <v>37</v>
      </c>
      <c r="Q82" s="794">
        <v>42683</v>
      </c>
      <c r="R82" s="795">
        <f>$R$2+30.42*'Offshore CF'!BD13</f>
        <v>43803.94</v>
      </c>
      <c r="S82" s="475" t="s">
        <v>128</v>
      </c>
      <c r="T82" s="475" t="s">
        <v>180</v>
      </c>
      <c r="U82" s="697" t="s">
        <v>582</v>
      </c>
      <c r="V82" s="391" t="str">
        <f t="shared" si="20"/>
        <v>CNY</v>
      </c>
      <c r="W82" s="547">
        <f>E82*6.43*1.17</f>
        <v>0</v>
      </c>
      <c r="X82" s="863">
        <f>IF(V82="CNY",W82/1.17/1000,W82/1000)</f>
        <v>0</v>
      </c>
      <c r="Y82" s="920"/>
      <c r="Z82" s="890">
        <f t="shared" si="33"/>
        <v>0</v>
      </c>
      <c r="AA82" s="484">
        <f t="shared" si="34"/>
        <v>0</v>
      </c>
      <c r="AB82" s="484">
        <f t="shared" si="27"/>
        <v>0</v>
      </c>
      <c r="AC82" s="879"/>
      <c r="AD82" s="383">
        <f>IF(V82&lt;&gt;"CNY",(AB82+#REF!)*AC82,0)</f>
        <v>0</v>
      </c>
      <c r="AF82" s="867">
        <f>IF(V82&lt;&gt;"CNY",(AB82+#REF!)*#REF!,0)</f>
        <v>0</v>
      </c>
      <c r="AG82" s="383">
        <f>IF(V82&lt;&gt;"CNY",E82*#REF!/1000,0)</f>
        <v>0</v>
      </c>
      <c r="AH82" s="867">
        <f t="shared" si="28"/>
        <v>0</v>
      </c>
      <c r="AI82" s="867">
        <f t="shared" si="29"/>
        <v>0</v>
      </c>
      <c r="AJ82" s="383" t="s">
        <v>669</v>
      </c>
      <c r="AK82" s="383" t="s">
        <v>1128</v>
      </c>
      <c r="AL82" s="383" t="str">
        <f t="shared" si="21"/>
        <v>CN</v>
      </c>
      <c r="AM82" s="484">
        <f>'Estimate Summary'!$D$9</f>
        <v>1</v>
      </c>
      <c r="AN82" s="383" t="s">
        <v>1136</v>
      </c>
      <c r="AO82" s="484">
        <f t="shared" si="22"/>
        <v>0</v>
      </c>
      <c r="AP82" s="383" t="str">
        <f t="shared" si="23"/>
        <v>CNY</v>
      </c>
      <c r="AQ82" s="383" t="s">
        <v>1139</v>
      </c>
      <c r="AR82" s="383" t="s">
        <v>670</v>
      </c>
      <c r="AS82" s="605" t="s">
        <v>745</v>
      </c>
      <c r="AT82" s="383" t="str">
        <f>'Estimate Summary'!$AT$11</f>
        <v>FOB SH</v>
      </c>
      <c r="AU82" s="610" t="str">
        <f t="shared" si="24"/>
        <v>CN</v>
      </c>
      <c r="AV82" s="383" t="s">
        <v>1140</v>
      </c>
      <c r="AW82" s="2255">
        <f t="shared" si="25"/>
        <v>42683</v>
      </c>
    </row>
    <row r="83" spans="1:49" s="383" customFormat="1" ht="13.5" hidden="1" customHeight="1" outlineLevel="1">
      <c r="B83" s="1854" t="s">
        <v>1229</v>
      </c>
      <c r="C83" s="2058" t="s">
        <v>1228</v>
      </c>
      <c r="D83" s="2064"/>
      <c r="E83" s="2059"/>
      <c r="F83" s="2060"/>
      <c r="G83" s="2061"/>
      <c r="H83" s="2062"/>
      <c r="I83" s="1857"/>
      <c r="J83" s="1857"/>
      <c r="K83" s="1857"/>
      <c r="L83" s="1857"/>
      <c r="M83" s="1857"/>
      <c r="N83" s="2063"/>
      <c r="P83" s="1010"/>
      <c r="Q83" s="794"/>
      <c r="R83" s="795"/>
      <c r="S83" s="475"/>
      <c r="T83" s="475"/>
      <c r="U83" s="697"/>
      <c r="V83" s="391"/>
      <c r="W83" s="547"/>
      <c r="X83" s="863"/>
      <c r="Y83" s="920"/>
      <c r="Z83" s="890"/>
      <c r="AA83" s="484"/>
      <c r="AB83" s="484"/>
      <c r="AC83" s="879"/>
      <c r="AF83" s="867"/>
      <c r="AH83" s="867"/>
      <c r="AI83" s="867"/>
      <c r="AM83" s="484"/>
      <c r="AO83" s="484"/>
      <c r="AS83" s="605"/>
      <c r="AU83" s="610"/>
      <c r="AW83" s="2255"/>
    </row>
    <row r="84" spans="1:49" s="383" customFormat="1" ht="13.5" hidden="1" customHeight="1" outlineLevel="1">
      <c r="B84" s="1079" t="s">
        <v>805</v>
      </c>
      <c r="C84" s="385" t="s">
        <v>811</v>
      </c>
      <c r="D84" s="1830" t="s">
        <v>181</v>
      </c>
      <c r="E84" s="421"/>
      <c r="F84" s="390"/>
      <c r="G84" s="1607">
        <f t="shared" si="30"/>
        <v>0</v>
      </c>
      <c r="H84" s="1738">
        <f t="shared" si="31"/>
        <v>0</v>
      </c>
      <c r="I84" s="469">
        <f>IF('Estimate Summary'!$D$9&lt;2,0,$H84)</f>
        <v>0</v>
      </c>
      <c r="J84" s="469">
        <f>IF('Estimate Summary'!$D$9&lt;3,0,$H84)</f>
        <v>0</v>
      </c>
      <c r="K84" s="469">
        <f>IF('Estimate Summary'!$D$9&lt;4,0,$H84)</f>
        <v>0</v>
      </c>
      <c r="L84" s="469">
        <f>IF('Estimate Summary'!$D$9&lt;5,0,$H84)</f>
        <v>0</v>
      </c>
      <c r="M84" s="469">
        <f>IF('Estimate Summary'!$D$9&lt;6,0,$H84)</f>
        <v>0</v>
      </c>
      <c r="N84" s="1648"/>
      <c r="P84" s="1010">
        <f t="shared" si="26"/>
        <v>0</v>
      </c>
      <c r="Q84" s="794"/>
      <c r="R84" s="795"/>
      <c r="S84" s="475"/>
      <c r="T84" s="475"/>
      <c r="U84" s="697"/>
      <c r="V84" s="391" t="str">
        <f t="shared" si="20"/>
        <v>CNY</v>
      </c>
      <c r="W84" s="547"/>
      <c r="X84" s="863">
        <f t="shared" si="32"/>
        <v>0</v>
      </c>
      <c r="Y84" s="920"/>
      <c r="Z84" s="890">
        <f t="shared" si="33"/>
        <v>0</v>
      </c>
      <c r="AA84" s="484">
        <f t="shared" si="34"/>
        <v>0</v>
      </c>
      <c r="AB84" s="484">
        <f t="shared" si="27"/>
        <v>0</v>
      </c>
      <c r="AC84" s="879"/>
      <c r="AD84" s="383">
        <f>IF(V84&lt;&gt;"CNY",(AB84+#REF!)*AC84,0)</f>
        <v>0</v>
      </c>
      <c r="AF84" s="867">
        <f>IF(V84&lt;&gt;"CNY",(AB84+#REF!)*#REF!,0)</f>
        <v>0</v>
      </c>
      <c r="AG84" s="383">
        <f>IF(V84&lt;&gt;"CNY",E84*#REF!/1000,0)</f>
        <v>0</v>
      </c>
      <c r="AH84" s="867">
        <f t="shared" si="28"/>
        <v>0</v>
      </c>
      <c r="AI84" s="867">
        <f t="shared" si="29"/>
        <v>0</v>
      </c>
      <c r="AJ84" s="383" t="s">
        <v>669</v>
      </c>
      <c r="AK84" s="383" t="s">
        <v>1128</v>
      </c>
      <c r="AL84" s="383" t="str">
        <f t="shared" si="21"/>
        <v>CN</v>
      </c>
      <c r="AM84" s="484">
        <f>'Estimate Summary'!$D$9</f>
        <v>1</v>
      </c>
      <c r="AN84" s="383" t="s">
        <v>1136</v>
      </c>
      <c r="AO84" s="484">
        <f t="shared" si="22"/>
        <v>0</v>
      </c>
      <c r="AP84" s="383" t="str">
        <f t="shared" si="23"/>
        <v>CNY</v>
      </c>
      <c r="AQ84" s="383" t="s">
        <v>1139</v>
      </c>
      <c r="AR84" s="383" t="s">
        <v>670</v>
      </c>
      <c r="AS84" s="605" t="s">
        <v>745</v>
      </c>
      <c r="AT84" s="383" t="str">
        <f>'Estimate Summary'!$AT$11</f>
        <v>FOB SH</v>
      </c>
      <c r="AU84" s="610" t="str">
        <f t="shared" si="24"/>
        <v>CN</v>
      </c>
      <c r="AV84" s="383" t="s">
        <v>1140</v>
      </c>
      <c r="AW84" s="2255">
        <f t="shared" si="25"/>
        <v>0</v>
      </c>
    </row>
    <row r="85" spans="1:49" s="605" customFormat="1" ht="13.5" hidden="1" customHeight="1" outlineLevel="1">
      <c r="A85" s="383"/>
      <c r="B85" s="1079" t="s">
        <v>833</v>
      </c>
      <c r="C85" s="385" t="s">
        <v>1157</v>
      </c>
      <c r="D85" s="1831" t="s">
        <v>181</v>
      </c>
      <c r="E85" s="421"/>
      <c r="F85" s="390"/>
      <c r="G85" s="1607">
        <f t="shared" si="30"/>
        <v>0</v>
      </c>
      <c r="H85" s="1738">
        <f t="shared" si="31"/>
        <v>0</v>
      </c>
      <c r="I85" s="469">
        <f>IF('Estimate Summary'!$D$9&lt;2,0,$H85)</f>
        <v>0</v>
      </c>
      <c r="J85" s="469">
        <f>IF('Estimate Summary'!$D$9&lt;3,0,$H85)</f>
        <v>0</v>
      </c>
      <c r="K85" s="469">
        <f>IF('Estimate Summary'!$D$9&lt;4,0,$H85)</f>
        <v>0</v>
      </c>
      <c r="L85" s="469">
        <f>IF('Estimate Summary'!$D$9&lt;5,0,$H85)</f>
        <v>0</v>
      </c>
      <c r="M85" s="469">
        <f>IF('Estimate Summary'!$D$9&lt;6,0,$H85)</f>
        <v>0</v>
      </c>
      <c r="N85" s="1648"/>
      <c r="P85" s="1010">
        <f t="shared" si="26"/>
        <v>0</v>
      </c>
      <c r="Q85" s="794"/>
      <c r="R85" s="795"/>
      <c r="S85" s="475"/>
      <c r="T85" s="475"/>
      <c r="U85" s="697"/>
      <c r="V85" s="391" t="str">
        <f t="shared" si="20"/>
        <v>CNY</v>
      </c>
      <c r="W85" s="547">
        <v>0</v>
      </c>
      <c r="X85" s="863">
        <f t="shared" si="32"/>
        <v>0</v>
      </c>
      <c r="Y85" s="888"/>
      <c r="Z85" s="890">
        <f t="shared" si="33"/>
        <v>0</v>
      </c>
      <c r="AA85" s="484">
        <f t="shared" si="34"/>
        <v>0</v>
      </c>
      <c r="AB85" s="484">
        <f t="shared" si="27"/>
        <v>0</v>
      </c>
      <c r="AC85" s="879"/>
      <c r="AD85" s="383">
        <f>IF(V85&lt;&gt;"CNY",(AB85+#REF!)*AC85,0)</f>
        <v>0</v>
      </c>
      <c r="AE85" s="383"/>
      <c r="AF85" s="867">
        <f>IF(V85&lt;&gt;"CNY",(AB85+#REF!)*#REF!,0)</f>
        <v>0</v>
      </c>
      <c r="AG85" s="383">
        <f>IF(V85&lt;&gt;"CNY",E85*#REF!/1000,0)</f>
        <v>0</v>
      </c>
      <c r="AH85" s="867">
        <f t="shared" si="28"/>
        <v>0</v>
      </c>
      <c r="AI85" s="867">
        <f t="shared" si="29"/>
        <v>0</v>
      </c>
      <c r="AJ85" s="383" t="s">
        <v>669</v>
      </c>
      <c r="AK85" s="383" t="s">
        <v>1128</v>
      </c>
      <c r="AL85" s="605" t="str">
        <f t="shared" si="21"/>
        <v>CN</v>
      </c>
      <c r="AM85" s="899">
        <f>'Estimate Summary'!$D$9</f>
        <v>1</v>
      </c>
      <c r="AN85" s="605" t="s">
        <v>1136</v>
      </c>
      <c r="AO85" s="899">
        <f t="shared" si="22"/>
        <v>0</v>
      </c>
      <c r="AP85" s="605" t="str">
        <f t="shared" si="23"/>
        <v>CNY</v>
      </c>
      <c r="AQ85" s="605" t="s">
        <v>1139</v>
      </c>
      <c r="AR85" s="605" t="s">
        <v>670</v>
      </c>
      <c r="AS85" s="605" t="s">
        <v>745</v>
      </c>
      <c r="AT85" s="605" t="str">
        <f>'Estimate Summary'!$AT$11</f>
        <v>FOB SH</v>
      </c>
      <c r="AU85" s="610" t="str">
        <f t="shared" si="24"/>
        <v>CN</v>
      </c>
      <c r="AV85" s="605" t="s">
        <v>1140</v>
      </c>
      <c r="AW85" s="2255">
        <f t="shared" si="25"/>
        <v>0</v>
      </c>
    </row>
    <row r="86" spans="1:49" s="605" customFormat="1" ht="13.5" hidden="1" customHeight="1" outlineLevel="1">
      <c r="A86" s="383"/>
      <c r="B86" s="1079" t="s">
        <v>833</v>
      </c>
      <c r="C86" s="385" t="s">
        <v>1158</v>
      </c>
      <c r="D86" s="1831" t="s">
        <v>181</v>
      </c>
      <c r="E86" s="421"/>
      <c r="F86" s="390"/>
      <c r="G86" s="1607">
        <f>AA86</f>
        <v>0</v>
      </c>
      <c r="H86" s="2017">
        <f>AB86</f>
        <v>0</v>
      </c>
      <c r="I86" s="469">
        <f>IF('Estimate Summary'!$D$9&lt;2,0,$H86)</f>
        <v>0</v>
      </c>
      <c r="J86" s="469">
        <f>IF('Estimate Summary'!$D$9&lt;3,0,$H86)</f>
        <v>0</v>
      </c>
      <c r="K86" s="469">
        <f>IF('Estimate Summary'!$D$9&lt;4,0,$H86)</f>
        <v>0</v>
      </c>
      <c r="L86" s="469">
        <f>IF('Estimate Summary'!$D$9&lt;5,0,$H86)</f>
        <v>0</v>
      </c>
      <c r="M86" s="469">
        <f>IF('Estimate Summary'!$D$9&lt;6,0,$H86)</f>
        <v>0</v>
      </c>
      <c r="N86" s="1648"/>
      <c r="P86" s="1010">
        <f t="shared" si="26"/>
        <v>37</v>
      </c>
      <c r="Q86" s="794">
        <v>42683</v>
      </c>
      <c r="R86" s="795">
        <f>$R$2+30.42*'Offshore CF'!BD13</f>
        <v>43803.94</v>
      </c>
      <c r="S86" s="475" t="s">
        <v>129</v>
      </c>
      <c r="T86" s="475" t="s">
        <v>180</v>
      </c>
      <c r="U86" s="697" t="s">
        <v>676</v>
      </c>
      <c r="V86" s="391" t="str">
        <f>D86</f>
        <v>CNY</v>
      </c>
      <c r="W86" s="547"/>
      <c r="X86" s="863">
        <f t="shared" si="32"/>
        <v>0</v>
      </c>
      <c r="Y86" s="920"/>
      <c r="Z86" s="890">
        <f>Y86+$Z$78</f>
        <v>0</v>
      </c>
      <c r="AA86" s="484">
        <f>X86*(1-Z86)</f>
        <v>0</v>
      </c>
      <c r="AB86" s="484">
        <f t="shared" si="27"/>
        <v>0</v>
      </c>
      <c r="AC86" s="879"/>
      <c r="AD86" s="383">
        <f>IF(V86&lt;&gt;"CNY",(AB86+#REF!)*AC86,0)</f>
        <v>0</v>
      </c>
      <c r="AE86" s="383"/>
      <c r="AF86" s="867">
        <f>IF(V86&lt;&gt;"CNY",(AB86+#REF!)*#REF!,0)</f>
        <v>0</v>
      </c>
      <c r="AG86" s="383">
        <f>IF(V86&lt;&gt;"CNY",E86*#REF!/1000,0)</f>
        <v>0</v>
      </c>
      <c r="AH86" s="867">
        <f>SUM(AD86:AG86)</f>
        <v>0</v>
      </c>
      <c r="AI86" s="867">
        <f>AB86+AH86</f>
        <v>0</v>
      </c>
      <c r="AJ86" s="383" t="s">
        <v>669</v>
      </c>
      <c r="AK86" s="383" t="s">
        <v>1128</v>
      </c>
      <c r="AL86" s="383" t="str">
        <f>IF(D86="CNY","CN",IF(D86="EUR","DE",IF(D86="USD","US",IF(D86="JPY","JP",IF(D86="INR","IN")))))</f>
        <v>CN</v>
      </c>
      <c r="AM86" s="484">
        <f>'Estimate Summary'!$D$9</f>
        <v>1</v>
      </c>
      <c r="AN86" s="383" t="s">
        <v>1136</v>
      </c>
      <c r="AO86" s="484">
        <f>G86</f>
        <v>0</v>
      </c>
      <c r="AP86" s="383" t="str">
        <f t="shared" si="23"/>
        <v>CNY</v>
      </c>
      <c r="AQ86" s="383" t="s">
        <v>1139</v>
      </c>
      <c r="AR86" s="383" t="s">
        <v>670</v>
      </c>
      <c r="AS86" s="605" t="s">
        <v>751</v>
      </c>
      <c r="AT86" s="383" t="str">
        <f>'Estimate Summary'!$AT$11</f>
        <v>FOB SH</v>
      </c>
      <c r="AU86" s="610" t="str">
        <f>AL86</f>
        <v>CN</v>
      </c>
      <c r="AV86" s="383" t="s">
        <v>1140</v>
      </c>
      <c r="AW86" s="2255">
        <f>Q86</f>
        <v>42683</v>
      </c>
    </row>
    <row r="87" spans="1:49" s="605" customFormat="1" ht="12.75" hidden="1" customHeight="1" outlineLevel="1" collapsed="1">
      <c r="A87" s="383"/>
      <c r="B87" s="1079"/>
      <c r="C87" s="585" t="s">
        <v>813</v>
      </c>
      <c r="D87" s="1829"/>
      <c r="E87" s="584">
        <f>SUM(E88:E89)</f>
        <v>0</v>
      </c>
      <c r="F87" s="1886">
        <f>IF(E87=0,0,H87/E87*1000)</f>
        <v>0</v>
      </c>
      <c r="G87" s="1863">
        <f t="shared" si="30"/>
        <v>0</v>
      </c>
      <c r="H87" s="1808">
        <f t="shared" ref="H87:M87" si="35">SUM(H88:H89)</f>
        <v>0</v>
      </c>
      <c r="I87" s="1718">
        <f t="shared" si="35"/>
        <v>0</v>
      </c>
      <c r="J87" s="1718">
        <f t="shared" si="35"/>
        <v>0</v>
      </c>
      <c r="K87" s="1718">
        <f t="shared" si="35"/>
        <v>0</v>
      </c>
      <c r="L87" s="1718">
        <f t="shared" si="35"/>
        <v>0</v>
      </c>
      <c r="M87" s="1718">
        <f t="shared" si="35"/>
        <v>0</v>
      </c>
      <c r="N87" s="996"/>
      <c r="O87" s="697"/>
      <c r="P87" s="2279"/>
      <c r="Q87" s="2280"/>
      <c r="R87" s="476"/>
      <c r="S87" s="485"/>
      <c r="T87" s="2281"/>
      <c r="U87" s="1925"/>
      <c r="V87" s="1926">
        <f t="shared" si="20"/>
        <v>0</v>
      </c>
      <c r="W87" s="875"/>
      <c r="X87" s="875"/>
      <c r="Y87" s="878"/>
      <c r="Z87" s="891">
        <f t="shared" si="33"/>
        <v>0</v>
      </c>
      <c r="AA87" s="891">
        <f t="shared" si="34"/>
        <v>0</v>
      </c>
      <c r="AB87" s="1927"/>
      <c r="AC87" s="1927"/>
      <c r="AD87" s="476"/>
      <c r="AE87" s="476"/>
      <c r="AF87" s="2282"/>
      <c r="AG87" s="1925"/>
      <c r="AH87" s="875"/>
      <c r="AI87" s="875"/>
      <c r="AJ87" s="383" t="s">
        <v>669</v>
      </c>
      <c r="AK87" s="383" t="s">
        <v>1128</v>
      </c>
      <c r="AL87" s="605" t="b">
        <f t="shared" si="21"/>
        <v>0</v>
      </c>
      <c r="AM87" s="899">
        <f>'Estimate Summary'!$D$9</f>
        <v>1</v>
      </c>
      <c r="AN87" s="605" t="s">
        <v>1136</v>
      </c>
      <c r="AO87" s="899">
        <f t="shared" si="22"/>
        <v>0</v>
      </c>
      <c r="AP87" s="605">
        <f t="shared" si="23"/>
        <v>0</v>
      </c>
      <c r="AQ87" s="605" t="s">
        <v>1139</v>
      </c>
      <c r="AR87" s="605" t="s">
        <v>670</v>
      </c>
      <c r="AS87" s="605" t="s">
        <v>745</v>
      </c>
      <c r="AT87" s="605" t="str">
        <f>'Estimate Summary'!$AT$11</f>
        <v>FOB SH</v>
      </c>
      <c r="AU87" s="610" t="b">
        <f t="shared" si="24"/>
        <v>0</v>
      </c>
      <c r="AV87" s="605" t="s">
        <v>1140</v>
      </c>
      <c r="AW87" s="2255">
        <f t="shared" si="25"/>
        <v>0</v>
      </c>
    </row>
    <row r="88" spans="1:49" s="697" customFormat="1" ht="13.5" hidden="1" customHeight="1" outlineLevel="1">
      <c r="B88" s="1079" t="s">
        <v>744</v>
      </c>
      <c r="C88" s="385" t="s">
        <v>814</v>
      </c>
      <c r="D88" s="1831" t="s">
        <v>181</v>
      </c>
      <c r="E88" s="421"/>
      <c r="F88" s="390">
        <f>IF(E88=0,0,H88/E88*1000)</f>
        <v>0</v>
      </c>
      <c r="G88" s="1607">
        <f t="shared" si="30"/>
        <v>0</v>
      </c>
      <c r="H88" s="2017">
        <f t="shared" si="31"/>
        <v>0</v>
      </c>
      <c r="I88" s="469">
        <f>IF('Estimate Summary'!$D$9&lt;2,0,$H88)</f>
        <v>0</v>
      </c>
      <c r="J88" s="469">
        <f>IF('Estimate Summary'!$D$9&lt;3,0,$H88)</f>
        <v>0</v>
      </c>
      <c r="K88" s="469">
        <f>IF('Estimate Summary'!$D$9&lt;4,0,$H88)</f>
        <v>0</v>
      </c>
      <c r="L88" s="469">
        <f>IF('Estimate Summary'!$D$9&lt;5,0,$H88)</f>
        <v>0</v>
      </c>
      <c r="M88" s="469">
        <f>IF('Estimate Summary'!$D$9&lt;6,0,$H88)</f>
        <v>0</v>
      </c>
      <c r="N88" s="1648"/>
      <c r="P88" s="1010">
        <f>IF(Q88=0,0,(YEAR(R88)-YEAR(Q88))*12+(MONTH(R88)-MONTH(Q88)))</f>
        <v>39</v>
      </c>
      <c r="Q88" s="794">
        <v>42683</v>
      </c>
      <c r="R88" s="795">
        <f>$R$2+30.42*'Offshore CF'!BE13</f>
        <v>43864.78</v>
      </c>
      <c r="S88" s="475" t="s">
        <v>128</v>
      </c>
      <c r="T88" s="475" t="s">
        <v>180</v>
      </c>
      <c r="U88" s="697" t="s">
        <v>597</v>
      </c>
      <c r="V88" s="486" t="str">
        <f t="shared" si="20"/>
        <v>CNY</v>
      </c>
      <c r="W88" s="547">
        <f>E88*5.44</f>
        <v>0</v>
      </c>
      <c r="X88" s="1011">
        <f>IF(V88="CNY",W88/1.17/1000,W88/1000)</f>
        <v>0</v>
      </c>
      <c r="Y88" s="926"/>
      <c r="Z88" s="893">
        <f t="shared" si="33"/>
        <v>0</v>
      </c>
      <c r="AA88" s="475">
        <f t="shared" si="34"/>
        <v>0</v>
      </c>
      <c r="AB88" s="484">
        <f>IF(V88="CNY",X88*(1-Z88),IF(V88="EUR",X88*(1-Z88)*$T$5,IF(V88="JPY",X88*(1-Z88)*$T$6,IF(V88="USD",X88*(1-Z88)*$T$7))))</f>
        <v>0</v>
      </c>
      <c r="AC88" s="880"/>
      <c r="AD88" s="697">
        <f>IF(V88&lt;&gt;"CNY",(AB88+#REF!)*AC88,0)</f>
        <v>0</v>
      </c>
      <c r="AF88" s="861">
        <f>IF(V88&lt;&gt;"CNY",(AB88+#REF!)*#REF!,0)</f>
        <v>0</v>
      </c>
      <c r="AG88" s="697">
        <f>IF(V88&lt;&gt;"CNY",E88*#REF!/1000,0)</f>
        <v>0</v>
      </c>
      <c r="AH88" s="861">
        <f>SUM(AD88:AG88)</f>
        <v>0</v>
      </c>
      <c r="AI88" s="861">
        <f>AB88+AH88</f>
        <v>0</v>
      </c>
      <c r="AJ88" s="383" t="s">
        <v>669</v>
      </c>
      <c r="AK88" s="383" t="s">
        <v>1128</v>
      </c>
      <c r="AL88" s="697" t="str">
        <f t="shared" si="21"/>
        <v>CN</v>
      </c>
      <c r="AM88" s="475">
        <f>'Estimate Summary'!$D$9</f>
        <v>1</v>
      </c>
      <c r="AN88" s="697" t="s">
        <v>1136</v>
      </c>
      <c r="AO88" s="475">
        <f t="shared" si="22"/>
        <v>0</v>
      </c>
      <c r="AP88" s="697" t="str">
        <f t="shared" si="23"/>
        <v>CNY</v>
      </c>
      <c r="AQ88" s="697" t="s">
        <v>1139</v>
      </c>
      <c r="AR88" s="697" t="s">
        <v>670</v>
      </c>
      <c r="AS88" s="605" t="s">
        <v>745</v>
      </c>
      <c r="AT88" s="697" t="str">
        <f>'Estimate Summary'!$AT$11</f>
        <v>FOB SH</v>
      </c>
      <c r="AU88" s="610" t="str">
        <f t="shared" si="24"/>
        <v>CN</v>
      </c>
      <c r="AV88" s="697" t="s">
        <v>1140</v>
      </c>
      <c r="AW88" s="2255">
        <f t="shared" si="25"/>
        <v>42683</v>
      </c>
    </row>
    <row r="89" spans="1:49" s="697" customFormat="1" ht="13.5" hidden="1" customHeight="1" outlineLevel="1">
      <c r="B89" s="1079" t="s">
        <v>744</v>
      </c>
      <c r="C89" s="385" t="s">
        <v>815</v>
      </c>
      <c r="D89" s="1831" t="s">
        <v>181</v>
      </c>
      <c r="E89" s="421"/>
      <c r="F89" s="390">
        <f>IF(E89=0,0,H89/E89*1000)</f>
        <v>0</v>
      </c>
      <c r="G89" s="1607">
        <f t="shared" si="30"/>
        <v>0</v>
      </c>
      <c r="H89" s="2017">
        <f t="shared" si="31"/>
        <v>0</v>
      </c>
      <c r="I89" s="469">
        <f>IF('Estimate Summary'!$D$9&lt;2,0,$H89)</f>
        <v>0</v>
      </c>
      <c r="J89" s="469">
        <f>IF('Estimate Summary'!$D$9&lt;3,0,$H89)</f>
        <v>0</v>
      </c>
      <c r="K89" s="469">
        <f>IF('Estimate Summary'!$D$9&lt;4,0,$H89)</f>
        <v>0</v>
      </c>
      <c r="L89" s="469">
        <f>IF('Estimate Summary'!$D$9&lt;5,0,$H89)</f>
        <v>0</v>
      </c>
      <c r="M89" s="469">
        <f>IF('Estimate Summary'!$D$9&lt;6,0,$H89)</f>
        <v>0</v>
      </c>
      <c r="N89" s="1648"/>
      <c r="P89" s="1010">
        <f>IF(Q89=0,0,(YEAR(R89)-YEAR(Q89))*12+(MONTH(R89)-MONTH(Q89)))</f>
        <v>39</v>
      </c>
      <c r="Q89" s="794">
        <v>42683</v>
      </c>
      <c r="R89" s="795">
        <f>$R$2+30.42*'Offshore CF'!BE13</f>
        <v>43864.78</v>
      </c>
      <c r="S89" s="475" t="s">
        <v>128</v>
      </c>
      <c r="T89" s="475" t="s">
        <v>180</v>
      </c>
      <c r="U89" s="697" t="s">
        <v>597</v>
      </c>
      <c r="V89" s="486" t="str">
        <f t="shared" si="20"/>
        <v>CNY</v>
      </c>
      <c r="W89" s="547">
        <f>E89*7.88</f>
        <v>0</v>
      </c>
      <c r="X89" s="1011">
        <f>IF(V89="CNY",W89/1.17/1000,W89/1000)</f>
        <v>0</v>
      </c>
      <c r="Y89" s="926"/>
      <c r="Z89" s="893">
        <f t="shared" si="33"/>
        <v>0</v>
      </c>
      <c r="AA89" s="475">
        <f t="shared" si="34"/>
        <v>0</v>
      </c>
      <c r="AB89" s="484">
        <f>IF(V89="CNY",X89*(1-Z89),IF(V89="EUR",X89*(1-Z89)*$T$5,IF(V89="JPY",X89*(1-Z89)*$T$6,IF(V89="USD",X89*(1-Z89)*$T$7))))</f>
        <v>0</v>
      </c>
      <c r="AC89" s="880"/>
      <c r="AD89" s="697">
        <f>IF(V89&lt;&gt;"CNY",(AB89+#REF!)*AC89,0)</f>
        <v>0</v>
      </c>
      <c r="AF89" s="861">
        <f>IF(V89&lt;&gt;"CNY",(AB89+#REF!)*#REF!,0)</f>
        <v>0</v>
      </c>
      <c r="AG89" s="697">
        <f>IF(V89&lt;&gt;"CNY",E89*#REF!/1000,0)</f>
        <v>0</v>
      </c>
      <c r="AH89" s="861">
        <f>SUM(AD89:AG89)</f>
        <v>0</v>
      </c>
      <c r="AI89" s="861">
        <f>AB89+AH89</f>
        <v>0</v>
      </c>
      <c r="AJ89" s="383" t="s">
        <v>669</v>
      </c>
      <c r="AK89" s="383" t="s">
        <v>1128</v>
      </c>
      <c r="AL89" s="697" t="str">
        <f t="shared" si="21"/>
        <v>CN</v>
      </c>
      <c r="AM89" s="475">
        <f>'Estimate Summary'!$D$9</f>
        <v>1</v>
      </c>
      <c r="AN89" s="697" t="s">
        <v>1136</v>
      </c>
      <c r="AO89" s="475">
        <f t="shared" si="22"/>
        <v>0</v>
      </c>
      <c r="AP89" s="697" t="str">
        <f t="shared" si="23"/>
        <v>CNY</v>
      </c>
      <c r="AQ89" s="697" t="s">
        <v>1139</v>
      </c>
      <c r="AR89" s="697" t="s">
        <v>670</v>
      </c>
      <c r="AS89" s="605" t="s">
        <v>745</v>
      </c>
      <c r="AT89" s="697" t="str">
        <f>'Estimate Summary'!$AT$11</f>
        <v>FOB SH</v>
      </c>
      <c r="AU89" s="610" t="str">
        <f t="shared" si="24"/>
        <v>CN</v>
      </c>
      <c r="AV89" s="697" t="s">
        <v>1140</v>
      </c>
      <c r="AW89" s="2255">
        <f t="shared" si="25"/>
        <v>42683</v>
      </c>
    </row>
    <row r="90" spans="1:49" s="605" customFormat="1" ht="25.5" hidden="1" customHeight="1" outlineLevel="1" collapsed="1">
      <c r="A90" s="610"/>
      <c r="B90" s="1079" t="s">
        <v>817</v>
      </c>
      <c r="C90" s="585" t="s">
        <v>816</v>
      </c>
      <c r="D90" s="1832"/>
      <c r="E90" s="584"/>
      <c r="F90" s="1886"/>
      <c r="G90" s="1693">
        <f t="shared" si="30"/>
        <v>0</v>
      </c>
      <c r="H90" s="1870">
        <f t="shared" si="31"/>
        <v>0</v>
      </c>
      <c r="I90" s="1718">
        <f>IF('Estimate Summary'!$D$9&lt;2,0,$H90)</f>
        <v>0</v>
      </c>
      <c r="J90" s="1718">
        <f>IF('Estimate Summary'!$D$9&lt;3,0,$H90)</f>
        <v>0</v>
      </c>
      <c r="K90" s="1718">
        <f>IF('Estimate Summary'!$D$9&lt;4,0,$H90)</f>
        <v>0</v>
      </c>
      <c r="L90" s="1718">
        <f>IF('Estimate Summary'!$D$9&lt;5,0,$H90)</f>
        <v>0</v>
      </c>
      <c r="M90" s="1718">
        <f>IF('Estimate Summary'!$D$9&lt;6,0,$H90)</f>
        <v>0</v>
      </c>
      <c r="N90" s="1630"/>
      <c r="P90" s="1019">
        <f>IF(Q90=0,0,(YEAR(R90)-YEAR(Q90))*12+(MONTH(R90)-MONTH(Q90)))</f>
        <v>0</v>
      </c>
      <c r="Q90" s="1670"/>
      <c r="R90" s="796"/>
      <c r="S90" s="899"/>
      <c r="T90" s="551"/>
      <c r="V90" s="603">
        <f t="shared" si="20"/>
        <v>0</v>
      </c>
      <c r="W90" s="932"/>
      <c r="X90" s="1907">
        <f>IF(V90="CNY",W90/1.17/1000,W90/1000)</f>
        <v>0</v>
      </c>
      <c r="Y90" s="1877"/>
      <c r="Z90" s="1018">
        <f t="shared" si="33"/>
        <v>0</v>
      </c>
      <c r="AA90" s="899">
        <f t="shared" si="34"/>
        <v>0</v>
      </c>
      <c r="AB90" s="1866"/>
      <c r="AC90" s="900"/>
      <c r="AF90" s="870"/>
      <c r="AH90" s="870">
        <f>SUM(AD90:AG90)</f>
        <v>0</v>
      </c>
      <c r="AI90" s="870">
        <f>AB90+AH90</f>
        <v>0</v>
      </c>
      <c r="AJ90" s="383" t="s">
        <v>669</v>
      </c>
      <c r="AK90" s="383" t="s">
        <v>1128</v>
      </c>
      <c r="AL90" s="605" t="b">
        <f t="shared" si="21"/>
        <v>0</v>
      </c>
      <c r="AM90" s="899">
        <f>'Estimate Summary'!$D$9</f>
        <v>1</v>
      </c>
      <c r="AN90" s="605" t="s">
        <v>1136</v>
      </c>
      <c r="AO90" s="899">
        <f t="shared" si="22"/>
        <v>0</v>
      </c>
      <c r="AP90" s="605">
        <f t="shared" si="23"/>
        <v>0</v>
      </c>
      <c r="AQ90" s="605" t="s">
        <v>1139</v>
      </c>
      <c r="AR90" s="605" t="s">
        <v>670</v>
      </c>
      <c r="AS90" s="605" t="s">
        <v>745</v>
      </c>
      <c r="AT90" s="605" t="str">
        <f>'Estimate Summary'!$AT$11</f>
        <v>FOB SH</v>
      </c>
      <c r="AU90" s="610" t="b">
        <f t="shared" si="24"/>
        <v>0</v>
      </c>
      <c r="AV90" s="605" t="s">
        <v>1140</v>
      </c>
      <c r="AW90" s="2255">
        <f t="shared" si="25"/>
        <v>0</v>
      </c>
    </row>
    <row r="91" spans="1:49" s="605" customFormat="1" ht="13.5" hidden="1" customHeight="1" outlineLevel="1" thickBot="1">
      <c r="B91" s="2283"/>
      <c r="C91" s="1642" t="s">
        <v>190</v>
      </c>
      <c r="D91" s="1826"/>
      <c r="E91" s="1643">
        <f>SUM(E78,E87,E90)</f>
        <v>0</v>
      </c>
      <c r="F91" s="1899"/>
      <c r="G91" s="2284">
        <f t="shared" si="30"/>
        <v>0</v>
      </c>
      <c r="H91" s="1643">
        <f t="shared" ref="H91:M91" si="36">SUM(H78,H87,H90)</f>
        <v>0</v>
      </c>
      <c r="I91" s="1950">
        <f t="shared" si="36"/>
        <v>0</v>
      </c>
      <c r="J91" s="1951">
        <f t="shared" si="36"/>
        <v>0</v>
      </c>
      <c r="K91" s="1951">
        <f t="shared" si="36"/>
        <v>0</v>
      </c>
      <c r="L91" s="1951">
        <f t="shared" si="36"/>
        <v>0</v>
      </c>
      <c r="M91" s="1951">
        <f t="shared" si="36"/>
        <v>0</v>
      </c>
      <c r="N91" s="1758"/>
      <c r="O91" s="2285"/>
      <c r="P91" s="1014"/>
      <c r="Q91" s="794"/>
      <c r="R91" s="796"/>
      <c r="S91" s="899"/>
      <c r="T91" s="551"/>
      <c r="V91" s="1014">
        <f t="shared" si="20"/>
        <v>0</v>
      </c>
      <c r="W91" s="932"/>
      <c r="X91" s="863">
        <f>IF(V91="CNY",W91/1.17/1000,W91/1000)</f>
        <v>0</v>
      </c>
      <c r="Y91" s="900"/>
      <c r="Z91" s="900">
        <f t="shared" si="33"/>
        <v>0</v>
      </c>
      <c r="AA91" s="899"/>
      <c r="AB91" s="1012"/>
      <c r="AC91" s="900"/>
      <c r="AF91" s="870"/>
      <c r="AH91" s="870"/>
      <c r="AI91" s="870"/>
      <c r="AJ91" s="383" t="s">
        <v>669</v>
      </c>
      <c r="AK91" s="383" t="s">
        <v>1128</v>
      </c>
      <c r="AL91" s="605" t="b">
        <f t="shared" si="21"/>
        <v>0</v>
      </c>
      <c r="AM91" s="899">
        <f>'Estimate Summary'!$D$9</f>
        <v>1</v>
      </c>
      <c r="AN91" s="605" t="s">
        <v>1136</v>
      </c>
      <c r="AO91" s="899">
        <f t="shared" si="22"/>
        <v>0</v>
      </c>
      <c r="AP91" s="605">
        <f t="shared" si="23"/>
        <v>0</v>
      </c>
      <c r="AQ91" s="605" t="s">
        <v>1139</v>
      </c>
      <c r="AR91" s="605" t="s">
        <v>670</v>
      </c>
      <c r="AS91" s="605" t="s">
        <v>745</v>
      </c>
      <c r="AT91" s="605" t="str">
        <f>'Estimate Summary'!$AT$11</f>
        <v>FOB SH</v>
      </c>
      <c r="AU91" s="610" t="b">
        <f t="shared" si="24"/>
        <v>0</v>
      </c>
      <c r="AV91" s="605" t="s">
        <v>1140</v>
      </c>
      <c r="AW91" s="2255">
        <f t="shared" si="25"/>
        <v>0</v>
      </c>
    </row>
    <row r="92" spans="1:49" s="605" customFormat="1" ht="13.5" hidden="1" customHeight="1" outlineLevel="1" thickTop="1">
      <c r="B92" s="1641" t="s">
        <v>947</v>
      </c>
      <c r="C92" s="1644"/>
      <c r="D92" s="1833"/>
      <c r="E92" s="2271"/>
      <c r="F92" s="2286"/>
      <c r="G92" s="2287">
        <f t="shared" si="30"/>
        <v>0</v>
      </c>
      <c r="H92" s="2272"/>
      <c r="I92" s="2253"/>
      <c r="J92" s="2253"/>
      <c r="K92" s="2253"/>
      <c r="L92" s="2253"/>
      <c r="M92" s="2253"/>
      <c r="N92" s="2273"/>
      <c r="P92" s="1014"/>
      <c r="Q92" s="794"/>
      <c r="R92" s="796"/>
      <c r="S92" s="899"/>
      <c r="T92" s="551"/>
      <c r="V92" s="1014">
        <f t="shared" si="20"/>
        <v>0</v>
      </c>
      <c r="W92" s="870"/>
      <c r="X92" s="870"/>
      <c r="Y92" s="900"/>
      <c r="Z92" s="1018">
        <f t="shared" si="33"/>
        <v>0</v>
      </c>
      <c r="AA92" s="899"/>
      <c r="AB92" s="1012"/>
      <c r="AC92" s="900"/>
      <c r="AF92" s="870"/>
      <c r="AH92" s="870"/>
      <c r="AI92" s="870"/>
      <c r="AJ92" s="383" t="s">
        <v>669</v>
      </c>
      <c r="AK92" s="383" t="s">
        <v>1128</v>
      </c>
      <c r="AL92" s="605" t="b">
        <f t="shared" si="21"/>
        <v>0</v>
      </c>
      <c r="AM92" s="899">
        <f>'Estimate Summary'!$D$9</f>
        <v>1</v>
      </c>
      <c r="AN92" s="605" t="s">
        <v>1136</v>
      </c>
      <c r="AO92" s="899">
        <f t="shared" si="22"/>
        <v>0</v>
      </c>
      <c r="AP92" s="605">
        <f t="shared" si="23"/>
        <v>0</v>
      </c>
      <c r="AQ92" s="605" t="s">
        <v>1139</v>
      </c>
      <c r="AR92" s="605" t="s">
        <v>670</v>
      </c>
      <c r="AS92" s="605" t="s">
        <v>745</v>
      </c>
      <c r="AT92" s="605" t="str">
        <f>'Estimate Summary'!$AT$11</f>
        <v>FOB SH</v>
      </c>
      <c r="AU92" s="610" t="b">
        <f t="shared" si="24"/>
        <v>0</v>
      </c>
      <c r="AV92" s="605" t="s">
        <v>1140</v>
      </c>
      <c r="AW92" s="2255">
        <f t="shared" si="25"/>
        <v>0</v>
      </c>
    </row>
    <row r="93" spans="1:49" s="605" customFormat="1" ht="12.75" hidden="1" customHeight="1" outlineLevel="1">
      <c r="A93" s="697"/>
      <c r="B93" s="1079"/>
      <c r="C93" s="585" t="s">
        <v>672</v>
      </c>
      <c r="D93" s="1832"/>
      <c r="E93" s="584">
        <f>SUM(E94:E95)</f>
        <v>0</v>
      </c>
      <c r="F93" s="1886">
        <f>IF(E93=0,0,H93/E93*1000)</f>
        <v>0</v>
      </c>
      <c r="G93" s="1886">
        <f t="shared" si="30"/>
        <v>0</v>
      </c>
      <c r="H93" s="1870">
        <f t="shared" ref="H93:M93" si="37">SUM(H94:H95)</f>
        <v>0</v>
      </c>
      <c r="I93" s="1718">
        <f t="shared" si="37"/>
        <v>0</v>
      </c>
      <c r="J93" s="1718">
        <f t="shared" si="37"/>
        <v>0</v>
      </c>
      <c r="K93" s="1718">
        <f t="shared" si="37"/>
        <v>0</v>
      </c>
      <c r="L93" s="1718">
        <f t="shared" si="37"/>
        <v>0</v>
      </c>
      <c r="M93" s="1718">
        <f t="shared" si="37"/>
        <v>0</v>
      </c>
      <c r="N93" s="996"/>
      <c r="O93" s="697"/>
      <c r="P93" s="2279"/>
      <c r="Q93" s="2280"/>
      <c r="R93" s="476"/>
      <c r="S93" s="485"/>
      <c r="T93" s="2281"/>
      <c r="U93" s="1925"/>
      <c r="V93" s="1926">
        <f t="shared" si="20"/>
        <v>0</v>
      </c>
      <c r="W93" s="875"/>
      <c r="X93" s="875"/>
      <c r="Y93" s="878"/>
      <c r="Z93" s="891">
        <f t="shared" si="33"/>
        <v>0</v>
      </c>
      <c r="AA93" s="891">
        <f t="shared" si="34"/>
        <v>0</v>
      </c>
      <c r="AB93" s="1927"/>
      <c r="AC93" s="1927"/>
      <c r="AD93" s="476"/>
      <c r="AE93" s="476"/>
      <c r="AF93" s="2282"/>
      <c r="AG93" s="1925"/>
      <c r="AH93" s="875"/>
      <c r="AI93" s="875"/>
      <c r="AJ93" s="383" t="s">
        <v>669</v>
      </c>
      <c r="AK93" s="383" t="s">
        <v>1128</v>
      </c>
      <c r="AL93" s="605" t="b">
        <f t="shared" si="21"/>
        <v>0</v>
      </c>
      <c r="AM93" s="899">
        <f>'Estimate Summary'!$D$9</f>
        <v>1</v>
      </c>
      <c r="AN93" s="605" t="s">
        <v>1136</v>
      </c>
      <c r="AO93" s="899">
        <f t="shared" si="22"/>
        <v>0</v>
      </c>
      <c r="AP93" s="605">
        <f t="shared" si="23"/>
        <v>0</v>
      </c>
      <c r="AQ93" s="605" t="s">
        <v>1139</v>
      </c>
      <c r="AR93" s="605" t="s">
        <v>670</v>
      </c>
      <c r="AS93" s="605" t="s">
        <v>745</v>
      </c>
      <c r="AT93" s="605" t="str">
        <f>'Estimate Summary'!$AT$11</f>
        <v>FOB SH</v>
      </c>
      <c r="AU93" s="610" t="b">
        <f t="shared" si="24"/>
        <v>0</v>
      </c>
      <c r="AV93" s="605" t="s">
        <v>1140</v>
      </c>
      <c r="AW93" s="2255">
        <f t="shared" si="25"/>
        <v>0</v>
      </c>
    </row>
    <row r="94" spans="1:49" s="697" customFormat="1" ht="13.5" hidden="1" customHeight="1" outlineLevel="1">
      <c r="B94" s="1079" t="s">
        <v>671</v>
      </c>
      <c r="C94" s="385" t="s">
        <v>818</v>
      </c>
      <c r="D94" s="1830" t="s">
        <v>181</v>
      </c>
      <c r="E94" s="421"/>
      <c r="F94" s="390">
        <f>IF(E94=0,0,H94/E94*1000)</f>
        <v>0</v>
      </c>
      <c r="G94" s="1607">
        <f t="shared" si="30"/>
        <v>0</v>
      </c>
      <c r="H94" s="2017">
        <f>AB94</f>
        <v>0</v>
      </c>
      <c r="I94" s="469">
        <f>IF('Estimate Summary'!$D$9&lt;2,0,$H94)</f>
        <v>0</v>
      </c>
      <c r="J94" s="469">
        <f>IF('Estimate Summary'!$D$9&lt;3,0,$H94)</f>
        <v>0</v>
      </c>
      <c r="K94" s="469">
        <f>IF('Estimate Summary'!$D$9&lt;4,0,$H94)</f>
        <v>0</v>
      </c>
      <c r="L94" s="469">
        <f>IF('Estimate Summary'!$D$9&lt;5,0,$H94)</f>
        <v>0</v>
      </c>
      <c r="M94" s="469">
        <f>IF('Estimate Summary'!$D$9&lt;6,0,$H94)</f>
        <v>0</v>
      </c>
      <c r="N94" s="1648"/>
      <c r="P94" s="1010">
        <f>IF(Q94=0,0,(YEAR(R94)-YEAR(Q94))*12+(MONTH(R94)-MONTH(Q94)))</f>
        <v>37</v>
      </c>
      <c r="Q94" s="794">
        <v>42683</v>
      </c>
      <c r="R94" s="795">
        <f>$R$2+30.42*'Offshore CF'!BG13</f>
        <v>43803.94</v>
      </c>
      <c r="S94" s="475" t="s">
        <v>128</v>
      </c>
      <c r="T94" s="475" t="s">
        <v>180</v>
      </c>
      <c r="U94" s="697" t="s">
        <v>425</v>
      </c>
      <c r="V94" s="486" t="str">
        <f t="shared" si="20"/>
        <v>CNY</v>
      </c>
      <c r="W94" s="547"/>
      <c r="X94" s="1011">
        <f t="shared" ref="X94:X105" si="38">IF(V94="CNY",W94/1.17/1000,W94/1000)</f>
        <v>0</v>
      </c>
      <c r="Y94" s="926"/>
      <c r="Z94" s="893">
        <f t="shared" si="33"/>
        <v>0</v>
      </c>
      <c r="AA94" s="475">
        <f t="shared" si="34"/>
        <v>0</v>
      </c>
      <c r="AB94" s="484">
        <f>IF(V94="CNY",X94*(1-Z94),IF(V94="EUR",X94*(1-Z94)*$T$5,IF(V94="JPY",X94*(1-Z94)*$T$6,IF(V94="USD",X94*(1-Z94)*$T$7))))</f>
        <v>0</v>
      </c>
      <c r="AC94" s="880"/>
      <c r="AD94" s="697">
        <f>IF(V94&lt;&gt;"CNY",(AB94+#REF!)*AC94,0)</f>
        <v>0</v>
      </c>
      <c r="AF94" s="861">
        <f>IF(V94&lt;&gt;"CNY",(AB94+#REF!)*#REF!,0)</f>
        <v>0</v>
      </c>
      <c r="AG94" s="697">
        <f>IF(V94&lt;&gt;"CNY",E94*#REF!/1000,0)</f>
        <v>0</v>
      </c>
      <c r="AH94" s="861">
        <f t="shared" ref="AH94:AH104" si="39">SUM(AD94:AG94)</f>
        <v>0</v>
      </c>
      <c r="AI94" s="861">
        <f t="shared" ref="AI94:AI104" si="40">AB94+AH94</f>
        <v>0</v>
      </c>
      <c r="AJ94" s="383" t="s">
        <v>669</v>
      </c>
      <c r="AK94" s="383" t="s">
        <v>1128</v>
      </c>
      <c r="AL94" s="697" t="str">
        <f t="shared" si="21"/>
        <v>CN</v>
      </c>
      <c r="AM94" s="475">
        <f>'Estimate Summary'!$D$9</f>
        <v>1</v>
      </c>
      <c r="AN94" s="697" t="s">
        <v>1136</v>
      </c>
      <c r="AO94" s="475">
        <f t="shared" si="22"/>
        <v>0</v>
      </c>
      <c r="AP94" s="697" t="str">
        <f t="shared" si="23"/>
        <v>CNY</v>
      </c>
      <c r="AQ94" s="697" t="s">
        <v>1139</v>
      </c>
      <c r="AR94" s="697" t="s">
        <v>670</v>
      </c>
      <c r="AS94" s="605" t="s">
        <v>745</v>
      </c>
      <c r="AT94" s="697" t="str">
        <f>'Estimate Summary'!$AT$11</f>
        <v>FOB SH</v>
      </c>
      <c r="AU94" s="610" t="str">
        <f t="shared" si="24"/>
        <v>CN</v>
      </c>
      <c r="AV94" s="697" t="s">
        <v>1140</v>
      </c>
      <c r="AW94" s="2255">
        <f t="shared" si="25"/>
        <v>42683</v>
      </c>
    </row>
    <row r="95" spans="1:49" s="697" customFormat="1" ht="13.5" hidden="1" customHeight="1" outlineLevel="1">
      <c r="B95" s="1079" t="s">
        <v>671</v>
      </c>
      <c r="C95" s="385" t="s">
        <v>819</v>
      </c>
      <c r="D95" s="1830" t="s">
        <v>181</v>
      </c>
      <c r="E95" s="421"/>
      <c r="F95" s="390"/>
      <c r="G95" s="1607">
        <f t="shared" si="30"/>
        <v>0</v>
      </c>
      <c r="H95" s="1738">
        <f t="shared" ref="H95:H103" si="41">AB95</f>
        <v>0</v>
      </c>
      <c r="I95" s="469">
        <f>IF('Estimate Summary'!$D$9&lt;2,0,$H95)</f>
        <v>0</v>
      </c>
      <c r="J95" s="469">
        <f>IF('Estimate Summary'!$D$9&lt;3,0,$H95)</f>
        <v>0</v>
      </c>
      <c r="K95" s="469">
        <f>IF('Estimate Summary'!$D$9&lt;4,0,$H95)</f>
        <v>0</v>
      </c>
      <c r="L95" s="469">
        <f>IF('Estimate Summary'!$D$9&lt;5,0,$H95)</f>
        <v>0</v>
      </c>
      <c r="M95" s="469">
        <f>IF('Estimate Summary'!$D$9&lt;6,0,$H95)</f>
        <v>0</v>
      </c>
      <c r="N95" s="1648"/>
      <c r="P95" s="1010">
        <f>IF(Q95=0,0,(YEAR(R95)-YEAR(Q95))*12+(MONTH(R95)-MONTH(Q95)))</f>
        <v>0</v>
      </c>
      <c r="Q95" s="794"/>
      <c r="R95" s="795"/>
      <c r="S95" s="475"/>
      <c r="T95" s="475"/>
      <c r="V95" s="486" t="str">
        <f t="shared" si="20"/>
        <v>CNY</v>
      </c>
      <c r="W95" s="547"/>
      <c r="X95" s="1011">
        <f t="shared" si="38"/>
        <v>0</v>
      </c>
      <c r="Y95" s="926"/>
      <c r="Z95" s="893">
        <f t="shared" si="33"/>
        <v>0</v>
      </c>
      <c r="AA95" s="475">
        <f t="shared" si="34"/>
        <v>0</v>
      </c>
      <c r="AB95" s="1012">
        <f>IF(V95="CNY",X95*(1-Z95),IF(V95="EUR",X95*(1-Z95)*$T$5,IF(V95="JPY",X95*(1-Z95)*$T$6,IF(V95="USD",X95*(1-Z95)*$T$7))))</f>
        <v>0</v>
      </c>
      <c r="AC95" s="880"/>
      <c r="AD95" s="697">
        <f>IF(V95&lt;&gt;"CNY",(AB95+#REF!)*AC95,0)</f>
        <v>0</v>
      </c>
      <c r="AF95" s="861">
        <f>IF(V95&lt;&gt;"CNY",(AB95+#REF!)*#REF!,0)</f>
        <v>0</v>
      </c>
      <c r="AG95" s="697">
        <f>IF(V95&lt;&gt;"CNY",E95*#REF!/1000,0)</f>
        <v>0</v>
      </c>
      <c r="AH95" s="861">
        <f t="shared" si="39"/>
        <v>0</v>
      </c>
      <c r="AI95" s="861">
        <f t="shared" si="40"/>
        <v>0</v>
      </c>
      <c r="AJ95" s="383" t="s">
        <v>669</v>
      </c>
      <c r="AK95" s="383" t="s">
        <v>1128</v>
      </c>
      <c r="AL95" s="697" t="str">
        <f t="shared" si="21"/>
        <v>CN</v>
      </c>
      <c r="AM95" s="475">
        <f>'Estimate Summary'!$D$9</f>
        <v>1</v>
      </c>
      <c r="AN95" s="697" t="s">
        <v>1136</v>
      </c>
      <c r="AO95" s="475">
        <f t="shared" si="22"/>
        <v>0</v>
      </c>
      <c r="AP95" s="697" t="str">
        <f t="shared" si="23"/>
        <v>CNY</v>
      </c>
      <c r="AQ95" s="697" t="s">
        <v>1139</v>
      </c>
      <c r="AR95" s="697" t="s">
        <v>670</v>
      </c>
      <c r="AS95" s="605" t="s">
        <v>745</v>
      </c>
      <c r="AT95" s="697" t="str">
        <f>'Estimate Summary'!$AT$11</f>
        <v>FOB SH</v>
      </c>
      <c r="AU95" s="610" t="str">
        <f t="shared" si="24"/>
        <v>CN</v>
      </c>
      <c r="AV95" s="697" t="s">
        <v>1140</v>
      </c>
      <c r="AW95" s="2255">
        <f t="shared" si="25"/>
        <v>0</v>
      </c>
    </row>
    <row r="96" spans="1:49" s="605" customFormat="1" ht="12.75" hidden="1" customHeight="1" outlineLevel="1" collapsed="1">
      <c r="B96" s="1079" t="s">
        <v>673</v>
      </c>
      <c r="C96" s="585" t="s">
        <v>820</v>
      </c>
      <c r="D96" s="1832" t="s">
        <v>181</v>
      </c>
      <c r="E96" s="584"/>
      <c r="F96" s="1886">
        <f t="shared" ref="F96:F102" si="42">IF(E96=0,0,H96/E96*1000)</f>
        <v>0</v>
      </c>
      <c r="G96" s="1906">
        <f t="shared" si="30"/>
        <v>0</v>
      </c>
      <c r="H96" s="2033">
        <f t="shared" si="41"/>
        <v>0</v>
      </c>
      <c r="I96" s="1718">
        <f>IF('Estimate Summary'!$D$9&lt;2,0,$H96)</f>
        <v>0</v>
      </c>
      <c r="J96" s="1718">
        <f>IF('Estimate Summary'!$D$9&lt;3,0,$H96)</f>
        <v>0</v>
      </c>
      <c r="K96" s="1718">
        <f>IF('Estimate Summary'!$D$9&lt;4,0,$H96)</f>
        <v>0</v>
      </c>
      <c r="L96" s="1718">
        <f>IF('Estimate Summary'!$D$9&lt;5,0,$H96)</f>
        <v>0</v>
      </c>
      <c r="M96" s="1718">
        <f>IF('Estimate Summary'!$D$9&lt;6,0,$H96)</f>
        <v>0</v>
      </c>
      <c r="N96" s="1726"/>
      <c r="P96" s="1019">
        <f>IF(Q96=0,0,(YEAR(R96)-YEAR(Q96))*12+(MONTH(R96)-MONTH(Q96)))</f>
        <v>43</v>
      </c>
      <c r="Q96" s="1670">
        <v>42683</v>
      </c>
      <c r="R96" s="796">
        <f>$R$2+30.42*'Offshore CF'!BH13</f>
        <v>43986.46</v>
      </c>
      <c r="S96" s="899" t="s">
        <v>128</v>
      </c>
      <c r="T96" s="899" t="s">
        <v>180</v>
      </c>
      <c r="U96" s="605" t="s">
        <v>599</v>
      </c>
      <c r="V96" s="1014" t="str">
        <f t="shared" si="20"/>
        <v>CNY</v>
      </c>
      <c r="W96" s="932">
        <f>6439217.2*0</f>
        <v>0</v>
      </c>
      <c r="X96" s="1908">
        <f t="shared" si="38"/>
        <v>0</v>
      </c>
      <c r="Y96" s="1018"/>
      <c r="Z96" s="1018">
        <f t="shared" si="33"/>
        <v>0</v>
      </c>
      <c r="AA96" s="899">
        <f t="shared" si="34"/>
        <v>0</v>
      </c>
      <c r="AB96" s="1866">
        <f>IF(V96="CNY",X96*(1-Z96),IF(V96="EUR",X96*(1-Z96)*$T$5,IF(V96="JPY",X96*(1-Z96)*$T$6,IF(V96="USD",X96*(1-Z96)*$T$7))))</f>
        <v>0</v>
      </c>
      <c r="AC96" s="900"/>
      <c r="AD96" s="605">
        <f>IF(V96&lt;&gt;"CNY",(AB96+#REF!)*AC96,0)</f>
        <v>0</v>
      </c>
      <c r="AF96" s="870">
        <f>IF(V96&lt;&gt;"CNY",(AB96+#REF!)*#REF!,0)</f>
        <v>0</v>
      </c>
      <c r="AG96" s="605">
        <f>IF(V96&lt;&gt;"CNY",E96*#REF!/1000,0)</f>
        <v>0</v>
      </c>
      <c r="AH96" s="870">
        <f t="shared" si="39"/>
        <v>0</v>
      </c>
      <c r="AI96" s="870">
        <f t="shared" si="40"/>
        <v>0</v>
      </c>
      <c r="AJ96" s="383" t="s">
        <v>669</v>
      </c>
      <c r="AK96" s="383" t="s">
        <v>1128</v>
      </c>
      <c r="AL96" s="605" t="str">
        <f t="shared" si="21"/>
        <v>CN</v>
      </c>
      <c r="AM96" s="899">
        <f>'Estimate Summary'!$D$9</f>
        <v>1</v>
      </c>
      <c r="AN96" s="605" t="s">
        <v>1136</v>
      </c>
      <c r="AO96" s="899">
        <f t="shared" si="22"/>
        <v>0</v>
      </c>
      <c r="AP96" s="605" t="str">
        <f t="shared" si="23"/>
        <v>CNY</v>
      </c>
      <c r="AQ96" s="605" t="s">
        <v>1139</v>
      </c>
      <c r="AR96" s="605" t="s">
        <v>670</v>
      </c>
      <c r="AS96" s="605" t="s">
        <v>751</v>
      </c>
      <c r="AT96" s="605" t="str">
        <f>'Estimate Summary'!$AT$11</f>
        <v>FOB SH</v>
      </c>
      <c r="AU96" s="610" t="str">
        <f t="shared" si="24"/>
        <v>CN</v>
      </c>
      <c r="AV96" s="605" t="s">
        <v>1140</v>
      </c>
      <c r="AW96" s="2255">
        <f t="shared" si="25"/>
        <v>42683</v>
      </c>
    </row>
    <row r="97" spans="1:49" s="605" customFormat="1" ht="12.75" hidden="1" customHeight="1" outlineLevel="1">
      <c r="B97" s="1079" t="s">
        <v>674</v>
      </c>
      <c r="C97" s="585" t="s">
        <v>830</v>
      </c>
      <c r="D97" s="1832" t="s">
        <v>181</v>
      </c>
      <c r="E97" s="584"/>
      <c r="F97" s="1886">
        <f>IF(E97=0,0,H97/E97*1000)</f>
        <v>0</v>
      </c>
      <c r="G97" s="1906">
        <f>AA97</f>
        <v>0</v>
      </c>
      <c r="H97" s="2034">
        <f>AB97</f>
        <v>0</v>
      </c>
      <c r="I97" s="1718">
        <f>IF('Estimate Summary'!$D$9&lt;2,0,$H97)</f>
        <v>0</v>
      </c>
      <c r="J97" s="1718">
        <f>IF('Estimate Summary'!$D$9&lt;3,0,$H97)</f>
        <v>0</v>
      </c>
      <c r="K97" s="1718">
        <f>IF('Estimate Summary'!$D$9&lt;4,0,$H97)</f>
        <v>0</v>
      </c>
      <c r="L97" s="1718">
        <f>IF('Estimate Summary'!$D$9&lt;5,0,$H97)</f>
        <v>0</v>
      </c>
      <c r="M97" s="1718">
        <f>IF('Estimate Summary'!$D$9&lt;6,0,$H97)</f>
        <v>0</v>
      </c>
      <c r="N97" s="1726" t="s">
        <v>438</v>
      </c>
      <c r="P97" s="1019">
        <f>IF(Q97=0,0,(YEAR(R97)-YEAR(Q97))*12+(MONTH(R97)-MONTH(Q97)))</f>
        <v>40</v>
      </c>
      <c r="Q97" s="1670">
        <v>42683</v>
      </c>
      <c r="R97" s="796">
        <f>$R$2+30.42*'Offshore CF'!BP13</f>
        <v>43895.199999999997</v>
      </c>
      <c r="S97" s="1814" t="s">
        <v>128</v>
      </c>
      <c r="T97" s="1814" t="s">
        <v>180</v>
      </c>
      <c r="U97" s="605" t="s">
        <v>1053</v>
      </c>
      <c r="V97" s="1014" t="str">
        <f>D97</f>
        <v>CNY</v>
      </c>
      <c r="W97" s="932"/>
      <c r="X97" s="1911">
        <f>IF(V97="CNY",W97/1.17/1000,W97/1000)</f>
        <v>0</v>
      </c>
      <c r="Y97" s="1892"/>
      <c r="Z97" s="1873">
        <f>Y97+$Z$78</f>
        <v>0</v>
      </c>
      <c r="AA97" s="899">
        <f>X97*(1-Z97)</f>
        <v>0</v>
      </c>
      <c r="AB97" s="1866">
        <f>IF(V97="CNY",X97*(1-Z97),IF(V97="EUR",X97*(1-Z97)*$R$5,IF(V97="JPY",X97*(1-Z97)*$R$6,IF(V97="USD",X97*(1-Z97)*$R$7))))</f>
        <v>0</v>
      </c>
      <c r="AC97" s="900"/>
      <c r="AD97" s="605">
        <f>IF(V97&lt;&gt;"CNY",(AB97+#REF!)*AC97,0)</f>
        <v>0</v>
      </c>
      <c r="AF97" s="870">
        <f>IF(V97&lt;&gt;"CNY",(AB97+#REF!)*$AD$53,0)</f>
        <v>0</v>
      </c>
      <c r="AG97" s="605">
        <f>IF(V97&lt;&gt;"CNY",F97*#REF!/1000,0)</f>
        <v>0</v>
      </c>
      <c r="AH97" s="870">
        <f>SUM(AD97:AG97)</f>
        <v>0</v>
      </c>
      <c r="AI97" s="870">
        <f>AB97+AH97</f>
        <v>0</v>
      </c>
      <c r="AJ97" s="383" t="s">
        <v>669</v>
      </c>
      <c r="AK97" s="383" t="s">
        <v>1128</v>
      </c>
      <c r="AL97" s="605" t="str">
        <f>IF(D97="CNY","CN",IF(D97="EUR","DE",IF(D97="USD","US",IF(D97="JPY","JP",IF(D97="INR","IN")))))</f>
        <v>CN</v>
      </c>
      <c r="AM97" s="899">
        <f>'Estimate Summary'!$D$9</f>
        <v>1</v>
      </c>
      <c r="AN97" s="605" t="s">
        <v>1136</v>
      </c>
      <c r="AO97" s="899">
        <f>G97</f>
        <v>0</v>
      </c>
      <c r="AP97" s="605" t="str">
        <f>D97</f>
        <v>CNY</v>
      </c>
      <c r="AQ97" s="605" t="s">
        <v>1139</v>
      </c>
      <c r="AR97" s="605" t="s">
        <v>670</v>
      </c>
      <c r="AS97" s="605" t="s">
        <v>751</v>
      </c>
      <c r="AT97" s="605" t="str">
        <f>'Estimate Summary'!$AT$11</f>
        <v>FOB SH</v>
      </c>
      <c r="AU97" s="610" t="str">
        <f>AL97</f>
        <v>CN</v>
      </c>
      <c r="AV97" s="605" t="s">
        <v>1140</v>
      </c>
      <c r="AW97" s="2255">
        <f>Q97</f>
        <v>42683</v>
      </c>
    </row>
    <row r="98" spans="1:49" s="605" customFormat="1" ht="12.75" hidden="1" customHeight="1" outlineLevel="1">
      <c r="B98" s="1079" t="s">
        <v>675</v>
      </c>
      <c r="C98" s="1626" t="s">
        <v>828</v>
      </c>
      <c r="D98" s="1832" t="s">
        <v>181</v>
      </c>
      <c r="E98" s="1664"/>
      <c r="F98" s="1886">
        <f>IF(E98=0,0,H98/E98*1000)</f>
        <v>0</v>
      </c>
      <c r="G98" s="1693">
        <f>AA98</f>
        <v>0</v>
      </c>
      <c r="H98" s="1870">
        <f>AB98</f>
        <v>0</v>
      </c>
      <c r="I98" s="1718">
        <f>IF('Estimate Summary'!$D$9&lt;2,0,$H98)</f>
        <v>0</v>
      </c>
      <c r="J98" s="1718">
        <f>IF('Estimate Summary'!$D$9&lt;3,0,$H98)</f>
        <v>0</v>
      </c>
      <c r="K98" s="1718">
        <f>IF('Estimate Summary'!$D$9&lt;4,0,$H98)</f>
        <v>0</v>
      </c>
      <c r="L98" s="1718">
        <f>IF('Estimate Summary'!$D$9&lt;5,0,$H98)</f>
        <v>0</v>
      </c>
      <c r="M98" s="1718">
        <f>IF('Estimate Summary'!$D$9&lt;6,0,$H98)</f>
        <v>0</v>
      </c>
      <c r="N98" s="1630"/>
      <c r="P98" s="1019">
        <f>IF(Q98=0,0,(YEAR(R98)-YEAR(Q98))*12+(MONTH(R98)-MONTH(Q98)))</f>
        <v>-1402</v>
      </c>
      <c r="Q98" s="1670">
        <v>42683</v>
      </c>
      <c r="R98" s="796"/>
      <c r="S98" s="1814"/>
      <c r="T98" s="1814"/>
      <c r="V98" s="1014" t="str">
        <f>D98</f>
        <v>CNY</v>
      </c>
      <c r="W98" s="932"/>
      <c r="X98" s="1883">
        <f>IF(V98="CNY",W98/1.17/1000,W98/1000)</f>
        <v>0</v>
      </c>
      <c r="Y98" s="1892"/>
      <c r="Z98" s="1873">
        <f>Y98+$Z$78</f>
        <v>0</v>
      </c>
      <c r="AA98" s="899">
        <f>X98*(1-Z98)</f>
        <v>0</v>
      </c>
      <c r="AB98" s="1866">
        <f>IF(V98="CNY",X98*(1-Z98),IF(V98="EUR",X98*(1-Z98)*$R$5,IF(V98="JPY",X98*(1-Z98)*$R$6,IF(V98="USD",X98*(1-Z98)*$R$7))))</f>
        <v>0</v>
      </c>
      <c r="AC98" s="1878"/>
      <c r="AD98" s="1909">
        <f>IF(V98&lt;&gt;"CNY",(AB98+#REF!)*AC98,0)</f>
        <v>0</v>
      </c>
      <c r="AE98" s="1909"/>
      <c r="AF98" s="1879">
        <f>IF(V98&lt;&gt;"CNY",(AB98+#REF!)*$AD$53,0)</f>
        <v>0</v>
      </c>
      <c r="AG98" s="412">
        <f>IF(V98&lt;&gt;"CNY",F98*#REF!/1000,0)</f>
        <v>0</v>
      </c>
      <c r="AH98" s="1879">
        <f>SUM(AD98:AG98)</f>
        <v>0</v>
      </c>
      <c r="AI98" s="870">
        <f>AB98+AH98</f>
        <v>0</v>
      </c>
      <c r="AJ98" s="383" t="s">
        <v>669</v>
      </c>
      <c r="AK98" s="383" t="s">
        <v>1128</v>
      </c>
      <c r="AL98" s="605" t="str">
        <f>IF(D98="CNY","CN",IF(D98="EUR","DE",IF(D98="USD","US",IF(D98="JPY","JP",IF(D98="INR","IN")))))</f>
        <v>CN</v>
      </c>
      <c r="AM98" s="899">
        <f>'Estimate Summary'!$D$9</f>
        <v>1</v>
      </c>
      <c r="AN98" s="605" t="s">
        <v>1136</v>
      </c>
      <c r="AO98" s="899">
        <f>G98</f>
        <v>0</v>
      </c>
      <c r="AP98" s="605" t="str">
        <f>D98</f>
        <v>CNY</v>
      </c>
      <c r="AQ98" s="605" t="s">
        <v>1139</v>
      </c>
      <c r="AR98" s="605" t="s">
        <v>670</v>
      </c>
      <c r="AS98" s="605" t="s">
        <v>751</v>
      </c>
      <c r="AT98" s="605" t="str">
        <f>'Estimate Summary'!$AT$11</f>
        <v>FOB SH</v>
      </c>
      <c r="AU98" s="610" t="str">
        <f>AL98</f>
        <v>CN</v>
      </c>
      <c r="AV98" s="605" t="s">
        <v>1140</v>
      </c>
      <c r="AW98" s="2255">
        <f>Q98</f>
        <v>42683</v>
      </c>
    </row>
    <row r="99" spans="1:49" s="605" customFormat="1" ht="12.75" hidden="1" customHeight="1" outlineLevel="1">
      <c r="B99" s="1079" t="s">
        <v>822</v>
      </c>
      <c r="C99" s="585" t="s">
        <v>823</v>
      </c>
      <c r="D99" s="1832" t="s">
        <v>181</v>
      </c>
      <c r="E99" s="584"/>
      <c r="F99" s="1886">
        <f t="shared" si="42"/>
        <v>0</v>
      </c>
      <c r="G99" s="1693">
        <f t="shared" si="30"/>
        <v>0</v>
      </c>
      <c r="H99" s="1870">
        <f t="shared" si="41"/>
        <v>0</v>
      </c>
      <c r="I99" s="1718">
        <f>IF('Estimate Summary'!$D$9&lt;2,0,$H99)</f>
        <v>0</v>
      </c>
      <c r="J99" s="1718">
        <f>IF('Estimate Summary'!$D$9&lt;3,0,$H99)</f>
        <v>0</v>
      </c>
      <c r="K99" s="1718">
        <f>IF('Estimate Summary'!$D$9&lt;4,0,$H99)</f>
        <v>0</v>
      </c>
      <c r="L99" s="1718">
        <f>IF('Estimate Summary'!$D$9&lt;5,0,$H99)</f>
        <v>0</v>
      </c>
      <c r="M99" s="1718">
        <f>IF('Estimate Summary'!$D$9&lt;6,0,$H99)</f>
        <v>0</v>
      </c>
      <c r="N99" s="1726"/>
      <c r="P99" s="1019">
        <f t="shared" ref="P99:P104" si="43">IF(Q99=0,0,(YEAR(R99)-YEAR(Q99))*12+(MONTH(R99)-MONTH(Q99)))</f>
        <v>0</v>
      </c>
      <c r="Q99" s="1670"/>
      <c r="R99" s="796"/>
      <c r="S99" s="899"/>
      <c r="T99" s="899"/>
      <c r="V99" s="1014" t="str">
        <f t="shared" si="20"/>
        <v>CNY</v>
      </c>
      <c r="W99" s="932"/>
      <c r="X99" s="1908">
        <f t="shared" si="38"/>
        <v>0</v>
      </c>
      <c r="Y99" s="1867"/>
      <c r="Z99" s="1018">
        <f t="shared" si="33"/>
        <v>0</v>
      </c>
      <c r="AA99" s="899">
        <f t="shared" si="34"/>
        <v>0</v>
      </c>
      <c r="AB99" s="1866">
        <f>IF(V99="CNY",X99*(1-Z99),IF(V99="EUR",X99*(1-Z99)*$T$5,IF(V99="JPY",X99*(1-Z99)*$T$6,IF(V99="USD",X99*(1-Z99)*$T$7))))</f>
        <v>0</v>
      </c>
      <c r="AC99" s="900"/>
      <c r="AD99" s="605">
        <f>IF(V99&lt;&gt;"CNY",(AB99+#REF!)*AC99,0)</f>
        <v>0</v>
      </c>
      <c r="AF99" s="870">
        <f>IF(V99&lt;&gt;"CNY",(AB99+#REF!)*#REF!,0)</f>
        <v>0</v>
      </c>
      <c r="AG99" s="605">
        <f>IF(V99&lt;&gt;"CNY",E99*#REF!/1000,0)</f>
        <v>0</v>
      </c>
      <c r="AH99" s="870">
        <f t="shared" si="39"/>
        <v>0</v>
      </c>
      <c r="AI99" s="870">
        <f t="shared" si="40"/>
        <v>0</v>
      </c>
      <c r="AJ99" s="383" t="s">
        <v>669</v>
      </c>
      <c r="AK99" s="383" t="s">
        <v>1128</v>
      </c>
      <c r="AL99" s="605" t="str">
        <f t="shared" si="21"/>
        <v>CN</v>
      </c>
      <c r="AM99" s="899">
        <f>'Estimate Summary'!$D$9</f>
        <v>1</v>
      </c>
      <c r="AN99" s="605" t="s">
        <v>1136</v>
      </c>
      <c r="AO99" s="899">
        <f t="shared" si="22"/>
        <v>0</v>
      </c>
      <c r="AP99" s="605" t="str">
        <f t="shared" si="23"/>
        <v>CNY</v>
      </c>
      <c r="AQ99" s="605" t="s">
        <v>1139</v>
      </c>
      <c r="AR99" s="605" t="s">
        <v>670</v>
      </c>
      <c r="AS99" s="605" t="s">
        <v>751</v>
      </c>
      <c r="AT99" s="605" t="str">
        <f>'Estimate Summary'!$AT$11</f>
        <v>FOB SH</v>
      </c>
      <c r="AU99" s="610" t="str">
        <f t="shared" si="24"/>
        <v>CN</v>
      </c>
      <c r="AV99" s="605" t="s">
        <v>1140</v>
      </c>
      <c r="AW99" s="2255">
        <f t="shared" si="25"/>
        <v>0</v>
      </c>
    </row>
    <row r="100" spans="1:49" s="605" customFormat="1" ht="12.75" hidden="1" customHeight="1" outlineLevel="1">
      <c r="B100" s="1079" t="s">
        <v>822</v>
      </c>
      <c r="C100" s="585" t="s">
        <v>821</v>
      </c>
      <c r="D100" s="1832" t="s">
        <v>181</v>
      </c>
      <c r="E100" s="584"/>
      <c r="F100" s="1886">
        <f t="shared" si="42"/>
        <v>0</v>
      </c>
      <c r="G100" s="1693">
        <f t="shared" si="30"/>
        <v>0</v>
      </c>
      <c r="H100" s="1870">
        <f t="shared" si="41"/>
        <v>0</v>
      </c>
      <c r="I100" s="1718">
        <f>IF('Estimate Summary'!$D$9&lt;2,0,$H100)</f>
        <v>0</v>
      </c>
      <c r="J100" s="1718">
        <f>IF('Estimate Summary'!$D$9&lt;3,0,$H100)</f>
        <v>0</v>
      </c>
      <c r="K100" s="1718">
        <f>IF('Estimate Summary'!$D$9&lt;4,0,$H100)</f>
        <v>0</v>
      </c>
      <c r="L100" s="1718">
        <f>IF('Estimate Summary'!$D$9&lt;5,0,$H100)</f>
        <v>0</v>
      </c>
      <c r="M100" s="1718">
        <f>IF('Estimate Summary'!$D$9&lt;6,0,$H100)</f>
        <v>0</v>
      </c>
      <c r="N100" s="1630"/>
      <c r="P100" s="1019">
        <f t="shared" si="43"/>
        <v>0</v>
      </c>
      <c r="Q100" s="1670"/>
      <c r="R100" s="796"/>
      <c r="S100" s="898"/>
      <c r="T100" s="899"/>
      <c r="V100" s="1014" t="str">
        <f t="shared" si="20"/>
        <v>CNY</v>
      </c>
      <c r="W100" s="932"/>
      <c r="X100" s="1908">
        <f t="shared" si="38"/>
        <v>0</v>
      </c>
      <c r="Y100" s="1867"/>
      <c r="Z100" s="1018">
        <f t="shared" si="33"/>
        <v>0</v>
      </c>
      <c r="AA100" s="899">
        <f t="shared" si="34"/>
        <v>0</v>
      </c>
      <c r="AB100" s="1866">
        <f>IF(V100="CNY",X100*(1-Z100),IF(V100="EUR",X100*(1-Z100)*$T$5,IF(V100="JPY",X100*(1-Z100)*$T$6,IF(V100="USD",X100*(1-Z100)*$T$7))))</f>
        <v>0</v>
      </c>
      <c r="AC100" s="900"/>
      <c r="AD100" s="605">
        <f>IF(V100&lt;&gt;"CNY",(AB100+#REF!)*AC100,0)</f>
        <v>0</v>
      </c>
      <c r="AF100" s="870">
        <f>IF(V100&lt;&gt;"CNY",(AB100+#REF!)*#REF!,0)</f>
        <v>0</v>
      </c>
      <c r="AG100" s="605">
        <f>IF(V100&lt;&gt;"CNY",E100*#REF!/1000,0)</f>
        <v>0</v>
      </c>
      <c r="AH100" s="870">
        <f t="shared" si="39"/>
        <v>0</v>
      </c>
      <c r="AI100" s="870">
        <f t="shared" si="40"/>
        <v>0</v>
      </c>
      <c r="AJ100" s="383" t="s">
        <v>669</v>
      </c>
      <c r="AK100" s="383" t="s">
        <v>1128</v>
      </c>
      <c r="AL100" s="605" t="str">
        <f t="shared" si="21"/>
        <v>CN</v>
      </c>
      <c r="AM100" s="899">
        <f>'Estimate Summary'!$D$9</f>
        <v>1</v>
      </c>
      <c r="AN100" s="605" t="s">
        <v>1136</v>
      </c>
      <c r="AO100" s="899">
        <f t="shared" si="22"/>
        <v>0</v>
      </c>
      <c r="AP100" s="605" t="str">
        <f t="shared" si="23"/>
        <v>CNY</v>
      </c>
      <c r="AQ100" s="605" t="s">
        <v>1139</v>
      </c>
      <c r="AR100" s="605" t="s">
        <v>670</v>
      </c>
      <c r="AS100" s="605" t="s">
        <v>751</v>
      </c>
      <c r="AT100" s="605" t="str">
        <f>'Estimate Summary'!$AT$11</f>
        <v>FOB SH</v>
      </c>
      <c r="AU100" s="610" t="str">
        <f t="shared" si="24"/>
        <v>CN</v>
      </c>
      <c r="AV100" s="605" t="s">
        <v>1140</v>
      </c>
      <c r="AW100" s="2255">
        <f t="shared" si="25"/>
        <v>0</v>
      </c>
    </row>
    <row r="101" spans="1:49" s="605" customFormat="1" ht="25.5" hidden="1" customHeight="1" outlineLevel="1">
      <c r="B101" s="1079" t="s">
        <v>825</v>
      </c>
      <c r="C101" s="585" t="s">
        <v>824</v>
      </c>
      <c r="D101" s="1832" t="s">
        <v>181</v>
      </c>
      <c r="E101" s="584"/>
      <c r="F101" s="1886">
        <f t="shared" si="42"/>
        <v>0</v>
      </c>
      <c r="G101" s="1906">
        <f t="shared" si="30"/>
        <v>0</v>
      </c>
      <c r="H101" s="2034">
        <f t="shared" si="41"/>
        <v>0</v>
      </c>
      <c r="I101" s="1718">
        <f>IF('Estimate Summary'!$D$9&lt;2,0,$H101)</f>
        <v>0</v>
      </c>
      <c r="J101" s="1718">
        <f>IF('Estimate Summary'!$D$9&lt;3,0,$H101)</f>
        <v>0</v>
      </c>
      <c r="K101" s="1718">
        <f>IF('Estimate Summary'!$D$9&lt;4,0,$H101)</f>
        <v>0</v>
      </c>
      <c r="L101" s="1718">
        <f>IF('Estimate Summary'!$D$9&lt;5,0,$H101)</f>
        <v>0</v>
      </c>
      <c r="M101" s="1718">
        <f>IF('Estimate Summary'!$D$9&lt;6,0,$H101)</f>
        <v>0</v>
      </c>
      <c r="N101" s="1726"/>
      <c r="P101" s="1019">
        <f t="shared" si="43"/>
        <v>41</v>
      </c>
      <c r="Q101" s="1670">
        <v>42683</v>
      </c>
      <c r="R101" s="796">
        <f>$R$2+30.42*'Offshore CF'!BL13</f>
        <v>43925.62</v>
      </c>
      <c r="S101" s="1814" t="s">
        <v>128</v>
      </c>
      <c r="T101" s="1814" t="s">
        <v>180</v>
      </c>
      <c r="U101" s="605" t="s">
        <v>613</v>
      </c>
      <c r="V101" s="1014" t="str">
        <f t="shared" si="20"/>
        <v>CNY</v>
      </c>
      <c r="W101" s="932"/>
      <c r="X101" s="1883">
        <f t="shared" si="38"/>
        <v>0</v>
      </c>
      <c r="Y101" s="1873"/>
      <c r="Z101" s="1873">
        <f t="shared" si="33"/>
        <v>0</v>
      </c>
      <c r="AA101" s="899">
        <f t="shared" si="34"/>
        <v>0</v>
      </c>
      <c r="AB101" s="1866">
        <f t="shared" ref="AB101:AB104" si="44">IF(V101="CNY",X101*(1-Z101),IF(V101="EUR",X101*(1-Z101)*$R$5,IF(V101="JPY",X101*(1-Z101)*$R$6,IF(V101="USD",X101*(1-Z101)*$R$7))))</f>
        <v>0</v>
      </c>
      <c r="AC101" s="900"/>
      <c r="AD101" s="605">
        <f>IF(V101&lt;&gt;"CNY",(AB101+#REF!)*AC101,0)</f>
        <v>0</v>
      </c>
      <c r="AF101" s="870">
        <f>IF(V101&lt;&gt;"CNY",(AB101+#REF!)*$AD$53,0)</f>
        <v>0</v>
      </c>
      <c r="AG101" s="605">
        <f>IF(V101&lt;&gt;"CNY",F101*#REF!/1000,0)</f>
        <v>0</v>
      </c>
      <c r="AH101" s="870">
        <f t="shared" si="39"/>
        <v>0</v>
      </c>
      <c r="AI101" s="870">
        <f t="shared" si="40"/>
        <v>0</v>
      </c>
      <c r="AJ101" s="383" t="s">
        <v>669</v>
      </c>
      <c r="AK101" s="383" t="s">
        <v>1128</v>
      </c>
      <c r="AL101" s="605" t="str">
        <f t="shared" si="21"/>
        <v>CN</v>
      </c>
      <c r="AM101" s="899">
        <f>'Estimate Summary'!$D$9</f>
        <v>1</v>
      </c>
      <c r="AN101" s="605" t="s">
        <v>1136</v>
      </c>
      <c r="AO101" s="899">
        <f t="shared" si="22"/>
        <v>0</v>
      </c>
      <c r="AP101" s="605" t="str">
        <f t="shared" si="23"/>
        <v>CNY</v>
      </c>
      <c r="AQ101" s="605" t="s">
        <v>1139</v>
      </c>
      <c r="AR101" s="605" t="s">
        <v>670</v>
      </c>
      <c r="AS101" s="605" t="s">
        <v>751</v>
      </c>
      <c r="AT101" s="605" t="str">
        <f>'Estimate Summary'!$AT$11</f>
        <v>FOB SH</v>
      </c>
      <c r="AU101" s="610" t="str">
        <f t="shared" si="24"/>
        <v>CN</v>
      </c>
      <c r="AV101" s="605" t="s">
        <v>1140</v>
      </c>
      <c r="AW101" s="2255">
        <f t="shared" si="25"/>
        <v>42683</v>
      </c>
    </row>
    <row r="102" spans="1:49" s="605" customFormat="1" ht="12.75" hidden="1" customHeight="1" outlineLevel="1">
      <c r="B102" s="1079" t="s">
        <v>825</v>
      </c>
      <c r="C102" s="1626" t="s">
        <v>832</v>
      </c>
      <c r="D102" s="1832" t="s">
        <v>181</v>
      </c>
      <c r="E102" s="1664"/>
      <c r="F102" s="1886">
        <f t="shared" si="42"/>
        <v>0</v>
      </c>
      <c r="G102" s="1693">
        <f t="shared" si="30"/>
        <v>0</v>
      </c>
      <c r="H102" s="2034">
        <f t="shared" si="41"/>
        <v>0</v>
      </c>
      <c r="I102" s="1718">
        <f>IF('Estimate Summary'!$D$9&lt;2,0,$H102)</f>
        <v>0</v>
      </c>
      <c r="J102" s="1718">
        <f>IF('Estimate Summary'!$D$9&lt;3,0,$H102)</f>
        <v>0</v>
      </c>
      <c r="K102" s="1718">
        <f>IF('Estimate Summary'!$D$9&lt;4,0,$H102)</f>
        <v>0</v>
      </c>
      <c r="L102" s="1718">
        <f>IF('Estimate Summary'!$D$9&lt;5,0,$H102)</f>
        <v>0</v>
      </c>
      <c r="M102" s="1718">
        <f>IF('Estimate Summary'!$D$9&lt;6,0,$H102)</f>
        <v>0</v>
      </c>
      <c r="N102" s="1726"/>
      <c r="P102" s="1019">
        <f t="shared" si="43"/>
        <v>41</v>
      </c>
      <c r="Q102" s="1670">
        <v>42683</v>
      </c>
      <c r="R102" s="796">
        <f>$R$2+30.42*'Offshore CF'!BM13</f>
        <v>43925.62</v>
      </c>
      <c r="S102" s="1814" t="s">
        <v>128</v>
      </c>
      <c r="T102" s="1814" t="s">
        <v>180</v>
      </c>
      <c r="U102" s="605" t="s">
        <v>613</v>
      </c>
      <c r="V102" s="1014" t="str">
        <f t="shared" si="20"/>
        <v>CNY</v>
      </c>
      <c r="W102" s="932"/>
      <c r="X102" s="1883">
        <f t="shared" si="38"/>
        <v>0</v>
      </c>
      <c r="Y102" s="1873"/>
      <c r="Z102" s="1873">
        <f t="shared" si="33"/>
        <v>0</v>
      </c>
      <c r="AA102" s="899">
        <f>X102*(1-Z102)</f>
        <v>0</v>
      </c>
      <c r="AB102" s="1866">
        <f t="shared" si="44"/>
        <v>0</v>
      </c>
      <c r="AC102" s="900"/>
      <c r="AD102" s="605">
        <f>IF(V102&lt;&gt;"CNY",(AB102+#REF!)*AC102,0)</f>
        <v>0</v>
      </c>
      <c r="AF102" s="870">
        <f>IF(V102&lt;&gt;"CNY",(AB102+#REF!)*$AD$53,0)</f>
        <v>0</v>
      </c>
      <c r="AG102" s="605">
        <f>IF(V102&lt;&gt;"CNY",F102*#REF!/1000,0)</f>
        <v>0</v>
      </c>
      <c r="AH102" s="870">
        <f t="shared" si="39"/>
        <v>0</v>
      </c>
      <c r="AI102" s="870">
        <f t="shared" si="40"/>
        <v>0</v>
      </c>
      <c r="AJ102" s="383" t="s">
        <v>669</v>
      </c>
      <c r="AK102" s="383" t="s">
        <v>1128</v>
      </c>
      <c r="AL102" s="605" t="str">
        <f t="shared" si="21"/>
        <v>CN</v>
      </c>
      <c r="AM102" s="899">
        <f>'Estimate Summary'!$D$9</f>
        <v>1</v>
      </c>
      <c r="AN102" s="605" t="s">
        <v>1136</v>
      </c>
      <c r="AO102" s="899">
        <f t="shared" si="22"/>
        <v>0</v>
      </c>
      <c r="AP102" s="605" t="str">
        <f t="shared" si="23"/>
        <v>CNY</v>
      </c>
      <c r="AQ102" s="605" t="s">
        <v>1139</v>
      </c>
      <c r="AR102" s="605" t="s">
        <v>670</v>
      </c>
      <c r="AS102" s="605" t="s">
        <v>751</v>
      </c>
      <c r="AT102" s="605" t="str">
        <f>'Estimate Summary'!$AT$11</f>
        <v>FOB SH</v>
      </c>
      <c r="AU102" s="610" t="str">
        <f t="shared" si="24"/>
        <v>CN</v>
      </c>
      <c r="AV102" s="605" t="s">
        <v>1140</v>
      </c>
      <c r="AW102" s="2255">
        <f t="shared" si="25"/>
        <v>42683</v>
      </c>
    </row>
    <row r="103" spans="1:49" s="605" customFormat="1" ht="12.75" hidden="1" customHeight="1" outlineLevel="1">
      <c r="B103" s="1079" t="s">
        <v>827</v>
      </c>
      <c r="C103" s="1626" t="s">
        <v>826</v>
      </c>
      <c r="D103" s="1832" t="s">
        <v>181</v>
      </c>
      <c r="E103" s="1664"/>
      <c r="F103" s="1868"/>
      <c r="G103" s="1906">
        <f t="shared" si="30"/>
        <v>0</v>
      </c>
      <c r="H103" s="2034">
        <f t="shared" si="41"/>
        <v>0</v>
      </c>
      <c r="I103" s="1718">
        <f>IF('Estimate Summary'!$D$9&lt;2,0,$H103)</f>
        <v>0</v>
      </c>
      <c r="J103" s="1718">
        <f>IF('Estimate Summary'!$D$9&lt;3,0,$H103)</f>
        <v>0</v>
      </c>
      <c r="K103" s="1718">
        <f>IF('Estimate Summary'!$D$9&lt;4,0,$H103)</f>
        <v>0</v>
      </c>
      <c r="L103" s="1718">
        <f>IF('Estimate Summary'!$D$9&lt;5,0,$H103)</f>
        <v>0</v>
      </c>
      <c r="M103" s="1718">
        <f>IF('Estimate Summary'!$D$9&lt;6,0,$H103)</f>
        <v>0</v>
      </c>
      <c r="N103" s="1726"/>
      <c r="P103" s="1019">
        <f t="shared" si="43"/>
        <v>37</v>
      </c>
      <c r="Q103" s="1670">
        <v>42683</v>
      </c>
      <c r="R103" s="796">
        <f>$R$2+30.42*'Offshore CF'!BN13</f>
        <v>43803.94</v>
      </c>
      <c r="S103" s="1814" t="s">
        <v>129</v>
      </c>
      <c r="T103" s="1814" t="s">
        <v>180</v>
      </c>
      <c r="U103" s="605" t="s">
        <v>602</v>
      </c>
      <c r="V103" s="1014" t="str">
        <f t="shared" si="20"/>
        <v>CNY</v>
      </c>
      <c r="W103" s="932"/>
      <c r="X103" s="1883">
        <f t="shared" si="38"/>
        <v>0</v>
      </c>
      <c r="Y103" s="1892"/>
      <c r="Z103" s="1873">
        <f t="shared" si="33"/>
        <v>0</v>
      </c>
      <c r="AA103" s="899">
        <f t="shared" si="34"/>
        <v>0</v>
      </c>
      <c r="AB103" s="1866">
        <f t="shared" si="44"/>
        <v>0</v>
      </c>
      <c r="AC103" s="900"/>
      <c r="AD103" s="605">
        <f>IF(V103&lt;&gt;"CNY",(AB103+#REF!)*AC103,0)</f>
        <v>0</v>
      </c>
      <c r="AF103" s="870">
        <f>IF(V103&lt;&gt;"CNY",(AB103+#REF!)*$AD$53,0)</f>
        <v>0</v>
      </c>
      <c r="AG103" s="605">
        <f>IF(V103&lt;&gt;"CNY",F103*#REF!/1000,0)</f>
        <v>0</v>
      </c>
      <c r="AH103" s="870">
        <f t="shared" si="39"/>
        <v>0</v>
      </c>
      <c r="AI103" s="870">
        <f t="shared" si="40"/>
        <v>0</v>
      </c>
      <c r="AJ103" s="383" t="s">
        <v>669</v>
      </c>
      <c r="AK103" s="383" t="s">
        <v>1128</v>
      </c>
      <c r="AL103" s="605" t="str">
        <f t="shared" si="21"/>
        <v>CN</v>
      </c>
      <c r="AM103" s="899">
        <f>'Estimate Summary'!$D$9</f>
        <v>1</v>
      </c>
      <c r="AN103" s="605" t="s">
        <v>1136</v>
      </c>
      <c r="AO103" s="899">
        <f t="shared" si="22"/>
        <v>0</v>
      </c>
      <c r="AP103" s="605" t="str">
        <f t="shared" si="23"/>
        <v>CNY</v>
      </c>
      <c r="AQ103" s="605" t="s">
        <v>1139</v>
      </c>
      <c r="AR103" s="605" t="s">
        <v>670</v>
      </c>
      <c r="AS103" s="605" t="s">
        <v>751</v>
      </c>
      <c r="AT103" s="605" t="str">
        <f>'Estimate Summary'!$AT$11</f>
        <v>FOB SH</v>
      </c>
      <c r="AU103" s="610" t="str">
        <f t="shared" si="24"/>
        <v>CN</v>
      </c>
      <c r="AV103" s="605" t="s">
        <v>1140</v>
      </c>
      <c r="AW103" s="2255">
        <f t="shared" si="25"/>
        <v>42683</v>
      </c>
    </row>
    <row r="104" spans="1:49" s="605" customFormat="1" ht="12.75" hidden="1" customHeight="1" outlineLevel="1">
      <c r="B104" s="1079" t="s">
        <v>827</v>
      </c>
      <c r="C104" s="1859" t="s">
        <v>1061</v>
      </c>
      <c r="D104" s="1860" t="s">
        <v>181</v>
      </c>
      <c r="E104" s="1861"/>
      <c r="F104" s="1862"/>
      <c r="G104" s="1906">
        <f>AA104</f>
        <v>0</v>
      </c>
      <c r="H104" s="2035">
        <f>AB104</f>
        <v>0</v>
      </c>
      <c r="I104" s="1864">
        <f>IF('Estimate Summary'!$D$9&lt;2,0,$H104)</f>
        <v>0</v>
      </c>
      <c r="J104" s="1864">
        <f>IF('Estimate Summary'!$D$9&lt;3,0,$H104)</f>
        <v>0</v>
      </c>
      <c r="K104" s="1864">
        <f>IF('Estimate Summary'!$D$9&lt;4,0,$H104)</f>
        <v>0</v>
      </c>
      <c r="L104" s="1864">
        <f>IF('Estimate Summary'!$D$9&lt;5,0,$H104)</f>
        <v>0</v>
      </c>
      <c r="M104" s="1864">
        <f>IF('Estimate Summary'!$D$9&lt;6,0,$H104)</f>
        <v>0</v>
      </c>
      <c r="N104" s="1865" t="s">
        <v>1320</v>
      </c>
      <c r="P104" s="1019">
        <f t="shared" si="43"/>
        <v>37</v>
      </c>
      <c r="Q104" s="1670">
        <v>42683</v>
      </c>
      <c r="R104" s="796">
        <f>$R$2+30.42*'Offshore CF'!BO13</f>
        <v>43803.94</v>
      </c>
      <c r="S104" s="1814" t="s">
        <v>129</v>
      </c>
      <c r="T104" s="1814" t="s">
        <v>180</v>
      </c>
      <c r="U104" s="605" t="s">
        <v>602</v>
      </c>
      <c r="V104" s="603" t="str">
        <f t="shared" si="20"/>
        <v>CNY</v>
      </c>
      <c r="W104" s="932"/>
      <c r="X104" s="1893">
        <f t="shared" si="38"/>
        <v>0</v>
      </c>
      <c r="Y104" s="1890"/>
      <c r="Z104" s="1910">
        <f t="shared" si="33"/>
        <v>0</v>
      </c>
      <c r="AA104" s="899">
        <f t="shared" si="34"/>
        <v>0</v>
      </c>
      <c r="AB104" s="1866">
        <f t="shared" si="44"/>
        <v>0</v>
      </c>
      <c r="AC104" s="900"/>
      <c r="AD104" s="605">
        <f>IF(V104&lt;&gt;"CNY",(AB104+#REF!)*AC104,0)</f>
        <v>0</v>
      </c>
      <c r="AF104" s="870">
        <f>IF(V104&lt;&gt;"CNY",(AB104+#REF!)*$AD$53,0)</f>
        <v>0</v>
      </c>
      <c r="AG104" s="605">
        <f>IF(V104&lt;&gt;"CNY",F104*#REF!/1000,0)</f>
        <v>0</v>
      </c>
      <c r="AH104" s="870">
        <f t="shared" si="39"/>
        <v>0</v>
      </c>
      <c r="AI104" s="870">
        <f t="shared" si="40"/>
        <v>0</v>
      </c>
      <c r="AJ104" s="383" t="s">
        <v>669</v>
      </c>
      <c r="AK104" s="383" t="s">
        <v>1128</v>
      </c>
      <c r="AL104" s="605" t="str">
        <f t="shared" si="21"/>
        <v>CN</v>
      </c>
      <c r="AM104" s="899">
        <f>'Estimate Summary'!$D$9</f>
        <v>1</v>
      </c>
      <c r="AN104" s="605" t="s">
        <v>1136</v>
      </c>
      <c r="AO104" s="899">
        <f t="shared" si="22"/>
        <v>0</v>
      </c>
      <c r="AP104" s="605" t="str">
        <f t="shared" si="23"/>
        <v>CNY</v>
      </c>
      <c r="AQ104" s="605" t="s">
        <v>1139</v>
      </c>
      <c r="AR104" s="605" t="s">
        <v>670</v>
      </c>
      <c r="AS104" s="605" t="s">
        <v>751</v>
      </c>
      <c r="AT104" s="605" t="str">
        <f>'Estimate Summary'!$AT$11</f>
        <v>FOB SH</v>
      </c>
      <c r="AU104" s="610" t="str">
        <f t="shared" si="24"/>
        <v>CN</v>
      </c>
      <c r="AV104" s="605" t="s">
        <v>1140</v>
      </c>
      <c r="AW104" s="2255">
        <f t="shared" si="25"/>
        <v>42683</v>
      </c>
    </row>
    <row r="105" spans="1:49" s="605" customFormat="1" ht="13.5" hidden="1" customHeight="1" outlineLevel="1" thickBot="1">
      <c r="B105" s="1079"/>
      <c r="C105" s="99" t="s">
        <v>831</v>
      </c>
      <c r="D105" s="2288"/>
      <c r="E105" s="591">
        <f>SUM(E93,E96:E104)</f>
        <v>0</v>
      </c>
      <c r="F105" s="2289"/>
      <c r="G105" s="2290">
        <f t="shared" si="30"/>
        <v>0</v>
      </c>
      <c r="H105" s="1687">
        <f t="shared" ref="H105:M105" si="45">SUM(H93,H96:H104)</f>
        <v>0</v>
      </c>
      <c r="I105" s="1663">
        <f t="shared" si="45"/>
        <v>0</v>
      </c>
      <c r="J105" s="1663">
        <f t="shared" si="45"/>
        <v>0</v>
      </c>
      <c r="K105" s="1663">
        <f t="shared" si="45"/>
        <v>0</v>
      </c>
      <c r="L105" s="1663">
        <f t="shared" si="45"/>
        <v>0</v>
      </c>
      <c r="M105" s="1663">
        <f t="shared" si="45"/>
        <v>0</v>
      </c>
      <c r="N105" s="637"/>
      <c r="O105" s="2285"/>
      <c r="P105" s="1014"/>
      <c r="Q105" s="794"/>
      <c r="R105" s="796"/>
      <c r="S105" s="899"/>
      <c r="T105" s="899"/>
      <c r="V105" s="1014">
        <f t="shared" si="20"/>
        <v>0</v>
      </c>
      <c r="W105" s="870"/>
      <c r="X105" s="1908">
        <f t="shared" si="38"/>
        <v>0</v>
      </c>
      <c r="Y105" s="900"/>
      <c r="Z105" s="900">
        <f t="shared" si="33"/>
        <v>0</v>
      </c>
      <c r="AA105" s="899">
        <f t="shared" si="34"/>
        <v>0</v>
      </c>
      <c r="AB105" s="1012"/>
      <c r="AC105" s="900"/>
      <c r="AF105" s="870"/>
      <c r="AH105" s="870"/>
      <c r="AI105" s="870"/>
      <c r="AJ105" s="383" t="s">
        <v>669</v>
      </c>
      <c r="AK105" s="383" t="s">
        <v>1128</v>
      </c>
      <c r="AL105" s="605" t="b">
        <f t="shared" si="21"/>
        <v>0</v>
      </c>
      <c r="AM105" s="899">
        <f>'Estimate Summary'!$D$9</f>
        <v>1</v>
      </c>
      <c r="AN105" s="605" t="s">
        <v>1136</v>
      </c>
      <c r="AO105" s="899">
        <f t="shared" si="22"/>
        <v>0</v>
      </c>
      <c r="AP105" s="605">
        <f t="shared" si="23"/>
        <v>0</v>
      </c>
      <c r="AQ105" s="605" t="s">
        <v>1139</v>
      </c>
      <c r="AR105" s="605" t="s">
        <v>670</v>
      </c>
      <c r="AS105" s="605" t="s">
        <v>751</v>
      </c>
      <c r="AT105" s="605" t="str">
        <f>'Estimate Summary'!$AT$11</f>
        <v>FOB SH</v>
      </c>
      <c r="AU105" s="610" t="b">
        <f t="shared" si="24"/>
        <v>0</v>
      </c>
      <c r="AV105" s="605" t="s">
        <v>1140</v>
      </c>
      <c r="AW105" s="2255">
        <f t="shared" si="25"/>
        <v>0</v>
      </c>
    </row>
    <row r="106" spans="1:49" s="86" customFormat="1" ht="16.5" hidden="1" customHeight="1" outlineLevel="1" thickTop="1">
      <c r="B106" s="1641" t="s">
        <v>1206</v>
      </c>
      <c r="C106" s="1652"/>
      <c r="D106" s="1834"/>
      <c r="E106" s="1653"/>
      <c r="F106" s="1654"/>
      <c r="G106" s="1654">
        <f t="shared" si="30"/>
        <v>0</v>
      </c>
      <c r="H106" s="1739"/>
      <c r="I106" s="1746"/>
      <c r="J106" s="1655"/>
      <c r="K106" s="569"/>
      <c r="L106" s="569"/>
      <c r="M106" s="569"/>
      <c r="N106" s="2273"/>
      <c r="P106" s="102"/>
      <c r="Q106" s="794"/>
      <c r="R106" s="797"/>
      <c r="S106" s="540"/>
      <c r="T106" s="551"/>
      <c r="V106" s="102">
        <f t="shared" si="20"/>
        <v>0</v>
      </c>
      <c r="W106" s="859"/>
      <c r="X106" s="859"/>
      <c r="Y106" s="882"/>
      <c r="Z106" s="892">
        <f t="shared" si="33"/>
        <v>0</v>
      </c>
      <c r="AA106" s="540">
        <f t="shared" si="34"/>
        <v>0</v>
      </c>
      <c r="AB106" s="1012"/>
      <c r="AC106" s="882"/>
      <c r="AF106" s="859"/>
      <c r="AH106" s="859"/>
      <c r="AI106" s="859"/>
      <c r="AJ106" s="383" t="s">
        <v>669</v>
      </c>
      <c r="AK106" s="383" t="s">
        <v>1128</v>
      </c>
      <c r="AL106" s="605" t="b">
        <f t="shared" si="21"/>
        <v>0</v>
      </c>
      <c r="AM106" s="899">
        <f>'Estimate Summary'!$D$9</f>
        <v>1</v>
      </c>
      <c r="AN106" s="605" t="s">
        <v>1136</v>
      </c>
      <c r="AO106" s="899">
        <f t="shared" si="22"/>
        <v>0</v>
      </c>
      <c r="AP106" s="86">
        <f t="shared" si="23"/>
        <v>0</v>
      </c>
      <c r="AQ106" s="86" t="s">
        <v>1139</v>
      </c>
      <c r="AR106" s="86" t="s">
        <v>670</v>
      </c>
      <c r="AS106" s="605" t="s">
        <v>751</v>
      </c>
      <c r="AT106" s="86" t="str">
        <f>'Estimate Summary'!$AT$11</f>
        <v>FOB SH</v>
      </c>
      <c r="AU106" s="610" t="b">
        <f t="shared" si="24"/>
        <v>0</v>
      </c>
      <c r="AV106" s="86" t="s">
        <v>1140</v>
      </c>
      <c r="AW106" s="2255">
        <f t="shared" si="25"/>
        <v>0</v>
      </c>
    </row>
    <row r="107" spans="1:49" s="360" customFormat="1" ht="15" hidden="1" customHeight="1" outlineLevel="1">
      <c r="A107" s="610"/>
      <c r="B107" s="1079" t="s">
        <v>706</v>
      </c>
      <c r="C107" s="694" t="s">
        <v>1079</v>
      </c>
      <c r="D107" s="1829" t="s">
        <v>181</v>
      </c>
      <c r="E107" s="584"/>
      <c r="F107" s="415"/>
      <c r="G107" s="1906">
        <f t="shared" si="30"/>
        <v>0</v>
      </c>
      <c r="H107" s="2034">
        <f>AB107</f>
        <v>0</v>
      </c>
      <c r="I107" s="1718">
        <f>IF('Estimate Summary'!$D$9&lt;2,0,$H107)</f>
        <v>0</v>
      </c>
      <c r="J107" s="1718">
        <f>IF('Estimate Summary'!$D$9&lt;3,0,$H107)</f>
        <v>0</v>
      </c>
      <c r="K107" s="1718">
        <f>IF('Estimate Summary'!$D$9&lt;4,0,$H107)</f>
        <v>0</v>
      </c>
      <c r="L107" s="1718">
        <f>IF('Estimate Summary'!$D$9&lt;5,0,$H107)</f>
        <v>0</v>
      </c>
      <c r="M107" s="1718">
        <f>IF('Estimate Summary'!$D$9&lt;6,0,$H107)</f>
        <v>0</v>
      </c>
      <c r="N107" s="1726"/>
      <c r="O107" s="357"/>
      <c r="P107" s="1875">
        <f>IF(Q107=0,0,(YEAR(R107)-YEAR(Q107))*12+(MONTH(R107)-MONTH(Q107)))</f>
        <v>43</v>
      </c>
      <c r="Q107" s="1670">
        <v>42683</v>
      </c>
      <c r="R107" s="796">
        <f>$R$2+30.42*'Offshore CF'!BQ13</f>
        <v>43986.46</v>
      </c>
      <c r="S107" s="899" t="s">
        <v>129</v>
      </c>
      <c r="T107" s="551" t="s">
        <v>180</v>
      </c>
      <c r="U107" s="605" t="s">
        <v>676</v>
      </c>
      <c r="V107" s="603" t="str">
        <f t="shared" si="20"/>
        <v>CNY</v>
      </c>
      <c r="W107" s="932"/>
      <c r="X107" s="1907">
        <f>IF(V107="CNY",W107/1.17/1000,W107/1000)</f>
        <v>0</v>
      </c>
      <c r="Y107" s="1877"/>
      <c r="Z107" s="1874">
        <f t="shared" si="33"/>
        <v>0</v>
      </c>
      <c r="AA107" s="551">
        <f t="shared" si="34"/>
        <v>0</v>
      </c>
      <c r="AB107" s="1866">
        <f>IF(V107="CNY",X107*(1-Z107),IF(V107="EUR",X107*(1-Z107)*$T$5,IF(V107="JPY",X107*(1-Z107)*$T$6,IF(V107="USD",X107*(1-Z107)*$T$7))))</f>
        <v>0</v>
      </c>
      <c r="AC107" s="883"/>
      <c r="AD107" s="360">
        <f>IF(V107&lt;&gt;"CNY",(AB107+#REF!)*AC107,0)</f>
        <v>0</v>
      </c>
      <c r="AF107" s="869">
        <f>IF(V107&lt;&gt;"CNY",(AB107+#REF!)*#REF!,0)</f>
        <v>0</v>
      </c>
      <c r="AG107" s="360">
        <f>IF(V107&lt;&gt;"CNY",E107*#REF!/1000,0)</f>
        <v>0</v>
      </c>
      <c r="AH107" s="869">
        <f>SUM(AD107:AG107)</f>
        <v>0</v>
      </c>
      <c r="AI107" s="876">
        <f>AB107+AH107</f>
        <v>0</v>
      </c>
      <c r="AJ107" s="383" t="s">
        <v>669</v>
      </c>
      <c r="AK107" s="383" t="s">
        <v>1128</v>
      </c>
      <c r="AL107" s="605" t="str">
        <f t="shared" si="21"/>
        <v>CN</v>
      </c>
      <c r="AM107" s="899">
        <f>'Estimate Summary'!$D$9</f>
        <v>1</v>
      </c>
      <c r="AN107" s="605" t="s">
        <v>1136</v>
      </c>
      <c r="AO107" s="899">
        <f t="shared" si="22"/>
        <v>0</v>
      </c>
      <c r="AP107" s="360" t="str">
        <f t="shared" si="23"/>
        <v>CNY</v>
      </c>
      <c r="AQ107" s="360" t="s">
        <v>1139</v>
      </c>
      <c r="AR107" s="360" t="s">
        <v>670</v>
      </c>
      <c r="AS107" s="605" t="s">
        <v>751</v>
      </c>
      <c r="AT107" s="360" t="str">
        <f>'Estimate Summary'!$AT$11</f>
        <v>FOB SH</v>
      </c>
      <c r="AU107" s="610" t="str">
        <f t="shared" si="24"/>
        <v>CN</v>
      </c>
      <c r="AV107" s="360" t="s">
        <v>1140</v>
      </c>
      <c r="AW107" s="2255">
        <f t="shared" si="25"/>
        <v>42683</v>
      </c>
    </row>
    <row r="108" spans="1:49" s="360" customFormat="1" ht="24" hidden="1" customHeight="1" outlineLevel="1">
      <c r="A108" s="610"/>
      <c r="B108" s="1079" t="s">
        <v>706</v>
      </c>
      <c r="C108" s="694" t="s">
        <v>1080</v>
      </c>
      <c r="D108" s="1829" t="s">
        <v>349</v>
      </c>
      <c r="E108" s="584"/>
      <c r="F108" s="415"/>
      <c r="G108" s="1906">
        <f t="shared" si="30"/>
        <v>0</v>
      </c>
      <c r="H108" s="2034">
        <f>AB108</f>
        <v>0</v>
      </c>
      <c r="I108" s="1718">
        <f>IF('Estimate Summary'!$D$9&lt;2,0,$H108)</f>
        <v>0</v>
      </c>
      <c r="J108" s="1718">
        <f>IF('Estimate Summary'!$D$9&lt;3,0,$H108)</f>
        <v>0</v>
      </c>
      <c r="K108" s="1718">
        <f>IF('Estimate Summary'!$D$9&lt;4,0,$H108)</f>
        <v>0</v>
      </c>
      <c r="L108" s="1718">
        <f>IF('Estimate Summary'!$D$9&lt;5,0,$H108)</f>
        <v>0</v>
      </c>
      <c r="M108" s="1718">
        <f>IF('Estimate Summary'!$D$9&lt;6,0,$H108)</f>
        <v>0</v>
      </c>
      <c r="N108" s="637"/>
      <c r="O108" s="357"/>
      <c r="P108" s="1875">
        <f>IF(Q108=0,0,(YEAR(R108)-YEAR(Q108))*12+(MONTH(R108)-MONTH(Q108)))</f>
        <v>43</v>
      </c>
      <c r="Q108" s="1670">
        <v>42683</v>
      </c>
      <c r="R108" s="796">
        <f>$R$2+30.42*'Offshore CF'!BR13</f>
        <v>43986.46</v>
      </c>
      <c r="S108" s="899" t="s">
        <v>128</v>
      </c>
      <c r="T108" s="551" t="s">
        <v>337</v>
      </c>
      <c r="U108" s="605" t="s">
        <v>478</v>
      </c>
      <c r="V108" s="603" t="str">
        <f t="shared" si="20"/>
        <v>JPY</v>
      </c>
      <c r="W108" s="932"/>
      <c r="X108" s="1907">
        <f>IF(V108="CNY",W108/1.17/1000,W108/1000)</f>
        <v>0</v>
      </c>
      <c r="Y108" s="1877"/>
      <c r="Z108" s="1874">
        <f t="shared" si="33"/>
        <v>0</v>
      </c>
      <c r="AA108" s="551">
        <f t="shared" si="34"/>
        <v>0</v>
      </c>
      <c r="AB108" s="1866">
        <f>IF(V108="CNY",X108*(1-Z108),IF(V108="EUR",X108*(1-Z108)*$T$5,IF(V108="JPY",X108*(1-Z108)*$T$6,IF(V108="USD",X108*(1-Z108)*$T$7))))</f>
        <v>0</v>
      </c>
      <c r="AC108" s="900">
        <v>0.06</v>
      </c>
      <c r="AD108" s="1915">
        <f>IF(V108&lt;&gt;"CNY",AB108*AC108,0)</f>
        <v>0</v>
      </c>
      <c r="AE108" s="1915"/>
      <c r="AF108" s="870">
        <f>IF(V108&lt;&gt;"CNY",AB108*$AF$76,0)</f>
        <v>0</v>
      </c>
      <c r="AG108" s="1916">
        <f>IF(V108&lt;&gt;"CNY",10*$AG$76/1000,0)*0</f>
        <v>0</v>
      </c>
      <c r="AH108" s="870">
        <f>SUM(AD108:AG108)</f>
        <v>0</v>
      </c>
      <c r="AI108" s="870">
        <f>AB108</f>
        <v>0</v>
      </c>
      <c r="AJ108" s="383" t="s">
        <v>669</v>
      </c>
      <c r="AK108" s="383" t="s">
        <v>1128</v>
      </c>
      <c r="AL108" s="605" t="str">
        <f t="shared" si="21"/>
        <v>JP</v>
      </c>
      <c r="AM108" s="899">
        <f>'Estimate Summary'!$D$9</f>
        <v>1</v>
      </c>
      <c r="AN108" s="605" t="s">
        <v>1136</v>
      </c>
      <c r="AO108" s="899">
        <f t="shared" si="22"/>
        <v>0</v>
      </c>
      <c r="AP108" s="360" t="str">
        <f t="shared" si="23"/>
        <v>JPY</v>
      </c>
      <c r="AQ108" s="360" t="s">
        <v>1139</v>
      </c>
      <c r="AR108" s="360" t="s">
        <v>670</v>
      </c>
      <c r="AS108" s="605" t="s">
        <v>751</v>
      </c>
      <c r="AT108" s="360" t="str">
        <f>'Estimate Summary'!$AT$11</f>
        <v>FOB SH</v>
      </c>
      <c r="AU108" s="610" t="str">
        <f t="shared" si="24"/>
        <v>JP</v>
      </c>
      <c r="AV108" s="360" t="s">
        <v>1140</v>
      </c>
      <c r="AW108" s="2255">
        <f t="shared" si="25"/>
        <v>42683</v>
      </c>
    </row>
    <row r="109" spans="1:49" s="357" customFormat="1" ht="12.75" hidden="1" customHeight="1" outlineLevel="1" thickBot="1">
      <c r="B109" s="1656"/>
      <c r="C109" s="1642" t="s">
        <v>197</v>
      </c>
      <c r="D109" s="1826"/>
      <c r="E109" s="1657"/>
      <c r="F109" s="1658"/>
      <c r="G109" s="1659">
        <f t="shared" si="30"/>
        <v>0</v>
      </c>
      <c r="H109" s="1687">
        <f t="shared" ref="H109:M109" si="46">SUM(H107:H108)</f>
        <v>0</v>
      </c>
      <c r="I109" s="1663">
        <f t="shared" si="46"/>
        <v>0</v>
      </c>
      <c r="J109" s="1663">
        <f t="shared" si="46"/>
        <v>0</v>
      </c>
      <c r="K109" s="1663">
        <f t="shared" si="46"/>
        <v>0</v>
      </c>
      <c r="L109" s="1663">
        <f t="shared" si="46"/>
        <v>0</v>
      </c>
      <c r="M109" s="1663">
        <f t="shared" si="46"/>
        <v>0</v>
      </c>
      <c r="N109" s="1758"/>
      <c r="P109" s="102"/>
      <c r="Q109" s="794"/>
      <c r="R109" s="795"/>
      <c r="S109" s="541"/>
      <c r="T109" s="551"/>
      <c r="V109" s="102">
        <f t="shared" si="20"/>
        <v>0</v>
      </c>
      <c r="W109" s="860"/>
      <c r="X109" s="860"/>
      <c r="Y109" s="888"/>
      <c r="Z109" s="1018">
        <f t="shared" si="33"/>
        <v>0</v>
      </c>
      <c r="AA109" s="899">
        <f t="shared" si="34"/>
        <v>0</v>
      </c>
      <c r="AB109" s="1012"/>
      <c r="AC109" s="884"/>
      <c r="AF109" s="860"/>
      <c r="AH109" s="860"/>
      <c r="AI109" s="860"/>
      <c r="AJ109" s="383" t="s">
        <v>669</v>
      </c>
      <c r="AK109" s="383" t="s">
        <v>1128</v>
      </c>
      <c r="AL109" s="605" t="b">
        <f t="shared" si="21"/>
        <v>0</v>
      </c>
      <c r="AM109" s="899">
        <f>'Estimate Summary'!$D$9</f>
        <v>1</v>
      </c>
      <c r="AN109" s="605" t="s">
        <v>1136</v>
      </c>
      <c r="AO109" s="899">
        <f t="shared" si="22"/>
        <v>0</v>
      </c>
      <c r="AP109" s="357">
        <f t="shared" si="23"/>
        <v>0</v>
      </c>
      <c r="AQ109" s="357" t="s">
        <v>1139</v>
      </c>
      <c r="AR109" s="357" t="s">
        <v>670</v>
      </c>
      <c r="AS109" s="605" t="s">
        <v>751</v>
      </c>
      <c r="AT109" s="357" t="str">
        <f>'Estimate Summary'!$AT$11</f>
        <v>FOB SH</v>
      </c>
      <c r="AU109" s="610" t="b">
        <f t="shared" si="24"/>
        <v>0</v>
      </c>
      <c r="AV109" s="357" t="s">
        <v>1140</v>
      </c>
      <c r="AW109" s="2255">
        <f t="shared" si="25"/>
        <v>0</v>
      </c>
    </row>
    <row r="110" spans="1:49" s="605" customFormat="1" ht="13.5" hidden="1" customHeight="1" outlineLevel="1" thickTop="1">
      <c r="B110" s="1641" t="s">
        <v>948</v>
      </c>
      <c r="C110" s="1644"/>
      <c r="D110" s="1833"/>
      <c r="E110" s="2271"/>
      <c r="F110" s="1635"/>
      <c r="G110" s="1636">
        <f t="shared" si="30"/>
        <v>0</v>
      </c>
      <c r="H110" s="2272"/>
      <c r="I110" s="2253"/>
      <c r="J110" s="2253"/>
      <c r="K110" s="2253"/>
      <c r="L110" s="2253"/>
      <c r="M110" s="2253"/>
      <c r="N110" s="2273"/>
      <c r="P110" s="2291"/>
      <c r="Q110" s="794"/>
      <c r="R110" s="796"/>
      <c r="S110" s="899"/>
      <c r="T110" s="551"/>
      <c r="V110" s="1014">
        <f t="shared" si="20"/>
        <v>0</v>
      </c>
      <c r="W110" s="870"/>
      <c r="X110" s="870"/>
      <c r="Y110" s="888"/>
      <c r="Z110" s="1018">
        <f t="shared" si="33"/>
        <v>0</v>
      </c>
      <c r="AA110" s="899"/>
      <c r="AB110" s="1012"/>
      <c r="AC110" s="900"/>
      <c r="AF110" s="870"/>
      <c r="AH110" s="870"/>
      <c r="AI110" s="870"/>
      <c r="AJ110" s="383" t="s">
        <v>669</v>
      </c>
      <c r="AK110" s="383" t="s">
        <v>1128</v>
      </c>
      <c r="AL110" s="605" t="b">
        <f t="shared" si="21"/>
        <v>0</v>
      </c>
      <c r="AM110" s="899">
        <f>'Estimate Summary'!$D$9</f>
        <v>1</v>
      </c>
      <c r="AN110" s="605" t="s">
        <v>1136</v>
      </c>
      <c r="AO110" s="899">
        <f t="shared" si="22"/>
        <v>0</v>
      </c>
      <c r="AP110" s="605">
        <f t="shared" si="23"/>
        <v>0</v>
      </c>
      <c r="AQ110" s="605" t="s">
        <v>1139</v>
      </c>
      <c r="AR110" s="605" t="s">
        <v>670</v>
      </c>
      <c r="AS110" s="605" t="s">
        <v>751</v>
      </c>
      <c r="AT110" s="605" t="str">
        <f>'Estimate Summary'!$AT$11</f>
        <v>FOB SH</v>
      </c>
      <c r="AU110" s="610" t="b">
        <f t="shared" si="24"/>
        <v>0</v>
      </c>
      <c r="AV110" s="605" t="s">
        <v>1140</v>
      </c>
      <c r="AW110" s="2255">
        <f t="shared" si="25"/>
        <v>0</v>
      </c>
    </row>
    <row r="111" spans="1:49" s="605" customFormat="1" ht="12.75" hidden="1" customHeight="1" outlineLevel="1">
      <c r="B111" s="2265"/>
      <c r="C111" s="585" t="s">
        <v>300</v>
      </c>
      <c r="D111" s="1829"/>
      <c r="E111" s="589">
        <v>0</v>
      </c>
      <c r="F111" s="563"/>
      <c r="G111" s="1870">
        <f t="shared" si="30"/>
        <v>0</v>
      </c>
      <c r="H111" s="1870">
        <f t="shared" ref="H111:M111" si="47">SUM(H112:H119)</f>
        <v>0</v>
      </c>
      <c r="I111" s="1718">
        <f t="shared" si="47"/>
        <v>0</v>
      </c>
      <c r="J111" s="1718">
        <f t="shared" si="47"/>
        <v>0</v>
      </c>
      <c r="K111" s="1718">
        <f t="shared" si="47"/>
        <v>0</v>
      </c>
      <c r="L111" s="1718">
        <f t="shared" si="47"/>
        <v>0</v>
      </c>
      <c r="M111" s="1718">
        <f t="shared" si="47"/>
        <v>0</v>
      </c>
      <c r="N111" s="604"/>
      <c r="O111" s="2285"/>
      <c r="P111" s="2279"/>
      <c r="Q111" s="476"/>
      <c r="R111" s="476"/>
      <c r="S111" s="485"/>
      <c r="T111" s="2281"/>
      <c r="U111" s="1925"/>
      <c r="V111" s="1926">
        <f t="shared" si="20"/>
        <v>0</v>
      </c>
      <c r="W111" s="875"/>
      <c r="X111" s="875"/>
      <c r="Y111" s="878"/>
      <c r="Z111" s="891">
        <f t="shared" si="33"/>
        <v>0</v>
      </c>
      <c r="AA111" s="485"/>
      <c r="AB111" s="485"/>
      <c r="AC111" s="1927"/>
      <c r="AD111" s="476"/>
      <c r="AE111" s="476"/>
      <c r="AF111" s="2282"/>
      <c r="AG111" s="1925"/>
      <c r="AH111" s="875"/>
      <c r="AI111" s="875"/>
      <c r="AJ111" s="383" t="s">
        <v>669</v>
      </c>
      <c r="AK111" s="383" t="s">
        <v>1128</v>
      </c>
      <c r="AL111" s="605" t="b">
        <f t="shared" si="21"/>
        <v>0</v>
      </c>
      <c r="AM111" s="899">
        <f>'Estimate Summary'!$D$9</f>
        <v>1</v>
      </c>
      <c r="AN111" s="605" t="s">
        <v>1136</v>
      </c>
      <c r="AO111" s="899">
        <f t="shared" si="22"/>
        <v>0</v>
      </c>
      <c r="AP111" s="605">
        <f t="shared" si="23"/>
        <v>0</v>
      </c>
      <c r="AQ111" s="605" t="s">
        <v>1139</v>
      </c>
      <c r="AR111" s="605" t="s">
        <v>670</v>
      </c>
      <c r="AS111" s="605" t="s">
        <v>751</v>
      </c>
      <c r="AT111" s="605" t="str">
        <f>'Estimate Summary'!$AT$11</f>
        <v>FOB SH</v>
      </c>
      <c r="AU111" s="610" t="b">
        <f t="shared" si="24"/>
        <v>0</v>
      </c>
      <c r="AV111" s="605" t="s">
        <v>1140</v>
      </c>
      <c r="AW111" s="2255">
        <f t="shared" si="25"/>
        <v>0</v>
      </c>
    </row>
    <row r="112" spans="1:49" s="697" customFormat="1" ht="13.5" hidden="1" customHeight="1" outlineLevel="1">
      <c r="A112" s="383"/>
      <c r="B112" s="1079" t="s">
        <v>680</v>
      </c>
      <c r="C112" s="385" t="s">
        <v>871</v>
      </c>
      <c r="D112" s="421" t="s">
        <v>257</v>
      </c>
      <c r="E112" s="421"/>
      <c r="F112" s="1815"/>
      <c r="G112" s="1817">
        <f t="shared" si="30"/>
        <v>0</v>
      </c>
      <c r="H112" s="2016">
        <f t="shared" ref="H112:H119" si="48">AB112</f>
        <v>0</v>
      </c>
      <c r="I112" s="469">
        <f>IF('Estimate Summary'!$D$9&lt;2,0,$H112)</f>
        <v>0</v>
      </c>
      <c r="J112" s="469">
        <f>IF('Estimate Summary'!$D$9&lt;3,0,$H112)</f>
        <v>0</v>
      </c>
      <c r="K112" s="469">
        <f>IF('Estimate Summary'!$D$9&lt;4,0,$H112)</f>
        <v>0</v>
      </c>
      <c r="L112" s="469">
        <f>IF('Estimate Summary'!$D$9&lt;5,0,$H112)</f>
        <v>0</v>
      </c>
      <c r="M112" s="469">
        <f>IF('Estimate Summary'!$D$9&lt;6,0,$H112)</f>
        <v>0</v>
      </c>
      <c r="N112" s="1647"/>
      <c r="O112" s="389"/>
      <c r="P112" s="1010">
        <f>IF(Q112=0,0,(YEAR(R112)-YEAR(Q112))*12+(MONTH(R112)-MONTH(Q112)))</f>
        <v>40</v>
      </c>
      <c r="Q112" s="794">
        <v>42683</v>
      </c>
      <c r="R112" s="795">
        <f>$R$2+30.42*'Offshore CF'!BS13</f>
        <v>43895.199999999997</v>
      </c>
      <c r="S112" s="475" t="s">
        <v>128</v>
      </c>
      <c r="T112" s="475" t="s">
        <v>337</v>
      </c>
      <c r="U112" s="697" t="s">
        <v>579</v>
      </c>
      <c r="V112" s="391" t="str">
        <f t="shared" si="20"/>
        <v>USD</v>
      </c>
      <c r="W112" s="547"/>
      <c r="X112" s="863">
        <f>IF(V112="CNY",W112/1.17/1000,W112/1000)</f>
        <v>0</v>
      </c>
      <c r="Y112" s="888"/>
      <c r="Z112" s="890">
        <f t="shared" si="33"/>
        <v>0</v>
      </c>
      <c r="AA112" s="484">
        <f t="shared" si="34"/>
        <v>0</v>
      </c>
      <c r="AB112" s="484">
        <f>IF(V112="CNY",X112*(1-Z112),IF(V112="EUR",X112*(1-Z112)*$T$5,IF(V112="JPY",X112*(1-Z112)*$T$6,IF(V112="USD",X112*(1-Z112)*$T$7))))</f>
        <v>0</v>
      </c>
      <c r="AC112" s="880">
        <v>0.06</v>
      </c>
      <c r="AD112" s="1915">
        <f>IF(V112&lt;&gt;"CNY",AB112*AC112,0)</f>
        <v>0</v>
      </c>
      <c r="AE112" s="1915"/>
      <c r="AF112" s="870">
        <f>IF(V112&lt;&gt;"CNY",AB112*$AF$76,0)</f>
        <v>0</v>
      </c>
      <c r="AG112" s="1916">
        <f>IF(V112&lt;&gt;"CNY",10*$AG$76/1000,0)*0</f>
        <v>0</v>
      </c>
      <c r="AH112" s="861">
        <f>SUM(AD112:AG112)</f>
        <v>0</v>
      </c>
      <c r="AI112" s="861">
        <f>AB112</f>
        <v>0</v>
      </c>
      <c r="AJ112" s="383" t="s">
        <v>669</v>
      </c>
      <c r="AK112" s="383" t="s">
        <v>1128</v>
      </c>
      <c r="AL112" s="697" t="str">
        <f t="shared" si="21"/>
        <v>US</v>
      </c>
      <c r="AM112" s="475">
        <f>'Estimate Summary'!$D$9</f>
        <v>1</v>
      </c>
      <c r="AN112" s="697" t="s">
        <v>1136</v>
      </c>
      <c r="AO112" s="475">
        <f t="shared" si="22"/>
        <v>0</v>
      </c>
      <c r="AP112" s="697" t="str">
        <f t="shared" si="23"/>
        <v>USD</v>
      </c>
      <c r="AQ112" s="697" t="s">
        <v>1139</v>
      </c>
      <c r="AR112" s="697" t="s">
        <v>670</v>
      </c>
      <c r="AS112" s="605" t="s">
        <v>751</v>
      </c>
      <c r="AT112" s="697" t="str">
        <f>'Estimate Summary'!$AT$11</f>
        <v>FOB SH</v>
      </c>
      <c r="AU112" s="610" t="str">
        <f t="shared" si="24"/>
        <v>US</v>
      </c>
      <c r="AV112" s="697" t="s">
        <v>1140</v>
      </c>
      <c r="AW112" s="2255">
        <f t="shared" si="25"/>
        <v>42683</v>
      </c>
    </row>
    <row r="113" spans="1:49" s="697" customFormat="1" ht="13.5" hidden="1" customHeight="1" outlineLevel="1">
      <c r="A113" s="383"/>
      <c r="B113" s="1079" t="s">
        <v>875</v>
      </c>
      <c r="C113" s="386" t="s">
        <v>876</v>
      </c>
      <c r="D113" s="421"/>
      <c r="E113" s="421"/>
      <c r="F113" s="1815"/>
      <c r="G113" s="1817">
        <f t="shared" si="30"/>
        <v>0</v>
      </c>
      <c r="H113" s="1816">
        <f t="shared" si="48"/>
        <v>0</v>
      </c>
      <c r="I113" s="469">
        <f>IF('Estimate Summary'!$D$9&lt;2,0,$H113)</f>
        <v>0</v>
      </c>
      <c r="J113" s="469">
        <f>IF('Estimate Summary'!$D$9&lt;3,0,$H113)</f>
        <v>0</v>
      </c>
      <c r="K113" s="469">
        <f>IF('Estimate Summary'!$D$9&lt;4,0,$H113)</f>
        <v>0</v>
      </c>
      <c r="L113" s="469">
        <f>IF('Estimate Summary'!$D$9&lt;5,0,$H113)</f>
        <v>0</v>
      </c>
      <c r="M113" s="469">
        <f>IF('Estimate Summary'!$D$9&lt;6,0,$H113)</f>
        <v>0</v>
      </c>
      <c r="N113" s="1647"/>
      <c r="O113" s="389"/>
      <c r="P113" s="1010"/>
      <c r="Q113" s="794"/>
      <c r="R113" s="795"/>
      <c r="S113" s="475"/>
      <c r="T113" s="475"/>
      <c r="V113" s="486">
        <f t="shared" si="20"/>
        <v>0</v>
      </c>
      <c r="W113" s="547"/>
      <c r="X113" s="864"/>
      <c r="Y113" s="948"/>
      <c r="Z113" s="890">
        <f t="shared" si="33"/>
        <v>0</v>
      </c>
      <c r="AA113" s="484">
        <f t="shared" si="34"/>
        <v>0</v>
      </c>
      <c r="AB113" s="484"/>
      <c r="AC113" s="880"/>
      <c r="AD113" s="895"/>
      <c r="AE113" s="895"/>
      <c r="AF113" s="861"/>
      <c r="AG113" s="897"/>
      <c r="AH113" s="861"/>
      <c r="AI113" s="861"/>
      <c r="AJ113" s="383" t="s">
        <v>669</v>
      </c>
      <c r="AK113" s="383" t="s">
        <v>1128</v>
      </c>
      <c r="AL113" s="697" t="b">
        <f t="shared" si="21"/>
        <v>0</v>
      </c>
      <c r="AM113" s="475">
        <f>'Estimate Summary'!$D$9</f>
        <v>1</v>
      </c>
      <c r="AN113" s="697" t="s">
        <v>1136</v>
      </c>
      <c r="AO113" s="475">
        <f t="shared" si="22"/>
        <v>0</v>
      </c>
      <c r="AP113" s="697">
        <f t="shared" si="23"/>
        <v>0</v>
      </c>
      <c r="AQ113" s="697" t="s">
        <v>1139</v>
      </c>
      <c r="AR113" s="697" t="s">
        <v>670</v>
      </c>
      <c r="AS113" s="605" t="s">
        <v>751</v>
      </c>
      <c r="AT113" s="697" t="str">
        <f>'Estimate Summary'!$AT$11</f>
        <v>FOB SH</v>
      </c>
      <c r="AU113" s="610" t="b">
        <f t="shared" si="24"/>
        <v>0</v>
      </c>
      <c r="AV113" s="697" t="s">
        <v>1140</v>
      </c>
      <c r="AW113" s="2255">
        <f t="shared" si="25"/>
        <v>0</v>
      </c>
    </row>
    <row r="114" spans="1:49" s="697" customFormat="1" ht="13.5" hidden="1" customHeight="1" outlineLevel="1">
      <c r="B114" s="1079" t="s">
        <v>875</v>
      </c>
      <c r="C114" s="386" t="s">
        <v>876</v>
      </c>
      <c r="D114" s="421"/>
      <c r="E114" s="421"/>
      <c r="F114" s="1815"/>
      <c r="G114" s="1817">
        <f t="shared" si="30"/>
        <v>0</v>
      </c>
      <c r="H114" s="1816">
        <f t="shared" si="48"/>
        <v>0</v>
      </c>
      <c r="I114" s="469">
        <f>IF('Estimate Summary'!$D$9&lt;2,0,$H114)</f>
        <v>0</v>
      </c>
      <c r="J114" s="469">
        <f>IF('Estimate Summary'!$D$9&lt;3,0,$H114)</f>
        <v>0</v>
      </c>
      <c r="K114" s="469">
        <f>IF('Estimate Summary'!$D$9&lt;4,0,$H114)</f>
        <v>0</v>
      </c>
      <c r="L114" s="469">
        <f>IF('Estimate Summary'!$D$9&lt;5,0,$H114)</f>
        <v>0</v>
      </c>
      <c r="M114" s="469">
        <f>IF('Estimate Summary'!$D$9&lt;6,0,$H114)</f>
        <v>0</v>
      </c>
      <c r="N114" s="1647"/>
      <c r="O114" s="389"/>
      <c r="P114" s="1010">
        <f t="shared" ref="P114:P119" si="49">IF(Q114=0,0,(YEAR(R114)-YEAR(Q114))*12+(MONTH(R114)-MONTH(Q114)))</f>
        <v>40</v>
      </c>
      <c r="Q114" s="794">
        <v>42683</v>
      </c>
      <c r="R114" s="795">
        <f>$R$2+30.42*'Offshore CF'!BS13</f>
        <v>43895.199999999997</v>
      </c>
      <c r="S114" s="475" t="s">
        <v>128</v>
      </c>
      <c r="T114" s="475" t="s">
        <v>337</v>
      </c>
      <c r="V114" s="486">
        <f t="shared" si="20"/>
        <v>0</v>
      </c>
      <c r="W114" s="547"/>
      <c r="X114" s="1015">
        <f t="shared" ref="X114:X119" si="50">IF(V114="CNY",W114/1.17/1000,W114/1000)</f>
        <v>0</v>
      </c>
      <c r="Y114" s="926"/>
      <c r="Z114" s="893">
        <f t="shared" si="33"/>
        <v>0</v>
      </c>
      <c r="AA114" s="475">
        <f t="shared" si="34"/>
        <v>0</v>
      </c>
      <c r="AB114" s="484"/>
      <c r="AC114" s="880"/>
      <c r="AD114" s="1016"/>
      <c r="AE114" s="1016"/>
      <c r="AF114" s="861"/>
      <c r="AG114" s="897"/>
      <c r="AH114" s="861">
        <f t="shared" ref="AH114:AH119" si="51">SUM(AD114:AG114)</f>
        <v>0</v>
      </c>
      <c r="AI114" s="861">
        <f>AB114</f>
        <v>0</v>
      </c>
      <c r="AJ114" s="383" t="s">
        <v>669</v>
      </c>
      <c r="AK114" s="383" t="s">
        <v>1128</v>
      </c>
      <c r="AL114" s="697" t="b">
        <f t="shared" si="21"/>
        <v>0</v>
      </c>
      <c r="AM114" s="475">
        <f>'Estimate Summary'!$D$9</f>
        <v>1</v>
      </c>
      <c r="AN114" s="697" t="s">
        <v>1136</v>
      </c>
      <c r="AO114" s="475">
        <f t="shared" si="22"/>
        <v>0</v>
      </c>
      <c r="AP114" s="697">
        <f t="shared" si="23"/>
        <v>0</v>
      </c>
      <c r="AQ114" s="697" t="s">
        <v>1139</v>
      </c>
      <c r="AR114" s="697" t="s">
        <v>670</v>
      </c>
      <c r="AS114" s="605" t="s">
        <v>751</v>
      </c>
      <c r="AT114" s="697" t="str">
        <f>'Estimate Summary'!$AT$11</f>
        <v>FOB SH</v>
      </c>
      <c r="AU114" s="610" t="b">
        <f t="shared" si="24"/>
        <v>0</v>
      </c>
      <c r="AV114" s="697" t="s">
        <v>1140</v>
      </c>
      <c r="AW114" s="2255">
        <f t="shared" si="25"/>
        <v>42683</v>
      </c>
    </row>
    <row r="115" spans="1:49" s="697" customFormat="1" ht="13.5" hidden="1" customHeight="1" outlineLevel="1">
      <c r="A115" s="383"/>
      <c r="B115" s="1079" t="s">
        <v>679</v>
      </c>
      <c r="C115" s="386" t="s">
        <v>878</v>
      </c>
      <c r="D115" s="421" t="s">
        <v>181</v>
      </c>
      <c r="E115" s="421"/>
      <c r="F115" s="1815"/>
      <c r="G115" s="1817">
        <f t="shared" si="30"/>
        <v>0</v>
      </c>
      <c r="H115" s="2016">
        <f t="shared" si="48"/>
        <v>0</v>
      </c>
      <c r="I115" s="469">
        <f>IF('Estimate Summary'!$D$9&lt;2,0,$H115)</f>
        <v>0</v>
      </c>
      <c r="J115" s="469">
        <f>IF('Estimate Summary'!$D$9&lt;3,0,$H115)</f>
        <v>0</v>
      </c>
      <c r="K115" s="469">
        <f>IF('Estimate Summary'!$D$9&lt;4,0,$H115)</f>
        <v>0</v>
      </c>
      <c r="L115" s="469">
        <f>IF('Estimate Summary'!$D$9&lt;5,0,$H115)</f>
        <v>0</v>
      </c>
      <c r="M115" s="469">
        <f>IF('Estimate Summary'!$D$9&lt;6,0,$H115)</f>
        <v>0</v>
      </c>
      <c r="N115" s="1647"/>
      <c r="O115" s="389"/>
      <c r="P115" s="1849">
        <f t="shared" si="49"/>
        <v>40</v>
      </c>
      <c r="Q115" s="794">
        <v>42683</v>
      </c>
      <c r="R115" s="795">
        <f>$R$2+30.42*'Offshore CF'!BS13</f>
        <v>43895.199999999997</v>
      </c>
      <c r="S115" s="475" t="s">
        <v>128</v>
      </c>
      <c r="T115" s="475" t="s">
        <v>337</v>
      </c>
      <c r="U115" s="697" t="s">
        <v>479</v>
      </c>
      <c r="V115" s="486" t="str">
        <f t="shared" si="20"/>
        <v>CNY</v>
      </c>
      <c r="W115" s="547"/>
      <c r="X115" s="864">
        <f t="shared" si="50"/>
        <v>0</v>
      </c>
      <c r="Y115" s="948"/>
      <c r="Z115" s="890">
        <f t="shared" si="33"/>
        <v>0</v>
      </c>
      <c r="AA115" s="484">
        <f t="shared" si="34"/>
        <v>0</v>
      </c>
      <c r="AB115" s="484">
        <f>IF(V115="CNY",X115*(1-Z115),IF(V115="EUR",X115*(1-Z115)*$T$5,IF(V115="JPY",X115*(1-Z115)*$T$6,IF(V115="USD",X115*(1-Z115)*$T$7))))</f>
        <v>0</v>
      </c>
      <c r="AC115" s="880"/>
      <c r="AD115" s="895">
        <f>IF(V115&lt;&gt;"CNY",(AB115+#REF!)*AC115,0)</f>
        <v>0</v>
      </c>
      <c r="AE115" s="895"/>
      <c r="AF115" s="861">
        <f>IF(V115&lt;&gt;"CNY",(AB115+#REF!)*#REF!,0)</f>
        <v>0</v>
      </c>
      <c r="AG115" s="897"/>
      <c r="AH115" s="861">
        <f t="shared" si="51"/>
        <v>0</v>
      </c>
      <c r="AI115" s="861">
        <f>AB115+AH115</f>
        <v>0</v>
      </c>
      <c r="AJ115" s="383" t="s">
        <v>669</v>
      </c>
      <c r="AK115" s="383" t="s">
        <v>1128</v>
      </c>
      <c r="AL115" s="697" t="str">
        <f t="shared" si="21"/>
        <v>CN</v>
      </c>
      <c r="AM115" s="475">
        <f>'Estimate Summary'!$D$9</f>
        <v>1</v>
      </c>
      <c r="AN115" s="697" t="s">
        <v>1136</v>
      </c>
      <c r="AO115" s="475">
        <f t="shared" si="22"/>
        <v>0</v>
      </c>
      <c r="AP115" s="697" t="str">
        <f t="shared" si="23"/>
        <v>CNY</v>
      </c>
      <c r="AQ115" s="697" t="s">
        <v>1139</v>
      </c>
      <c r="AR115" s="697" t="s">
        <v>670</v>
      </c>
      <c r="AS115" s="605" t="s">
        <v>751</v>
      </c>
      <c r="AT115" s="697" t="str">
        <f>'Estimate Summary'!$AT$11</f>
        <v>FOB SH</v>
      </c>
      <c r="AU115" s="610" t="str">
        <f t="shared" si="24"/>
        <v>CN</v>
      </c>
      <c r="AV115" s="697" t="s">
        <v>1140</v>
      </c>
      <c r="AW115" s="2255">
        <f t="shared" si="25"/>
        <v>42683</v>
      </c>
    </row>
    <row r="116" spans="1:49" s="697" customFormat="1" ht="13.5" hidden="1" customHeight="1" outlineLevel="1">
      <c r="A116" s="383"/>
      <c r="B116" s="1854" t="s">
        <v>679</v>
      </c>
      <c r="C116" s="1855" t="s">
        <v>878</v>
      </c>
      <c r="D116" s="1856" t="s">
        <v>181</v>
      </c>
      <c r="E116" s="1856"/>
      <c r="F116" s="1815"/>
      <c r="G116" s="1817">
        <f t="shared" si="30"/>
        <v>0</v>
      </c>
      <c r="H116" s="2016">
        <f>AB116</f>
        <v>0</v>
      </c>
      <c r="I116" s="1857">
        <f>IF('Estimate Summary'!$D$9&lt;2,0,$H116)</f>
        <v>0</v>
      </c>
      <c r="J116" s="1857">
        <f>IF('Estimate Summary'!$D$9&lt;3,0,$H116)</f>
        <v>0</v>
      </c>
      <c r="K116" s="1857">
        <f>IF('Estimate Summary'!$D$9&lt;4,0,$H116)</f>
        <v>0</v>
      </c>
      <c r="L116" s="1857">
        <f>IF('Estimate Summary'!$D$9&lt;5,0,$H116)</f>
        <v>0</v>
      </c>
      <c r="M116" s="1857">
        <f>IF('Estimate Summary'!$D$9&lt;6,0,$H116)</f>
        <v>0</v>
      </c>
      <c r="N116" s="1822"/>
      <c r="O116" s="389"/>
      <c r="P116" s="1849">
        <f t="shared" si="49"/>
        <v>40</v>
      </c>
      <c r="Q116" s="794">
        <v>42683</v>
      </c>
      <c r="R116" s="795">
        <f>$R$2+30.42*'Offshore CF'!BS13</f>
        <v>43895.199999999997</v>
      </c>
      <c r="S116" s="1811" t="s">
        <v>129</v>
      </c>
      <c r="T116" s="1811" t="s">
        <v>180</v>
      </c>
      <c r="U116" s="697" t="s">
        <v>605</v>
      </c>
      <c r="V116" s="391" t="str">
        <f t="shared" si="20"/>
        <v>CNY</v>
      </c>
      <c r="W116" s="547"/>
      <c r="X116" s="1851">
        <f t="shared" si="50"/>
        <v>0</v>
      </c>
      <c r="Y116" s="1853"/>
      <c r="Z116" s="1853">
        <f t="shared" si="33"/>
        <v>0</v>
      </c>
      <c r="AA116" s="484">
        <f t="shared" si="34"/>
        <v>0</v>
      </c>
      <c r="AB116" s="484">
        <f>IF(V116="CNY",X116*(1-Z116),IF(V116="EUR",X116*(1-Z116)*$R$5,IF(V116="JPY",X116*(1-Z116)*$R$6,IF(V116="USD",X116*(1-Z116)*$R$7))))</f>
        <v>0</v>
      </c>
      <c r="AC116" s="880"/>
      <c r="AD116" s="697">
        <f>IF(V116&lt;&gt;"CNY",(AB116+#REF!)*AC116,0)</f>
        <v>0</v>
      </c>
      <c r="AF116" s="861">
        <f>IF(V116&lt;&gt;"CNY",(AB116+#REF!)*$AD$53,0)</f>
        <v>0</v>
      </c>
      <c r="AG116" s="697">
        <f>IF(V116&lt;&gt;"CNY",F116*#REF!/1000,0)</f>
        <v>0</v>
      </c>
      <c r="AH116" s="861">
        <f t="shared" si="51"/>
        <v>0</v>
      </c>
      <c r="AI116" s="861">
        <f>AB116+AH116</f>
        <v>0</v>
      </c>
      <c r="AJ116" s="383" t="s">
        <v>669</v>
      </c>
      <c r="AK116" s="383" t="s">
        <v>1128</v>
      </c>
      <c r="AL116" s="697" t="str">
        <f t="shared" si="21"/>
        <v>CN</v>
      </c>
      <c r="AM116" s="475">
        <f>'Estimate Summary'!$D$9</f>
        <v>1</v>
      </c>
      <c r="AN116" s="697" t="s">
        <v>1136</v>
      </c>
      <c r="AO116" s="475">
        <f t="shared" si="22"/>
        <v>0</v>
      </c>
      <c r="AP116" s="697" t="str">
        <f t="shared" si="23"/>
        <v>CNY</v>
      </c>
      <c r="AQ116" s="697" t="s">
        <v>1139</v>
      </c>
      <c r="AR116" s="697" t="s">
        <v>670</v>
      </c>
      <c r="AS116" s="605" t="s">
        <v>751</v>
      </c>
      <c r="AT116" s="697" t="str">
        <f>'Estimate Summary'!$AT$11</f>
        <v>FOB SH</v>
      </c>
      <c r="AU116" s="610" t="str">
        <f t="shared" si="24"/>
        <v>CN</v>
      </c>
      <c r="AV116" s="697" t="s">
        <v>1140</v>
      </c>
      <c r="AW116" s="2255">
        <f t="shared" si="25"/>
        <v>42683</v>
      </c>
    </row>
    <row r="117" spans="1:49" s="697" customFormat="1" ht="15.75" hidden="1" customHeight="1" outlineLevel="1">
      <c r="A117" s="383"/>
      <c r="B117" s="1079" t="s">
        <v>678</v>
      </c>
      <c r="C117" s="386" t="s">
        <v>879</v>
      </c>
      <c r="D117" s="421"/>
      <c r="E117" s="421"/>
      <c r="F117" s="1815"/>
      <c r="G117" s="1817">
        <f t="shared" si="30"/>
        <v>0</v>
      </c>
      <c r="H117" s="1816">
        <f>AB117</f>
        <v>0</v>
      </c>
      <c r="I117" s="469">
        <f>IF('Estimate Summary'!$D$9&lt;2,0,$H117)</f>
        <v>0</v>
      </c>
      <c r="J117" s="469">
        <f>IF('Estimate Summary'!$D$9&lt;3,0,$H117)</f>
        <v>0</v>
      </c>
      <c r="K117" s="469">
        <f>IF('Estimate Summary'!$D$9&lt;4,0,$H117)</f>
        <v>0</v>
      </c>
      <c r="L117" s="469">
        <f>IF('Estimate Summary'!$D$9&lt;5,0,$H117)</f>
        <v>0</v>
      </c>
      <c r="M117" s="469">
        <f>IF('Estimate Summary'!$D$9&lt;6,0,$H117)</f>
        <v>0</v>
      </c>
      <c r="N117" s="1647"/>
      <c r="O117" s="389"/>
      <c r="P117" s="474">
        <f t="shared" si="49"/>
        <v>0</v>
      </c>
      <c r="Q117" s="794"/>
      <c r="R117" s="795"/>
      <c r="S117" s="475"/>
      <c r="T117" s="484"/>
      <c r="V117" s="391">
        <f t="shared" si="20"/>
        <v>0</v>
      </c>
      <c r="W117" s="547"/>
      <c r="X117" s="864">
        <f t="shared" si="50"/>
        <v>0</v>
      </c>
      <c r="Y117" s="920"/>
      <c r="Z117" s="890">
        <f t="shared" si="33"/>
        <v>0</v>
      </c>
      <c r="AA117" s="484">
        <f t="shared" si="34"/>
        <v>0</v>
      </c>
      <c r="AB117" s="484"/>
      <c r="AC117" s="880"/>
      <c r="AD117" s="791"/>
      <c r="AE117" s="791"/>
      <c r="AF117" s="861"/>
      <c r="AH117" s="861">
        <f t="shared" si="51"/>
        <v>0</v>
      </c>
      <c r="AI117" s="861">
        <f>AB117+AH117</f>
        <v>0</v>
      </c>
      <c r="AJ117" s="383" t="s">
        <v>669</v>
      </c>
      <c r="AK117" s="383" t="s">
        <v>1128</v>
      </c>
      <c r="AL117" s="697" t="b">
        <f t="shared" si="21"/>
        <v>0</v>
      </c>
      <c r="AM117" s="475">
        <f>'Estimate Summary'!$D$9</f>
        <v>1</v>
      </c>
      <c r="AN117" s="697" t="s">
        <v>1136</v>
      </c>
      <c r="AO117" s="475">
        <f t="shared" si="22"/>
        <v>0</v>
      </c>
      <c r="AP117" s="697">
        <f t="shared" si="23"/>
        <v>0</v>
      </c>
      <c r="AQ117" s="697" t="s">
        <v>1139</v>
      </c>
      <c r="AR117" s="697" t="s">
        <v>670</v>
      </c>
      <c r="AS117" s="605" t="s">
        <v>751</v>
      </c>
      <c r="AT117" s="697" t="str">
        <f>'Estimate Summary'!$AT$11</f>
        <v>FOB SH</v>
      </c>
      <c r="AU117" s="610" t="b">
        <f t="shared" si="24"/>
        <v>0</v>
      </c>
      <c r="AV117" s="697" t="s">
        <v>1140</v>
      </c>
      <c r="AW117" s="2255">
        <f t="shared" si="25"/>
        <v>0</v>
      </c>
    </row>
    <row r="118" spans="1:49" s="697" customFormat="1" ht="13.5" hidden="1" customHeight="1" outlineLevel="1">
      <c r="A118" s="383"/>
      <c r="B118" s="1079" t="s">
        <v>678</v>
      </c>
      <c r="C118" s="386" t="s">
        <v>879</v>
      </c>
      <c r="D118" s="421"/>
      <c r="E118" s="421"/>
      <c r="F118" s="1815"/>
      <c r="G118" s="1817">
        <f t="shared" si="30"/>
        <v>0</v>
      </c>
      <c r="H118" s="1816">
        <f>AB118</f>
        <v>0</v>
      </c>
      <c r="I118" s="469">
        <f>IF('Estimate Summary'!$D$9&lt;2,0,$H118)</f>
        <v>0</v>
      </c>
      <c r="J118" s="469">
        <f>IF('Estimate Summary'!$D$9&lt;3,0,$H118)</f>
        <v>0</v>
      </c>
      <c r="K118" s="469">
        <f>IF('Estimate Summary'!$D$9&lt;4,0,$H118)</f>
        <v>0</v>
      </c>
      <c r="L118" s="469">
        <f>IF('Estimate Summary'!$D$9&lt;5,0,$H118)</f>
        <v>0</v>
      </c>
      <c r="M118" s="469">
        <f>IF('Estimate Summary'!$D$9&lt;6,0,$H118)</f>
        <v>0</v>
      </c>
      <c r="N118" s="1647"/>
      <c r="O118" s="389"/>
      <c r="P118" s="474">
        <f t="shared" si="49"/>
        <v>0</v>
      </c>
      <c r="Q118" s="794"/>
      <c r="R118" s="795"/>
      <c r="S118" s="475"/>
      <c r="T118" s="484"/>
      <c r="V118" s="391">
        <f t="shared" si="20"/>
        <v>0</v>
      </c>
      <c r="W118" s="547"/>
      <c r="X118" s="864">
        <f t="shared" si="50"/>
        <v>0</v>
      </c>
      <c r="Y118" s="888"/>
      <c r="Z118" s="890">
        <f t="shared" si="33"/>
        <v>0</v>
      </c>
      <c r="AA118" s="484">
        <f t="shared" si="34"/>
        <v>0</v>
      </c>
      <c r="AB118" s="484"/>
      <c r="AC118" s="880"/>
      <c r="AF118" s="861"/>
      <c r="AH118" s="861">
        <f t="shared" si="51"/>
        <v>0</v>
      </c>
      <c r="AI118" s="861">
        <f>AB118+AH118</f>
        <v>0</v>
      </c>
      <c r="AJ118" s="383" t="s">
        <v>669</v>
      </c>
      <c r="AK118" s="383" t="s">
        <v>1128</v>
      </c>
      <c r="AL118" s="697" t="b">
        <f t="shared" si="21"/>
        <v>0</v>
      </c>
      <c r="AM118" s="475">
        <f>'Estimate Summary'!$D$9</f>
        <v>1</v>
      </c>
      <c r="AN118" s="697" t="s">
        <v>1136</v>
      </c>
      <c r="AO118" s="475">
        <f t="shared" si="22"/>
        <v>0</v>
      </c>
      <c r="AP118" s="697">
        <f t="shared" si="23"/>
        <v>0</v>
      </c>
      <c r="AQ118" s="697" t="s">
        <v>1139</v>
      </c>
      <c r="AR118" s="697" t="s">
        <v>670</v>
      </c>
      <c r="AS118" s="605" t="s">
        <v>751</v>
      </c>
      <c r="AT118" s="697" t="str">
        <f>'Estimate Summary'!$AT$11</f>
        <v>FOB SH</v>
      </c>
      <c r="AU118" s="610" t="b">
        <f t="shared" si="24"/>
        <v>0</v>
      </c>
      <c r="AV118" s="697" t="s">
        <v>1140</v>
      </c>
      <c r="AW118" s="2255">
        <f t="shared" si="25"/>
        <v>0</v>
      </c>
    </row>
    <row r="119" spans="1:49" s="697" customFormat="1" ht="13.5" hidden="1" customHeight="1" outlineLevel="1">
      <c r="A119" s="383"/>
      <c r="B119" s="1079" t="s">
        <v>880</v>
      </c>
      <c r="C119" s="386" t="s">
        <v>881</v>
      </c>
      <c r="D119" s="421" t="s">
        <v>181</v>
      </c>
      <c r="E119" s="421"/>
      <c r="F119" s="1815"/>
      <c r="G119" s="1817">
        <f t="shared" si="30"/>
        <v>0</v>
      </c>
      <c r="H119" s="2016">
        <f t="shared" si="48"/>
        <v>0</v>
      </c>
      <c r="I119" s="469">
        <f>IF('Estimate Summary'!$D$9&lt;2,0,$H119)</f>
        <v>0</v>
      </c>
      <c r="J119" s="469">
        <f>IF('Estimate Summary'!$D$9&lt;3,0,$H119)</f>
        <v>0</v>
      </c>
      <c r="K119" s="469">
        <f>IF('Estimate Summary'!$D$9&lt;4,0,$H119)</f>
        <v>0</v>
      </c>
      <c r="L119" s="469">
        <f>IF('Estimate Summary'!$D$9&lt;5,0,$H119)</f>
        <v>0</v>
      </c>
      <c r="M119" s="469">
        <f>IF('Estimate Summary'!$D$9&lt;6,0,$H119)</f>
        <v>0</v>
      </c>
      <c r="N119" s="1647"/>
      <c r="O119" s="389"/>
      <c r="P119" s="474">
        <f t="shared" si="49"/>
        <v>40</v>
      </c>
      <c r="Q119" s="794">
        <v>42683</v>
      </c>
      <c r="R119" s="795">
        <f>$R$2+30.42*'Offshore CF'!BS13</f>
        <v>43895.199999999997</v>
      </c>
      <c r="S119" s="475" t="s">
        <v>128</v>
      </c>
      <c r="T119" s="475" t="s">
        <v>180</v>
      </c>
      <c r="U119" s="697" t="s">
        <v>605</v>
      </c>
      <c r="V119" s="391" t="str">
        <f t="shared" si="20"/>
        <v>CNY</v>
      </c>
      <c r="W119" s="547"/>
      <c r="X119" s="864">
        <f t="shared" si="50"/>
        <v>0</v>
      </c>
      <c r="Y119" s="890"/>
      <c r="Z119" s="890">
        <f t="shared" si="33"/>
        <v>0</v>
      </c>
      <c r="AA119" s="484">
        <f t="shared" si="34"/>
        <v>0</v>
      </c>
      <c r="AB119" s="484">
        <f>IF(V119="CNY",X119*(1-Z119),IF(V119="EUR",X119*(1-Z119)*$T$5,IF(V119="JPY",X119*(1-Z119)*$T$6,IF(V119="USD",X119*(1-Z119)*$T$7))))</f>
        <v>0</v>
      </c>
      <c r="AC119" s="880"/>
      <c r="AD119" s="697">
        <f>IF(V119&lt;&gt;"CNY",(AB119+#REF!)*AC119,0)</f>
        <v>0</v>
      </c>
      <c r="AF119" s="861">
        <f>IF(V119&lt;&gt;"CNY",(AB119+#REF!)*#REF!,0)</f>
        <v>0</v>
      </c>
      <c r="AG119" s="697">
        <f>IF(V119&lt;&gt;"CNY",E119*#REF!/1000,0)</f>
        <v>0</v>
      </c>
      <c r="AH119" s="861">
        <f t="shared" si="51"/>
        <v>0</v>
      </c>
      <c r="AI119" s="861">
        <f>AB119+AH119</f>
        <v>0</v>
      </c>
      <c r="AJ119" s="383" t="s">
        <v>669</v>
      </c>
      <c r="AK119" s="383" t="s">
        <v>1128</v>
      </c>
      <c r="AL119" s="697" t="str">
        <f t="shared" si="21"/>
        <v>CN</v>
      </c>
      <c r="AM119" s="475">
        <f>'Estimate Summary'!$D$9</f>
        <v>1</v>
      </c>
      <c r="AN119" s="697" t="s">
        <v>1136</v>
      </c>
      <c r="AO119" s="475">
        <f t="shared" si="22"/>
        <v>0</v>
      </c>
      <c r="AP119" s="697" t="str">
        <f t="shared" si="23"/>
        <v>CNY</v>
      </c>
      <c r="AQ119" s="697" t="s">
        <v>1139</v>
      </c>
      <c r="AR119" s="697" t="s">
        <v>670</v>
      </c>
      <c r="AS119" s="605" t="s">
        <v>751</v>
      </c>
      <c r="AT119" s="697" t="str">
        <f>'Estimate Summary'!$AT$11</f>
        <v>FOB SH</v>
      </c>
      <c r="AU119" s="610" t="str">
        <f t="shared" si="24"/>
        <v>CN</v>
      </c>
      <c r="AV119" s="697" t="s">
        <v>1140</v>
      </c>
      <c r="AW119" s="2255">
        <f t="shared" si="25"/>
        <v>42683</v>
      </c>
    </row>
    <row r="120" spans="1:49" s="605" customFormat="1" ht="12.75" hidden="1" customHeight="1" outlineLevel="1" collapsed="1">
      <c r="B120" s="1079"/>
      <c r="C120" s="585" t="s">
        <v>874</v>
      </c>
      <c r="D120" s="1829"/>
      <c r="E120" s="584">
        <f>SUM(E121:E122)</f>
        <v>0</v>
      </c>
      <c r="F120" s="1886">
        <f>IF(E120=0,0,H120/E120*1000)</f>
        <v>0</v>
      </c>
      <c r="G120" s="1869">
        <f t="shared" si="30"/>
        <v>0</v>
      </c>
      <c r="H120" s="1870">
        <f t="shared" ref="H120:M120" si="52">SUM(H121:H122)</f>
        <v>0</v>
      </c>
      <c r="I120" s="1718">
        <f t="shared" si="52"/>
        <v>0</v>
      </c>
      <c r="J120" s="1718">
        <f t="shared" si="52"/>
        <v>0</v>
      </c>
      <c r="K120" s="1718">
        <f t="shared" si="52"/>
        <v>0</v>
      </c>
      <c r="L120" s="1718">
        <f t="shared" si="52"/>
        <v>0</v>
      </c>
      <c r="M120" s="1718">
        <f t="shared" si="52"/>
        <v>0</v>
      </c>
      <c r="N120" s="1755"/>
      <c r="O120" s="2285"/>
      <c r="P120" s="2279"/>
      <c r="Q120" s="476"/>
      <c r="R120" s="476"/>
      <c r="S120" s="485"/>
      <c r="T120" s="2281"/>
      <c r="U120" s="1925"/>
      <c r="V120" s="1926">
        <f t="shared" si="20"/>
        <v>0</v>
      </c>
      <c r="W120" s="875"/>
      <c r="X120" s="875"/>
      <c r="Y120" s="878"/>
      <c r="Z120" s="891">
        <f t="shared" si="33"/>
        <v>0</v>
      </c>
      <c r="AA120" s="485"/>
      <c r="AB120" s="485"/>
      <c r="AC120" s="1927"/>
      <c r="AD120" s="476"/>
      <c r="AE120" s="476"/>
      <c r="AF120" s="2282"/>
      <c r="AG120" s="1925"/>
      <c r="AH120" s="875"/>
      <c r="AI120" s="875"/>
      <c r="AJ120" s="383" t="s">
        <v>669</v>
      </c>
      <c r="AK120" s="383" t="s">
        <v>1128</v>
      </c>
      <c r="AL120" s="605" t="b">
        <f t="shared" si="21"/>
        <v>0</v>
      </c>
      <c r="AM120" s="899">
        <f>'Estimate Summary'!$D$9</f>
        <v>1</v>
      </c>
      <c r="AN120" s="605" t="s">
        <v>1136</v>
      </c>
      <c r="AO120" s="899">
        <f t="shared" si="22"/>
        <v>0</v>
      </c>
      <c r="AP120" s="605">
        <f t="shared" si="23"/>
        <v>0</v>
      </c>
      <c r="AQ120" s="605" t="s">
        <v>1139</v>
      </c>
      <c r="AR120" s="605" t="s">
        <v>670</v>
      </c>
      <c r="AS120" s="605" t="s">
        <v>751</v>
      </c>
      <c r="AT120" s="605" t="str">
        <f>'Estimate Summary'!$AT$11</f>
        <v>FOB SH</v>
      </c>
      <c r="AU120" s="610" t="b">
        <f t="shared" si="24"/>
        <v>0</v>
      </c>
      <c r="AV120" s="605" t="s">
        <v>1140</v>
      </c>
      <c r="AW120" s="2255">
        <f t="shared" si="25"/>
        <v>0</v>
      </c>
    </row>
    <row r="121" spans="1:49" s="697" customFormat="1" ht="13.5" hidden="1" customHeight="1" outlineLevel="1">
      <c r="A121" s="383"/>
      <c r="B121" s="1079" t="s">
        <v>680</v>
      </c>
      <c r="C121" s="386" t="s">
        <v>873</v>
      </c>
      <c r="D121" s="1831" t="s">
        <v>181</v>
      </c>
      <c r="E121" s="421"/>
      <c r="F121" s="1639">
        <f>IF(E121=0,0,H121/E121*1000)</f>
        <v>0</v>
      </c>
      <c r="G121" s="1817">
        <f t="shared" si="30"/>
        <v>0</v>
      </c>
      <c r="H121" s="2016">
        <f>AB121</f>
        <v>0</v>
      </c>
      <c r="I121" s="469">
        <f>IF('Estimate Summary'!$D$9&lt;2,0,$H121)</f>
        <v>0</v>
      </c>
      <c r="J121" s="469">
        <f>IF('Estimate Summary'!$D$9&lt;3,0,$H121)</f>
        <v>0</v>
      </c>
      <c r="K121" s="469">
        <f>IF('Estimate Summary'!$D$9&lt;4,0,$H121)</f>
        <v>0</v>
      </c>
      <c r="L121" s="469">
        <f>IF('Estimate Summary'!$D$9&lt;5,0,$H121)</f>
        <v>0</v>
      </c>
      <c r="M121" s="469">
        <f>IF('Estimate Summary'!$D$9&lt;6,0,$H121)</f>
        <v>0</v>
      </c>
      <c r="N121" s="1647"/>
      <c r="P121" s="474">
        <f>IF(Q121=0,0,(YEAR(R121)-YEAR(Q121))*12+(MONTH(R121)-MONTH(Q121)))</f>
        <v>40</v>
      </c>
      <c r="Q121" s="794">
        <v>42683</v>
      </c>
      <c r="R121" s="795">
        <f>$R$2+30.42*'Offshore CF'!BT13</f>
        <v>43895.199999999997</v>
      </c>
      <c r="S121" s="475" t="s">
        <v>128</v>
      </c>
      <c r="T121" s="484" t="s">
        <v>180</v>
      </c>
      <c r="U121" s="697" t="s">
        <v>610</v>
      </c>
      <c r="V121" s="391" t="str">
        <f t="shared" si="20"/>
        <v>CNY</v>
      </c>
      <c r="W121" s="547"/>
      <c r="X121" s="863">
        <f>IF(V121="CNY",W121/1.17/1000,W121/1000)</f>
        <v>0</v>
      </c>
      <c r="Y121" s="890"/>
      <c r="Z121" s="890">
        <f t="shared" si="33"/>
        <v>0</v>
      </c>
      <c r="AA121" s="484">
        <f t="shared" si="34"/>
        <v>0</v>
      </c>
      <c r="AB121" s="484">
        <f>IF(V121="CNY",X121*(1-Z121),IF(V121="EUR",X121*(1-Z121)*$T$5,IF(V121="JPY",X121*(1-Z121)*$T$6,IF(V121="USD",X121*(1-Z121)*$T$7))))</f>
        <v>0</v>
      </c>
      <c r="AC121" s="880"/>
      <c r="AD121" s="697">
        <f>IF(V121&lt;&gt;"CNY",(AB121+#REF!)*AC121,0)</f>
        <v>0</v>
      </c>
      <c r="AF121" s="861">
        <f>IF(V121&lt;&gt;"CNY",(AB121+#REF!)*#REF!,0)</f>
        <v>0</v>
      </c>
      <c r="AG121" s="697">
        <f>IF(V121&lt;&gt;"CNY",E121*#REF!/1000,0)</f>
        <v>0</v>
      </c>
      <c r="AH121" s="861">
        <f>SUM(AD121:AG121)</f>
        <v>0</v>
      </c>
      <c r="AI121" s="861">
        <f>AB121+AH121</f>
        <v>0</v>
      </c>
      <c r="AJ121" s="383" t="s">
        <v>669</v>
      </c>
      <c r="AK121" s="383" t="s">
        <v>1128</v>
      </c>
      <c r="AL121" s="697" t="str">
        <f t="shared" si="21"/>
        <v>CN</v>
      </c>
      <c r="AM121" s="475">
        <f>'Estimate Summary'!$D$9</f>
        <v>1</v>
      </c>
      <c r="AN121" s="697" t="s">
        <v>1136</v>
      </c>
      <c r="AO121" s="475">
        <f t="shared" si="22"/>
        <v>0</v>
      </c>
      <c r="AP121" s="697" t="str">
        <f t="shared" si="23"/>
        <v>CNY</v>
      </c>
      <c r="AQ121" s="697" t="s">
        <v>1139</v>
      </c>
      <c r="AR121" s="697" t="s">
        <v>670</v>
      </c>
      <c r="AS121" s="605" t="s">
        <v>751</v>
      </c>
      <c r="AT121" s="697" t="str">
        <f>'Estimate Summary'!$AT$11</f>
        <v>FOB SH</v>
      </c>
      <c r="AU121" s="610" t="str">
        <f t="shared" si="24"/>
        <v>CN</v>
      </c>
      <c r="AV121" s="697" t="s">
        <v>1140</v>
      </c>
      <c r="AW121" s="2255">
        <f t="shared" si="25"/>
        <v>42683</v>
      </c>
    </row>
    <row r="122" spans="1:49" s="697" customFormat="1" ht="13.5" hidden="1" customHeight="1" outlineLevel="1">
      <c r="A122" s="383"/>
      <c r="B122" s="1079" t="s">
        <v>680</v>
      </c>
      <c r="C122" s="386" t="s">
        <v>872</v>
      </c>
      <c r="D122" s="1831" t="s">
        <v>181</v>
      </c>
      <c r="E122" s="421"/>
      <c r="F122" s="1639"/>
      <c r="G122" s="1817">
        <f t="shared" si="30"/>
        <v>0</v>
      </c>
      <c r="H122" s="2016">
        <f>AB122</f>
        <v>0</v>
      </c>
      <c r="I122" s="469">
        <f>IF('Estimate Summary'!$D$9&lt;2,0,$H122)</f>
        <v>0</v>
      </c>
      <c r="J122" s="469">
        <f>IF('Estimate Summary'!$D$9&lt;3,0,$H122)</f>
        <v>0</v>
      </c>
      <c r="K122" s="469">
        <f>IF('Estimate Summary'!$D$9&lt;4,0,$H122)</f>
        <v>0</v>
      </c>
      <c r="L122" s="469">
        <f>IF('Estimate Summary'!$D$9&lt;5,0,$H122)</f>
        <v>0</v>
      </c>
      <c r="M122" s="469">
        <f>IF('Estimate Summary'!$D$9&lt;6,0,$H122)</f>
        <v>0</v>
      </c>
      <c r="N122" s="1647"/>
      <c r="P122" s="474">
        <f>IF(Q122=0,0,(YEAR(R122)-YEAR(Q122))*12+(MONTH(R122)-MONTH(Q122)))</f>
        <v>40</v>
      </c>
      <c r="Q122" s="794">
        <v>42683</v>
      </c>
      <c r="R122" s="795">
        <f>$R$2+30.42*'Offshore CF'!BT13</f>
        <v>43895.199999999997</v>
      </c>
      <c r="S122" s="475" t="s">
        <v>128</v>
      </c>
      <c r="T122" s="484" t="s">
        <v>180</v>
      </c>
      <c r="U122" s="697" t="s">
        <v>610</v>
      </c>
      <c r="V122" s="391" t="str">
        <f t="shared" si="20"/>
        <v>CNY</v>
      </c>
      <c r="W122" s="547"/>
      <c r="X122" s="863">
        <f>IF(V122="CNY",W122/1.17/1000,W122/1000)</f>
        <v>0</v>
      </c>
      <c r="Y122" s="920"/>
      <c r="Z122" s="890">
        <f t="shared" si="33"/>
        <v>0</v>
      </c>
      <c r="AA122" s="484">
        <f t="shared" si="34"/>
        <v>0</v>
      </c>
      <c r="AB122" s="484">
        <f>IF(V122="CNY",X122*(1-Z122),IF(V122="EUR",X122*(1-Z122)*$T$5,IF(V122="JPY",X122*(1-Z122)*$T$6,IF(V122="USD",X122*(1-Z122)*$T$7))))</f>
        <v>0</v>
      </c>
      <c r="AC122" s="880"/>
      <c r="AD122" s="697">
        <f>IF(V122&lt;&gt;"CNY",(AB122+#REF!)*AC122,0)</f>
        <v>0</v>
      </c>
      <c r="AF122" s="861">
        <f>IF(V122&lt;&gt;"CNY",(AB122+#REF!)*#REF!,0)</f>
        <v>0</v>
      </c>
      <c r="AG122" s="697">
        <f>IF(V122&lt;&gt;"CNY",E122*#REF!/1000,0)</f>
        <v>0</v>
      </c>
      <c r="AH122" s="861">
        <f>SUM(AD122:AG122)</f>
        <v>0</v>
      </c>
      <c r="AI122" s="861">
        <f>AB122+AH122</f>
        <v>0</v>
      </c>
      <c r="AJ122" s="383" t="s">
        <v>669</v>
      </c>
      <c r="AK122" s="383" t="s">
        <v>1128</v>
      </c>
      <c r="AL122" s="697" t="str">
        <f t="shared" si="21"/>
        <v>CN</v>
      </c>
      <c r="AM122" s="475">
        <f>'Estimate Summary'!$D$9</f>
        <v>1</v>
      </c>
      <c r="AN122" s="697" t="s">
        <v>1136</v>
      </c>
      <c r="AO122" s="475">
        <f t="shared" si="22"/>
        <v>0</v>
      </c>
      <c r="AP122" s="697" t="str">
        <f t="shared" si="23"/>
        <v>CNY</v>
      </c>
      <c r="AQ122" s="697" t="s">
        <v>1139</v>
      </c>
      <c r="AR122" s="697" t="s">
        <v>670</v>
      </c>
      <c r="AS122" s="605" t="s">
        <v>751</v>
      </c>
      <c r="AT122" s="697" t="str">
        <f>'Estimate Summary'!$AT$11</f>
        <v>FOB SH</v>
      </c>
      <c r="AU122" s="610" t="str">
        <f t="shared" si="24"/>
        <v>CN</v>
      </c>
      <c r="AV122" s="697" t="s">
        <v>1140</v>
      </c>
      <c r="AW122" s="2255">
        <f t="shared" si="25"/>
        <v>42683</v>
      </c>
    </row>
    <row r="123" spans="1:49" s="605" customFormat="1" ht="13.5" hidden="1" customHeight="1" outlineLevel="1" collapsed="1" thickBot="1">
      <c r="B123" s="2283"/>
      <c r="C123" s="1660" t="s">
        <v>292</v>
      </c>
      <c r="D123" s="1826"/>
      <c r="E123" s="1649">
        <f>SUM(E111:E120)</f>
        <v>0</v>
      </c>
      <c r="F123" s="1899"/>
      <c r="G123" s="2292">
        <f t="shared" si="30"/>
        <v>0</v>
      </c>
      <c r="H123" s="1687">
        <f t="shared" ref="H123:M123" si="53">SUM(H111,H120)</f>
        <v>0</v>
      </c>
      <c r="I123" s="1663">
        <f t="shared" si="53"/>
        <v>0</v>
      </c>
      <c r="J123" s="1663">
        <f t="shared" si="53"/>
        <v>0</v>
      </c>
      <c r="K123" s="1663">
        <f t="shared" si="53"/>
        <v>0</v>
      </c>
      <c r="L123" s="1663">
        <f t="shared" si="53"/>
        <v>0</v>
      </c>
      <c r="M123" s="1663">
        <f t="shared" si="53"/>
        <v>0</v>
      </c>
      <c r="N123" s="1758"/>
      <c r="O123" s="2285"/>
      <c r="P123" s="2291"/>
      <c r="Q123" s="794"/>
      <c r="R123" s="796"/>
      <c r="S123" s="899"/>
      <c r="T123" s="551"/>
      <c r="V123" s="603">
        <f t="shared" si="20"/>
        <v>0</v>
      </c>
      <c r="W123" s="870"/>
      <c r="X123" s="870"/>
      <c r="Y123" s="900"/>
      <c r="Z123" s="900">
        <f t="shared" si="33"/>
        <v>0</v>
      </c>
      <c r="AA123" s="899"/>
      <c r="AB123" s="1022"/>
      <c r="AC123" s="900"/>
      <c r="AF123" s="870"/>
      <c r="AH123" s="870"/>
      <c r="AI123" s="870"/>
      <c r="AJ123" s="383" t="s">
        <v>669</v>
      </c>
      <c r="AK123" s="383" t="s">
        <v>1128</v>
      </c>
      <c r="AL123" s="605" t="b">
        <f t="shared" si="21"/>
        <v>0</v>
      </c>
      <c r="AM123" s="899">
        <f>'Estimate Summary'!$D$9</f>
        <v>1</v>
      </c>
      <c r="AN123" s="605" t="s">
        <v>1136</v>
      </c>
      <c r="AO123" s="899">
        <f t="shared" si="22"/>
        <v>0</v>
      </c>
      <c r="AP123" s="605">
        <f t="shared" si="23"/>
        <v>0</v>
      </c>
      <c r="AQ123" s="605" t="s">
        <v>1139</v>
      </c>
      <c r="AR123" s="605" t="s">
        <v>670</v>
      </c>
      <c r="AS123" s="605" t="s">
        <v>751</v>
      </c>
      <c r="AT123" s="605" t="str">
        <f>'Estimate Summary'!$AT$11</f>
        <v>FOB SH</v>
      </c>
      <c r="AU123" s="610" t="b">
        <f t="shared" si="24"/>
        <v>0</v>
      </c>
      <c r="AV123" s="605" t="s">
        <v>1140</v>
      </c>
      <c r="AW123" s="2255">
        <f t="shared" si="25"/>
        <v>0</v>
      </c>
    </row>
    <row r="124" spans="1:49" s="605" customFormat="1" ht="16.5" hidden="1" customHeight="1" outlineLevel="1" thickTop="1">
      <c r="B124" s="1641" t="s">
        <v>949</v>
      </c>
      <c r="C124" s="1652"/>
      <c r="D124" s="1834"/>
      <c r="E124" s="1653"/>
      <c r="F124" s="1654"/>
      <c r="G124" s="1654">
        <f t="shared" si="30"/>
        <v>0</v>
      </c>
      <c r="H124" s="1739"/>
      <c r="I124" s="1746"/>
      <c r="J124" s="1655"/>
      <c r="K124" s="569"/>
      <c r="L124" s="569"/>
      <c r="M124" s="569"/>
      <c r="N124" s="2273"/>
      <c r="P124" s="603"/>
      <c r="Q124" s="794"/>
      <c r="R124" s="2255"/>
      <c r="S124" s="551"/>
      <c r="T124" s="551"/>
      <c r="U124" s="610"/>
      <c r="V124" s="603">
        <f t="shared" si="20"/>
        <v>0</v>
      </c>
      <c r="W124" s="874"/>
      <c r="X124" s="874"/>
      <c r="Y124" s="1671"/>
      <c r="Z124" s="1874">
        <f t="shared" si="33"/>
        <v>0</v>
      </c>
      <c r="AA124" s="551"/>
      <c r="AB124" s="1012"/>
      <c r="AC124" s="900"/>
      <c r="AF124" s="870"/>
      <c r="AH124" s="870"/>
      <c r="AI124" s="870"/>
      <c r="AJ124" s="383" t="s">
        <v>669</v>
      </c>
      <c r="AK124" s="383" t="s">
        <v>1128</v>
      </c>
      <c r="AL124" s="605" t="b">
        <f t="shared" si="21"/>
        <v>0</v>
      </c>
      <c r="AM124" s="899">
        <f>'Estimate Summary'!$D$9</f>
        <v>1</v>
      </c>
      <c r="AN124" s="605" t="s">
        <v>1136</v>
      </c>
      <c r="AO124" s="899">
        <f t="shared" si="22"/>
        <v>0</v>
      </c>
      <c r="AP124" s="605">
        <f t="shared" si="23"/>
        <v>0</v>
      </c>
      <c r="AQ124" s="605" t="s">
        <v>1139</v>
      </c>
      <c r="AR124" s="605" t="s">
        <v>670</v>
      </c>
      <c r="AS124" s="605" t="s">
        <v>745</v>
      </c>
      <c r="AT124" s="605" t="str">
        <f>'Estimate Summary'!$AT$11</f>
        <v>FOB SH</v>
      </c>
      <c r="AU124" s="610" t="b">
        <f t="shared" si="24"/>
        <v>0</v>
      </c>
      <c r="AV124" s="605" t="s">
        <v>1140</v>
      </c>
      <c r="AW124" s="2255">
        <f t="shared" si="25"/>
        <v>0</v>
      </c>
    </row>
    <row r="125" spans="1:49" s="605" customFormat="1" ht="25.5" hidden="1" customHeight="1" outlineLevel="1">
      <c r="B125" s="2293"/>
      <c r="C125" s="694" t="s">
        <v>544</v>
      </c>
      <c r="D125" s="1919"/>
      <c r="E125" s="1920"/>
      <c r="F125" s="1917"/>
      <c r="G125" s="1922"/>
      <c r="H125" s="2268">
        <f t="shared" ref="H125:M125" si="54">SUM(H126:H128)</f>
        <v>0</v>
      </c>
      <c r="I125" s="2294">
        <f t="shared" si="54"/>
        <v>0</v>
      </c>
      <c r="J125" s="2294">
        <f t="shared" si="54"/>
        <v>0</v>
      </c>
      <c r="K125" s="2294">
        <f t="shared" si="54"/>
        <v>0</v>
      </c>
      <c r="L125" s="2294">
        <f t="shared" si="54"/>
        <v>0</v>
      </c>
      <c r="M125" s="2268">
        <f t="shared" si="54"/>
        <v>0</v>
      </c>
      <c r="N125" s="1921"/>
      <c r="P125" s="2279"/>
      <c r="Q125" s="476"/>
      <c r="R125" s="476"/>
      <c r="S125" s="485"/>
      <c r="T125" s="2281"/>
      <c r="U125" s="1925"/>
      <c r="V125" s="1926">
        <f t="shared" si="20"/>
        <v>0</v>
      </c>
      <c r="W125" s="875"/>
      <c r="X125" s="875"/>
      <c r="Y125" s="878"/>
      <c r="Z125" s="891">
        <f t="shared" si="33"/>
        <v>0</v>
      </c>
      <c r="AA125" s="485"/>
      <c r="AB125" s="485"/>
      <c r="AC125" s="1927"/>
      <c r="AD125" s="476"/>
      <c r="AE125" s="476"/>
      <c r="AF125" s="2282"/>
      <c r="AG125" s="1925"/>
      <c r="AH125" s="875"/>
      <c r="AI125" s="875"/>
      <c r="AJ125" s="383" t="s">
        <v>669</v>
      </c>
      <c r="AK125" s="383" t="s">
        <v>1128</v>
      </c>
      <c r="AL125" s="605" t="b">
        <f t="shared" si="21"/>
        <v>0</v>
      </c>
      <c r="AM125" s="899">
        <f>'Estimate Summary'!$D$9</f>
        <v>1</v>
      </c>
      <c r="AN125" s="605" t="s">
        <v>1136</v>
      </c>
      <c r="AO125" s="899">
        <f t="shared" si="22"/>
        <v>0</v>
      </c>
      <c r="AP125" s="605">
        <f t="shared" si="23"/>
        <v>0</v>
      </c>
      <c r="AQ125" s="605" t="s">
        <v>1139</v>
      </c>
      <c r="AR125" s="605" t="s">
        <v>670</v>
      </c>
      <c r="AS125" s="605" t="s">
        <v>745</v>
      </c>
      <c r="AT125" s="605" t="str">
        <f>'Estimate Summary'!$AT$11</f>
        <v>FOB SH</v>
      </c>
      <c r="AU125" s="610" t="b">
        <f t="shared" si="24"/>
        <v>0</v>
      </c>
      <c r="AV125" s="605" t="s">
        <v>1140</v>
      </c>
      <c r="AW125" s="2255">
        <f t="shared" si="25"/>
        <v>0</v>
      </c>
    </row>
    <row r="126" spans="1:49" s="605" customFormat="1" ht="26.25" hidden="1" customHeight="1" outlineLevel="1">
      <c r="B126" s="1079" t="s">
        <v>891</v>
      </c>
      <c r="C126" s="386" t="s">
        <v>1159</v>
      </c>
      <c r="D126" s="1831" t="s">
        <v>181</v>
      </c>
      <c r="E126" s="421"/>
      <c r="F126" s="1639"/>
      <c r="G126" s="1817">
        <f t="shared" si="30"/>
        <v>0</v>
      </c>
      <c r="H126" s="2016">
        <f>AB126</f>
        <v>0</v>
      </c>
      <c r="I126" s="469">
        <f>IF('Estimate Summary'!$D$9&lt;2,0,$H126)</f>
        <v>0</v>
      </c>
      <c r="J126" s="469">
        <f>IF('Estimate Summary'!$D$9&lt;3,0,$H126)</f>
        <v>0</v>
      </c>
      <c r="K126" s="469">
        <f>IF('Estimate Summary'!$D$9&lt;4,0,$H126)</f>
        <v>0</v>
      </c>
      <c r="L126" s="469">
        <f>IF('Estimate Summary'!$D$9&lt;5,0,$H126)</f>
        <v>0</v>
      </c>
      <c r="M126" s="469">
        <f>IF('Estimate Summary'!$D$9&lt;6,0,$H126)</f>
        <v>0</v>
      </c>
      <c r="N126" s="1647"/>
      <c r="O126" s="697"/>
      <c r="P126" s="474">
        <f>IF(Q126=0,0,(YEAR(R126)-YEAR(Q126))*12+(MONTH(R126)-MONTH(Q126)))</f>
        <v>40</v>
      </c>
      <c r="Q126" s="794">
        <v>42683</v>
      </c>
      <c r="R126" s="795">
        <f>$R$2+30.42*'Offshore CF'!BU13</f>
        <v>43895.199999999997</v>
      </c>
      <c r="S126" s="475" t="s">
        <v>127</v>
      </c>
      <c r="T126" s="484" t="s">
        <v>180</v>
      </c>
      <c r="U126" s="697" t="s">
        <v>612</v>
      </c>
      <c r="V126" s="391" t="str">
        <f t="shared" si="20"/>
        <v>CNY</v>
      </c>
      <c r="W126" s="547"/>
      <c r="X126" s="863">
        <f>IF(V126="CNY",W126/1.17/1000,W126/1000)</f>
        <v>0</v>
      </c>
      <c r="Y126" s="890">
        <f>10%</f>
        <v>0.1</v>
      </c>
      <c r="Z126" s="890">
        <f t="shared" si="33"/>
        <v>0.1</v>
      </c>
      <c r="AA126" s="484">
        <f t="shared" si="34"/>
        <v>0</v>
      </c>
      <c r="AB126" s="484">
        <f>IF(V126="CNY",X126*(1-Z126),IF(V126="EUR",X126*(1-Z126)*$R$5,IF(V126="JPY",X126*(1-Z126)*$R$6,IF(V126="USD",X126*(1-Z126)*$R$7))))</f>
        <v>0</v>
      </c>
      <c r="AC126" s="880"/>
      <c r="AD126" s="697">
        <f>IF(V126&lt;&gt;"CNY",(AB126+#REF!)*AC126,0)</f>
        <v>0</v>
      </c>
      <c r="AE126" s="697"/>
      <c r="AF126" s="861">
        <f>IF(V126&lt;&gt;"CNY",(AB126+#REF!)*$AD$53,0)</f>
        <v>0</v>
      </c>
      <c r="AG126" s="697">
        <f>IF(V126&lt;&gt;"CNY",F126*#REF!/1000,0)</f>
        <v>0</v>
      </c>
      <c r="AH126" s="861">
        <f>SUM(AD126:AG126)</f>
        <v>0</v>
      </c>
      <c r="AI126" s="861">
        <f>AB126+AH126</f>
        <v>0</v>
      </c>
      <c r="AJ126" s="383" t="s">
        <v>669</v>
      </c>
      <c r="AK126" s="383" t="s">
        <v>1128</v>
      </c>
      <c r="AL126" s="605" t="str">
        <f t="shared" si="21"/>
        <v>CN</v>
      </c>
      <c r="AM126" s="899">
        <f>'Estimate Summary'!$D$9</f>
        <v>1</v>
      </c>
      <c r="AN126" s="605" t="s">
        <v>1136</v>
      </c>
      <c r="AO126" s="899">
        <f t="shared" si="22"/>
        <v>0</v>
      </c>
      <c r="AP126" s="605" t="str">
        <f t="shared" si="23"/>
        <v>CNY</v>
      </c>
      <c r="AQ126" s="605" t="s">
        <v>1139</v>
      </c>
      <c r="AR126" s="605" t="s">
        <v>670</v>
      </c>
      <c r="AS126" s="605" t="s">
        <v>745</v>
      </c>
      <c r="AT126" s="605" t="str">
        <f>'Estimate Summary'!$AT$11</f>
        <v>FOB SH</v>
      </c>
      <c r="AU126" s="610" t="str">
        <f t="shared" si="24"/>
        <v>CN</v>
      </c>
      <c r="AV126" s="605" t="s">
        <v>1140</v>
      </c>
      <c r="AW126" s="2255">
        <f t="shared" si="25"/>
        <v>42683</v>
      </c>
    </row>
    <row r="127" spans="1:49" s="605" customFormat="1" ht="26.25" hidden="1" customHeight="1" outlineLevel="1">
      <c r="B127" s="1079" t="s">
        <v>891</v>
      </c>
      <c r="C127" s="386" t="s">
        <v>1160</v>
      </c>
      <c r="D127" s="1831" t="s">
        <v>181</v>
      </c>
      <c r="E127" s="421"/>
      <c r="F127" s="1639"/>
      <c r="G127" s="1817">
        <f>AA127</f>
        <v>0</v>
      </c>
      <c r="H127" s="2016">
        <f>AB127</f>
        <v>0</v>
      </c>
      <c r="I127" s="469">
        <f>IF('Estimate Summary'!$D$9&lt;2,0,$H127)</f>
        <v>0</v>
      </c>
      <c r="J127" s="469">
        <f>IF('Estimate Summary'!$D$9&lt;3,0,$H127)</f>
        <v>0</v>
      </c>
      <c r="K127" s="469">
        <f>IF('Estimate Summary'!$D$9&lt;4,0,$H127)</f>
        <v>0</v>
      </c>
      <c r="L127" s="469">
        <f>IF('Estimate Summary'!$D$9&lt;5,0,$H127)</f>
        <v>0</v>
      </c>
      <c r="M127" s="469">
        <f>IF('Estimate Summary'!$D$9&lt;6,0,$H127)</f>
        <v>0</v>
      </c>
      <c r="N127" s="1647"/>
      <c r="O127" s="697"/>
      <c r="P127" s="474">
        <f>IF(Q127=0,0,(YEAR(R127)-YEAR(Q127))*12+(MONTH(R127)-MONTH(Q127)))</f>
        <v>40</v>
      </c>
      <c r="Q127" s="794">
        <v>42683</v>
      </c>
      <c r="R127" s="795">
        <f>$R$2+30.42*'Offshore CF'!BU13</f>
        <v>43895.199999999997</v>
      </c>
      <c r="S127" s="475" t="s">
        <v>129</v>
      </c>
      <c r="T127" s="484" t="s">
        <v>180</v>
      </c>
      <c r="U127" s="697" t="s">
        <v>676</v>
      </c>
      <c r="V127" s="391" t="str">
        <f>D127</f>
        <v>CNY</v>
      </c>
      <c r="W127" s="547"/>
      <c r="X127" s="863">
        <f>IF(V127="CNY",W127/1.17/1000,W127/1000)</f>
        <v>0</v>
      </c>
      <c r="Y127" s="890"/>
      <c r="Z127" s="890">
        <f>Y127+$Z$78</f>
        <v>0</v>
      </c>
      <c r="AA127" s="484">
        <f>X127*(1-Z127)</f>
        <v>0</v>
      </c>
      <c r="AB127" s="484">
        <f>IF(V127="CNY",X127*(1-Z127),IF(V127="EUR",X127*(1-Z127)*$R$5,IF(V127="JPY",X127*(1-Z127)*$R$6,IF(V127="USD",X127*(1-Z127)*$R$7))))</f>
        <v>0</v>
      </c>
      <c r="AC127" s="880"/>
      <c r="AD127" s="697">
        <f>IF(V127&lt;&gt;"CNY",(AB127+#REF!)*AC127,0)</f>
        <v>0</v>
      </c>
      <c r="AE127" s="697"/>
      <c r="AF127" s="861">
        <f>IF(V127&lt;&gt;"CNY",(AB127+#REF!)*$AD$53,0)</f>
        <v>0</v>
      </c>
      <c r="AG127" s="697">
        <f>IF(V127&lt;&gt;"CNY",F127*#REF!/1000,0)</f>
        <v>0</v>
      </c>
      <c r="AH127" s="861">
        <f>SUM(AD127:AG127)</f>
        <v>0</v>
      </c>
      <c r="AI127" s="861">
        <f>AB127+AH127</f>
        <v>0</v>
      </c>
      <c r="AJ127" s="383" t="s">
        <v>669</v>
      </c>
      <c r="AK127" s="383" t="s">
        <v>1128</v>
      </c>
      <c r="AL127" s="605" t="str">
        <f>IF(D127="CNY","CN",IF(D127="EUR","DE",IF(D127="USD","US",IF(D127="JPY","JP",IF(D127="INR","IN")))))</f>
        <v>CN</v>
      </c>
      <c r="AM127" s="899">
        <f>'Estimate Summary'!$D$9</f>
        <v>1</v>
      </c>
      <c r="AN127" s="605" t="s">
        <v>1136</v>
      </c>
      <c r="AO127" s="899">
        <f>G127</f>
        <v>0</v>
      </c>
      <c r="AP127" s="605" t="str">
        <f t="shared" si="23"/>
        <v>CNY</v>
      </c>
      <c r="AQ127" s="605" t="s">
        <v>1139</v>
      </c>
      <c r="AR127" s="605" t="s">
        <v>670</v>
      </c>
      <c r="AS127" s="605" t="s">
        <v>751</v>
      </c>
      <c r="AT127" s="605" t="str">
        <f>'Estimate Summary'!$AT$11</f>
        <v>FOB SH</v>
      </c>
      <c r="AU127" s="610" t="str">
        <f>AL127</f>
        <v>CN</v>
      </c>
      <c r="AV127" s="605" t="s">
        <v>1140</v>
      </c>
      <c r="AW127" s="2255">
        <f>Q127</f>
        <v>42683</v>
      </c>
    </row>
    <row r="128" spans="1:49" s="605" customFormat="1" ht="26.25" hidden="1" customHeight="1" outlineLevel="1">
      <c r="B128" s="1640" t="s">
        <v>892</v>
      </c>
      <c r="C128" s="386" t="s">
        <v>1161</v>
      </c>
      <c r="D128" s="1831"/>
      <c r="E128" s="421"/>
      <c r="F128" s="1639"/>
      <c r="G128" s="1817">
        <f t="shared" si="30"/>
        <v>0</v>
      </c>
      <c r="H128" s="1816">
        <f>AI128</f>
        <v>0</v>
      </c>
      <c r="I128" s="469">
        <f>IF('Estimate Summary'!$D$9&lt;2,0,$H128)</f>
        <v>0</v>
      </c>
      <c r="J128" s="469">
        <f>IF('Estimate Summary'!$D$9&lt;3,0,$H128)</f>
        <v>0</v>
      </c>
      <c r="K128" s="469">
        <f>IF('Estimate Summary'!$D$9&lt;4,0,$H128)</f>
        <v>0</v>
      </c>
      <c r="L128" s="469">
        <f>IF('Estimate Summary'!$D$9&lt;5,0,$H128)</f>
        <v>0</v>
      </c>
      <c r="M128" s="469">
        <f>IF('Estimate Summary'!$D$9&lt;6,0,$H128)</f>
        <v>0</v>
      </c>
      <c r="N128" s="1647"/>
      <c r="O128" s="697"/>
      <c r="P128" s="474">
        <f>IF(Q128=0,0,(YEAR(R128)-YEAR(Q128))*12+(MONTH(R128)-MONTH(Q128)))</f>
        <v>0</v>
      </c>
      <c r="Q128" s="794"/>
      <c r="R128" s="795"/>
      <c r="S128" s="475"/>
      <c r="T128" s="484"/>
      <c r="U128" s="697"/>
      <c r="V128" s="391">
        <f t="shared" si="20"/>
        <v>0</v>
      </c>
      <c r="W128" s="547"/>
      <c r="X128" s="863">
        <f>IF(V128="CNY",W128/1.17/1000,W128/1000)</f>
        <v>0</v>
      </c>
      <c r="Y128" s="890"/>
      <c r="Z128" s="890">
        <f t="shared" si="33"/>
        <v>0</v>
      </c>
      <c r="AA128" s="484">
        <f>X128*(1-Z128)</f>
        <v>0</v>
      </c>
      <c r="AB128" s="484"/>
      <c r="AC128" s="880"/>
      <c r="AD128" s="697"/>
      <c r="AE128" s="697"/>
      <c r="AF128" s="861"/>
      <c r="AG128" s="697"/>
      <c r="AH128" s="861">
        <f>SUM(AD128:AG128)</f>
        <v>0</v>
      </c>
      <c r="AI128" s="861">
        <f>AB128+AH128</f>
        <v>0</v>
      </c>
      <c r="AJ128" s="383" t="s">
        <v>669</v>
      </c>
      <c r="AK128" s="383" t="s">
        <v>1128</v>
      </c>
      <c r="AL128" s="605" t="b">
        <f t="shared" si="21"/>
        <v>0</v>
      </c>
      <c r="AM128" s="899">
        <f>'Estimate Summary'!$D$9</f>
        <v>1</v>
      </c>
      <c r="AN128" s="605" t="s">
        <v>1136</v>
      </c>
      <c r="AO128" s="899">
        <f t="shared" si="22"/>
        <v>0</v>
      </c>
      <c r="AP128" s="605">
        <f t="shared" si="23"/>
        <v>0</v>
      </c>
      <c r="AQ128" s="605" t="s">
        <v>1139</v>
      </c>
      <c r="AR128" s="605" t="s">
        <v>670</v>
      </c>
      <c r="AS128" s="605" t="s">
        <v>745</v>
      </c>
      <c r="AT128" s="605" t="str">
        <f>'Estimate Summary'!$AT$11</f>
        <v>FOB SH</v>
      </c>
      <c r="AU128" s="610" t="b">
        <f t="shared" si="24"/>
        <v>0</v>
      </c>
      <c r="AV128" s="605" t="s">
        <v>1140</v>
      </c>
      <c r="AW128" s="2255">
        <f t="shared" si="25"/>
        <v>0</v>
      </c>
    </row>
    <row r="129" spans="2:49" s="605" customFormat="1" ht="16.5" hidden="1" customHeight="1" outlineLevel="1" collapsed="1" thickBot="1">
      <c r="B129" s="1656"/>
      <c r="C129" s="1642" t="s">
        <v>890</v>
      </c>
      <c r="D129" s="1826"/>
      <c r="E129" s="1657"/>
      <c r="F129" s="1658"/>
      <c r="G129" s="1659">
        <f t="shared" si="30"/>
        <v>0</v>
      </c>
      <c r="H129" s="1687">
        <f t="shared" ref="H129:M129" si="55">H125</f>
        <v>0</v>
      </c>
      <c r="I129" s="1663">
        <f t="shared" si="55"/>
        <v>0</v>
      </c>
      <c r="J129" s="1663">
        <f t="shared" si="55"/>
        <v>0</v>
      </c>
      <c r="K129" s="1663">
        <f t="shared" si="55"/>
        <v>0</v>
      </c>
      <c r="L129" s="1663">
        <f t="shared" si="55"/>
        <v>0</v>
      </c>
      <c r="M129" s="1663">
        <f t="shared" si="55"/>
        <v>0</v>
      </c>
      <c r="N129" s="1758"/>
      <c r="P129" s="603"/>
      <c r="Q129" s="794"/>
      <c r="R129" s="2255"/>
      <c r="S129" s="551"/>
      <c r="T129" s="551"/>
      <c r="U129" s="610"/>
      <c r="V129" s="603">
        <f t="shared" si="20"/>
        <v>0</v>
      </c>
      <c r="W129" s="874"/>
      <c r="X129" s="874"/>
      <c r="Y129" s="1671"/>
      <c r="Z129" s="1874">
        <f t="shared" si="33"/>
        <v>0</v>
      </c>
      <c r="AA129" s="551"/>
      <c r="AB129" s="1012"/>
      <c r="AC129" s="900"/>
      <c r="AF129" s="870"/>
      <c r="AH129" s="870"/>
      <c r="AI129" s="870"/>
      <c r="AJ129" s="383" t="s">
        <v>669</v>
      </c>
      <c r="AK129" s="383" t="s">
        <v>1128</v>
      </c>
      <c r="AL129" s="605" t="b">
        <f t="shared" si="21"/>
        <v>0</v>
      </c>
      <c r="AM129" s="899">
        <f>'Estimate Summary'!$D$9</f>
        <v>1</v>
      </c>
      <c r="AN129" s="605" t="s">
        <v>1136</v>
      </c>
      <c r="AO129" s="899">
        <f t="shared" si="22"/>
        <v>0</v>
      </c>
      <c r="AP129" s="605">
        <f t="shared" si="23"/>
        <v>0</v>
      </c>
      <c r="AQ129" s="605" t="s">
        <v>1139</v>
      </c>
      <c r="AR129" s="605" t="s">
        <v>670</v>
      </c>
      <c r="AS129" s="605" t="s">
        <v>751</v>
      </c>
      <c r="AT129" s="605" t="str">
        <f>'Estimate Summary'!$AT$11</f>
        <v>FOB SH</v>
      </c>
      <c r="AU129" s="610" t="b">
        <f t="shared" si="24"/>
        <v>0</v>
      </c>
      <c r="AV129" s="605" t="s">
        <v>1140</v>
      </c>
      <c r="AW129" s="2255">
        <f t="shared" si="25"/>
        <v>0</v>
      </c>
    </row>
    <row r="130" spans="2:49" s="605" customFormat="1" ht="16.5" hidden="1" customHeight="1" outlineLevel="1" thickTop="1">
      <c r="B130" s="1641" t="s">
        <v>950</v>
      </c>
      <c r="C130" s="1652"/>
      <c r="D130" s="1834"/>
      <c r="E130" s="1653"/>
      <c r="F130" s="1654"/>
      <c r="G130" s="1654">
        <f t="shared" si="30"/>
        <v>0</v>
      </c>
      <c r="H130" s="1739"/>
      <c r="I130" s="1746"/>
      <c r="J130" s="1655"/>
      <c r="K130" s="569"/>
      <c r="L130" s="569"/>
      <c r="M130" s="569"/>
      <c r="N130" s="2273"/>
      <c r="P130" s="603"/>
      <c r="Q130" s="794"/>
      <c r="R130" s="2255"/>
      <c r="S130" s="551"/>
      <c r="T130" s="551"/>
      <c r="U130" s="610"/>
      <c r="V130" s="603">
        <f t="shared" si="20"/>
        <v>0</v>
      </c>
      <c r="W130" s="874"/>
      <c r="X130" s="874"/>
      <c r="Y130" s="1671"/>
      <c r="Z130" s="1874">
        <f t="shared" si="33"/>
        <v>0</v>
      </c>
      <c r="AA130" s="551"/>
      <c r="AB130" s="1012"/>
      <c r="AC130" s="900"/>
      <c r="AF130" s="870"/>
      <c r="AH130" s="870"/>
      <c r="AI130" s="870"/>
      <c r="AJ130" s="383" t="s">
        <v>669</v>
      </c>
      <c r="AK130" s="383" t="s">
        <v>1128</v>
      </c>
      <c r="AL130" s="605" t="b">
        <f t="shared" si="21"/>
        <v>0</v>
      </c>
      <c r="AM130" s="899">
        <f>'Estimate Summary'!$D$9</f>
        <v>1</v>
      </c>
      <c r="AN130" s="605" t="s">
        <v>1136</v>
      </c>
      <c r="AO130" s="899">
        <f t="shared" si="22"/>
        <v>0</v>
      </c>
      <c r="AP130" s="605">
        <f t="shared" si="23"/>
        <v>0</v>
      </c>
      <c r="AQ130" s="605" t="s">
        <v>1139</v>
      </c>
      <c r="AR130" s="605" t="s">
        <v>670</v>
      </c>
      <c r="AS130" s="605" t="s">
        <v>751</v>
      </c>
      <c r="AT130" s="605" t="str">
        <f>'Estimate Summary'!$AT$11</f>
        <v>FOB SH</v>
      </c>
      <c r="AU130" s="610" t="b">
        <f t="shared" si="24"/>
        <v>0</v>
      </c>
      <c r="AV130" s="605" t="s">
        <v>1140</v>
      </c>
      <c r="AW130" s="2255">
        <f t="shared" si="25"/>
        <v>0</v>
      </c>
    </row>
    <row r="131" spans="2:49" s="605" customFormat="1" ht="15" hidden="1" customHeight="1" outlineLevel="1">
      <c r="B131" s="2295"/>
      <c r="C131" s="1918" t="s">
        <v>581</v>
      </c>
      <c r="D131" s="1919"/>
      <c r="E131" s="1920"/>
      <c r="F131" s="1917"/>
      <c r="G131" s="1917"/>
      <c r="H131" s="2268">
        <f t="shared" ref="H131:M131" si="56">SUM(H132:H142)</f>
        <v>0</v>
      </c>
      <c r="I131" s="2294">
        <f t="shared" si="56"/>
        <v>0</v>
      </c>
      <c r="J131" s="2294">
        <f t="shared" si="56"/>
        <v>0</v>
      </c>
      <c r="K131" s="2294">
        <f t="shared" si="56"/>
        <v>0</v>
      </c>
      <c r="L131" s="2294">
        <f t="shared" si="56"/>
        <v>0</v>
      </c>
      <c r="M131" s="2294">
        <f t="shared" si="56"/>
        <v>0</v>
      </c>
      <c r="N131" s="1921"/>
      <c r="P131" s="2279"/>
      <c r="Q131" s="476"/>
      <c r="R131" s="476"/>
      <c r="S131" s="485"/>
      <c r="T131" s="2281"/>
      <c r="U131" s="1925"/>
      <c r="V131" s="1926">
        <f t="shared" si="20"/>
        <v>0</v>
      </c>
      <c r="W131" s="875"/>
      <c r="X131" s="875"/>
      <c r="Y131" s="878"/>
      <c r="Z131" s="891">
        <f t="shared" si="33"/>
        <v>0</v>
      </c>
      <c r="AA131" s="485"/>
      <c r="AB131" s="485"/>
      <c r="AC131" s="1927"/>
      <c r="AD131" s="476"/>
      <c r="AE131" s="476"/>
      <c r="AF131" s="2282"/>
      <c r="AG131" s="1925"/>
      <c r="AH131" s="875"/>
      <c r="AI131" s="875"/>
      <c r="AJ131" s="383" t="s">
        <v>669</v>
      </c>
      <c r="AK131" s="383" t="s">
        <v>1128</v>
      </c>
      <c r="AL131" s="605" t="b">
        <f t="shared" si="21"/>
        <v>0</v>
      </c>
      <c r="AM131" s="899">
        <f>'Estimate Summary'!$D$9</f>
        <v>1</v>
      </c>
      <c r="AN131" s="605" t="s">
        <v>1136</v>
      </c>
      <c r="AO131" s="899">
        <f t="shared" si="22"/>
        <v>0</v>
      </c>
      <c r="AP131" s="605">
        <f t="shared" si="23"/>
        <v>0</v>
      </c>
      <c r="AQ131" s="605" t="s">
        <v>1139</v>
      </c>
      <c r="AR131" s="605" t="s">
        <v>670</v>
      </c>
      <c r="AS131" s="605" t="s">
        <v>745</v>
      </c>
      <c r="AT131" s="605" t="str">
        <f>'Estimate Summary'!$AT$11</f>
        <v>FOB SH</v>
      </c>
      <c r="AU131" s="610" t="b">
        <f t="shared" si="24"/>
        <v>0</v>
      </c>
      <c r="AV131" s="605" t="s">
        <v>1140</v>
      </c>
      <c r="AW131" s="2255">
        <f t="shared" si="25"/>
        <v>0</v>
      </c>
    </row>
    <row r="132" spans="2:49" s="605" customFormat="1" ht="13.5" hidden="1" customHeight="1" outlineLevel="1">
      <c r="B132" s="1699" t="s">
        <v>743</v>
      </c>
      <c r="C132" s="386" t="s">
        <v>882</v>
      </c>
      <c r="D132" s="1831" t="s">
        <v>181</v>
      </c>
      <c r="E132" s="421"/>
      <c r="F132" s="1639"/>
      <c r="G132" s="1817">
        <f t="shared" si="30"/>
        <v>0</v>
      </c>
      <c r="H132" s="1816">
        <f>AI132</f>
        <v>0</v>
      </c>
      <c r="I132" s="469">
        <f>IF('Estimate Summary'!$D$9&lt;2,0,$H132)</f>
        <v>0</v>
      </c>
      <c r="J132" s="469">
        <f>IF('Estimate Summary'!$D$9&lt;3,0,$H132)</f>
        <v>0</v>
      </c>
      <c r="K132" s="469">
        <f>IF('Estimate Summary'!$D$9&lt;4,0,$H132)</f>
        <v>0</v>
      </c>
      <c r="L132" s="469">
        <f>IF('Estimate Summary'!$D$9&lt;5,0,$H132)</f>
        <v>0</v>
      </c>
      <c r="M132" s="469">
        <f>IF('Estimate Summary'!$D$9&lt;6,0,$H132)</f>
        <v>0</v>
      </c>
      <c r="N132" s="1647"/>
      <c r="O132" s="697"/>
      <c r="P132" s="474">
        <f>IF(Q132=0,0,(YEAR(R132)-YEAR(Q132))*12+(MONTH(R132)-MONTH(Q132)))</f>
        <v>43</v>
      </c>
      <c r="Q132" s="794">
        <v>42683</v>
      </c>
      <c r="R132" s="795">
        <f>$R$2+30.42*'Offshore CF'!BV13</f>
        <v>43986.46</v>
      </c>
      <c r="S132" s="475" t="s">
        <v>127</v>
      </c>
      <c r="T132" s="484" t="s">
        <v>180</v>
      </c>
      <c r="U132" s="697" t="s">
        <v>424</v>
      </c>
      <c r="V132" s="391" t="str">
        <f t="shared" si="20"/>
        <v>CNY</v>
      </c>
      <c r="W132" s="547"/>
      <c r="X132" s="863">
        <f>IF(V132="CNY",W132/1.17/1000,W132/1000)</f>
        <v>0</v>
      </c>
      <c r="Y132" s="890"/>
      <c r="Z132" s="890">
        <f t="shared" si="33"/>
        <v>0</v>
      </c>
      <c r="AA132" s="484">
        <f t="shared" si="34"/>
        <v>0</v>
      </c>
      <c r="AB132" s="484">
        <f>IF(V132="CNY",X132*(1-Z132),IF(V132="EUR",X132*(1-Z132)*$T$5,IF(V132="JPY",X132*(1-Z132)*$T$6,IF(V132="USD",X132*(1-Z132)*$T$7))))</f>
        <v>0</v>
      </c>
      <c r="AC132" s="880"/>
      <c r="AD132" s="697">
        <f>IF(V132&lt;&gt;"CNY",(AB132+#REF!)*AC132,0)</f>
        <v>0</v>
      </c>
      <c r="AE132" s="697"/>
      <c r="AF132" s="861">
        <f>IF(V132&lt;&gt;"CNY",(AB132+#REF!)*#REF!,0)</f>
        <v>0</v>
      </c>
      <c r="AG132" s="697">
        <f>IF(V132&lt;&gt;"CNY",E132*#REF!/1000,0)</f>
        <v>0</v>
      </c>
      <c r="AH132" s="861">
        <f t="shared" ref="AH132:AH142" si="57">SUM(AD132:AG132)</f>
        <v>0</v>
      </c>
      <c r="AI132" s="861">
        <f t="shared" ref="AI132:AI142" si="58">AB132+AH132</f>
        <v>0</v>
      </c>
      <c r="AJ132" s="383" t="s">
        <v>669</v>
      </c>
      <c r="AK132" s="383" t="s">
        <v>1128</v>
      </c>
      <c r="AL132" s="605" t="str">
        <f t="shared" si="21"/>
        <v>CN</v>
      </c>
      <c r="AM132" s="899">
        <f>'Estimate Summary'!$D$9</f>
        <v>1</v>
      </c>
      <c r="AN132" s="605" t="s">
        <v>1136</v>
      </c>
      <c r="AO132" s="899">
        <f t="shared" si="22"/>
        <v>0</v>
      </c>
      <c r="AP132" s="605" t="str">
        <f t="shared" si="23"/>
        <v>CNY</v>
      </c>
      <c r="AQ132" s="605" t="s">
        <v>1139</v>
      </c>
      <c r="AR132" s="605" t="s">
        <v>670</v>
      </c>
      <c r="AS132" s="605" t="s">
        <v>745</v>
      </c>
      <c r="AT132" s="605" t="str">
        <f>'Estimate Summary'!$AT$11</f>
        <v>FOB SH</v>
      </c>
      <c r="AU132" s="610" t="str">
        <f t="shared" si="24"/>
        <v>CN</v>
      </c>
      <c r="AV132" s="605" t="s">
        <v>1140</v>
      </c>
      <c r="AW132" s="2255">
        <f t="shared" si="25"/>
        <v>42683</v>
      </c>
    </row>
    <row r="133" spans="2:49" s="605" customFormat="1" ht="13.5" hidden="1" customHeight="1" outlineLevel="1">
      <c r="B133" s="1699" t="s">
        <v>743</v>
      </c>
      <c r="C133" s="386" t="s">
        <v>882</v>
      </c>
      <c r="D133" s="1831" t="s">
        <v>179</v>
      </c>
      <c r="E133" s="421"/>
      <c r="F133" s="1639"/>
      <c r="G133" s="1817">
        <f t="shared" si="30"/>
        <v>0</v>
      </c>
      <c r="H133" s="1816">
        <f t="shared" ref="H133:H142" si="59">AB133</f>
        <v>0</v>
      </c>
      <c r="I133" s="469">
        <f>IF('Estimate Summary'!$D$9&lt;2,0,$H133)</f>
        <v>0</v>
      </c>
      <c r="J133" s="469">
        <f>IF('Estimate Summary'!$D$9&lt;3,0,$H133)</f>
        <v>0</v>
      </c>
      <c r="K133" s="469">
        <f>IF('Estimate Summary'!$D$9&lt;4,0,$H133)</f>
        <v>0</v>
      </c>
      <c r="L133" s="469">
        <f>IF('Estimate Summary'!$D$9&lt;5,0,$H133)</f>
        <v>0</v>
      </c>
      <c r="M133" s="469">
        <f>IF('Estimate Summary'!$D$9&lt;6,0,$H133)</f>
        <v>0</v>
      </c>
      <c r="N133" s="1647"/>
      <c r="O133" s="697"/>
      <c r="P133" s="474">
        <f t="shared" ref="P133:P142" si="60">IF(Q133=0,0,(YEAR(R133)-YEAR(Q133))*12+(MONTH(R133)-MONTH(Q133)))</f>
        <v>43</v>
      </c>
      <c r="Q133" s="794">
        <v>42683</v>
      </c>
      <c r="R133" s="795">
        <f>$R$2+30.42*'Offshore CF'!BV13</f>
        <v>43986.46</v>
      </c>
      <c r="S133" s="475" t="s">
        <v>127</v>
      </c>
      <c r="T133" s="484" t="s">
        <v>337</v>
      </c>
      <c r="U133" s="697" t="s">
        <v>747</v>
      </c>
      <c r="V133" s="391" t="str">
        <f t="shared" si="20"/>
        <v>EUR</v>
      </c>
      <c r="W133" s="547"/>
      <c r="X133" s="863">
        <f t="shared" ref="X133:X142" si="61">IF(V133="CNY",W133/1.17/1000,W133/1000)</f>
        <v>0</v>
      </c>
      <c r="Y133" s="890"/>
      <c r="Z133" s="890">
        <f t="shared" si="33"/>
        <v>0</v>
      </c>
      <c r="AA133" s="484">
        <f t="shared" si="34"/>
        <v>0</v>
      </c>
      <c r="AB133" s="484">
        <f t="shared" ref="AB133:AB142" si="62">IF(V133="CNY",X133*(1-Z133),IF(V133="EUR",X133*(1-Z133)*$T$5,IF(V133="JPY",X133*(1-Z133)*$T$6,IF(V133="USD",X133*(1-Z133)*$T$7))))</f>
        <v>0</v>
      </c>
      <c r="AC133" s="880"/>
      <c r="AD133" s="697"/>
      <c r="AE133" s="697"/>
      <c r="AF133" s="861"/>
      <c r="AG133" s="697"/>
      <c r="AH133" s="861">
        <f t="shared" si="57"/>
        <v>0</v>
      </c>
      <c r="AI133" s="861">
        <f t="shared" si="58"/>
        <v>0</v>
      </c>
      <c r="AJ133" s="383" t="s">
        <v>669</v>
      </c>
      <c r="AK133" s="383" t="s">
        <v>1128</v>
      </c>
      <c r="AL133" s="605" t="str">
        <f t="shared" si="21"/>
        <v>DE</v>
      </c>
      <c r="AM133" s="899">
        <f>'Estimate Summary'!$D$9</f>
        <v>1</v>
      </c>
      <c r="AN133" s="605" t="s">
        <v>1136</v>
      </c>
      <c r="AO133" s="899">
        <f t="shared" si="22"/>
        <v>0</v>
      </c>
      <c r="AP133" s="605" t="str">
        <f t="shared" si="23"/>
        <v>EUR</v>
      </c>
      <c r="AQ133" s="605" t="s">
        <v>1139</v>
      </c>
      <c r="AR133" s="605" t="s">
        <v>670</v>
      </c>
      <c r="AS133" s="605" t="s">
        <v>745</v>
      </c>
      <c r="AT133" s="605" t="str">
        <f>'Estimate Summary'!$AT$11</f>
        <v>FOB SH</v>
      </c>
      <c r="AU133" s="610" t="str">
        <f t="shared" si="24"/>
        <v>DE</v>
      </c>
      <c r="AV133" s="605" t="s">
        <v>1140</v>
      </c>
      <c r="AW133" s="2255">
        <f t="shared" si="25"/>
        <v>42683</v>
      </c>
    </row>
    <row r="134" spans="2:49" s="605" customFormat="1" ht="26.25" hidden="1" customHeight="1" outlineLevel="1">
      <c r="B134" s="1699" t="s">
        <v>931</v>
      </c>
      <c r="C134" s="386" t="s">
        <v>883</v>
      </c>
      <c r="D134" s="1831" t="s">
        <v>179</v>
      </c>
      <c r="E134" s="421"/>
      <c r="F134" s="1639"/>
      <c r="G134" s="1817">
        <f t="shared" si="30"/>
        <v>0</v>
      </c>
      <c r="H134" s="1816">
        <f t="shared" si="59"/>
        <v>0</v>
      </c>
      <c r="I134" s="469">
        <f>IF('Estimate Summary'!$D$9&lt;2,0,$H134)</f>
        <v>0</v>
      </c>
      <c r="J134" s="469">
        <f>IF('Estimate Summary'!$D$9&lt;3,0,$H134)</f>
        <v>0</v>
      </c>
      <c r="K134" s="469">
        <f>IF('Estimate Summary'!$D$9&lt;4,0,$H134)</f>
        <v>0</v>
      </c>
      <c r="L134" s="469">
        <f>IF('Estimate Summary'!$D$9&lt;5,0,$H134)</f>
        <v>0</v>
      </c>
      <c r="M134" s="469">
        <f>IF('Estimate Summary'!$D$9&lt;6,0,$H134)</f>
        <v>0</v>
      </c>
      <c r="N134" s="1647"/>
      <c r="O134" s="697"/>
      <c r="P134" s="474">
        <f t="shared" si="60"/>
        <v>43</v>
      </c>
      <c r="Q134" s="794">
        <v>42683</v>
      </c>
      <c r="R134" s="795">
        <f>$R$2+30.42*'Offshore CF'!BV13</f>
        <v>43986.46</v>
      </c>
      <c r="S134" s="475" t="s">
        <v>127</v>
      </c>
      <c r="T134" s="484" t="s">
        <v>337</v>
      </c>
      <c r="U134" s="697" t="s">
        <v>747</v>
      </c>
      <c r="V134" s="391" t="str">
        <f t="shared" si="20"/>
        <v>EUR</v>
      </c>
      <c r="W134" s="547"/>
      <c r="X134" s="863">
        <f t="shared" si="61"/>
        <v>0</v>
      </c>
      <c r="Y134" s="890"/>
      <c r="Z134" s="890">
        <f t="shared" si="33"/>
        <v>0</v>
      </c>
      <c r="AA134" s="484">
        <f t="shared" si="34"/>
        <v>0</v>
      </c>
      <c r="AB134" s="484">
        <f t="shared" si="62"/>
        <v>0</v>
      </c>
      <c r="AC134" s="880"/>
      <c r="AD134" s="697"/>
      <c r="AE134" s="697"/>
      <c r="AF134" s="861"/>
      <c r="AG134" s="697"/>
      <c r="AH134" s="861">
        <f t="shared" si="57"/>
        <v>0</v>
      </c>
      <c r="AI134" s="861">
        <f t="shared" si="58"/>
        <v>0</v>
      </c>
      <c r="AJ134" s="383" t="s">
        <v>669</v>
      </c>
      <c r="AK134" s="383" t="s">
        <v>1128</v>
      </c>
      <c r="AL134" s="605" t="str">
        <f t="shared" si="21"/>
        <v>DE</v>
      </c>
      <c r="AM134" s="899">
        <f>'Estimate Summary'!$D$9</f>
        <v>1</v>
      </c>
      <c r="AN134" s="605" t="s">
        <v>1136</v>
      </c>
      <c r="AO134" s="899">
        <f t="shared" si="22"/>
        <v>0</v>
      </c>
      <c r="AP134" s="605" t="str">
        <f t="shared" si="23"/>
        <v>EUR</v>
      </c>
      <c r="AQ134" s="605" t="s">
        <v>1139</v>
      </c>
      <c r="AR134" s="605" t="s">
        <v>670</v>
      </c>
      <c r="AS134" s="605" t="s">
        <v>745</v>
      </c>
      <c r="AT134" s="605" t="str">
        <f>'Estimate Summary'!$AT$11</f>
        <v>FOB SH</v>
      </c>
      <c r="AU134" s="610" t="str">
        <f t="shared" si="24"/>
        <v>DE</v>
      </c>
      <c r="AV134" s="605" t="s">
        <v>1140</v>
      </c>
      <c r="AW134" s="2255">
        <f t="shared" si="25"/>
        <v>42683</v>
      </c>
    </row>
    <row r="135" spans="2:49" s="605" customFormat="1" ht="26.25" hidden="1" customHeight="1" outlineLevel="1">
      <c r="B135" s="1699" t="s">
        <v>931</v>
      </c>
      <c r="C135" s="386" t="s">
        <v>883</v>
      </c>
      <c r="D135" s="1831" t="s">
        <v>257</v>
      </c>
      <c r="E135" s="421"/>
      <c r="F135" s="1639"/>
      <c r="G135" s="1817">
        <f t="shared" si="30"/>
        <v>0</v>
      </c>
      <c r="H135" s="1816">
        <f t="shared" si="59"/>
        <v>0</v>
      </c>
      <c r="I135" s="469">
        <f>IF('Estimate Summary'!$D$9&lt;2,0,$H135)</f>
        <v>0</v>
      </c>
      <c r="J135" s="469">
        <f>IF('Estimate Summary'!$D$9&lt;3,0,$H135)</f>
        <v>0</v>
      </c>
      <c r="K135" s="469">
        <f>IF('Estimate Summary'!$D$9&lt;4,0,$H135)</f>
        <v>0</v>
      </c>
      <c r="L135" s="469">
        <f>IF('Estimate Summary'!$D$9&lt;5,0,$H135)</f>
        <v>0</v>
      </c>
      <c r="M135" s="469">
        <f>IF('Estimate Summary'!$D$9&lt;6,0,$H135)</f>
        <v>0</v>
      </c>
      <c r="N135" s="1647"/>
      <c r="O135" s="697"/>
      <c r="P135" s="474">
        <f t="shared" si="60"/>
        <v>43</v>
      </c>
      <c r="Q135" s="794">
        <v>42683</v>
      </c>
      <c r="R135" s="795">
        <f>$R$2+30.42*'Offshore CF'!BV13</f>
        <v>43986.46</v>
      </c>
      <c r="S135" s="475" t="s">
        <v>127</v>
      </c>
      <c r="T135" s="484" t="s">
        <v>337</v>
      </c>
      <c r="U135" s="697" t="s">
        <v>1142</v>
      </c>
      <c r="V135" s="391" t="str">
        <f t="shared" si="20"/>
        <v>USD</v>
      </c>
      <c r="W135" s="547"/>
      <c r="X135" s="863">
        <f t="shared" si="61"/>
        <v>0</v>
      </c>
      <c r="Y135" s="890"/>
      <c r="Z135" s="890">
        <f t="shared" si="33"/>
        <v>0</v>
      </c>
      <c r="AA135" s="484">
        <f t="shared" si="34"/>
        <v>0</v>
      </c>
      <c r="AB135" s="484">
        <f t="shared" si="62"/>
        <v>0</v>
      </c>
      <c r="AC135" s="880"/>
      <c r="AD135" s="697"/>
      <c r="AE135" s="697"/>
      <c r="AF135" s="861"/>
      <c r="AG135" s="697"/>
      <c r="AH135" s="861">
        <f t="shared" si="57"/>
        <v>0</v>
      </c>
      <c r="AI135" s="861">
        <f t="shared" si="58"/>
        <v>0</v>
      </c>
      <c r="AJ135" s="383" t="s">
        <v>669</v>
      </c>
      <c r="AK135" s="383" t="s">
        <v>1128</v>
      </c>
      <c r="AL135" s="605" t="str">
        <f t="shared" si="21"/>
        <v>US</v>
      </c>
      <c r="AM135" s="899">
        <f>'Estimate Summary'!$D$9</f>
        <v>1</v>
      </c>
      <c r="AN135" s="605" t="s">
        <v>1136</v>
      </c>
      <c r="AO135" s="899">
        <f t="shared" si="22"/>
        <v>0</v>
      </c>
      <c r="AP135" s="605" t="str">
        <f t="shared" si="23"/>
        <v>USD</v>
      </c>
      <c r="AQ135" s="605" t="s">
        <v>1139</v>
      </c>
      <c r="AR135" s="605" t="s">
        <v>670</v>
      </c>
      <c r="AS135" s="605" t="s">
        <v>745</v>
      </c>
      <c r="AT135" s="605" t="str">
        <f>'Estimate Summary'!$AT$11</f>
        <v>FOB SH</v>
      </c>
      <c r="AU135" s="610" t="str">
        <f t="shared" si="24"/>
        <v>US</v>
      </c>
      <c r="AV135" s="605" t="s">
        <v>1140</v>
      </c>
      <c r="AW135" s="2255">
        <f t="shared" si="25"/>
        <v>42683</v>
      </c>
    </row>
    <row r="136" spans="2:49" s="605" customFormat="1" ht="13.5" hidden="1" customHeight="1" outlineLevel="1">
      <c r="B136" s="1699" t="s">
        <v>932</v>
      </c>
      <c r="C136" s="386" t="s">
        <v>884</v>
      </c>
      <c r="D136" s="1831" t="s">
        <v>181</v>
      </c>
      <c r="E136" s="421"/>
      <c r="F136" s="1639"/>
      <c r="G136" s="1817">
        <f t="shared" si="30"/>
        <v>0</v>
      </c>
      <c r="H136" s="1816">
        <f t="shared" si="59"/>
        <v>0</v>
      </c>
      <c r="I136" s="469">
        <f>IF('Estimate Summary'!$D$9&lt;2,0,$H136)</f>
        <v>0</v>
      </c>
      <c r="J136" s="469">
        <f>IF('Estimate Summary'!$D$9&lt;3,0,$H136)</f>
        <v>0</v>
      </c>
      <c r="K136" s="469">
        <f>IF('Estimate Summary'!$D$9&lt;4,0,$H136)</f>
        <v>0</v>
      </c>
      <c r="L136" s="469">
        <f>IF('Estimate Summary'!$D$9&lt;5,0,$H136)</f>
        <v>0</v>
      </c>
      <c r="M136" s="469">
        <f>IF('Estimate Summary'!$D$9&lt;6,0,$H136)</f>
        <v>0</v>
      </c>
      <c r="N136" s="1647"/>
      <c r="O136" s="697"/>
      <c r="P136" s="474">
        <f t="shared" si="60"/>
        <v>43</v>
      </c>
      <c r="Q136" s="794">
        <v>42683</v>
      </c>
      <c r="R136" s="795">
        <f>$R$2+30.42*'Offshore CF'!BV13</f>
        <v>43986.46</v>
      </c>
      <c r="S136" s="475" t="s">
        <v>127</v>
      </c>
      <c r="T136" s="484" t="s">
        <v>180</v>
      </c>
      <c r="U136" s="697" t="s">
        <v>424</v>
      </c>
      <c r="V136" s="391" t="str">
        <f t="shared" si="20"/>
        <v>CNY</v>
      </c>
      <c r="W136" s="547"/>
      <c r="X136" s="863">
        <f t="shared" si="61"/>
        <v>0</v>
      </c>
      <c r="Y136" s="890"/>
      <c r="Z136" s="890">
        <f t="shared" si="33"/>
        <v>0</v>
      </c>
      <c r="AA136" s="484">
        <f t="shared" si="34"/>
        <v>0</v>
      </c>
      <c r="AB136" s="484">
        <f t="shared" si="62"/>
        <v>0</v>
      </c>
      <c r="AC136" s="880"/>
      <c r="AD136" s="697">
        <f>IF(V136&lt;&gt;"CNY",(AB136+#REF!)*AC136,0)</f>
        <v>0</v>
      </c>
      <c r="AE136" s="697"/>
      <c r="AF136" s="861">
        <f>IF(V136&lt;&gt;"CNY",(AB136+#REF!)*#REF!,0)</f>
        <v>0</v>
      </c>
      <c r="AG136" s="697">
        <f>IF(V136&lt;&gt;"CNY",E136*#REF!/1000,0)</f>
        <v>0</v>
      </c>
      <c r="AH136" s="861">
        <f t="shared" si="57"/>
        <v>0</v>
      </c>
      <c r="AI136" s="861">
        <f t="shared" si="58"/>
        <v>0</v>
      </c>
      <c r="AJ136" s="383" t="s">
        <v>669</v>
      </c>
      <c r="AK136" s="383" t="s">
        <v>1128</v>
      </c>
      <c r="AL136" s="605" t="str">
        <f t="shared" si="21"/>
        <v>CN</v>
      </c>
      <c r="AM136" s="899">
        <f>'Estimate Summary'!$D$9</f>
        <v>1</v>
      </c>
      <c r="AN136" s="605" t="s">
        <v>1136</v>
      </c>
      <c r="AO136" s="899">
        <f t="shared" si="22"/>
        <v>0</v>
      </c>
      <c r="AP136" s="605" t="str">
        <f t="shared" si="23"/>
        <v>CNY</v>
      </c>
      <c r="AQ136" s="605" t="s">
        <v>1139</v>
      </c>
      <c r="AR136" s="605" t="s">
        <v>670</v>
      </c>
      <c r="AS136" s="605" t="s">
        <v>745</v>
      </c>
      <c r="AT136" s="605" t="str">
        <f>'Estimate Summary'!$AT$11</f>
        <v>FOB SH</v>
      </c>
      <c r="AU136" s="610" t="str">
        <f t="shared" si="24"/>
        <v>CN</v>
      </c>
      <c r="AV136" s="605" t="s">
        <v>1140</v>
      </c>
      <c r="AW136" s="2255">
        <f t="shared" si="25"/>
        <v>42683</v>
      </c>
    </row>
    <row r="137" spans="2:49" s="605" customFormat="1" ht="13.5" hidden="1" customHeight="1" outlineLevel="1">
      <c r="B137" s="1699" t="s">
        <v>932</v>
      </c>
      <c r="C137" s="386" t="s">
        <v>884</v>
      </c>
      <c r="D137" s="1831" t="s">
        <v>179</v>
      </c>
      <c r="E137" s="421"/>
      <c r="F137" s="1639"/>
      <c r="G137" s="1817">
        <f t="shared" si="30"/>
        <v>0</v>
      </c>
      <c r="H137" s="1816">
        <f t="shared" si="59"/>
        <v>0</v>
      </c>
      <c r="I137" s="469">
        <f>IF('Estimate Summary'!$D$9&lt;2,0,$H137)</f>
        <v>0</v>
      </c>
      <c r="J137" s="469">
        <f>IF('Estimate Summary'!$D$9&lt;3,0,$H137)</f>
        <v>0</v>
      </c>
      <c r="K137" s="469">
        <f>IF('Estimate Summary'!$D$9&lt;4,0,$H137)</f>
        <v>0</v>
      </c>
      <c r="L137" s="469">
        <f>IF('Estimate Summary'!$D$9&lt;5,0,$H137)</f>
        <v>0</v>
      </c>
      <c r="M137" s="469">
        <f>IF('Estimate Summary'!$D$9&lt;6,0,$H137)</f>
        <v>0</v>
      </c>
      <c r="N137" s="1647"/>
      <c r="O137" s="697"/>
      <c r="P137" s="474">
        <f t="shared" si="60"/>
        <v>43</v>
      </c>
      <c r="Q137" s="794">
        <v>42683</v>
      </c>
      <c r="R137" s="795">
        <f>$R$2+30.42*'Offshore CF'!BV13</f>
        <v>43986.46</v>
      </c>
      <c r="S137" s="475" t="s">
        <v>127</v>
      </c>
      <c r="T137" s="484" t="s">
        <v>337</v>
      </c>
      <c r="U137" s="697" t="s">
        <v>747</v>
      </c>
      <c r="V137" s="391" t="str">
        <f t="shared" si="20"/>
        <v>EUR</v>
      </c>
      <c r="W137" s="547"/>
      <c r="X137" s="863">
        <f t="shared" si="61"/>
        <v>0</v>
      </c>
      <c r="Y137" s="890"/>
      <c r="Z137" s="890">
        <f t="shared" si="33"/>
        <v>0</v>
      </c>
      <c r="AA137" s="484">
        <f t="shared" si="34"/>
        <v>0</v>
      </c>
      <c r="AB137" s="484">
        <f t="shared" si="62"/>
        <v>0</v>
      </c>
      <c r="AC137" s="880"/>
      <c r="AD137" s="697"/>
      <c r="AE137" s="697"/>
      <c r="AF137" s="861"/>
      <c r="AG137" s="697"/>
      <c r="AH137" s="861">
        <f t="shared" si="57"/>
        <v>0</v>
      </c>
      <c r="AI137" s="861">
        <f t="shared" si="58"/>
        <v>0</v>
      </c>
      <c r="AJ137" s="383" t="s">
        <v>669</v>
      </c>
      <c r="AK137" s="383" t="s">
        <v>1128</v>
      </c>
      <c r="AL137" s="605" t="str">
        <f t="shared" si="21"/>
        <v>DE</v>
      </c>
      <c r="AM137" s="899">
        <f>'Estimate Summary'!$D$9</f>
        <v>1</v>
      </c>
      <c r="AN137" s="605" t="s">
        <v>1136</v>
      </c>
      <c r="AO137" s="899">
        <f t="shared" si="22"/>
        <v>0</v>
      </c>
      <c r="AP137" s="605" t="str">
        <f t="shared" si="23"/>
        <v>EUR</v>
      </c>
      <c r="AQ137" s="605" t="s">
        <v>1139</v>
      </c>
      <c r="AR137" s="605" t="s">
        <v>670</v>
      </c>
      <c r="AS137" s="605" t="s">
        <v>745</v>
      </c>
      <c r="AT137" s="605" t="str">
        <f>'Estimate Summary'!$AT$11</f>
        <v>FOB SH</v>
      </c>
      <c r="AU137" s="610" t="str">
        <f t="shared" si="24"/>
        <v>DE</v>
      </c>
      <c r="AV137" s="605" t="s">
        <v>1140</v>
      </c>
      <c r="AW137" s="2255">
        <f t="shared" si="25"/>
        <v>42683</v>
      </c>
    </row>
    <row r="138" spans="2:49" s="605" customFormat="1" ht="26.25" hidden="1" customHeight="1" outlineLevel="1">
      <c r="B138" s="1699" t="s">
        <v>933</v>
      </c>
      <c r="C138" s="386" t="s">
        <v>885</v>
      </c>
      <c r="D138" s="1831" t="s">
        <v>179</v>
      </c>
      <c r="E138" s="421"/>
      <c r="F138" s="1639"/>
      <c r="G138" s="1817">
        <f t="shared" si="30"/>
        <v>0</v>
      </c>
      <c r="H138" s="1816">
        <f t="shared" si="59"/>
        <v>0</v>
      </c>
      <c r="I138" s="469">
        <f>IF('Estimate Summary'!$D$9&lt;2,0,$H138)</f>
        <v>0</v>
      </c>
      <c r="J138" s="469">
        <f>IF('Estimate Summary'!$D$9&lt;3,0,$H138)</f>
        <v>0</v>
      </c>
      <c r="K138" s="469">
        <f>IF('Estimate Summary'!$D$9&lt;4,0,$H138)</f>
        <v>0</v>
      </c>
      <c r="L138" s="469">
        <f>IF('Estimate Summary'!$D$9&lt;5,0,$H138)</f>
        <v>0</v>
      </c>
      <c r="M138" s="469">
        <f>IF('Estimate Summary'!$D$9&lt;6,0,$H138)</f>
        <v>0</v>
      </c>
      <c r="N138" s="1647"/>
      <c r="O138" s="697"/>
      <c r="P138" s="474">
        <f t="shared" si="60"/>
        <v>43</v>
      </c>
      <c r="Q138" s="794">
        <v>42683</v>
      </c>
      <c r="R138" s="795">
        <f>$R$2+30.42*'Offshore CF'!BV13</f>
        <v>43986.46</v>
      </c>
      <c r="S138" s="475" t="s">
        <v>127</v>
      </c>
      <c r="T138" s="484" t="s">
        <v>337</v>
      </c>
      <c r="U138" s="697" t="s">
        <v>747</v>
      </c>
      <c r="V138" s="391" t="str">
        <f t="shared" si="20"/>
        <v>EUR</v>
      </c>
      <c r="W138" s="547"/>
      <c r="X138" s="863">
        <f t="shared" si="61"/>
        <v>0</v>
      </c>
      <c r="Y138" s="890"/>
      <c r="Z138" s="890">
        <f t="shared" si="33"/>
        <v>0</v>
      </c>
      <c r="AA138" s="484">
        <f t="shared" si="34"/>
        <v>0</v>
      </c>
      <c r="AB138" s="484">
        <f t="shared" si="62"/>
        <v>0</v>
      </c>
      <c r="AC138" s="880"/>
      <c r="AD138" s="697"/>
      <c r="AE138" s="697"/>
      <c r="AF138" s="861"/>
      <c r="AG138" s="697"/>
      <c r="AH138" s="861">
        <f t="shared" si="57"/>
        <v>0</v>
      </c>
      <c r="AI138" s="861">
        <f t="shared" si="58"/>
        <v>0</v>
      </c>
      <c r="AJ138" s="383" t="s">
        <v>669</v>
      </c>
      <c r="AK138" s="383" t="s">
        <v>1128</v>
      </c>
      <c r="AL138" s="605" t="str">
        <f t="shared" si="21"/>
        <v>DE</v>
      </c>
      <c r="AM138" s="899">
        <f>'Estimate Summary'!$D$9</f>
        <v>1</v>
      </c>
      <c r="AN138" s="605" t="s">
        <v>1136</v>
      </c>
      <c r="AO138" s="899">
        <f t="shared" si="22"/>
        <v>0</v>
      </c>
      <c r="AP138" s="605" t="str">
        <f t="shared" si="23"/>
        <v>EUR</v>
      </c>
      <c r="AQ138" s="605" t="s">
        <v>1139</v>
      </c>
      <c r="AR138" s="605" t="s">
        <v>670</v>
      </c>
      <c r="AS138" s="605" t="s">
        <v>745</v>
      </c>
      <c r="AT138" s="605" t="str">
        <f>'Estimate Summary'!$AT$11</f>
        <v>FOB SH</v>
      </c>
      <c r="AU138" s="610" t="str">
        <f t="shared" si="24"/>
        <v>DE</v>
      </c>
      <c r="AV138" s="605" t="s">
        <v>1140</v>
      </c>
      <c r="AW138" s="2255">
        <f t="shared" si="25"/>
        <v>42683</v>
      </c>
    </row>
    <row r="139" spans="2:49" s="605" customFormat="1" ht="13.5" hidden="1" customHeight="1" outlineLevel="1">
      <c r="B139" s="1699" t="s">
        <v>934</v>
      </c>
      <c r="C139" s="386" t="s">
        <v>886</v>
      </c>
      <c r="D139" s="1831" t="s">
        <v>181</v>
      </c>
      <c r="E139" s="421"/>
      <c r="F139" s="1639"/>
      <c r="G139" s="1817">
        <f t="shared" si="30"/>
        <v>0</v>
      </c>
      <c r="H139" s="1816">
        <f t="shared" si="59"/>
        <v>0</v>
      </c>
      <c r="I139" s="469">
        <f>IF('Estimate Summary'!$D$9&lt;2,0,$H139)</f>
        <v>0</v>
      </c>
      <c r="J139" s="469">
        <f>IF('Estimate Summary'!$D$9&lt;3,0,$H139)</f>
        <v>0</v>
      </c>
      <c r="K139" s="469">
        <f>IF('Estimate Summary'!$D$9&lt;4,0,$H139)</f>
        <v>0</v>
      </c>
      <c r="L139" s="469">
        <f>IF('Estimate Summary'!$D$9&lt;5,0,$H139)</f>
        <v>0</v>
      </c>
      <c r="M139" s="469">
        <f>IF('Estimate Summary'!$D$9&lt;6,0,$H139)</f>
        <v>0</v>
      </c>
      <c r="N139" s="1647"/>
      <c r="O139" s="697"/>
      <c r="P139" s="474">
        <f t="shared" si="60"/>
        <v>43</v>
      </c>
      <c r="Q139" s="794">
        <v>42683</v>
      </c>
      <c r="R139" s="795">
        <f>$R$2+30.42*'Offshore CF'!BV13</f>
        <v>43986.46</v>
      </c>
      <c r="S139" s="475" t="s">
        <v>127</v>
      </c>
      <c r="T139" s="484" t="s">
        <v>180</v>
      </c>
      <c r="U139" s="697" t="s">
        <v>424</v>
      </c>
      <c r="V139" s="391" t="str">
        <f t="shared" si="20"/>
        <v>CNY</v>
      </c>
      <c r="W139" s="547"/>
      <c r="X139" s="863">
        <f t="shared" si="61"/>
        <v>0</v>
      </c>
      <c r="Y139" s="890"/>
      <c r="Z139" s="890">
        <f t="shared" si="33"/>
        <v>0</v>
      </c>
      <c r="AA139" s="484">
        <f t="shared" si="34"/>
        <v>0</v>
      </c>
      <c r="AB139" s="484">
        <f t="shared" si="62"/>
        <v>0</v>
      </c>
      <c r="AC139" s="880"/>
      <c r="AD139" s="697">
        <f>IF(V139&lt;&gt;"CNY",(AB139+#REF!)*AC139,0)</f>
        <v>0</v>
      </c>
      <c r="AE139" s="697"/>
      <c r="AF139" s="861">
        <f>IF(V139&lt;&gt;"CNY",(AB139+#REF!)*#REF!,0)</f>
        <v>0</v>
      </c>
      <c r="AG139" s="697">
        <f>IF(V139&lt;&gt;"CNY",E139*#REF!/1000,0)</f>
        <v>0</v>
      </c>
      <c r="AH139" s="861">
        <f t="shared" si="57"/>
        <v>0</v>
      </c>
      <c r="AI139" s="861">
        <f t="shared" si="58"/>
        <v>0</v>
      </c>
      <c r="AJ139" s="383" t="s">
        <v>669</v>
      </c>
      <c r="AK139" s="383" t="s">
        <v>1128</v>
      </c>
      <c r="AL139" s="605" t="str">
        <f t="shared" si="21"/>
        <v>CN</v>
      </c>
      <c r="AM139" s="899">
        <f>'Estimate Summary'!$D$9</f>
        <v>1</v>
      </c>
      <c r="AN139" s="605" t="s">
        <v>1136</v>
      </c>
      <c r="AO139" s="899">
        <f t="shared" si="22"/>
        <v>0</v>
      </c>
      <c r="AP139" s="605" t="str">
        <f t="shared" si="23"/>
        <v>CNY</v>
      </c>
      <c r="AQ139" s="605" t="s">
        <v>1139</v>
      </c>
      <c r="AR139" s="605" t="s">
        <v>670</v>
      </c>
      <c r="AS139" s="605" t="s">
        <v>745</v>
      </c>
      <c r="AT139" s="605" t="str">
        <f>'Estimate Summary'!$AT$11</f>
        <v>FOB SH</v>
      </c>
      <c r="AU139" s="610" t="str">
        <f t="shared" si="24"/>
        <v>CN</v>
      </c>
      <c r="AV139" s="605" t="s">
        <v>1140</v>
      </c>
      <c r="AW139" s="2255">
        <f t="shared" si="25"/>
        <v>42683</v>
      </c>
    </row>
    <row r="140" spans="2:49" s="605" customFormat="1" ht="26.25" hidden="1" customHeight="1" outlineLevel="1">
      <c r="B140" s="1699" t="s">
        <v>935</v>
      </c>
      <c r="C140" s="386" t="s">
        <v>887</v>
      </c>
      <c r="D140" s="1831" t="s">
        <v>179</v>
      </c>
      <c r="E140" s="421"/>
      <c r="F140" s="1639"/>
      <c r="G140" s="1817">
        <f t="shared" si="30"/>
        <v>0</v>
      </c>
      <c r="H140" s="1816">
        <f t="shared" si="59"/>
        <v>0</v>
      </c>
      <c r="I140" s="469">
        <f>IF('Estimate Summary'!$D$9&lt;2,0,$H140)</f>
        <v>0</v>
      </c>
      <c r="J140" s="469">
        <f>IF('Estimate Summary'!$D$9&lt;3,0,$H140)</f>
        <v>0</v>
      </c>
      <c r="K140" s="469">
        <f>IF('Estimate Summary'!$D$9&lt;4,0,$H140)</f>
        <v>0</v>
      </c>
      <c r="L140" s="469">
        <f>IF('Estimate Summary'!$D$9&lt;5,0,$H140)</f>
        <v>0</v>
      </c>
      <c r="M140" s="469">
        <f>IF('Estimate Summary'!$D$9&lt;6,0,$H140)</f>
        <v>0</v>
      </c>
      <c r="N140" s="1647"/>
      <c r="O140" s="697"/>
      <c r="P140" s="474">
        <f t="shared" si="60"/>
        <v>43</v>
      </c>
      <c r="Q140" s="794">
        <v>42683</v>
      </c>
      <c r="R140" s="795">
        <f>$R$2+30.42*'Offshore CF'!BV13</f>
        <v>43986.46</v>
      </c>
      <c r="S140" s="475" t="s">
        <v>127</v>
      </c>
      <c r="T140" s="484" t="s">
        <v>337</v>
      </c>
      <c r="U140" s="697" t="s">
        <v>747</v>
      </c>
      <c r="V140" s="391" t="str">
        <f t="shared" si="20"/>
        <v>EUR</v>
      </c>
      <c r="W140" s="547"/>
      <c r="X140" s="863">
        <f t="shared" si="61"/>
        <v>0</v>
      </c>
      <c r="Y140" s="890"/>
      <c r="Z140" s="890">
        <f t="shared" si="33"/>
        <v>0</v>
      </c>
      <c r="AA140" s="484">
        <f t="shared" si="34"/>
        <v>0</v>
      </c>
      <c r="AB140" s="484">
        <f t="shared" si="62"/>
        <v>0</v>
      </c>
      <c r="AC140" s="880"/>
      <c r="AD140" s="697"/>
      <c r="AE140" s="697"/>
      <c r="AF140" s="861"/>
      <c r="AG140" s="697"/>
      <c r="AH140" s="861">
        <f t="shared" si="57"/>
        <v>0</v>
      </c>
      <c r="AI140" s="861">
        <f t="shared" si="58"/>
        <v>0</v>
      </c>
      <c r="AJ140" s="383" t="s">
        <v>669</v>
      </c>
      <c r="AK140" s="383" t="s">
        <v>1128</v>
      </c>
      <c r="AL140" s="605" t="str">
        <f t="shared" si="21"/>
        <v>DE</v>
      </c>
      <c r="AM140" s="899">
        <f>'Estimate Summary'!$D$9</f>
        <v>1</v>
      </c>
      <c r="AN140" s="605" t="s">
        <v>1136</v>
      </c>
      <c r="AO140" s="899">
        <f t="shared" si="22"/>
        <v>0</v>
      </c>
      <c r="AP140" s="605" t="str">
        <f t="shared" si="23"/>
        <v>EUR</v>
      </c>
      <c r="AQ140" s="605" t="s">
        <v>1139</v>
      </c>
      <c r="AR140" s="605" t="s">
        <v>670</v>
      </c>
      <c r="AS140" s="605" t="s">
        <v>745</v>
      </c>
      <c r="AT140" s="605" t="str">
        <f>'Estimate Summary'!$AT$11</f>
        <v>FOB SH</v>
      </c>
      <c r="AU140" s="610" t="str">
        <f t="shared" si="24"/>
        <v>DE</v>
      </c>
      <c r="AV140" s="605" t="s">
        <v>1140</v>
      </c>
      <c r="AW140" s="2255">
        <f t="shared" si="25"/>
        <v>42683</v>
      </c>
    </row>
    <row r="141" spans="2:49" s="605" customFormat="1" ht="13.5" hidden="1" customHeight="1" outlineLevel="1">
      <c r="B141" s="1699" t="s">
        <v>936</v>
      </c>
      <c r="C141" s="386" t="s">
        <v>888</v>
      </c>
      <c r="D141" s="1831" t="s">
        <v>181</v>
      </c>
      <c r="E141" s="421"/>
      <c r="F141" s="1639"/>
      <c r="G141" s="1817">
        <f t="shared" si="30"/>
        <v>0</v>
      </c>
      <c r="H141" s="1816">
        <f t="shared" si="59"/>
        <v>0</v>
      </c>
      <c r="I141" s="469">
        <f>IF('Estimate Summary'!$D$9&lt;2,0,$H141)</f>
        <v>0</v>
      </c>
      <c r="J141" s="469">
        <f>IF('Estimate Summary'!$D$9&lt;3,0,$H141)</f>
        <v>0</v>
      </c>
      <c r="K141" s="469">
        <f>IF('Estimate Summary'!$D$9&lt;4,0,$H141)</f>
        <v>0</v>
      </c>
      <c r="L141" s="469">
        <f>IF('Estimate Summary'!$D$9&lt;5,0,$H141)</f>
        <v>0</v>
      </c>
      <c r="M141" s="469">
        <f>IF('Estimate Summary'!$D$9&lt;6,0,$H141)</f>
        <v>0</v>
      </c>
      <c r="N141" s="1647"/>
      <c r="O141" s="697"/>
      <c r="P141" s="474">
        <f t="shared" si="60"/>
        <v>43</v>
      </c>
      <c r="Q141" s="794">
        <v>42683</v>
      </c>
      <c r="R141" s="795">
        <f>$R$2+30.42*'Offshore CF'!BV13</f>
        <v>43986.46</v>
      </c>
      <c r="S141" s="475" t="s">
        <v>127</v>
      </c>
      <c r="T141" s="484" t="s">
        <v>180</v>
      </c>
      <c r="U141" s="697" t="s">
        <v>424</v>
      </c>
      <c r="V141" s="391" t="str">
        <f t="shared" si="20"/>
        <v>CNY</v>
      </c>
      <c r="W141" s="547"/>
      <c r="X141" s="863">
        <f t="shared" si="61"/>
        <v>0</v>
      </c>
      <c r="Y141" s="890"/>
      <c r="Z141" s="890">
        <f t="shared" si="33"/>
        <v>0</v>
      </c>
      <c r="AA141" s="484">
        <f t="shared" si="34"/>
        <v>0</v>
      </c>
      <c r="AB141" s="484">
        <f t="shared" si="62"/>
        <v>0</v>
      </c>
      <c r="AC141" s="880"/>
      <c r="AD141" s="697">
        <f>IF(V141&lt;&gt;"CNY",(AB141+#REF!)*AC141,0)</f>
        <v>0</v>
      </c>
      <c r="AE141" s="697"/>
      <c r="AF141" s="861">
        <f>IF(V141&lt;&gt;"CNY",(AB141+#REF!)*#REF!,0)</f>
        <v>0</v>
      </c>
      <c r="AG141" s="697">
        <f>IF(V141&lt;&gt;"CNY",E141*#REF!/1000,0)</f>
        <v>0</v>
      </c>
      <c r="AH141" s="861">
        <f t="shared" si="57"/>
        <v>0</v>
      </c>
      <c r="AI141" s="861">
        <f t="shared" si="58"/>
        <v>0</v>
      </c>
      <c r="AJ141" s="383" t="s">
        <v>669</v>
      </c>
      <c r="AK141" s="383" t="s">
        <v>1128</v>
      </c>
      <c r="AL141" s="605" t="str">
        <f t="shared" si="21"/>
        <v>CN</v>
      </c>
      <c r="AM141" s="899">
        <f>'Estimate Summary'!$D$9</f>
        <v>1</v>
      </c>
      <c r="AN141" s="605" t="s">
        <v>1136</v>
      </c>
      <c r="AO141" s="899">
        <f t="shared" si="22"/>
        <v>0</v>
      </c>
      <c r="AP141" s="605" t="str">
        <f t="shared" ref="AP141:AP204" si="63">D141</f>
        <v>CNY</v>
      </c>
      <c r="AQ141" s="605" t="s">
        <v>1139</v>
      </c>
      <c r="AR141" s="605" t="s">
        <v>670</v>
      </c>
      <c r="AS141" s="605" t="s">
        <v>745</v>
      </c>
      <c r="AT141" s="605" t="str">
        <f>'Estimate Summary'!$AT$11</f>
        <v>FOB SH</v>
      </c>
      <c r="AU141" s="610" t="str">
        <f t="shared" si="24"/>
        <v>CN</v>
      </c>
      <c r="AV141" s="605" t="s">
        <v>1140</v>
      </c>
      <c r="AW141" s="2255">
        <f t="shared" si="25"/>
        <v>42683</v>
      </c>
    </row>
    <row r="142" spans="2:49" s="605" customFormat="1" ht="13.5" hidden="1" customHeight="1" outlineLevel="1">
      <c r="B142" s="1699" t="s">
        <v>937</v>
      </c>
      <c r="C142" s="386" t="s">
        <v>888</v>
      </c>
      <c r="D142" s="1831" t="s">
        <v>179</v>
      </c>
      <c r="E142" s="421"/>
      <c r="F142" s="1639"/>
      <c r="G142" s="1817">
        <f t="shared" si="30"/>
        <v>0</v>
      </c>
      <c r="H142" s="1816">
        <f t="shared" si="59"/>
        <v>0</v>
      </c>
      <c r="I142" s="469">
        <f>IF('Estimate Summary'!$D$9&lt;2,0,$H142)</f>
        <v>0</v>
      </c>
      <c r="J142" s="469">
        <f>IF('Estimate Summary'!$D$9&lt;3,0,$H142)</f>
        <v>0</v>
      </c>
      <c r="K142" s="469">
        <f>IF('Estimate Summary'!$D$9&lt;4,0,$H142)</f>
        <v>0</v>
      </c>
      <c r="L142" s="469">
        <f>IF('Estimate Summary'!$D$9&lt;5,0,$H142)</f>
        <v>0</v>
      </c>
      <c r="M142" s="469">
        <f>IF('Estimate Summary'!$D$9&lt;6,0,$H142)</f>
        <v>0</v>
      </c>
      <c r="N142" s="1647"/>
      <c r="O142" s="697"/>
      <c r="P142" s="474">
        <f t="shared" si="60"/>
        <v>43</v>
      </c>
      <c r="Q142" s="794">
        <v>42683</v>
      </c>
      <c r="R142" s="795">
        <f>$R$2+30.42*'Offshore CF'!BV13</f>
        <v>43986.46</v>
      </c>
      <c r="S142" s="475" t="s">
        <v>127</v>
      </c>
      <c r="T142" s="484" t="s">
        <v>337</v>
      </c>
      <c r="U142" s="697" t="s">
        <v>747</v>
      </c>
      <c r="V142" s="391" t="str">
        <f t="shared" si="20"/>
        <v>EUR</v>
      </c>
      <c r="W142" s="547"/>
      <c r="X142" s="863">
        <f t="shared" si="61"/>
        <v>0</v>
      </c>
      <c r="Y142" s="890"/>
      <c r="Z142" s="890">
        <f t="shared" si="33"/>
        <v>0</v>
      </c>
      <c r="AA142" s="484">
        <f t="shared" si="34"/>
        <v>0</v>
      </c>
      <c r="AB142" s="484">
        <f t="shared" si="62"/>
        <v>0</v>
      </c>
      <c r="AC142" s="880"/>
      <c r="AD142" s="697"/>
      <c r="AE142" s="697"/>
      <c r="AF142" s="861"/>
      <c r="AG142" s="697"/>
      <c r="AH142" s="861">
        <f t="shared" si="57"/>
        <v>0</v>
      </c>
      <c r="AI142" s="861">
        <f t="shared" si="58"/>
        <v>0</v>
      </c>
      <c r="AJ142" s="383" t="s">
        <v>669</v>
      </c>
      <c r="AK142" s="383" t="s">
        <v>1128</v>
      </c>
      <c r="AL142" s="605" t="str">
        <f t="shared" si="21"/>
        <v>DE</v>
      </c>
      <c r="AM142" s="899">
        <f>'Estimate Summary'!$D$9</f>
        <v>1</v>
      </c>
      <c r="AN142" s="605" t="s">
        <v>1136</v>
      </c>
      <c r="AO142" s="899">
        <f t="shared" si="22"/>
        <v>0</v>
      </c>
      <c r="AP142" s="605" t="str">
        <f t="shared" si="63"/>
        <v>EUR</v>
      </c>
      <c r="AQ142" s="605" t="s">
        <v>1139</v>
      </c>
      <c r="AR142" s="605" t="s">
        <v>670</v>
      </c>
      <c r="AS142" s="605" t="s">
        <v>745</v>
      </c>
      <c r="AT142" s="605" t="str">
        <f>'Estimate Summary'!$AT$11</f>
        <v>FOB SH</v>
      </c>
      <c r="AU142" s="610" t="str">
        <f t="shared" si="24"/>
        <v>DE</v>
      </c>
      <c r="AV142" s="605" t="s">
        <v>1140</v>
      </c>
      <c r="AW142" s="2255">
        <f t="shared" si="25"/>
        <v>42683</v>
      </c>
    </row>
    <row r="143" spans="2:49" s="605" customFormat="1" ht="16.5" hidden="1" customHeight="1" outlineLevel="1" collapsed="1" thickBot="1">
      <c r="B143" s="1656"/>
      <c r="C143" s="1660" t="s">
        <v>889</v>
      </c>
      <c r="D143" s="1826"/>
      <c r="E143" s="1657"/>
      <c r="F143" s="1658"/>
      <c r="G143" s="1659">
        <f t="shared" si="30"/>
        <v>0</v>
      </c>
      <c r="H143" s="1687">
        <f t="shared" ref="H143:M143" si="64">SUM(H132:H142)</f>
        <v>0</v>
      </c>
      <c r="I143" s="1663">
        <f t="shared" si="64"/>
        <v>0</v>
      </c>
      <c r="J143" s="1663">
        <f t="shared" si="64"/>
        <v>0</v>
      </c>
      <c r="K143" s="1663">
        <f t="shared" si="64"/>
        <v>0</v>
      </c>
      <c r="L143" s="1663">
        <f t="shared" si="64"/>
        <v>0</v>
      </c>
      <c r="M143" s="1663">
        <f t="shared" si="64"/>
        <v>0</v>
      </c>
      <c r="N143" s="1758"/>
      <c r="P143" s="603"/>
      <c r="Q143" s="794"/>
      <c r="R143" s="2255"/>
      <c r="S143" s="551"/>
      <c r="T143" s="551"/>
      <c r="U143" s="610"/>
      <c r="V143" s="603">
        <f t="shared" ref="V143:V206" si="65">D143</f>
        <v>0</v>
      </c>
      <c r="W143" s="874"/>
      <c r="X143" s="874"/>
      <c r="Y143" s="1671"/>
      <c r="Z143" s="1874">
        <f t="shared" si="33"/>
        <v>0</v>
      </c>
      <c r="AA143" s="551"/>
      <c r="AB143" s="1012"/>
      <c r="AC143" s="900"/>
      <c r="AF143" s="870"/>
      <c r="AH143" s="870"/>
      <c r="AI143" s="870"/>
      <c r="AJ143" s="383" t="s">
        <v>669</v>
      </c>
      <c r="AK143" s="383" t="s">
        <v>1128</v>
      </c>
      <c r="AL143" s="605" t="b">
        <f t="shared" ref="AL143:AL207" si="66">IF(D143="CNY","CN",IF(D143="EUR","DE",IF(D143="USD","US",IF(D143="JPY","JP",IF(D143="INR","IN")))))</f>
        <v>0</v>
      </c>
      <c r="AM143" s="899">
        <f>'Estimate Summary'!$D$9</f>
        <v>1</v>
      </c>
      <c r="AN143" s="605" t="s">
        <v>1136</v>
      </c>
      <c r="AO143" s="899">
        <f t="shared" ref="AO143:AO207" si="67">G143</f>
        <v>0</v>
      </c>
      <c r="AP143" s="605">
        <f t="shared" si="63"/>
        <v>0</v>
      </c>
      <c r="AQ143" s="605" t="s">
        <v>1139</v>
      </c>
      <c r="AR143" s="605" t="s">
        <v>670</v>
      </c>
      <c r="AS143" s="605" t="s">
        <v>745</v>
      </c>
      <c r="AT143" s="605" t="str">
        <f>'Estimate Summary'!$AT$11</f>
        <v>FOB SH</v>
      </c>
      <c r="AU143" s="610" t="b">
        <f t="shared" ref="AU143:AU207" si="68">AL143</f>
        <v>0</v>
      </c>
      <c r="AV143" s="605" t="s">
        <v>1140</v>
      </c>
      <c r="AW143" s="2255">
        <f t="shared" ref="AW143:AW207" si="69">Q143</f>
        <v>0</v>
      </c>
    </row>
    <row r="144" spans="2:49" s="605" customFormat="1" ht="13.5" hidden="1" customHeight="1" outlineLevel="1" thickTop="1">
      <c r="B144" s="1641" t="s">
        <v>951</v>
      </c>
      <c r="C144" s="1644"/>
      <c r="D144" s="1833"/>
      <c r="E144" s="2271"/>
      <c r="F144" s="2286"/>
      <c r="G144" s="2287">
        <f t="shared" si="30"/>
        <v>0</v>
      </c>
      <c r="H144" s="2272"/>
      <c r="I144" s="2253"/>
      <c r="J144" s="2253"/>
      <c r="K144" s="2253"/>
      <c r="L144" s="2253"/>
      <c r="M144" s="2253"/>
      <c r="N144" s="2273"/>
      <c r="O144" s="2285"/>
      <c r="P144" s="1014"/>
      <c r="Q144" s="794"/>
      <c r="R144" s="796"/>
      <c r="S144" s="899"/>
      <c r="T144" s="551"/>
      <c r="V144" s="1014">
        <f t="shared" si="65"/>
        <v>0</v>
      </c>
      <c r="W144" s="870"/>
      <c r="X144" s="870"/>
      <c r="Y144" s="900"/>
      <c r="Z144" s="1018">
        <f t="shared" si="33"/>
        <v>0</v>
      </c>
      <c r="AA144" s="899"/>
      <c r="AB144" s="1012"/>
      <c r="AC144" s="900"/>
      <c r="AF144" s="870"/>
      <c r="AH144" s="870"/>
      <c r="AI144" s="870"/>
      <c r="AJ144" s="383" t="s">
        <v>669</v>
      </c>
      <c r="AK144" s="383" t="s">
        <v>1128</v>
      </c>
      <c r="AL144" s="605" t="b">
        <f t="shared" si="66"/>
        <v>0</v>
      </c>
      <c r="AM144" s="899">
        <f>'Estimate Summary'!$D$9</f>
        <v>1</v>
      </c>
      <c r="AN144" s="605" t="s">
        <v>1136</v>
      </c>
      <c r="AO144" s="899">
        <f t="shared" si="67"/>
        <v>0</v>
      </c>
      <c r="AP144" s="605">
        <f t="shared" si="63"/>
        <v>0</v>
      </c>
      <c r="AQ144" s="605" t="s">
        <v>1139</v>
      </c>
      <c r="AR144" s="605" t="s">
        <v>670</v>
      </c>
      <c r="AS144" s="605" t="s">
        <v>751</v>
      </c>
      <c r="AT144" s="605" t="str">
        <f>'Estimate Summary'!$AT$11</f>
        <v>FOB SH</v>
      </c>
      <c r="AU144" s="610" t="b">
        <f t="shared" si="68"/>
        <v>0</v>
      </c>
      <c r="AV144" s="605" t="s">
        <v>1140</v>
      </c>
      <c r="AW144" s="2255">
        <f t="shared" si="69"/>
        <v>0</v>
      </c>
    </row>
    <row r="145" spans="1:49" s="605" customFormat="1" ht="12.75" hidden="1" customHeight="1" outlineLevel="1">
      <c r="A145" s="383"/>
      <c r="B145" s="2265"/>
      <c r="C145" s="585" t="s">
        <v>852</v>
      </c>
      <c r="D145" s="1829"/>
      <c r="E145" s="584">
        <f>SUM(E146:E152)</f>
        <v>0</v>
      </c>
      <c r="F145" s="1886">
        <f>IF(E145=0,0,H145/E145*1000)</f>
        <v>0</v>
      </c>
      <c r="G145" s="1868">
        <f t="shared" si="30"/>
        <v>0</v>
      </c>
      <c r="H145" s="2296">
        <f>SUM(H146:H153)</f>
        <v>0</v>
      </c>
      <c r="I145" s="1718">
        <f>SUM(I146:I154)</f>
        <v>0</v>
      </c>
      <c r="J145" s="1718">
        <f>SUM(J146:J154)</f>
        <v>0</v>
      </c>
      <c r="K145" s="1718">
        <f>SUM(K146:K154)</f>
        <v>0</v>
      </c>
      <c r="L145" s="1718">
        <f>SUM(L146:L154)</f>
        <v>0</v>
      </c>
      <c r="M145" s="1718">
        <f>SUM(M146:M154)</f>
        <v>0</v>
      </c>
      <c r="N145" s="996"/>
      <c r="P145" s="2279"/>
      <c r="Q145" s="476"/>
      <c r="R145" s="476"/>
      <c r="S145" s="485"/>
      <c r="T145" s="2281"/>
      <c r="U145" s="1925"/>
      <c r="V145" s="1926">
        <f t="shared" si="65"/>
        <v>0</v>
      </c>
      <c r="W145" s="875"/>
      <c r="X145" s="875"/>
      <c r="Y145" s="878"/>
      <c r="Z145" s="891">
        <f t="shared" ref="Z145:Z209" si="70">Y145+$Z$78</f>
        <v>0</v>
      </c>
      <c r="AA145" s="485"/>
      <c r="AB145" s="485"/>
      <c r="AC145" s="1927"/>
      <c r="AD145" s="476"/>
      <c r="AE145" s="476"/>
      <c r="AF145" s="2282"/>
      <c r="AG145" s="1925"/>
      <c r="AH145" s="875"/>
      <c r="AI145" s="875"/>
      <c r="AJ145" s="383" t="s">
        <v>669</v>
      </c>
      <c r="AK145" s="383" t="s">
        <v>1128</v>
      </c>
      <c r="AL145" s="605" t="b">
        <f t="shared" si="66"/>
        <v>0</v>
      </c>
      <c r="AM145" s="899">
        <f>'Estimate Summary'!$D$9</f>
        <v>1</v>
      </c>
      <c r="AN145" s="605" t="s">
        <v>1136</v>
      </c>
      <c r="AO145" s="899">
        <f t="shared" si="67"/>
        <v>0</v>
      </c>
      <c r="AP145" s="605">
        <f t="shared" si="63"/>
        <v>0</v>
      </c>
      <c r="AQ145" s="605" t="s">
        <v>1139</v>
      </c>
      <c r="AR145" s="605" t="s">
        <v>670</v>
      </c>
      <c r="AS145" s="605" t="s">
        <v>751</v>
      </c>
      <c r="AT145" s="605" t="str">
        <f>'Estimate Summary'!$AT$11</f>
        <v>FOB SH</v>
      </c>
      <c r="AU145" s="610" t="b">
        <f t="shared" si="68"/>
        <v>0</v>
      </c>
      <c r="AV145" s="605" t="s">
        <v>1140</v>
      </c>
      <c r="AW145" s="2255">
        <f t="shared" si="69"/>
        <v>0</v>
      </c>
    </row>
    <row r="146" spans="1:49" s="697" customFormat="1" ht="13.5" hidden="1" customHeight="1" outlineLevel="1">
      <c r="B146" s="1079" t="s">
        <v>681</v>
      </c>
      <c r="C146" s="385" t="s">
        <v>840</v>
      </c>
      <c r="D146" s="1830" t="s">
        <v>181</v>
      </c>
      <c r="E146" s="421"/>
      <c r="F146" s="390">
        <f>IF(E146=0,0,H146/E146*1000)</f>
        <v>0</v>
      </c>
      <c r="G146" s="1817">
        <f t="shared" si="30"/>
        <v>0</v>
      </c>
      <c r="H146" s="2016">
        <f>AB146</f>
        <v>0</v>
      </c>
      <c r="I146" s="469">
        <f>IF('Estimate Summary'!$D$9&lt;2,0,$H146)</f>
        <v>0</v>
      </c>
      <c r="J146" s="469">
        <f>IF('Estimate Summary'!$D$9&lt;3,0,$H146)</f>
        <v>0</v>
      </c>
      <c r="K146" s="469">
        <f>IF('Estimate Summary'!$D$9&lt;4,0,$H146)</f>
        <v>0</v>
      </c>
      <c r="L146" s="469">
        <f>IF('Estimate Summary'!$D$9&lt;5,0,$H146)</f>
        <v>0</v>
      </c>
      <c r="M146" s="469">
        <f>IF('Estimate Summary'!$D$9&lt;6,0,$H146)</f>
        <v>0</v>
      </c>
      <c r="N146" s="1648"/>
      <c r="P146" s="1010">
        <f>IF(Q146=0,0,(YEAR(R146)-YEAR(Q146))*12+(MONTH(R146)-MONTH(Q146)))</f>
        <v>43</v>
      </c>
      <c r="Q146" s="794">
        <v>42683</v>
      </c>
      <c r="R146" s="795">
        <f>$R$2+30.42*'Offshore CF'!BW13</f>
        <v>43986.46</v>
      </c>
      <c r="S146" s="475" t="s">
        <v>128</v>
      </c>
      <c r="T146" s="475" t="s">
        <v>180</v>
      </c>
      <c r="U146" s="697" t="s">
        <v>603</v>
      </c>
      <c r="V146" s="486" t="str">
        <f t="shared" si="65"/>
        <v>CNY</v>
      </c>
      <c r="W146" s="547"/>
      <c r="X146" s="1011">
        <f>IF(V146="CNY",W146/1.17/1000,W146/1000)</f>
        <v>0</v>
      </c>
      <c r="Y146" s="926"/>
      <c r="Z146" s="893">
        <f t="shared" si="70"/>
        <v>0</v>
      </c>
      <c r="AA146" s="475">
        <f t="shared" si="34"/>
        <v>0</v>
      </c>
      <c r="AB146" s="484">
        <f>IF(V146="CNY",X146*(1-Z146),IF(V146="EUR",X146*(1-Z146)*$T$5,IF(V146="JPY",X146*(1-Z146)*$T$6,IF(V146="USD",X146*(1-Z146)*$T$7))))</f>
        <v>0</v>
      </c>
      <c r="AC146" s="880"/>
      <c r="AD146" s="697">
        <f>IF(V146&lt;&gt;"CNY",(AB146+#REF!)*AC146,0)</f>
        <v>0</v>
      </c>
      <c r="AF146" s="861">
        <f>IF(V146&lt;&gt;"CNY",(AB146+#REF!)*#REF!,0)</f>
        <v>0</v>
      </c>
      <c r="AG146" s="697">
        <f>IF(V146&lt;&gt;"CNY",E146*#REF!/1000,0)</f>
        <v>0</v>
      </c>
      <c r="AH146" s="861">
        <f>SUM(AD146:AG146)</f>
        <v>0</v>
      </c>
      <c r="AI146" s="861">
        <f>AB146+AH146</f>
        <v>0</v>
      </c>
      <c r="AJ146" s="383" t="s">
        <v>669</v>
      </c>
      <c r="AK146" s="383" t="s">
        <v>1128</v>
      </c>
      <c r="AL146" s="697" t="str">
        <f t="shared" si="66"/>
        <v>CN</v>
      </c>
      <c r="AM146" s="475">
        <f>'Estimate Summary'!$D$9</f>
        <v>1</v>
      </c>
      <c r="AN146" s="697" t="s">
        <v>1136</v>
      </c>
      <c r="AO146" s="475">
        <f t="shared" si="67"/>
        <v>0</v>
      </c>
      <c r="AP146" s="697" t="str">
        <f t="shared" si="63"/>
        <v>CNY</v>
      </c>
      <c r="AQ146" s="697" t="s">
        <v>1139</v>
      </c>
      <c r="AR146" s="697" t="s">
        <v>670</v>
      </c>
      <c r="AS146" s="605" t="s">
        <v>751</v>
      </c>
      <c r="AT146" s="697" t="str">
        <f>'Estimate Summary'!$AT$11</f>
        <v>FOB SH</v>
      </c>
      <c r="AU146" s="610" t="str">
        <f t="shared" si="68"/>
        <v>CN</v>
      </c>
      <c r="AV146" s="697" t="s">
        <v>1140</v>
      </c>
      <c r="AW146" s="2255">
        <f t="shared" si="69"/>
        <v>42683</v>
      </c>
    </row>
    <row r="147" spans="1:49" s="697" customFormat="1" ht="13.5" hidden="1" customHeight="1" outlineLevel="1">
      <c r="B147" s="1079" t="s">
        <v>681</v>
      </c>
      <c r="C147" s="1625" t="s">
        <v>854</v>
      </c>
      <c r="D147" s="1830"/>
      <c r="E147" s="1646"/>
      <c r="F147" s="1639"/>
      <c r="G147" s="1608">
        <f t="shared" si="30"/>
        <v>0</v>
      </c>
      <c r="H147" s="1738">
        <f t="shared" ref="H147:H167" si="71">AB147</f>
        <v>0</v>
      </c>
      <c r="I147" s="469">
        <f>IF('Estimate Summary'!$D$9&lt;2,0,$H147)</f>
        <v>0</v>
      </c>
      <c r="J147" s="469">
        <f>IF('Estimate Summary'!$D$9&lt;3,0,$H147)</f>
        <v>0</v>
      </c>
      <c r="K147" s="469">
        <f>IF('Estimate Summary'!$D$9&lt;4,0,$H147)</f>
        <v>0</v>
      </c>
      <c r="L147" s="469">
        <f>IF('Estimate Summary'!$D$9&lt;5,0,$H147)</f>
        <v>0</v>
      </c>
      <c r="M147" s="469">
        <f>IF('Estimate Summary'!$D$9&lt;6,0,$H147)</f>
        <v>0</v>
      </c>
      <c r="N147" s="1648"/>
      <c r="P147" s="1010"/>
      <c r="Q147" s="794"/>
      <c r="R147" s="795"/>
      <c r="S147" s="475"/>
      <c r="T147" s="475"/>
      <c r="V147" s="486">
        <f t="shared" si="65"/>
        <v>0</v>
      </c>
      <c r="W147" s="547"/>
      <c r="X147" s="1011"/>
      <c r="Y147" s="926"/>
      <c r="Z147" s="893">
        <f t="shared" si="70"/>
        <v>0</v>
      </c>
      <c r="AA147" s="475">
        <f t="shared" si="34"/>
        <v>0</v>
      </c>
      <c r="AB147" s="484"/>
      <c r="AC147" s="880"/>
      <c r="AF147" s="861"/>
      <c r="AH147" s="861"/>
      <c r="AI147" s="861"/>
      <c r="AJ147" s="383" t="s">
        <v>669</v>
      </c>
      <c r="AK147" s="383" t="s">
        <v>1128</v>
      </c>
      <c r="AL147" s="697" t="b">
        <f t="shared" si="66"/>
        <v>0</v>
      </c>
      <c r="AM147" s="475">
        <f>'Estimate Summary'!$D$9</f>
        <v>1</v>
      </c>
      <c r="AN147" s="697" t="s">
        <v>1136</v>
      </c>
      <c r="AO147" s="475">
        <f t="shared" si="67"/>
        <v>0</v>
      </c>
      <c r="AP147" s="697">
        <f t="shared" si="63"/>
        <v>0</v>
      </c>
      <c r="AQ147" s="697" t="s">
        <v>1139</v>
      </c>
      <c r="AR147" s="697" t="s">
        <v>670</v>
      </c>
      <c r="AS147" s="605" t="s">
        <v>751</v>
      </c>
      <c r="AT147" s="697" t="str">
        <f>'Estimate Summary'!$AT$11</f>
        <v>FOB SH</v>
      </c>
      <c r="AU147" s="610" t="b">
        <f t="shared" si="68"/>
        <v>0</v>
      </c>
      <c r="AV147" s="697" t="s">
        <v>1140</v>
      </c>
      <c r="AW147" s="2255">
        <f t="shared" si="69"/>
        <v>0</v>
      </c>
    </row>
    <row r="148" spans="1:49" s="697" customFormat="1" ht="13.5" hidden="1" customHeight="1" outlineLevel="1">
      <c r="B148" s="1079" t="s">
        <v>681</v>
      </c>
      <c r="C148" s="1625" t="s">
        <v>855</v>
      </c>
      <c r="D148" s="1830"/>
      <c r="E148" s="1646"/>
      <c r="F148" s="1639"/>
      <c r="G148" s="1608">
        <f t="shared" ref="G148:H214" si="72">AA148</f>
        <v>0</v>
      </c>
      <c r="H148" s="1738">
        <f t="shared" si="71"/>
        <v>0</v>
      </c>
      <c r="I148" s="469">
        <f>IF('Estimate Summary'!$D$9&lt;2,0,$H148)</f>
        <v>0</v>
      </c>
      <c r="J148" s="469">
        <f>IF('Estimate Summary'!$D$9&lt;3,0,$H148)</f>
        <v>0</v>
      </c>
      <c r="K148" s="469">
        <f>IF('Estimate Summary'!$D$9&lt;4,0,$H148)</f>
        <v>0</v>
      </c>
      <c r="L148" s="469">
        <f>IF('Estimate Summary'!$D$9&lt;5,0,$H148)</f>
        <v>0</v>
      </c>
      <c r="M148" s="469">
        <f>IF('Estimate Summary'!$D$9&lt;6,0,$H148)</f>
        <v>0</v>
      </c>
      <c r="N148" s="1648"/>
      <c r="P148" s="1010"/>
      <c r="Q148" s="794"/>
      <c r="R148" s="795"/>
      <c r="S148" s="475"/>
      <c r="T148" s="475"/>
      <c r="V148" s="486">
        <f t="shared" si="65"/>
        <v>0</v>
      </c>
      <c r="W148" s="547"/>
      <c r="X148" s="1011"/>
      <c r="Y148" s="926"/>
      <c r="Z148" s="893">
        <f t="shared" si="70"/>
        <v>0</v>
      </c>
      <c r="AA148" s="475">
        <f t="shared" ref="AA148:AA211" si="73">X148*(1-Z148)</f>
        <v>0</v>
      </c>
      <c r="AB148" s="484"/>
      <c r="AC148" s="880"/>
      <c r="AF148" s="861"/>
      <c r="AH148" s="861"/>
      <c r="AI148" s="861"/>
      <c r="AJ148" s="383" t="s">
        <v>669</v>
      </c>
      <c r="AK148" s="383" t="s">
        <v>1128</v>
      </c>
      <c r="AL148" s="697" t="b">
        <f t="shared" si="66"/>
        <v>0</v>
      </c>
      <c r="AM148" s="475">
        <f>'Estimate Summary'!$D$9</f>
        <v>1</v>
      </c>
      <c r="AN148" s="697" t="s">
        <v>1136</v>
      </c>
      <c r="AO148" s="475">
        <f t="shared" si="67"/>
        <v>0</v>
      </c>
      <c r="AP148" s="697">
        <f t="shared" si="63"/>
        <v>0</v>
      </c>
      <c r="AQ148" s="697" t="s">
        <v>1139</v>
      </c>
      <c r="AR148" s="697" t="s">
        <v>670</v>
      </c>
      <c r="AS148" s="605" t="s">
        <v>751</v>
      </c>
      <c r="AT148" s="697" t="str">
        <f>'Estimate Summary'!$AT$11</f>
        <v>FOB SH</v>
      </c>
      <c r="AU148" s="610" t="b">
        <f t="shared" si="68"/>
        <v>0</v>
      </c>
      <c r="AV148" s="697" t="s">
        <v>1140</v>
      </c>
      <c r="AW148" s="2255">
        <f t="shared" si="69"/>
        <v>0</v>
      </c>
    </row>
    <row r="149" spans="1:49" s="697" customFormat="1" ht="13.5" hidden="1" customHeight="1" outlineLevel="1">
      <c r="B149" s="1079" t="s">
        <v>681</v>
      </c>
      <c r="C149" s="1625" t="s">
        <v>853</v>
      </c>
      <c r="D149" s="1830"/>
      <c r="E149" s="1646"/>
      <c r="F149" s="1639"/>
      <c r="G149" s="1608">
        <f t="shared" si="72"/>
        <v>0</v>
      </c>
      <c r="H149" s="1738">
        <f t="shared" si="71"/>
        <v>0</v>
      </c>
      <c r="I149" s="469">
        <f>IF('Estimate Summary'!$D$9&lt;2,0,$H149)</f>
        <v>0</v>
      </c>
      <c r="J149" s="469">
        <f>IF('Estimate Summary'!$D$9&lt;3,0,$H149)</f>
        <v>0</v>
      </c>
      <c r="K149" s="469">
        <f>IF('Estimate Summary'!$D$9&lt;4,0,$H149)</f>
        <v>0</v>
      </c>
      <c r="L149" s="469">
        <f>IF('Estimate Summary'!$D$9&lt;5,0,$H149)</f>
        <v>0</v>
      </c>
      <c r="M149" s="469">
        <f>IF('Estimate Summary'!$D$9&lt;6,0,$H149)</f>
        <v>0</v>
      </c>
      <c r="N149" s="1648"/>
      <c r="P149" s="1010"/>
      <c r="Q149" s="794"/>
      <c r="R149" s="795"/>
      <c r="S149" s="475"/>
      <c r="T149" s="475"/>
      <c r="V149" s="486">
        <f t="shared" si="65"/>
        <v>0</v>
      </c>
      <c r="W149" s="547"/>
      <c r="X149" s="1011"/>
      <c r="Y149" s="926"/>
      <c r="Z149" s="893">
        <f t="shared" si="70"/>
        <v>0</v>
      </c>
      <c r="AA149" s="475">
        <f t="shared" si="73"/>
        <v>0</v>
      </c>
      <c r="AB149" s="484"/>
      <c r="AC149" s="880"/>
      <c r="AF149" s="861"/>
      <c r="AH149" s="861"/>
      <c r="AI149" s="861"/>
      <c r="AJ149" s="383" t="s">
        <v>669</v>
      </c>
      <c r="AK149" s="383" t="s">
        <v>1128</v>
      </c>
      <c r="AL149" s="697" t="b">
        <f t="shared" si="66"/>
        <v>0</v>
      </c>
      <c r="AM149" s="475">
        <f>'Estimate Summary'!$D$9</f>
        <v>1</v>
      </c>
      <c r="AN149" s="697" t="s">
        <v>1136</v>
      </c>
      <c r="AO149" s="475">
        <f t="shared" si="67"/>
        <v>0</v>
      </c>
      <c r="AP149" s="697">
        <f t="shared" si="63"/>
        <v>0</v>
      </c>
      <c r="AQ149" s="697" t="s">
        <v>1139</v>
      </c>
      <c r="AR149" s="697" t="s">
        <v>670</v>
      </c>
      <c r="AS149" s="605" t="s">
        <v>751</v>
      </c>
      <c r="AT149" s="697" t="str">
        <f>'Estimate Summary'!$AT$11</f>
        <v>FOB SH</v>
      </c>
      <c r="AU149" s="610" t="b">
        <f t="shared" si="68"/>
        <v>0</v>
      </c>
      <c r="AV149" s="697" t="s">
        <v>1140</v>
      </c>
      <c r="AW149" s="2255">
        <f t="shared" si="69"/>
        <v>0</v>
      </c>
    </row>
    <row r="150" spans="1:49" s="697" customFormat="1" ht="13.5" hidden="1" customHeight="1" outlineLevel="1">
      <c r="B150" s="1079" t="s">
        <v>843</v>
      </c>
      <c r="C150" s="385" t="s">
        <v>841</v>
      </c>
      <c r="D150" s="1830"/>
      <c r="E150" s="421"/>
      <c r="F150" s="390">
        <f>IF(E150=0,0,H150/E150*1000)</f>
        <v>0</v>
      </c>
      <c r="G150" s="1608">
        <f t="shared" si="72"/>
        <v>0</v>
      </c>
      <c r="H150" s="1738">
        <f t="shared" si="71"/>
        <v>0</v>
      </c>
      <c r="I150" s="469">
        <f>IF('Estimate Summary'!$D$9&lt;2,0,$H150)</f>
        <v>0</v>
      </c>
      <c r="J150" s="469">
        <f>IF('Estimate Summary'!$D$9&lt;3,0,$H150)</f>
        <v>0</v>
      </c>
      <c r="K150" s="469">
        <f>IF('Estimate Summary'!$D$9&lt;4,0,$H150)</f>
        <v>0</v>
      </c>
      <c r="L150" s="469">
        <f>IF('Estimate Summary'!$D$9&lt;5,0,$H150)</f>
        <v>0</v>
      </c>
      <c r="M150" s="469">
        <f>IF('Estimate Summary'!$D$9&lt;6,0,$H150)</f>
        <v>0</v>
      </c>
      <c r="N150" s="1648"/>
      <c r="P150" s="1010">
        <f>IF(Q150=0,0,(YEAR(R150)-YEAR(Q150))*12+(MONTH(R150)-MONTH(Q150)))</f>
        <v>0</v>
      </c>
      <c r="Q150" s="794"/>
      <c r="R150" s="795"/>
      <c r="S150" s="475"/>
      <c r="T150" s="475"/>
      <c r="V150" s="486">
        <f t="shared" si="65"/>
        <v>0</v>
      </c>
      <c r="W150" s="547"/>
      <c r="X150" s="1011">
        <f>IF(V150="CNY",W150/1.17/1000,W150/1000)</f>
        <v>0</v>
      </c>
      <c r="Y150" s="926"/>
      <c r="Z150" s="893">
        <f t="shared" si="70"/>
        <v>0</v>
      </c>
      <c r="AA150" s="475">
        <f t="shared" si="73"/>
        <v>0</v>
      </c>
      <c r="AB150" s="484"/>
      <c r="AC150" s="880"/>
      <c r="AF150" s="861"/>
      <c r="AH150" s="861">
        <f>SUM(AD150:AG150)</f>
        <v>0</v>
      </c>
      <c r="AI150" s="861">
        <f>AB150+AH150</f>
        <v>0</v>
      </c>
      <c r="AJ150" s="383" t="s">
        <v>669</v>
      </c>
      <c r="AK150" s="383" t="s">
        <v>1128</v>
      </c>
      <c r="AL150" s="697" t="b">
        <f t="shared" si="66"/>
        <v>0</v>
      </c>
      <c r="AM150" s="475">
        <f>'Estimate Summary'!$D$9</f>
        <v>1</v>
      </c>
      <c r="AN150" s="697" t="s">
        <v>1136</v>
      </c>
      <c r="AO150" s="475">
        <f t="shared" si="67"/>
        <v>0</v>
      </c>
      <c r="AP150" s="697">
        <f t="shared" si="63"/>
        <v>0</v>
      </c>
      <c r="AQ150" s="697" t="s">
        <v>1139</v>
      </c>
      <c r="AR150" s="697" t="s">
        <v>670</v>
      </c>
      <c r="AS150" s="605" t="s">
        <v>751</v>
      </c>
      <c r="AT150" s="697" t="str">
        <f>'Estimate Summary'!$AT$11</f>
        <v>FOB SH</v>
      </c>
      <c r="AU150" s="610" t="b">
        <f t="shared" si="68"/>
        <v>0</v>
      </c>
      <c r="AV150" s="697" t="s">
        <v>1140</v>
      </c>
      <c r="AW150" s="2255">
        <f t="shared" si="69"/>
        <v>0</v>
      </c>
    </row>
    <row r="151" spans="1:49" s="697" customFormat="1" ht="13.5" hidden="1" customHeight="1" outlineLevel="1">
      <c r="B151" s="1079" t="s">
        <v>843</v>
      </c>
      <c r="C151" s="385" t="s">
        <v>842</v>
      </c>
      <c r="D151" s="1830"/>
      <c r="E151" s="421"/>
      <c r="F151" s="390">
        <f>IF(E151=0,0,H151/E151*1000)</f>
        <v>0</v>
      </c>
      <c r="G151" s="1608">
        <f t="shared" si="72"/>
        <v>0</v>
      </c>
      <c r="H151" s="1738">
        <f t="shared" si="71"/>
        <v>0</v>
      </c>
      <c r="I151" s="469">
        <f>IF('Estimate Summary'!$D$9&lt;2,0,$H151)</f>
        <v>0</v>
      </c>
      <c r="J151" s="469">
        <f>IF('Estimate Summary'!$D$9&lt;3,0,$H151)</f>
        <v>0</v>
      </c>
      <c r="K151" s="469">
        <f>IF('Estimate Summary'!$D$9&lt;4,0,$H151)</f>
        <v>0</v>
      </c>
      <c r="L151" s="469">
        <f>IF('Estimate Summary'!$D$9&lt;5,0,$H151)</f>
        <v>0</v>
      </c>
      <c r="M151" s="469">
        <f>IF('Estimate Summary'!$D$9&lt;6,0,$H151)</f>
        <v>0</v>
      </c>
      <c r="N151" s="1648"/>
      <c r="P151" s="1010">
        <f>IF(Q151=0,0,(YEAR(R151)-YEAR(Q151))*12+(MONTH(R151)-MONTH(Q151)))</f>
        <v>0</v>
      </c>
      <c r="Q151" s="794"/>
      <c r="R151" s="795"/>
      <c r="S151" s="475"/>
      <c r="T151" s="475"/>
      <c r="V151" s="486">
        <f t="shared" si="65"/>
        <v>0</v>
      </c>
      <c r="W151" s="547"/>
      <c r="X151" s="1011">
        <f>IF(V151="CNY",W151/1.17/1000,W151/1000)</f>
        <v>0</v>
      </c>
      <c r="Y151" s="925"/>
      <c r="Z151" s="893">
        <f t="shared" si="70"/>
        <v>0</v>
      </c>
      <c r="AA151" s="475">
        <f t="shared" si="73"/>
        <v>0</v>
      </c>
      <c r="AB151" s="484"/>
      <c r="AC151" s="880"/>
      <c r="AF151" s="861"/>
      <c r="AH151" s="861">
        <f>SUM(AD151:AG151)</f>
        <v>0</v>
      </c>
      <c r="AI151" s="861">
        <f>AB151+AH151</f>
        <v>0</v>
      </c>
      <c r="AJ151" s="383" t="s">
        <v>669</v>
      </c>
      <c r="AK151" s="383" t="s">
        <v>1128</v>
      </c>
      <c r="AL151" s="697" t="b">
        <f t="shared" si="66"/>
        <v>0</v>
      </c>
      <c r="AM151" s="475">
        <f>'Estimate Summary'!$D$9</f>
        <v>1</v>
      </c>
      <c r="AN151" s="697" t="s">
        <v>1136</v>
      </c>
      <c r="AO151" s="475">
        <f t="shared" si="67"/>
        <v>0</v>
      </c>
      <c r="AP151" s="697">
        <f t="shared" si="63"/>
        <v>0</v>
      </c>
      <c r="AQ151" s="697" t="s">
        <v>1139</v>
      </c>
      <c r="AR151" s="697" t="s">
        <v>670</v>
      </c>
      <c r="AS151" s="605" t="s">
        <v>751</v>
      </c>
      <c r="AT151" s="697" t="str">
        <f>'Estimate Summary'!$AT$11</f>
        <v>FOB SH</v>
      </c>
      <c r="AU151" s="610" t="b">
        <f t="shared" si="68"/>
        <v>0</v>
      </c>
      <c r="AV151" s="697" t="s">
        <v>1140</v>
      </c>
      <c r="AW151" s="2255">
        <f t="shared" si="69"/>
        <v>0</v>
      </c>
    </row>
    <row r="152" spans="1:49" s="388" customFormat="1" ht="13.5" hidden="1" customHeight="1" outlineLevel="1">
      <c r="A152" s="697"/>
      <c r="B152" s="1079" t="s">
        <v>682</v>
      </c>
      <c r="C152" s="385" t="s">
        <v>963</v>
      </c>
      <c r="D152" s="1830" t="s">
        <v>181</v>
      </c>
      <c r="E152" s="421"/>
      <c r="F152" s="390"/>
      <c r="G152" s="1817">
        <f t="shared" si="72"/>
        <v>0</v>
      </c>
      <c r="H152" s="2017">
        <f>AB152</f>
        <v>0</v>
      </c>
      <c r="I152" s="469">
        <f>IF('Estimate Summary'!$D$9&lt;2,0,$H152)</f>
        <v>0</v>
      </c>
      <c r="J152" s="469">
        <f>IF('Estimate Summary'!$D$9&lt;3,0,$H152)</f>
        <v>0</v>
      </c>
      <c r="K152" s="469">
        <f>IF('Estimate Summary'!$D$9&lt;4,0,$H152)</f>
        <v>0</v>
      </c>
      <c r="L152" s="469">
        <f>IF('Estimate Summary'!$D$9&lt;5,0,$H152)</f>
        <v>0</v>
      </c>
      <c r="M152" s="469">
        <f>IF('Estimate Summary'!$D$9&lt;6,0,$H152)</f>
        <v>0</v>
      </c>
      <c r="N152" s="1756"/>
      <c r="O152" s="697"/>
      <c r="P152" s="1010">
        <f>IF(Q152=0,0,(YEAR(R152)-YEAR(Q152))*12+(MONTH(R152)-MONTH(Q152)))</f>
        <v>43</v>
      </c>
      <c r="Q152" s="794">
        <v>42683</v>
      </c>
      <c r="R152" s="795">
        <f>$R$2+30.42*'Offshore CF'!BW13</f>
        <v>43986.46</v>
      </c>
      <c r="S152" s="475" t="s">
        <v>128</v>
      </c>
      <c r="T152" s="475" t="s">
        <v>180</v>
      </c>
      <c r="U152" s="697" t="s">
        <v>604</v>
      </c>
      <c r="V152" s="486" t="str">
        <f t="shared" si="65"/>
        <v>CNY</v>
      </c>
      <c r="W152" s="547"/>
      <c r="X152" s="1011">
        <f>IF(V152="CNY",W152/1.17/1000,W152/1000)</f>
        <v>0</v>
      </c>
      <c r="Y152" s="893">
        <f>10%</f>
        <v>0.1</v>
      </c>
      <c r="Z152" s="893">
        <f t="shared" si="70"/>
        <v>0.1</v>
      </c>
      <c r="AA152" s="475">
        <f t="shared" si="73"/>
        <v>0</v>
      </c>
      <c r="AB152" s="484">
        <f>IF(V152="CNY",X152*(1-Z152),IF(V152="EUR",X152*(1-Z152)*$T$5,IF(V152="JPY",X152*(1-Z152)*$T$6,IF(V152="USD",X152*(1-Z152)*$T$7))))</f>
        <v>0</v>
      </c>
      <c r="AC152" s="881"/>
      <c r="AD152" s="388">
        <f>IF(V152&lt;&gt;"CNY",(AB152+#REF!)*AC152,0)</f>
        <v>0</v>
      </c>
      <c r="AF152" s="868">
        <f>IF(V152&lt;&gt;"CNY",(AB152+#REF!)*#REF!,0)</f>
        <v>0</v>
      </c>
      <c r="AG152" s="388">
        <f>IF(V152&lt;&gt;"CNY",E152*#REF!/1000,0)</f>
        <v>0</v>
      </c>
      <c r="AH152" s="868">
        <f>SUM(AD152:AG152)</f>
        <v>0</v>
      </c>
      <c r="AI152" s="861">
        <f>AB152+AH152</f>
        <v>0</v>
      </c>
      <c r="AJ152" s="383" t="s">
        <v>669</v>
      </c>
      <c r="AK152" s="383" t="s">
        <v>1128</v>
      </c>
      <c r="AL152" s="697" t="str">
        <f t="shared" si="66"/>
        <v>CN</v>
      </c>
      <c r="AM152" s="475">
        <f>'Estimate Summary'!$D$9</f>
        <v>1</v>
      </c>
      <c r="AN152" s="697" t="s">
        <v>1136</v>
      </c>
      <c r="AO152" s="475">
        <f t="shared" si="67"/>
        <v>0</v>
      </c>
      <c r="AP152" s="388" t="str">
        <f t="shared" si="63"/>
        <v>CNY</v>
      </c>
      <c r="AQ152" s="388" t="s">
        <v>1139</v>
      </c>
      <c r="AR152" s="388" t="s">
        <v>670</v>
      </c>
      <c r="AS152" s="605" t="s">
        <v>751</v>
      </c>
      <c r="AT152" s="388" t="str">
        <f>'Estimate Summary'!$AT$11</f>
        <v>FOB SH</v>
      </c>
      <c r="AU152" s="610" t="str">
        <f t="shared" si="68"/>
        <v>CN</v>
      </c>
      <c r="AV152" s="388" t="s">
        <v>1140</v>
      </c>
      <c r="AW152" s="2255">
        <f t="shared" si="69"/>
        <v>42683</v>
      </c>
    </row>
    <row r="153" spans="1:49" s="388" customFormat="1" ht="26.25" hidden="1" customHeight="1" outlineLevel="1">
      <c r="A153" s="697"/>
      <c r="B153" s="1079" t="s">
        <v>681</v>
      </c>
      <c r="C153" s="385" t="s">
        <v>1156</v>
      </c>
      <c r="D153" s="1830" t="s">
        <v>181</v>
      </c>
      <c r="E153" s="421"/>
      <c r="F153" s="390"/>
      <c r="G153" s="1817">
        <f t="shared" si="72"/>
        <v>0</v>
      </c>
      <c r="H153" s="2016">
        <f>AB153</f>
        <v>0</v>
      </c>
      <c r="I153" s="469">
        <f>IF('Estimate Summary'!$D$9&lt;2,0,$H153)</f>
        <v>0</v>
      </c>
      <c r="J153" s="469">
        <f>IF('Estimate Summary'!$D$9&lt;3,0,$H153)</f>
        <v>0</v>
      </c>
      <c r="K153" s="469">
        <f>IF('Estimate Summary'!$D$9&lt;4,0,$H153)</f>
        <v>0</v>
      </c>
      <c r="L153" s="469">
        <f>IF('Estimate Summary'!$D$9&lt;5,0,$H153)</f>
        <v>0</v>
      </c>
      <c r="M153" s="469">
        <f>IF('Estimate Summary'!$D$9&lt;6,0,$H153)</f>
        <v>0</v>
      </c>
      <c r="N153" s="1648"/>
      <c r="O153" s="697"/>
      <c r="P153" s="1010">
        <f>IF(Q153=0,0,(YEAR(R153)-YEAR(Q153))*12+(MONTH(R153)-MONTH(Q153)))</f>
        <v>43</v>
      </c>
      <c r="Q153" s="794">
        <v>42683</v>
      </c>
      <c r="R153" s="795">
        <f>$R$2+30.42*'Offshore CF'!BW13</f>
        <v>43986.46</v>
      </c>
      <c r="S153" s="475" t="s">
        <v>129</v>
      </c>
      <c r="T153" s="475" t="s">
        <v>180</v>
      </c>
      <c r="U153" s="697" t="s">
        <v>676</v>
      </c>
      <c r="V153" s="486" t="str">
        <f>D153</f>
        <v>CNY</v>
      </c>
      <c r="W153" s="547"/>
      <c r="X153" s="1011">
        <f>IF(V153="CNY",W153/1.17/1000,W153/1000)</f>
        <v>0</v>
      </c>
      <c r="Y153" s="926"/>
      <c r="Z153" s="893">
        <f>Y153+$Z$78</f>
        <v>0</v>
      </c>
      <c r="AA153" s="475">
        <f t="shared" si="73"/>
        <v>0</v>
      </c>
      <c r="AB153" s="484">
        <f>IF(V153="CNY",X153*(1-Z153),IF(V153="EUR",X153*(1-Z153)*$T$5,IF(V153="JPY",X153*(1-Z153)*$T$6,IF(V153="USD",X153*(1-Z153)*$T$7))))</f>
        <v>0</v>
      </c>
      <c r="AC153" s="880"/>
      <c r="AD153" s="697">
        <f>IF(V153&lt;&gt;"CNY",(AB153+#REF!)*AC153,0)</f>
        <v>0</v>
      </c>
      <c r="AE153" s="697"/>
      <c r="AF153" s="861">
        <f>IF(V153&lt;&gt;"CNY",(AB153+#REF!)*#REF!,0)</f>
        <v>0</v>
      </c>
      <c r="AG153" s="697">
        <f>IF(V153&lt;&gt;"CNY",E153*#REF!/1000,0)</f>
        <v>0</v>
      </c>
      <c r="AH153" s="861">
        <f>SUM(AD153:AG153)</f>
        <v>0</v>
      </c>
      <c r="AI153" s="861">
        <f>AB153+AH153</f>
        <v>0</v>
      </c>
      <c r="AJ153" s="383" t="s">
        <v>669</v>
      </c>
      <c r="AK153" s="383" t="s">
        <v>1128</v>
      </c>
      <c r="AL153" s="697" t="str">
        <f>IF(D153="CNY","CN",IF(D153="EUR","DE",IF(D153="USD","US",IF(D153="JPY","JP",IF(D153="INR","IN")))))</f>
        <v>CN</v>
      </c>
      <c r="AM153" s="475">
        <f>'Estimate Summary'!$D$9</f>
        <v>1</v>
      </c>
      <c r="AN153" s="697" t="s">
        <v>1136</v>
      </c>
      <c r="AO153" s="475">
        <f>G153</f>
        <v>0</v>
      </c>
      <c r="AP153" s="697" t="str">
        <f t="shared" si="63"/>
        <v>CNY</v>
      </c>
      <c r="AQ153" s="697" t="s">
        <v>1139</v>
      </c>
      <c r="AR153" s="697" t="s">
        <v>670</v>
      </c>
      <c r="AS153" s="605" t="s">
        <v>751</v>
      </c>
      <c r="AT153" s="697" t="str">
        <f>'Estimate Summary'!$AT$11</f>
        <v>FOB SH</v>
      </c>
      <c r="AU153" s="610" t="str">
        <f>AL153</f>
        <v>CN</v>
      </c>
      <c r="AV153" s="697" t="s">
        <v>1140</v>
      </c>
      <c r="AW153" s="2255">
        <f>Q153</f>
        <v>42683</v>
      </c>
    </row>
    <row r="154" spans="1:49" s="605" customFormat="1" ht="15" hidden="1" customHeight="1" outlineLevel="1" collapsed="1">
      <c r="B154" s="1079" t="s">
        <v>848</v>
      </c>
      <c r="C154" s="585" t="s">
        <v>849</v>
      </c>
      <c r="D154" s="1832"/>
      <c r="E154" s="584"/>
      <c r="F154" s="1886"/>
      <c r="G154" s="1809">
        <f>AA154</f>
        <v>0</v>
      </c>
      <c r="H154" s="1870">
        <f>AB154</f>
        <v>0</v>
      </c>
      <c r="I154" s="1718">
        <f>IF('Estimate Summary'!$D$9&lt;2,0,$H154)</f>
        <v>0</v>
      </c>
      <c r="J154" s="1718">
        <f>IF('Estimate Summary'!$D$9&lt;3,0,$H154)</f>
        <v>0</v>
      </c>
      <c r="K154" s="1718">
        <f>IF('Estimate Summary'!$D$9&lt;4,0,$H154)</f>
        <v>0</v>
      </c>
      <c r="L154" s="1718">
        <f>IF('Estimate Summary'!$D$9&lt;5,0,$H154)</f>
        <v>0</v>
      </c>
      <c r="M154" s="1718">
        <f>IF('Estimate Summary'!$D$9&lt;6,0,$H154)</f>
        <v>0</v>
      </c>
      <c r="N154" s="1726"/>
      <c r="P154" s="1887">
        <f>IF(Q154=0,0,(YEAR(R154)-YEAR(Q154))*12+(MONTH(R154)-MONTH(Q154)))</f>
        <v>0</v>
      </c>
      <c r="Q154" s="1670"/>
      <c r="R154" s="796"/>
      <c r="S154" s="1814"/>
      <c r="T154" s="1888"/>
      <c r="V154" s="603">
        <f t="shared" si="65"/>
        <v>0</v>
      </c>
      <c r="W154" s="1880"/>
      <c r="X154" s="1889">
        <f>IF(V154="CNY",W154/1.17/1000,W154/1000)</f>
        <v>0</v>
      </c>
      <c r="Y154" s="1890"/>
      <c r="Z154" s="1873">
        <f t="shared" si="70"/>
        <v>0</v>
      </c>
      <c r="AA154" s="1866">
        <f>X154*(1-Z154)</f>
        <v>0</v>
      </c>
      <c r="AB154" s="883"/>
      <c r="AC154" s="360"/>
      <c r="AD154" s="869"/>
      <c r="AE154" s="869"/>
      <c r="AF154" s="360"/>
      <c r="AG154" s="869"/>
      <c r="AH154" s="860">
        <f>SUM(AD154:AG154)</f>
        <v>0</v>
      </c>
      <c r="AI154" s="1872">
        <f>AB154+AH154</f>
        <v>0</v>
      </c>
      <c r="AJ154" s="383" t="s">
        <v>669</v>
      </c>
      <c r="AK154" s="383" t="s">
        <v>1128</v>
      </c>
      <c r="AL154" s="605" t="b">
        <f t="shared" si="66"/>
        <v>0</v>
      </c>
      <c r="AM154" s="899">
        <f>'Estimate Summary'!$D$9</f>
        <v>1</v>
      </c>
      <c r="AN154" s="605" t="s">
        <v>1136</v>
      </c>
      <c r="AO154" s="899">
        <f t="shared" si="67"/>
        <v>0</v>
      </c>
      <c r="AP154" s="605">
        <f t="shared" si="63"/>
        <v>0</v>
      </c>
      <c r="AQ154" s="605" t="s">
        <v>1139</v>
      </c>
      <c r="AR154" s="605" t="s">
        <v>670</v>
      </c>
      <c r="AS154" s="605" t="s">
        <v>751</v>
      </c>
      <c r="AT154" s="605" t="str">
        <f>'Estimate Summary'!$AT$11</f>
        <v>FOB SH</v>
      </c>
      <c r="AU154" s="610" t="b">
        <f t="shared" si="68"/>
        <v>0</v>
      </c>
      <c r="AV154" s="605" t="s">
        <v>1140</v>
      </c>
      <c r="AW154" s="2255">
        <f t="shared" si="69"/>
        <v>0</v>
      </c>
    </row>
    <row r="155" spans="1:49" s="605" customFormat="1" ht="12.75" hidden="1" customHeight="1" outlineLevel="1">
      <c r="B155" s="1854"/>
      <c r="C155" s="1859" t="s">
        <v>1057</v>
      </c>
      <c r="D155" s="1860"/>
      <c r="E155" s="1809">
        <f>SUM(E156:E162)</f>
        <v>0</v>
      </c>
      <c r="F155" s="1862"/>
      <c r="G155" s="1863">
        <f t="shared" si="72"/>
        <v>0</v>
      </c>
      <c r="H155" s="1809">
        <f t="shared" ref="H155:M155" si="74">SUM(H156:H162)</f>
        <v>0</v>
      </c>
      <c r="I155" s="1864">
        <f t="shared" si="74"/>
        <v>0</v>
      </c>
      <c r="J155" s="1864">
        <f t="shared" si="74"/>
        <v>0</v>
      </c>
      <c r="K155" s="1864">
        <f t="shared" si="74"/>
        <v>0</v>
      </c>
      <c r="L155" s="1864">
        <f t="shared" si="74"/>
        <v>0</v>
      </c>
      <c r="M155" s="1864">
        <f t="shared" si="74"/>
        <v>0</v>
      </c>
      <c r="N155" s="1865"/>
      <c r="P155" s="2279"/>
      <c r="Q155" s="476"/>
      <c r="R155" s="476"/>
      <c r="S155" s="485"/>
      <c r="T155" s="2281"/>
      <c r="U155" s="1925"/>
      <c r="V155" s="1926">
        <f t="shared" si="65"/>
        <v>0</v>
      </c>
      <c r="W155" s="875"/>
      <c r="X155" s="875"/>
      <c r="Y155" s="878"/>
      <c r="Z155" s="891">
        <f t="shared" si="70"/>
        <v>0</v>
      </c>
      <c r="AA155" s="485"/>
      <c r="AB155" s="485"/>
      <c r="AC155" s="1927"/>
      <c r="AD155" s="476"/>
      <c r="AE155" s="476"/>
      <c r="AF155" s="2282"/>
      <c r="AG155" s="1925"/>
      <c r="AH155" s="875"/>
      <c r="AI155" s="875"/>
      <c r="AJ155" s="383" t="s">
        <v>669</v>
      </c>
      <c r="AK155" s="383" t="s">
        <v>1128</v>
      </c>
      <c r="AL155" s="605" t="b">
        <f t="shared" si="66"/>
        <v>0</v>
      </c>
      <c r="AM155" s="899">
        <f>'Estimate Summary'!$D$9</f>
        <v>1</v>
      </c>
      <c r="AN155" s="605" t="s">
        <v>1136</v>
      </c>
      <c r="AO155" s="899">
        <f t="shared" si="67"/>
        <v>0</v>
      </c>
      <c r="AP155" s="605">
        <f t="shared" si="63"/>
        <v>0</v>
      </c>
      <c r="AQ155" s="605" t="s">
        <v>1139</v>
      </c>
      <c r="AR155" s="605" t="s">
        <v>670</v>
      </c>
      <c r="AS155" s="605" t="s">
        <v>751</v>
      </c>
      <c r="AT155" s="605" t="str">
        <f>'Estimate Summary'!$AT$11</f>
        <v>FOB SH</v>
      </c>
      <c r="AU155" s="610" t="b">
        <f t="shared" si="68"/>
        <v>0</v>
      </c>
      <c r="AV155" s="605" t="s">
        <v>1140</v>
      </c>
      <c r="AW155" s="2255">
        <f t="shared" si="69"/>
        <v>0</v>
      </c>
    </row>
    <row r="156" spans="1:49" s="697" customFormat="1" ht="13.5" hidden="1" customHeight="1" outlineLevel="1">
      <c r="B156" s="1079" t="s">
        <v>845</v>
      </c>
      <c r="C156" s="1625" t="s">
        <v>844</v>
      </c>
      <c r="D156" s="1830" t="s">
        <v>181</v>
      </c>
      <c r="E156" s="1646"/>
      <c r="F156" s="390">
        <f>IF(E156=0,0,H156/E156*1000)</f>
        <v>0</v>
      </c>
      <c r="G156" s="1817">
        <f t="shared" si="72"/>
        <v>0</v>
      </c>
      <c r="H156" s="2017">
        <f t="shared" si="71"/>
        <v>0</v>
      </c>
      <c r="I156" s="469">
        <f>IF('Estimate Summary'!$D$9&lt;2,0,$H156)</f>
        <v>0</v>
      </c>
      <c r="J156" s="469">
        <f>IF('Estimate Summary'!$D$9&lt;3,0,$H156)</f>
        <v>0</v>
      </c>
      <c r="K156" s="469">
        <f>IF('Estimate Summary'!$D$9&lt;4,0,$H156)</f>
        <v>0</v>
      </c>
      <c r="L156" s="469">
        <f>IF('Estimate Summary'!$D$9&lt;5,0,$H156)</f>
        <v>0</v>
      </c>
      <c r="M156" s="469">
        <f>IF('Estimate Summary'!$D$9&lt;6,0,$H156)</f>
        <v>0</v>
      </c>
      <c r="N156" s="1648"/>
      <c r="P156" s="1010">
        <f>IF(Q156=0,0,(YEAR(R156)-YEAR(Q156))*12+(MONTH(R156)-MONTH(Q156)))</f>
        <v>40</v>
      </c>
      <c r="Q156" s="794">
        <v>42683</v>
      </c>
      <c r="R156" s="795">
        <f>$R$2+30.42*'Offshore CF'!BY13</f>
        <v>43895.199999999997</v>
      </c>
      <c r="S156" s="475" t="s">
        <v>128</v>
      </c>
      <c r="T156" s="475" t="s">
        <v>180</v>
      </c>
      <c r="U156" s="697" t="s">
        <v>613</v>
      </c>
      <c r="V156" s="486" t="str">
        <f t="shared" si="65"/>
        <v>CNY</v>
      </c>
      <c r="W156" s="547"/>
      <c r="X156" s="1011">
        <f>IF(V156="CNY",W156/1.17/1000,W156/1000)</f>
        <v>0</v>
      </c>
      <c r="Y156" s="926"/>
      <c r="Z156" s="893">
        <f t="shared" si="70"/>
        <v>0</v>
      </c>
      <c r="AA156" s="475">
        <f t="shared" si="73"/>
        <v>0</v>
      </c>
      <c r="AB156" s="484">
        <f>IF(V156="CNY",X156*(1-Z156),IF(V156="EUR",X156*(1-Z156)*$R$5,IF(V156="JPY",X156*(1-Z156)*$R$6,IF(V156="USD",X156*(1-Z156)*$R$7))))</f>
        <v>0</v>
      </c>
      <c r="AC156" s="880"/>
      <c r="AD156" s="697">
        <f>IF(V156&lt;&gt;"CNY",(AB156+#REF!)*AC156,0)</f>
        <v>0</v>
      </c>
      <c r="AF156" s="861">
        <f>IF(V156&lt;&gt;"CNY",(AB156+#REF!)*$AD$53,0)</f>
        <v>0</v>
      </c>
      <c r="AG156" s="697">
        <f>IF(V156&lt;&gt;"CNY",F156*#REF!/1000,0)</f>
        <v>0</v>
      </c>
      <c r="AH156" s="861">
        <f>SUM(AD156:AG156)</f>
        <v>0</v>
      </c>
      <c r="AI156" s="861">
        <f>AB156+AH156</f>
        <v>0</v>
      </c>
      <c r="AJ156" s="383" t="s">
        <v>669</v>
      </c>
      <c r="AK156" s="383" t="s">
        <v>1128</v>
      </c>
      <c r="AL156" s="697" t="str">
        <f t="shared" si="66"/>
        <v>CN</v>
      </c>
      <c r="AM156" s="475">
        <f>'Estimate Summary'!$D$9</f>
        <v>1</v>
      </c>
      <c r="AN156" s="697" t="s">
        <v>1136</v>
      </c>
      <c r="AO156" s="475">
        <f t="shared" si="67"/>
        <v>0</v>
      </c>
      <c r="AP156" s="697" t="str">
        <f t="shared" si="63"/>
        <v>CNY</v>
      </c>
      <c r="AQ156" s="697" t="s">
        <v>1139</v>
      </c>
      <c r="AR156" s="697" t="s">
        <v>670</v>
      </c>
      <c r="AS156" s="605" t="s">
        <v>751</v>
      </c>
      <c r="AT156" s="697" t="str">
        <f>'Estimate Summary'!$AT$11</f>
        <v>FOB SH</v>
      </c>
      <c r="AU156" s="610" t="str">
        <f t="shared" si="68"/>
        <v>CN</v>
      </c>
      <c r="AV156" s="697" t="s">
        <v>1140</v>
      </c>
      <c r="AW156" s="2255">
        <f t="shared" si="69"/>
        <v>42683</v>
      </c>
    </row>
    <row r="157" spans="1:49" s="697" customFormat="1" ht="13.5" hidden="1" customHeight="1" outlineLevel="1">
      <c r="B157" s="1079" t="s">
        <v>845</v>
      </c>
      <c r="C157" s="1625" t="s">
        <v>994</v>
      </c>
      <c r="D157" s="1830"/>
      <c r="E157" s="1646"/>
      <c r="F157" s="1639"/>
      <c r="G157" s="1608">
        <f t="shared" si="72"/>
        <v>0</v>
      </c>
      <c r="H157" s="1738">
        <f t="shared" si="71"/>
        <v>0</v>
      </c>
      <c r="I157" s="469">
        <f>IF('Estimate Summary'!$D$9&lt;2,0,$H157)</f>
        <v>0</v>
      </c>
      <c r="J157" s="469">
        <f>IF('Estimate Summary'!$D$9&lt;3,0,$H157)</f>
        <v>0</v>
      </c>
      <c r="K157" s="469">
        <f>IF('Estimate Summary'!$D$9&lt;4,0,$H157)</f>
        <v>0</v>
      </c>
      <c r="L157" s="469">
        <f>IF('Estimate Summary'!$D$9&lt;5,0,$H157)</f>
        <v>0</v>
      </c>
      <c r="M157" s="469">
        <f>IF('Estimate Summary'!$D$9&lt;6,0,$H157)</f>
        <v>0</v>
      </c>
      <c r="N157" s="1648"/>
      <c r="P157" s="1010"/>
      <c r="Q157" s="794"/>
      <c r="R157" s="795"/>
      <c r="S157" s="475"/>
      <c r="T157" s="475"/>
      <c r="V157" s="486">
        <f t="shared" si="65"/>
        <v>0</v>
      </c>
      <c r="W157" s="547"/>
      <c r="X157" s="1011"/>
      <c r="Y157" s="926"/>
      <c r="Z157" s="893">
        <f t="shared" si="70"/>
        <v>0</v>
      </c>
      <c r="AA157" s="475">
        <f t="shared" si="73"/>
        <v>0</v>
      </c>
      <c r="AB157" s="484"/>
      <c r="AC157" s="880"/>
      <c r="AF157" s="861"/>
      <c r="AH157" s="861"/>
      <c r="AI157" s="861"/>
      <c r="AJ157" s="383" t="s">
        <v>669</v>
      </c>
      <c r="AK157" s="383" t="s">
        <v>1128</v>
      </c>
      <c r="AL157" s="697" t="b">
        <f t="shared" si="66"/>
        <v>0</v>
      </c>
      <c r="AM157" s="475">
        <f>'Estimate Summary'!$D$9</f>
        <v>1</v>
      </c>
      <c r="AN157" s="697" t="s">
        <v>1136</v>
      </c>
      <c r="AO157" s="475">
        <f t="shared" si="67"/>
        <v>0</v>
      </c>
      <c r="AP157" s="697">
        <f t="shared" si="63"/>
        <v>0</v>
      </c>
      <c r="AQ157" s="697" t="s">
        <v>1139</v>
      </c>
      <c r="AR157" s="697" t="s">
        <v>670</v>
      </c>
      <c r="AS157" s="605" t="s">
        <v>751</v>
      </c>
      <c r="AT157" s="697" t="str">
        <f>'Estimate Summary'!$AT$11</f>
        <v>FOB SH</v>
      </c>
      <c r="AU157" s="610" t="b">
        <f t="shared" si="68"/>
        <v>0</v>
      </c>
      <c r="AV157" s="697" t="s">
        <v>1140</v>
      </c>
      <c r="AW157" s="2255">
        <f t="shared" si="69"/>
        <v>0</v>
      </c>
    </row>
    <row r="158" spans="1:49" s="697" customFormat="1" ht="26.25" hidden="1" customHeight="1" outlineLevel="1">
      <c r="B158" s="1079" t="s">
        <v>845</v>
      </c>
      <c r="C158" s="1625" t="s">
        <v>856</v>
      </c>
      <c r="D158" s="1830" t="s">
        <v>181</v>
      </c>
      <c r="E158" s="1646"/>
      <c r="F158" s="1639"/>
      <c r="G158" s="1817">
        <f t="shared" si="72"/>
        <v>0</v>
      </c>
      <c r="H158" s="2017">
        <f t="shared" si="71"/>
        <v>0</v>
      </c>
      <c r="I158" s="469">
        <f>IF('Estimate Summary'!$D$9&lt;2,0,$H158)</f>
        <v>0</v>
      </c>
      <c r="J158" s="469">
        <f>IF('Estimate Summary'!$D$9&lt;3,0,$H158)</f>
        <v>0</v>
      </c>
      <c r="K158" s="469">
        <f>IF('Estimate Summary'!$D$9&lt;4,0,$H158)</f>
        <v>0</v>
      </c>
      <c r="L158" s="469">
        <f>IF('Estimate Summary'!$D$9&lt;5,0,$H158)</f>
        <v>0</v>
      </c>
      <c r="M158" s="469">
        <f>IF('Estimate Summary'!$D$9&lt;6,0,$H158)</f>
        <v>0</v>
      </c>
      <c r="N158" s="1648"/>
      <c r="P158" s="1010">
        <f>IF(Q158=0,0,(YEAR(R158)-YEAR(Q158))*12+(MONTH(R158)-MONTH(Q158)))</f>
        <v>40</v>
      </c>
      <c r="Q158" s="794">
        <v>42683</v>
      </c>
      <c r="R158" s="795">
        <f>$R$2+30.42*'Offshore CF'!BY13</f>
        <v>43895.199999999997</v>
      </c>
      <c r="S158" s="475" t="s">
        <v>128</v>
      </c>
      <c r="T158" s="475" t="s">
        <v>180</v>
      </c>
      <c r="U158" s="697" t="s">
        <v>426</v>
      </c>
      <c r="V158" s="486" t="str">
        <f t="shared" si="65"/>
        <v>CNY</v>
      </c>
      <c r="W158" s="547"/>
      <c r="X158" s="1011">
        <f>IF(V158="CNY",W158/1.17/1000,W158/1000)</f>
        <v>0</v>
      </c>
      <c r="Y158" s="926"/>
      <c r="Z158" s="893">
        <f t="shared" si="70"/>
        <v>0</v>
      </c>
      <c r="AA158" s="475">
        <f t="shared" si="73"/>
        <v>0</v>
      </c>
      <c r="AB158" s="484">
        <f>IF(V158="CNY",X158*(1-Z158),IF(V158="EUR",X158*(1-Z158)*$R$5,IF(V158="JPY",X158*(1-Z158)*$R$6,IF(V158="USD",X158*(1-Z158)*$R$7))))</f>
        <v>0</v>
      </c>
      <c r="AC158" s="880"/>
      <c r="AD158" s="697">
        <f>IF(V158&lt;&gt;"CNY",(AB158+#REF!)*AC158,0)</f>
        <v>0</v>
      </c>
      <c r="AF158" s="861">
        <f>IF(V158&lt;&gt;"CNY",(AB158+#REF!)*$AD$53,0)</f>
        <v>0</v>
      </c>
      <c r="AG158" s="697">
        <f>IF(V158&lt;&gt;"CNY",F158*#REF!/1000,0)</f>
        <v>0</v>
      </c>
      <c r="AH158" s="861">
        <f>SUM(AD158:AG158)</f>
        <v>0</v>
      </c>
      <c r="AI158" s="861">
        <f>AB158+AH158</f>
        <v>0</v>
      </c>
      <c r="AJ158" s="383" t="s">
        <v>669</v>
      </c>
      <c r="AK158" s="383" t="s">
        <v>1128</v>
      </c>
      <c r="AL158" s="697" t="str">
        <f t="shared" si="66"/>
        <v>CN</v>
      </c>
      <c r="AM158" s="475">
        <f>'Estimate Summary'!$D$9</f>
        <v>1</v>
      </c>
      <c r="AN158" s="697" t="s">
        <v>1136</v>
      </c>
      <c r="AO158" s="475">
        <f t="shared" si="67"/>
        <v>0</v>
      </c>
      <c r="AP158" s="697" t="str">
        <f t="shared" si="63"/>
        <v>CNY</v>
      </c>
      <c r="AQ158" s="697" t="s">
        <v>1139</v>
      </c>
      <c r="AR158" s="697" t="s">
        <v>670</v>
      </c>
      <c r="AS158" s="605" t="s">
        <v>751</v>
      </c>
      <c r="AT158" s="697" t="str">
        <f>'Estimate Summary'!$AT$11</f>
        <v>FOB SH</v>
      </c>
      <c r="AU158" s="610" t="str">
        <f t="shared" si="68"/>
        <v>CN</v>
      </c>
      <c r="AV158" s="697" t="s">
        <v>1140</v>
      </c>
      <c r="AW158" s="2255">
        <f t="shared" si="69"/>
        <v>42683</v>
      </c>
    </row>
    <row r="159" spans="1:49" s="697" customFormat="1" ht="13.5" hidden="1" customHeight="1" outlineLevel="1">
      <c r="B159" s="1079" t="s">
        <v>845</v>
      </c>
      <c r="C159" s="1625" t="s">
        <v>857</v>
      </c>
      <c r="D159" s="1830"/>
      <c r="E159" s="1646"/>
      <c r="F159" s="1639"/>
      <c r="G159" s="1608">
        <f t="shared" si="72"/>
        <v>0</v>
      </c>
      <c r="H159" s="1738">
        <f t="shared" si="71"/>
        <v>0</v>
      </c>
      <c r="I159" s="469">
        <f>IF('Estimate Summary'!$D$9&lt;2,0,$H159)</f>
        <v>0</v>
      </c>
      <c r="J159" s="469">
        <f>IF('Estimate Summary'!$D$9&lt;3,0,$H159)</f>
        <v>0</v>
      </c>
      <c r="K159" s="469">
        <f>IF('Estimate Summary'!$D$9&lt;4,0,$H159)</f>
        <v>0</v>
      </c>
      <c r="L159" s="469">
        <f>IF('Estimate Summary'!$D$9&lt;5,0,$H159)</f>
        <v>0</v>
      </c>
      <c r="M159" s="469">
        <f>IF('Estimate Summary'!$D$9&lt;6,0,$H159)</f>
        <v>0</v>
      </c>
      <c r="N159" s="1648"/>
      <c r="P159" s="1010"/>
      <c r="Q159" s="794"/>
      <c r="R159" s="795"/>
      <c r="S159" s="475"/>
      <c r="T159" s="475"/>
      <c r="V159" s="486">
        <f t="shared" si="65"/>
        <v>0</v>
      </c>
      <c r="W159" s="547"/>
      <c r="X159" s="1011"/>
      <c r="Y159" s="926"/>
      <c r="Z159" s="893">
        <f t="shared" si="70"/>
        <v>0</v>
      </c>
      <c r="AA159" s="475">
        <f t="shared" si="73"/>
        <v>0</v>
      </c>
      <c r="AB159" s="484"/>
      <c r="AC159" s="880"/>
      <c r="AF159" s="861"/>
      <c r="AH159" s="861"/>
      <c r="AI159" s="861"/>
      <c r="AJ159" s="383" t="s">
        <v>669</v>
      </c>
      <c r="AK159" s="383" t="s">
        <v>1128</v>
      </c>
      <c r="AL159" s="697" t="b">
        <f t="shared" si="66"/>
        <v>0</v>
      </c>
      <c r="AM159" s="475">
        <f>'Estimate Summary'!$D$9</f>
        <v>1</v>
      </c>
      <c r="AN159" s="697" t="s">
        <v>1136</v>
      </c>
      <c r="AO159" s="475">
        <f t="shared" si="67"/>
        <v>0</v>
      </c>
      <c r="AP159" s="697">
        <f t="shared" si="63"/>
        <v>0</v>
      </c>
      <c r="AQ159" s="697" t="s">
        <v>1139</v>
      </c>
      <c r="AR159" s="697" t="s">
        <v>670</v>
      </c>
      <c r="AS159" s="605" t="s">
        <v>751</v>
      </c>
      <c r="AT159" s="697" t="str">
        <f>'Estimate Summary'!$AT$11</f>
        <v>FOB SH</v>
      </c>
      <c r="AU159" s="610" t="b">
        <f t="shared" si="68"/>
        <v>0</v>
      </c>
      <c r="AV159" s="697" t="s">
        <v>1140</v>
      </c>
      <c r="AW159" s="2255">
        <f t="shared" si="69"/>
        <v>0</v>
      </c>
    </row>
    <row r="160" spans="1:49" s="697" customFormat="1" ht="26.25" hidden="1" customHeight="1" outlineLevel="1">
      <c r="B160" s="1079" t="s">
        <v>845</v>
      </c>
      <c r="C160" s="1625" t="s">
        <v>858</v>
      </c>
      <c r="D160" s="1830"/>
      <c r="E160" s="1646"/>
      <c r="F160" s="1639"/>
      <c r="G160" s="1608">
        <f t="shared" si="72"/>
        <v>0</v>
      </c>
      <c r="H160" s="1738">
        <f t="shared" si="71"/>
        <v>0</v>
      </c>
      <c r="I160" s="469">
        <f>IF('Estimate Summary'!$D$9&lt;2,0,$H160)</f>
        <v>0</v>
      </c>
      <c r="J160" s="469">
        <f>IF('Estimate Summary'!$D$9&lt;3,0,$H160)</f>
        <v>0</v>
      </c>
      <c r="K160" s="469">
        <f>IF('Estimate Summary'!$D$9&lt;4,0,$H160)</f>
        <v>0</v>
      </c>
      <c r="L160" s="469">
        <f>IF('Estimate Summary'!$D$9&lt;5,0,$H160)</f>
        <v>0</v>
      </c>
      <c r="M160" s="469">
        <f>IF('Estimate Summary'!$D$9&lt;6,0,$H160)</f>
        <v>0</v>
      </c>
      <c r="N160" s="1648"/>
      <c r="P160" s="1010"/>
      <c r="Q160" s="794"/>
      <c r="R160" s="795"/>
      <c r="S160" s="475"/>
      <c r="T160" s="475"/>
      <c r="V160" s="486">
        <f t="shared" si="65"/>
        <v>0</v>
      </c>
      <c r="W160" s="547"/>
      <c r="X160" s="1011"/>
      <c r="Y160" s="926"/>
      <c r="Z160" s="893">
        <f t="shared" si="70"/>
        <v>0</v>
      </c>
      <c r="AA160" s="475">
        <f t="shared" si="73"/>
        <v>0</v>
      </c>
      <c r="AB160" s="484"/>
      <c r="AC160" s="880"/>
      <c r="AF160" s="861"/>
      <c r="AH160" s="861"/>
      <c r="AI160" s="861"/>
      <c r="AJ160" s="383" t="s">
        <v>669</v>
      </c>
      <c r="AK160" s="383" t="s">
        <v>1128</v>
      </c>
      <c r="AL160" s="697" t="b">
        <f t="shared" si="66"/>
        <v>0</v>
      </c>
      <c r="AM160" s="475">
        <f>'Estimate Summary'!$D$9</f>
        <v>1</v>
      </c>
      <c r="AN160" s="697" t="s">
        <v>1136</v>
      </c>
      <c r="AO160" s="475">
        <f t="shared" si="67"/>
        <v>0</v>
      </c>
      <c r="AP160" s="697">
        <f t="shared" si="63"/>
        <v>0</v>
      </c>
      <c r="AQ160" s="697" t="s">
        <v>1139</v>
      </c>
      <c r="AR160" s="697" t="s">
        <v>670</v>
      </c>
      <c r="AS160" s="605" t="s">
        <v>751</v>
      </c>
      <c r="AT160" s="697" t="str">
        <f>'Estimate Summary'!$AT$11</f>
        <v>FOB SH</v>
      </c>
      <c r="AU160" s="610" t="b">
        <f t="shared" si="68"/>
        <v>0</v>
      </c>
      <c r="AV160" s="697" t="s">
        <v>1140</v>
      </c>
      <c r="AW160" s="2255">
        <f t="shared" si="69"/>
        <v>0</v>
      </c>
    </row>
    <row r="161" spans="1:49" s="697" customFormat="1" ht="13.5" hidden="1" customHeight="1" outlineLevel="1">
      <c r="B161" s="1079" t="s">
        <v>845</v>
      </c>
      <c r="C161" s="1625" t="s">
        <v>962</v>
      </c>
      <c r="D161" s="1830"/>
      <c r="E161" s="1646"/>
      <c r="F161" s="1639"/>
      <c r="G161" s="1608">
        <f t="shared" si="72"/>
        <v>0</v>
      </c>
      <c r="H161" s="1738">
        <f t="shared" si="71"/>
        <v>0</v>
      </c>
      <c r="I161" s="469">
        <f>IF('Estimate Summary'!$D$9&lt;2,0,$H161)</f>
        <v>0</v>
      </c>
      <c r="J161" s="469">
        <f>IF('Estimate Summary'!$D$9&lt;3,0,$H161)</f>
        <v>0</v>
      </c>
      <c r="K161" s="469">
        <f>IF('Estimate Summary'!$D$9&lt;4,0,$H161)</f>
        <v>0</v>
      </c>
      <c r="L161" s="469">
        <f>IF('Estimate Summary'!$D$9&lt;5,0,$H161)</f>
        <v>0</v>
      </c>
      <c r="M161" s="469">
        <f>IF('Estimate Summary'!$D$9&lt;6,0,$H161)</f>
        <v>0</v>
      </c>
      <c r="N161" s="1648"/>
      <c r="P161" s="1010"/>
      <c r="Q161" s="794"/>
      <c r="R161" s="795"/>
      <c r="S161" s="475"/>
      <c r="T161" s="475"/>
      <c r="V161" s="486">
        <f t="shared" si="65"/>
        <v>0</v>
      </c>
      <c r="W161" s="547"/>
      <c r="X161" s="1011"/>
      <c r="Y161" s="926"/>
      <c r="Z161" s="893">
        <f t="shared" si="70"/>
        <v>0</v>
      </c>
      <c r="AA161" s="475">
        <f t="shared" si="73"/>
        <v>0</v>
      </c>
      <c r="AB161" s="484"/>
      <c r="AC161" s="880"/>
      <c r="AF161" s="861"/>
      <c r="AH161" s="861"/>
      <c r="AI161" s="861"/>
      <c r="AJ161" s="383" t="s">
        <v>669</v>
      </c>
      <c r="AK161" s="383" t="s">
        <v>1128</v>
      </c>
      <c r="AL161" s="697" t="b">
        <f t="shared" si="66"/>
        <v>0</v>
      </c>
      <c r="AM161" s="475">
        <f>'Estimate Summary'!$D$9</f>
        <v>1</v>
      </c>
      <c r="AN161" s="697" t="s">
        <v>1136</v>
      </c>
      <c r="AO161" s="475">
        <f t="shared" si="67"/>
        <v>0</v>
      </c>
      <c r="AP161" s="697">
        <f t="shared" si="63"/>
        <v>0</v>
      </c>
      <c r="AQ161" s="697" t="s">
        <v>1139</v>
      </c>
      <c r="AR161" s="697" t="s">
        <v>670</v>
      </c>
      <c r="AS161" s="605" t="s">
        <v>751</v>
      </c>
      <c r="AT161" s="697" t="str">
        <f>'Estimate Summary'!$AT$11</f>
        <v>FOB SH</v>
      </c>
      <c r="AU161" s="610" t="b">
        <f t="shared" si="68"/>
        <v>0</v>
      </c>
      <c r="AV161" s="697" t="s">
        <v>1140</v>
      </c>
      <c r="AW161" s="2255">
        <f t="shared" si="69"/>
        <v>0</v>
      </c>
    </row>
    <row r="162" spans="1:49" s="697" customFormat="1" ht="26.25" hidden="1" customHeight="1" outlineLevel="1">
      <c r="B162" s="1079" t="s">
        <v>845</v>
      </c>
      <c r="C162" s="1625" t="s">
        <v>846</v>
      </c>
      <c r="D162" s="1830" t="s">
        <v>181</v>
      </c>
      <c r="E162" s="1646"/>
      <c r="F162" s="1639"/>
      <c r="G162" s="1817">
        <f t="shared" si="72"/>
        <v>0</v>
      </c>
      <c r="H162" s="2017">
        <f t="shared" si="71"/>
        <v>0</v>
      </c>
      <c r="I162" s="469">
        <f>IF('Estimate Summary'!$D$9&lt;2,0,$H162)</f>
        <v>0</v>
      </c>
      <c r="J162" s="469">
        <f>IF('Estimate Summary'!$D$9&lt;3,0,$H162)</f>
        <v>0</v>
      </c>
      <c r="K162" s="469">
        <f>IF('Estimate Summary'!$D$9&lt;4,0,$H162)</f>
        <v>0</v>
      </c>
      <c r="L162" s="469">
        <f>IF('Estimate Summary'!$D$9&lt;5,0,$H162)</f>
        <v>0</v>
      </c>
      <c r="M162" s="469">
        <f>IF('Estimate Summary'!$D$9&lt;6,0,$H162)</f>
        <v>0</v>
      </c>
      <c r="N162" s="1648"/>
      <c r="P162" s="1010">
        <f>IF(Q162=0,0,(YEAR(R162)-YEAR(Q162))*12+(MONTH(R162)-MONTH(Q162)))</f>
        <v>40</v>
      </c>
      <c r="Q162" s="794">
        <v>42683</v>
      </c>
      <c r="R162" s="795">
        <f>$R$2+30.42*'Offshore CF'!BY13</f>
        <v>43895.199999999997</v>
      </c>
      <c r="S162" s="475" t="s">
        <v>129</v>
      </c>
      <c r="T162" s="475" t="s">
        <v>180</v>
      </c>
      <c r="U162" s="697" t="s">
        <v>616</v>
      </c>
      <c r="V162" s="486" t="str">
        <f t="shared" si="65"/>
        <v>CNY</v>
      </c>
      <c r="W162" s="547"/>
      <c r="X162" s="1011">
        <f>IF(V162="CNY",W162/1.17/1000,W162/1000)</f>
        <v>0</v>
      </c>
      <c r="Y162" s="926"/>
      <c r="Z162" s="893">
        <f t="shared" si="70"/>
        <v>0</v>
      </c>
      <c r="AA162" s="475">
        <f t="shared" si="73"/>
        <v>0</v>
      </c>
      <c r="AB162" s="484">
        <f>IF(V162="CNY",X162*(1-Z162),IF(V162="EUR",X162*(1-Z162)*$R$5,IF(V162="JPY",X162*(1-Z162)*$R$6,IF(V162="USD",X162*(1-Z162)*$R$7))))</f>
        <v>0</v>
      </c>
      <c r="AC162" s="880"/>
      <c r="AD162" s="697">
        <f>IF(V162&lt;&gt;"CNY",(AB162+#REF!)*AC162,0)</f>
        <v>0</v>
      </c>
      <c r="AF162" s="861">
        <f>IF(V162&lt;&gt;"CNY",(AB162+#REF!)*$AD$53,0)</f>
        <v>0</v>
      </c>
      <c r="AG162" s="697">
        <f>IF(V162&lt;&gt;"CNY",F162*#REF!/1000,0)</f>
        <v>0</v>
      </c>
      <c r="AH162" s="861">
        <f>SUM(AD162:AG162)</f>
        <v>0</v>
      </c>
      <c r="AI162" s="861">
        <f>AB162+AH162</f>
        <v>0</v>
      </c>
      <c r="AJ162" s="383" t="s">
        <v>669</v>
      </c>
      <c r="AK162" s="383" t="s">
        <v>1128</v>
      </c>
      <c r="AL162" s="697" t="str">
        <f t="shared" si="66"/>
        <v>CN</v>
      </c>
      <c r="AM162" s="475">
        <f>'Estimate Summary'!$D$9</f>
        <v>1</v>
      </c>
      <c r="AN162" s="697" t="s">
        <v>1136</v>
      </c>
      <c r="AO162" s="475">
        <f t="shared" si="67"/>
        <v>0</v>
      </c>
      <c r="AP162" s="697" t="str">
        <f t="shared" si="63"/>
        <v>CNY</v>
      </c>
      <c r="AQ162" s="697" t="s">
        <v>1139</v>
      </c>
      <c r="AR162" s="697" t="s">
        <v>670</v>
      </c>
      <c r="AS162" s="605" t="s">
        <v>751</v>
      </c>
      <c r="AT162" s="697" t="str">
        <f>'Estimate Summary'!$AT$11</f>
        <v>FOB SH</v>
      </c>
      <c r="AU162" s="610" t="str">
        <f t="shared" si="68"/>
        <v>CN</v>
      </c>
      <c r="AV162" s="697" t="s">
        <v>1140</v>
      </c>
      <c r="AW162" s="2255">
        <f t="shared" si="69"/>
        <v>42683</v>
      </c>
    </row>
    <row r="163" spans="1:49" s="605" customFormat="1" ht="12.75" hidden="1" customHeight="1" outlineLevel="1" collapsed="1">
      <c r="B163" s="1854"/>
      <c r="C163" s="1859" t="s">
        <v>1058</v>
      </c>
      <c r="D163" s="1860"/>
      <c r="E163" s="1809">
        <f>SUM(E164:E167)</f>
        <v>0</v>
      </c>
      <c r="F163" s="1862"/>
      <c r="G163" s="1863">
        <f t="shared" si="72"/>
        <v>0</v>
      </c>
      <c r="H163" s="1809">
        <f t="shared" ref="H163:M163" si="75">SUM(H164:H167)</f>
        <v>0</v>
      </c>
      <c r="I163" s="1864">
        <f t="shared" si="75"/>
        <v>0</v>
      </c>
      <c r="J163" s="1864">
        <f t="shared" si="75"/>
        <v>0</v>
      </c>
      <c r="K163" s="1864">
        <f t="shared" si="75"/>
        <v>0</v>
      </c>
      <c r="L163" s="1864">
        <f t="shared" si="75"/>
        <v>0</v>
      </c>
      <c r="M163" s="1864">
        <f t="shared" si="75"/>
        <v>0</v>
      </c>
      <c r="N163" s="1865"/>
      <c r="P163" s="2279"/>
      <c r="Q163" s="476"/>
      <c r="R163" s="476"/>
      <c r="S163" s="485"/>
      <c r="T163" s="2281"/>
      <c r="U163" s="1925"/>
      <c r="V163" s="1926">
        <f t="shared" si="65"/>
        <v>0</v>
      </c>
      <c r="W163" s="875"/>
      <c r="X163" s="875"/>
      <c r="Y163" s="878"/>
      <c r="Z163" s="891">
        <f t="shared" si="70"/>
        <v>0</v>
      </c>
      <c r="AA163" s="485"/>
      <c r="AB163" s="485"/>
      <c r="AC163" s="1927"/>
      <c r="AD163" s="476"/>
      <c r="AE163" s="476"/>
      <c r="AF163" s="2282"/>
      <c r="AG163" s="1925"/>
      <c r="AH163" s="875"/>
      <c r="AI163" s="875"/>
      <c r="AJ163" s="383" t="s">
        <v>669</v>
      </c>
      <c r="AK163" s="383" t="s">
        <v>1128</v>
      </c>
      <c r="AL163" s="605" t="b">
        <f t="shared" si="66"/>
        <v>0</v>
      </c>
      <c r="AM163" s="899">
        <f>'Estimate Summary'!$D$9</f>
        <v>1</v>
      </c>
      <c r="AN163" s="605" t="s">
        <v>1136</v>
      </c>
      <c r="AO163" s="899">
        <f t="shared" si="67"/>
        <v>0</v>
      </c>
      <c r="AP163" s="605">
        <f t="shared" si="63"/>
        <v>0</v>
      </c>
      <c r="AQ163" s="605" t="s">
        <v>1139</v>
      </c>
      <c r="AR163" s="605" t="s">
        <v>670</v>
      </c>
      <c r="AS163" s="605" t="s">
        <v>751</v>
      </c>
      <c r="AT163" s="605" t="str">
        <f>'Estimate Summary'!$AT$11</f>
        <v>FOB SH</v>
      </c>
      <c r="AU163" s="610" t="b">
        <f t="shared" si="68"/>
        <v>0</v>
      </c>
      <c r="AV163" s="605" t="s">
        <v>1140</v>
      </c>
      <c r="AW163" s="2255">
        <f t="shared" si="69"/>
        <v>0</v>
      </c>
    </row>
    <row r="164" spans="1:49" s="697" customFormat="1" ht="13.5" hidden="1" customHeight="1" outlineLevel="1">
      <c r="A164" s="383"/>
      <c r="B164" s="1079" t="s">
        <v>847</v>
      </c>
      <c r="C164" s="385" t="s">
        <v>850</v>
      </c>
      <c r="D164" s="1830" t="s">
        <v>181</v>
      </c>
      <c r="E164" s="421"/>
      <c r="F164" s="390">
        <f>IF(E164=0,0,H164/E164*1000)</f>
        <v>0</v>
      </c>
      <c r="G164" s="1817">
        <f t="shared" si="72"/>
        <v>0</v>
      </c>
      <c r="H164" s="2017">
        <f t="shared" si="71"/>
        <v>0</v>
      </c>
      <c r="I164" s="469">
        <f>IF('Estimate Summary'!$D$9&lt;2,0,$H164)</f>
        <v>0</v>
      </c>
      <c r="J164" s="469">
        <f>IF('Estimate Summary'!$D$9&lt;3,0,$H164)</f>
        <v>0</v>
      </c>
      <c r="K164" s="469">
        <f>IF('Estimate Summary'!$D$9&lt;4,0,$H164)</f>
        <v>0</v>
      </c>
      <c r="L164" s="469">
        <f>IF('Estimate Summary'!$D$9&lt;5,0,$H164)</f>
        <v>0</v>
      </c>
      <c r="M164" s="469">
        <f>IF('Estimate Summary'!$D$9&lt;6,0,$H164)</f>
        <v>0</v>
      </c>
      <c r="N164" s="1756"/>
      <c r="P164" s="474">
        <f>IF(Q164=0,0,(YEAR(R164)-YEAR(Q164))*12+(MONTH(R164)-MONTH(Q164)))</f>
        <v>42</v>
      </c>
      <c r="Q164" s="794">
        <v>42683</v>
      </c>
      <c r="R164" s="795">
        <f>$R$2+30.42*'Offshore CF'!BZ13</f>
        <v>43956.04</v>
      </c>
      <c r="S164" s="475" t="s">
        <v>129</v>
      </c>
      <c r="T164" s="475" t="s">
        <v>180</v>
      </c>
      <c r="U164" s="697" t="s">
        <v>676</v>
      </c>
      <c r="V164" s="391" t="str">
        <f t="shared" si="65"/>
        <v>CNY</v>
      </c>
      <c r="W164" s="547"/>
      <c r="X164" s="863">
        <f>IF(V164="CNY",W164/1.17/1000,W164/1000)</f>
        <v>0</v>
      </c>
      <c r="Y164" s="920"/>
      <c r="Z164" s="890">
        <f t="shared" si="70"/>
        <v>0</v>
      </c>
      <c r="AA164" s="484">
        <f t="shared" si="73"/>
        <v>0</v>
      </c>
      <c r="AB164" s="484">
        <f>IF(V164="CNY",X164*(1-Z164),IF(V164="EUR",X164*(1-Z164)*$T$5,IF(V164="JPY",X164*(1-Z164)*$T$6,IF(V164="USD",X164*(1-Z164)*$T$7))))</f>
        <v>0</v>
      </c>
      <c r="AC164" s="880"/>
      <c r="AD164" s="697">
        <f>IF(V164&lt;&gt;"CNY",(AB164+#REF!)*AC164,0)</f>
        <v>0</v>
      </c>
      <c r="AF164" s="861">
        <f>IF(V164&lt;&gt;"CNY",(AB164+#REF!)*#REF!,0)</f>
        <v>0</v>
      </c>
      <c r="AG164" s="697">
        <f>IF(V164&lt;&gt;"CNY",E164*#REF!/1000,0)</f>
        <v>0</v>
      </c>
      <c r="AH164" s="861">
        <f>SUM(AD164:AG164)</f>
        <v>0</v>
      </c>
      <c r="AI164" s="861">
        <f>AB164+AH164</f>
        <v>0</v>
      </c>
      <c r="AJ164" s="383" t="s">
        <v>669</v>
      </c>
      <c r="AK164" s="383" t="s">
        <v>1128</v>
      </c>
      <c r="AL164" s="697" t="str">
        <f t="shared" si="66"/>
        <v>CN</v>
      </c>
      <c r="AM164" s="475">
        <f>'Estimate Summary'!$D$9</f>
        <v>1</v>
      </c>
      <c r="AN164" s="697" t="s">
        <v>1136</v>
      </c>
      <c r="AO164" s="475">
        <f t="shared" si="67"/>
        <v>0</v>
      </c>
      <c r="AP164" s="697" t="str">
        <f t="shared" si="63"/>
        <v>CNY</v>
      </c>
      <c r="AQ164" s="697" t="s">
        <v>1139</v>
      </c>
      <c r="AR164" s="697" t="s">
        <v>670</v>
      </c>
      <c r="AS164" s="605" t="s">
        <v>751</v>
      </c>
      <c r="AT164" s="697" t="str">
        <f>'Estimate Summary'!$AT$11</f>
        <v>FOB SH</v>
      </c>
      <c r="AU164" s="610" t="str">
        <f t="shared" si="68"/>
        <v>CN</v>
      </c>
      <c r="AV164" s="697" t="s">
        <v>1140</v>
      </c>
      <c r="AW164" s="2255">
        <f t="shared" si="69"/>
        <v>42683</v>
      </c>
    </row>
    <row r="165" spans="1:49" s="697" customFormat="1" ht="13.5" hidden="1" customHeight="1" outlineLevel="1">
      <c r="A165" s="383"/>
      <c r="B165" s="1079" t="s">
        <v>847</v>
      </c>
      <c r="C165" s="385" t="s">
        <v>995</v>
      </c>
      <c r="D165" s="1829"/>
      <c r="E165" s="421"/>
      <c r="F165" s="390"/>
      <c r="G165" s="1817">
        <f t="shared" si="72"/>
        <v>0</v>
      </c>
      <c r="H165" s="1738">
        <f t="shared" si="71"/>
        <v>0</v>
      </c>
      <c r="I165" s="469">
        <f>IF('Estimate Summary'!$D$9&lt;2,0,$H165)</f>
        <v>0</v>
      </c>
      <c r="J165" s="469">
        <f>IF('Estimate Summary'!$D$9&lt;3,0,$H165)</f>
        <v>0</v>
      </c>
      <c r="K165" s="469">
        <f>IF('Estimate Summary'!$D$9&lt;4,0,$H165)</f>
        <v>0</v>
      </c>
      <c r="L165" s="469">
        <f>IF('Estimate Summary'!$D$9&lt;5,0,$H165)</f>
        <v>0</v>
      </c>
      <c r="M165" s="469">
        <f>IF('Estimate Summary'!$D$9&lt;6,0,$H165)</f>
        <v>0</v>
      </c>
      <c r="N165" s="1756"/>
      <c r="P165" s="474">
        <f>IF(Q165=0,0,(YEAR(R165)-YEAR(Q165))*12+(MONTH(R165)-MONTH(Q165)))</f>
        <v>0</v>
      </c>
      <c r="Q165" s="794"/>
      <c r="R165" s="795"/>
      <c r="S165" s="475"/>
      <c r="T165" s="475"/>
      <c r="V165" s="391">
        <f t="shared" si="65"/>
        <v>0</v>
      </c>
      <c r="W165" s="547"/>
      <c r="X165" s="863">
        <f>IF(V165="CNY",W165/1.17/1000,W165/1000)</f>
        <v>0</v>
      </c>
      <c r="Y165" s="890"/>
      <c r="Z165" s="890">
        <f t="shared" si="70"/>
        <v>0</v>
      </c>
      <c r="AA165" s="484">
        <f t="shared" si="73"/>
        <v>0</v>
      </c>
      <c r="AB165" s="484"/>
      <c r="AC165" s="880"/>
      <c r="AF165" s="861"/>
      <c r="AH165" s="861">
        <f>SUM(AD165:AG165)</f>
        <v>0</v>
      </c>
      <c r="AI165" s="861">
        <f>AB165+AH165</f>
        <v>0</v>
      </c>
      <c r="AJ165" s="383" t="s">
        <v>669</v>
      </c>
      <c r="AK165" s="383" t="s">
        <v>1128</v>
      </c>
      <c r="AL165" s="697" t="b">
        <f t="shared" si="66"/>
        <v>0</v>
      </c>
      <c r="AM165" s="475">
        <f>'Estimate Summary'!$D$9</f>
        <v>1</v>
      </c>
      <c r="AN165" s="697" t="s">
        <v>1136</v>
      </c>
      <c r="AO165" s="475">
        <f t="shared" si="67"/>
        <v>0</v>
      </c>
      <c r="AP165" s="697">
        <f t="shared" si="63"/>
        <v>0</v>
      </c>
      <c r="AQ165" s="697" t="s">
        <v>1139</v>
      </c>
      <c r="AR165" s="697" t="s">
        <v>670</v>
      </c>
      <c r="AS165" s="605" t="s">
        <v>751</v>
      </c>
      <c r="AT165" s="697" t="str">
        <f>'Estimate Summary'!$AT$11</f>
        <v>FOB SH</v>
      </c>
      <c r="AU165" s="610" t="b">
        <f t="shared" si="68"/>
        <v>0</v>
      </c>
      <c r="AV165" s="697" t="s">
        <v>1140</v>
      </c>
      <c r="AW165" s="2255">
        <f t="shared" si="69"/>
        <v>0</v>
      </c>
    </row>
    <row r="166" spans="1:49" s="697" customFormat="1" ht="15.75" hidden="1" customHeight="1" outlineLevel="1">
      <c r="A166" s="383"/>
      <c r="B166" s="1079" t="s">
        <v>847</v>
      </c>
      <c r="C166" s="385" t="s">
        <v>995</v>
      </c>
      <c r="D166" s="1829"/>
      <c r="E166" s="421"/>
      <c r="F166" s="390"/>
      <c r="G166" s="1817">
        <f t="shared" si="72"/>
        <v>0</v>
      </c>
      <c r="H166" s="1738">
        <f t="shared" si="71"/>
        <v>0</v>
      </c>
      <c r="I166" s="469">
        <f>IF('Estimate Summary'!$D$9&lt;2,0,$H166)</f>
        <v>0</v>
      </c>
      <c r="J166" s="469">
        <f>IF('Estimate Summary'!$D$9&lt;3,0,$H166)</f>
        <v>0</v>
      </c>
      <c r="K166" s="469">
        <f>IF('Estimate Summary'!$D$9&lt;4,0,$H166)</f>
        <v>0</v>
      </c>
      <c r="L166" s="469">
        <f>IF('Estimate Summary'!$D$9&lt;5,0,$H166)</f>
        <v>0</v>
      </c>
      <c r="M166" s="469">
        <f>IF('Estimate Summary'!$D$9&lt;6,0,$H166)</f>
        <v>0</v>
      </c>
      <c r="N166" s="1756"/>
      <c r="P166" s="474">
        <f>IF(Q166=0,0,(YEAR(R166)-YEAR(Q166))*12+(MONTH(R166)-MONTH(Q166)))</f>
        <v>0</v>
      </c>
      <c r="Q166" s="794"/>
      <c r="R166" s="795"/>
      <c r="S166" s="475"/>
      <c r="T166" s="475"/>
      <c r="V166" s="391">
        <f t="shared" si="65"/>
        <v>0</v>
      </c>
      <c r="W166" s="547"/>
      <c r="X166" s="863">
        <f>IF(V166="CNY",W166/1.17/1000,W166/1000)</f>
        <v>0</v>
      </c>
      <c r="Y166" s="890"/>
      <c r="Z166" s="890">
        <f t="shared" si="70"/>
        <v>0</v>
      </c>
      <c r="AA166" s="484">
        <f t="shared" si="73"/>
        <v>0</v>
      </c>
      <c r="AB166" s="484"/>
      <c r="AC166" s="880"/>
      <c r="AD166" s="791"/>
      <c r="AE166" s="791"/>
      <c r="AF166" s="861"/>
      <c r="AH166" s="861">
        <f>SUM(AD166:AG166)</f>
        <v>0</v>
      </c>
      <c r="AI166" s="861">
        <f>AB166+AH166</f>
        <v>0</v>
      </c>
      <c r="AJ166" s="383" t="s">
        <v>669</v>
      </c>
      <c r="AK166" s="383" t="s">
        <v>1128</v>
      </c>
      <c r="AL166" s="697" t="b">
        <f t="shared" si="66"/>
        <v>0</v>
      </c>
      <c r="AM166" s="475">
        <f>'Estimate Summary'!$D$9</f>
        <v>1</v>
      </c>
      <c r="AN166" s="697" t="s">
        <v>1136</v>
      </c>
      <c r="AO166" s="475">
        <f t="shared" si="67"/>
        <v>0</v>
      </c>
      <c r="AP166" s="697">
        <f t="shared" si="63"/>
        <v>0</v>
      </c>
      <c r="AQ166" s="697" t="s">
        <v>1139</v>
      </c>
      <c r="AR166" s="697" t="s">
        <v>670</v>
      </c>
      <c r="AS166" s="605" t="s">
        <v>751</v>
      </c>
      <c r="AT166" s="697" t="str">
        <f>'Estimate Summary'!$AT$11</f>
        <v>FOB SH</v>
      </c>
      <c r="AU166" s="610" t="b">
        <f t="shared" si="68"/>
        <v>0</v>
      </c>
      <c r="AV166" s="697" t="s">
        <v>1140</v>
      </c>
      <c r="AW166" s="2255">
        <f t="shared" si="69"/>
        <v>0</v>
      </c>
    </row>
    <row r="167" spans="1:49" s="697" customFormat="1" ht="15.75" hidden="1" customHeight="1" outlineLevel="1">
      <c r="A167" s="383"/>
      <c r="B167" s="1079" t="s">
        <v>847</v>
      </c>
      <c r="C167" s="385" t="s">
        <v>851</v>
      </c>
      <c r="D167" s="1829"/>
      <c r="E167" s="421"/>
      <c r="F167" s="568"/>
      <c r="G167" s="1817">
        <f t="shared" si="72"/>
        <v>0</v>
      </c>
      <c r="H167" s="1738">
        <f t="shared" si="71"/>
        <v>0</v>
      </c>
      <c r="I167" s="469">
        <f>IF('Estimate Summary'!$D$9&lt;2,0,$H167)</f>
        <v>0</v>
      </c>
      <c r="J167" s="469">
        <f>IF('Estimate Summary'!$D$9&lt;3,0,$H167)</f>
        <v>0</v>
      </c>
      <c r="K167" s="469">
        <f>IF('Estimate Summary'!$D$9&lt;4,0,$H167)</f>
        <v>0</v>
      </c>
      <c r="L167" s="469">
        <f>IF('Estimate Summary'!$D$9&lt;5,0,$H167)</f>
        <v>0</v>
      </c>
      <c r="M167" s="469">
        <f>IF('Estimate Summary'!$D$9&lt;6,0,$H167)</f>
        <v>0</v>
      </c>
      <c r="N167" s="1647"/>
      <c r="P167" s="474">
        <f>IF(Q167=0,0,(YEAR(R167)-YEAR(Q167))*12+(MONTH(R167)-MONTH(Q167)))</f>
        <v>0</v>
      </c>
      <c r="Q167" s="794"/>
      <c r="R167" s="795"/>
      <c r="S167" s="475"/>
      <c r="T167" s="484"/>
      <c r="V167" s="391">
        <f t="shared" si="65"/>
        <v>0</v>
      </c>
      <c r="W167" s="547"/>
      <c r="X167" s="863">
        <f>IF(V167="CNY",W167/1.17/1000,W167/1000)</f>
        <v>0</v>
      </c>
      <c r="Y167" s="890"/>
      <c r="Z167" s="890">
        <f t="shared" si="70"/>
        <v>0</v>
      </c>
      <c r="AA167" s="484">
        <f t="shared" si="73"/>
        <v>0</v>
      </c>
      <c r="AB167" s="484"/>
      <c r="AC167" s="880"/>
      <c r="AD167" s="791"/>
      <c r="AE167" s="791"/>
      <c r="AF167" s="861"/>
      <c r="AH167" s="861">
        <f>SUM(AD167:AG167)</f>
        <v>0</v>
      </c>
      <c r="AI167" s="861">
        <f>AB167+AH167</f>
        <v>0</v>
      </c>
      <c r="AJ167" s="383" t="s">
        <v>669</v>
      </c>
      <c r="AK167" s="383" t="s">
        <v>1128</v>
      </c>
      <c r="AL167" s="697" t="b">
        <f t="shared" si="66"/>
        <v>0</v>
      </c>
      <c r="AM167" s="475">
        <f>'Estimate Summary'!$D$9</f>
        <v>1</v>
      </c>
      <c r="AN167" s="697" t="s">
        <v>1136</v>
      </c>
      <c r="AO167" s="475">
        <f t="shared" si="67"/>
        <v>0</v>
      </c>
      <c r="AP167" s="697">
        <f t="shared" si="63"/>
        <v>0</v>
      </c>
      <c r="AQ167" s="697" t="s">
        <v>1139</v>
      </c>
      <c r="AR167" s="697" t="s">
        <v>670</v>
      </c>
      <c r="AS167" s="605" t="s">
        <v>751</v>
      </c>
      <c r="AT167" s="697" t="str">
        <f>'Estimate Summary'!$AT$11</f>
        <v>FOB SH</v>
      </c>
      <c r="AU167" s="610" t="b">
        <f t="shared" si="68"/>
        <v>0</v>
      </c>
      <c r="AV167" s="697" t="s">
        <v>1140</v>
      </c>
      <c r="AW167" s="2255">
        <f t="shared" si="69"/>
        <v>0</v>
      </c>
    </row>
    <row r="168" spans="1:49" s="605" customFormat="1" ht="13.5" hidden="1" customHeight="1" outlineLevel="1" collapsed="1" thickBot="1">
      <c r="B168" s="2283"/>
      <c r="C168" s="1642" t="s">
        <v>290</v>
      </c>
      <c r="D168" s="1826"/>
      <c r="E168" s="1649">
        <f>E145+E154+E155+E163</f>
        <v>0</v>
      </c>
      <c r="F168" s="1650"/>
      <c r="G168" s="1651">
        <f t="shared" si="72"/>
        <v>0</v>
      </c>
      <c r="H168" s="1649">
        <f>H145+H154+H155+H163</f>
        <v>0</v>
      </c>
      <c r="I168" s="1663">
        <f>I145+I155+I163</f>
        <v>0</v>
      </c>
      <c r="J168" s="1663">
        <f>J145+J155+J163</f>
        <v>0</v>
      </c>
      <c r="K168" s="1663">
        <f>K145+K155+K163</f>
        <v>0</v>
      </c>
      <c r="L168" s="1663">
        <f>L145+L155+L163</f>
        <v>0</v>
      </c>
      <c r="M168" s="1663">
        <f>M145+M155+M163</f>
        <v>0</v>
      </c>
      <c r="N168" s="1758"/>
      <c r="O168" s="2285"/>
      <c r="P168" s="1014"/>
      <c r="Q168" s="794"/>
      <c r="R168" s="796"/>
      <c r="S168" s="899"/>
      <c r="T168" s="551"/>
      <c r="V168" s="603">
        <f t="shared" si="65"/>
        <v>0</v>
      </c>
      <c r="W168" s="870"/>
      <c r="X168" s="870"/>
      <c r="Y168" s="900"/>
      <c r="Z168" s="900">
        <f t="shared" si="70"/>
        <v>0</v>
      </c>
      <c r="AA168" s="899"/>
      <c r="AB168" s="1012"/>
      <c r="AC168" s="900"/>
      <c r="AF168" s="870"/>
      <c r="AH168" s="870"/>
      <c r="AI168" s="870"/>
      <c r="AJ168" s="383" t="s">
        <v>669</v>
      </c>
      <c r="AK168" s="383" t="s">
        <v>1128</v>
      </c>
      <c r="AL168" s="605" t="b">
        <f t="shared" si="66"/>
        <v>0</v>
      </c>
      <c r="AM168" s="899">
        <f>'Estimate Summary'!$D$9</f>
        <v>1</v>
      </c>
      <c r="AN168" s="605" t="s">
        <v>1136</v>
      </c>
      <c r="AO168" s="899">
        <f t="shared" si="67"/>
        <v>0</v>
      </c>
      <c r="AP168" s="605">
        <f t="shared" si="63"/>
        <v>0</v>
      </c>
      <c r="AQ168" s="605" t="s">
        <v>1139</v>
      </c>
      <c r="AR168" s="605" t="s">
        <v>670</v>
      </c>
      <c r="AS168" s="605" t="s">
        <v>751</v>
      </c>
      <c r="AT168" s="605" t="str">
        <f>'Estimate Summary'!$AT$11</f>
        <v>FOB SH</v>
      </c>
      <c r="AU168" s="610" t="b">
        <f t="shared" si="68"/>
        <v>0</v>
      </c>
      <c r="AV168" s="605" t="s">
        <v>1140</v>
      </c>
      <c r="AW168" s="2255">
        <f t="shared" si="69"/>
        <v>0</v>
      </c>
    </row>
    <row r="169" spans="1:49" s="605" customFormat="1" ht="13.5" hidden="1" customHeight="1" outlineLevel="1" thickTop="1">
      <c r="B169" s="1641" t="s">
        <v>952</v>
      </c>
      <c r="C169" s="1688"/>
      <c r="D169" s="1837"/>
      <c r="E169" s="1689"/>
      <c r="F169" s="2286"/>
      <c r="G169" s="2287">
        <f t="shared" si="72"/>
        <v>0</v>
      </c>
      <c r="H169" s="1689"/>
      <c r="I169" s="1747"/>
      <c r="J169" s="1747"/>
      <c r="K169" s="1747"/>
      <c r="L169" s="1747"/>
      <c r="M169" s="1747"/>
      <c r="N169" s="2273"/>
      <c r="P169" s="1014"/>
      <c r="Q169" s="794"/>
      <c r="R169" s="796"/>
      <c r="S169" s="899"/>
      <c r="T169" s="551"/>
      <c r="V169" s="1014">
        <f t="shared" si="65"/>
        <v>0</v>
      </c>
      <c r="W169" s="870"/>
      <c r="X169" s="870"/>
      <c r="Y169" s="888"/>
      <c r="Z169" s="900">
        <f t="shared" si="70"/>
        <v>0</v>
      </c>
      <c r="AA169" s="899"/>
      <c r="AB169" s="1022"/>
      <c r="AC169" s="900"/>
      <c r="AF169" s="870"/>
      <c r="AH169" s="870"/>
      <c r="AI169" s="870"/>
      <c r="AJ169" s="383" t="s">
        <v>669</v>
      </c>
      <c r="AK169" s="383" t="s">
        <v>1128</v>
      </c>
      <c r="AL169" s="605" t="b">
        <f t="shared" si="66"/>
        <v>0</v>
      </c>
      <c r="AM169" s="899">
        <f>'Estimate Summary'!$D$9</f>
        <v>1</v>
      </c>
      <c r="AN169" s="605" t="s">
        <v>1136</v>
      </c>
      <c r="AO169" s="899">
        <f t="shared" si="67"/>
        <v>0</v>
      </c>
      <c r="AP169" s="605">
        <f t="shared" si="63"/>
        <v>0</v>
      </c>
      <c r="AQ169" s="605" t="s">
        <v>1139</v>
      </c>
      <c r="AR169" s="605" t="s">
        <v>670</v>
      </c>
      <c r="AS169" s="605" t="s">
        <v>751</v>
      </c>
      <c r="AT169" s="605" t="str">
        <f>'Estimate Summary'!$AT$11</f>
        <v>FOB SH</v>
      </c>
      <c r="AU169" s="610" t="b">
        <f t="shared" si="68"/>
        <v>0</v>
      </c>
      <c r="AV169" s="605" t="s">
        <v>1140</v>
      </c>
      <c r="AW169" s="2255">
        <f t="shared" si="69"/>
        <v>0</v>
      </c>
    </row>
    <row r="170" spans="1:49" s="605" customFormat="1" ht="12.75" hidden="1" customHeight="1" outlineLevel="1">
      <c r="B170" s="2265"/>
      <c r="C170" s="1923" t="s">
        <v>913</v>
      </c>
      <c r="D170" s="2297"/>
      <c r="E170" s="2298">
        <f>SUM(E171:E172)</f>
        <v>0</v>
      </c>
      <c r="F170" s="2299"/>
      <c r="G170" s="2300">
        <f t="shared" si="72"/>
        <v>0</v>
      </c>
      <c r="H170" s="2298">
        <f t="shared" ref="H170:M170" si="76">SUM(H171:H172)</f>
        <v>0</v>
      </c>
      <c r="I170" s="2301">
        <f t="shared" si="76"/>
        <v>0</v>
      </c>
      <c r="J170" s="2301">
        <f t="shared" si="76"/>
        <v>0</v>
      </c>
      <c r="K170" s="2301">
        <f t="shared" si="76"/>
        <v>0</v>
      </c>
      <c r="L170" s="2301">
        <f t="shared" si="76"/>
        <v>0</v>
      </c>
      <c r="M170" s="2301">
        <f t="shared" si="76"/>
        <v>0</v>
      </c>
      <c r="N170" s="1924"/>
      <c r="P170" s="2279"/>
      <c r="Q170" s="476"/>
      <c r="R170" s="476"/>
      <c r="S170" s="485"/>
      <c r="T170" s="2281"/>
      <c r="U170" s="1925"/>
      <c r="V170" s="1926">
        <f t="shared" si="65"/>
        <v>0</v>
      </c>
      <c r="W170" s="875"/>
      <c r="X170" s="875"/>
      <c r="Y170" s="878"/>
      <c r="Z170" s="891">
        <f t="shared" si="70"/>
        <v>0</v>
      </c>
      <c r="AA170" s="485"/>
      <c r="AB170" s="485"/>
      <c r="AC170" s="1927"/>
      <c r="AD170" s="476"/>
      <c r="AE170" s="476"/>
      <c r="AF170" s="2282"/>
      <c r="AG170" s="1925"/>
      <c r="AH170" s="875"/>
      <c r="AI170" s="875"/>
      <c r="AJ170" s="383" t="s">
        <v>669</v>
      </c>
      <c r="AK170" s="383" t="s">
        <v>1128</v>
      </c>
      <c r="AL170" s="605" t="b">
        <f t="shared" si="66"/>
        <v>0</v>
      </c>
      <c r="AM170" s="899">
        <f>'Estimate Summary'!$D$9</f>
        <v>1</v>
      </c>
      <c r="AN170" s="605" t="s">
        <v>1136</v>
      </c>
      <c r="AO170" s="899">
        <f t="shared" si="67"/>
        <v>0</v>
      </c>
      <c r="AP170" s="605">
        <f t="shared" si="63"/>
        <v>0</v>
      </c>
      <c r="AQ170" s="605" t="s">
        <v>1139</v>
      </c>
      <c r="AR170" s="605" t="s">
        <v>670</v>
      </c>
      <c r="AS170" s="605" t="s">
        <v>751</v>
      </c>
      <c r="AT170" s="605" t="str">
        <f>'Estimate Summary'!$AT$11</f>
        <v>FOB SH</v>
      </c>
      <c r="AU170" s="610" t="b">
        <f t="shared" si="68"/>
        <v>0</v>
      </c>
      <c r="AV170" s="605" t="s">
        <v>1140</v>
      </c>
      <c r="AW170" s="2255">
        <f t="shared" si="69"/>
        <v>0</v>
      </c>
    </row>
    <row r="171" spans="1:49" s="605" customFormat="1" ht="15.75" hidden="1" customHeight="1" outlineLevel="1">
      <c r="B171" s="1079" t="s">
        <v>915</v>
      </c>
      <c r="C171" s="386" t="s">
        <v>914</v>
      </c>
      <c r="D171" s="1830" t="s">
        <v>181</v>
      </c>
      <c r="E171" s="421"/>
      <c r="F171" s="390">
        <f>IF(E171=0,0,H171/E171*1000)</f>
        <v>0</v>
      </c>
      <c r="G171" s="1817">
        <f t="shared" si="72"/>
        <v>0</v>
      </c>
      <c r="H171" s="2017">
        <f t="shared" si="72"/>
        <v>0</v>
      </c>
      <c r="I171" s="469">
        <f>IF('Estimate Summary'!$D$9&lt;2,0,$H171)</f>
        <v>0</v>
      </c>
      <c r="J171" s="469">
        <f>IF('Estimate Summary'!$D$9&lt;3,0,$H171)</f>
        <v>0</v>
      </c>
      <c r="K171" s="469">
        <f>IF('Estimate Summary'!$D$9&lt;4,0,$H171)</f>
        <v>0</v>
      </c>
      <c r="L171" s="469">
        <f>IF('Estimate Summary'!$D$9&lt;5,0,$H171)</f>
        <v>0</v>
      </c>
      <c r="M171" s="469">
        <f>IF('Estimate Summary'!$D$9&lt;6,0,$H171)</f>
        <v>0</v>
      </c>
      <c r="N171" s="1647"/>
      <c r="P171" s="474">
        <f>IF(Q171=0,0,(YEAR(R171)-YEAR(Q171))*12+(MONTH(R171)-MONTH(Q171)))</f>
        <v>40</v>
      </c>
      <c r="Q171" s="794">
        <v>42683</v>
      </c>
      <c r="R171" s="795">
        <f>$R$2+30.42*'Offshore CF'!CA13</f>
        <v>43895.199999999997</v>
      </c>
      <c r="S171" s="475" t="s">
        <v>128</v>
      </c>
      <c r="T171" s="484" t="s">
        <v>180</v>
      </c>
      <c r="U171" s="697" t="s">
        <v>425</v>
      </c>
      <c r="V171" s="391" t="str">
        <f t="shared" si="65"/>
        <v>CNY</v>
      </c>
      <c r="W171" s="547"/>
      <c r="X171" s="863">
        <f>IF(V171="CNY",W171/1.17/1000,W171/1000)</f>
        <v>0</v>
      </c>
      <c r="Y171" s="890"/>
      <c r="Z171" s="890">
        <f t="shared" si="70"/>
        <v>0</v>
      </c>
      <c r="AA171" s="484">
        <f t="shared" si="73"/>
        <v>0</v>
      </c>
      <c r="AB171" s="484">
        <f>IF(V171="CNY",X171*(1-Z171),IF(V171="EUR",X171*(1-Z171)*$R$5,IF(V171="JPY",X171*(1-Z171)*$R$6,IF(V171="USD",X171*(1-Z171)*$R$7))))</f>
        <v>0</v>
      </c>
      <c r="AC171" s="880"/>
      <c r="AD171" s="791">
        <f>IF(V171&lt;&gt;"CNY",(AB171+#REF!)*AC171,0)</f>
        <v>0</v>
      </c>
      <c r="AE171" s="791"/>
      <c r="AF171" s="861">
        <f>IF(V171&lt;&gt;"CNY",(AB171+#REF!)*$AD$53,0)</f>
        <v>0</v>
      </c>
      <c r="AG171" s="697">
        <f>IF(V171&lt;&gt;"CNY",F171*#REF!/1000,0)</f>
        <v>0</v>
      </c>
      <c r="AH171" s="861">
        <f>SUM(AD171:AG171)</f>
        <v>0</v>
      </c>
      <c r="AI171" s="861">
        <f>AB171+AH171</f>
        <v>0</v>
      </c>
      <c r="AJ171" s="383" t="s">
        <v>669</v>
      </c>
      <c r="AK171" s="383" t="s">
        <v>1128</v>
      </c>
      <c r="AL171" s="605" t="str">
        <f t="shared" si="66"/>
        <v>CN</v>
      </c>
      <c r="AM171" s="899">
        <f>'Estimate Summary'!$D$9</f>
        <v>1</v>
      </c>
      <c r="AN171" s="605" t="s">
        <v>1136</v>
      </c>
      <c r="AO171" s="899">
        <f t="shared" si="67"/>
        <v>0</v>
      </c>
      <c r="AP171" s="605" t="str">
        <f t="shared" si="63"/>
        <v>CNY</v>
      </c>
      <c r="AQ171" s="605" t="s">
        <v>1139</v>
      </c>
      <c r="AR171" s="605" t="s">
        <v>670</v>
      </c>
      <c r="AS171" s="605" t="s">
        <v>751</v>
      </c>
      <c r="AT171" s="605" t="str">
        <f>'Estimate Summary'!$AT$11</f>
        <v>FOB SH</v>
      </c>
      <c r="AU171" s="610" t="str">
        <f t="shared" si="68"/>
        <v>CN</v>
      </c>
      <c r="AV171" s="605" t="s">
        <v>1140</v>
      </c>
      <c r="AW171" s="2255">
        <f t="shared" si="69"/>
        <v>42683</v>
      </c>
    </row>
    <row r="172" spans="1:49" s="605" customFormat="1" ht="13.5" hidden="1" customHeight="1" outlineLevel="1">
      <c r="A172" s="383"/>
      <c r="B172" s="1079" t="s">
        <v>915</v>
      </c>
      <c r="C172" s="386" t="s">
        <v>750</v>
      </c>
      <c r="D172" s="1830" t="s">
        <v>179</v>
      </c>
      <c r="E172" s="421"/>
      <c r="F172" s="390"/>
      <c r="G172" s="1817">
        <f t="shared" si="72"/>
        <v>0</v>
      </c>
      <c r="H172" s="2017">
        <f t="shared" si="72"/>
        <v>0</v>
      </c>
      <c r="I172" s="469">
        <f>IF('Estimate Summary'!$D$9&lt;2,0,$H172)</f>
        <v>0</v>
      </c>
      <c r="J172" s="469">
        <f>IF('Estimate Summary'!$D$9&lt;3,0,$H172)</f>
        <v>0</v>
      </c>
      <c r="K172" s="469">
        <f>IF('Estimate Summary'!$D$9&lt;4,0,$H172)</f>
        <v>0</v>
      </c>
      <c r="L172" s="469">
        <f>IF('Estimate Summary'!$D$9&lt;5,0,$H172)</f>
        <v>0</v>
      </c>
      <c r="M172" s="469">
        <f>IF('Estimate Summary'!$D$9&lt;6,0,$H172)</f>
        <v>0</v>
      </c>
      <c r="N172" s="1756"/>
      <c r="P172" s="474">
        <f>IF(Q172=0,0,(YEAR(R172)-YEAR(Q172))*12+(MONTH(R172)-MONTH(Q172)))</f>
        <v>40</v>
      </c>
      <c r="Q172" s="794">
        <v>42682</v>
      </c>
      <c r="R172" s="795">
        <f>$R$2+30.42*'Offshore CF'!CA13</f>
        <v>43895.199999999997</v>
      </c>
      <c r="S172" s="475" t="s">
        <v>127</v>
      </c>
      <c r="T172" s="484" t="s">
        <v>337</v>
      </c>
      <c r="U172" s="697" t="s">
        <v>747</v>
      </c>
      <c r="V172" s="391" t="str">
        <f t="shared" si="65"/>
        <v>EUR</v>
      </c>
      <c r="W172" s="547"/>
      <c r="X172" s="863">
        <f>IF(V172="CNY",W172/1.17/1000,W172/1000)</f>
        <v>0</v>
      </c>
      <c r="Y172" s="890"/>
      <c r="Z172" s="890">
        <f t="shared" si="70"/>
        <v>0</v>
      </c>
      <c r="AA172" s="484">
        <f t="shared" si="73"/>
        <v>0</v>
      </c>
      <c r="AB172" s="484">
        <f>IF(V172="CNY",X172*(1-Z172),IF(V172="EUR",X172*(1-Z172)*$T$5,IF(V172="JPY",X172*(1-Z172)*$T$6,IF(V172="USD",X172*(1-Z172)*$T$7))))</f>
        <v>0</v>
      </c>
      <c r="AC172" s="880"/>
      <c r="AD172" s="697"/>
      <c r="AE172" s="697"/>
      <c r="AF172" s="861"/>
      <c r="AG172" s="697"/>
      <c r="AH172" s="861"/>
      <c r="AI172" s="861">
        <f>AB172+AH172</f>
        <v>0</v>
      </c>
      <c r="AJ172" s="383" t="s">
        <v>669</v>
      </c>
      <c r="AK172" s="383" t="s">
        <v>1128</v>
      </c>
      <c r="AL172" s="605" t="str">
        <f t="shared" si="66"/>
        <v>DE</v>
      </c>
      <c r="AM172" s="899">
        <f>'Estimate Summary'!$D$9</f>
        <v>1</v>
      </c>
      <c r="AN172" s="605" t="s">
        <v>1136</v>
      </c>
      <c r="AO172" s="899">
        <f t="shared" si="67"/>
        <v>0</v>
      </c>
      <c r="AP172" s="605" t="str">
        <f t="shared" si="63"/>
        <v>EUR</v>
      </c>
      <c r="AQ172" s="605" t="s">
        <v>1139</v>
      </c>
      <c r="AR172" s="605" t="s">
        <v>670</v>
      </c>
      <c r="AS172" s="605" t="s">
        <v>745</v>
      </c>
      <c r="AT172" s="605" t="str">
        <f>'Estimate Summary'!$AT$11</f>
        <v>FOB SH</v>
      </c>
      <c r="AU172" s="610" t="str">
        <f t="shared" si="68"/>
        <v>DE</v>
      </c>
      <c r="AV172" s="605" t="s">
        <v>1140</v>
      </c>
      <c r="AW172" s="2255">
        <f t="shared" si="69"/>
        <v>42682</v>
      </c>
    </row>
    <row r="173" spans="1:49" s="1674" customFormat="1" ht="13.5" hidden="1" customHeight="1" outlineLevel="1" collapsed="1" thickBot="1">
      <c r="B173" s="1695"/>
      <c r="C173" s="1660" t="s">
        <v>918</v>
      </c>
      <c r="D173" s="1825"/>
      <c r="E173" s="1687">
        <f>E170</f>
        <v>0</v>
      </c>
      <c r="F173" s="1697"/>
      <c r="G173" s="1697">
        <f t="shared" si="72"/>
        <v>0</v>
      </c>
      <c r="H173" s="1687">
        <f t="shared" ref="H173:M173" si="77">H170</f>
        <v>0</v>
      </c>
      <c r="I173" s="1663">
        <f t="shared" si="77"/>
        <v>0</v>
      </c>
      <c r="J173" s="1663">
        <f t="shared" si="77"/>
        <v>0</v>
      </c>
      <c r="K173" s="1663">
        <f t="shared" si="77"/>
        <v>0</v>
      </c>
      <c r="L173" s="1663">
        <f t="shared" si="77"/>
        <v>0</v>
      </c>
      <c r="M173" s="1663">
        <f t="shared" si="77"/>
        <v>0</v>
      </c>
      <c r="N173" s="1698"/>
      <c r="P173" s="1690"/>
      <c r="Q173" s="1676"/>
      <c r="R173" s="1691"/>
      <c r="S173" s="1692"/>
      <c r="T173" s="1678"/>
      <c r="V173" s="1690">
        <f t="shared" si="65"/>
        <v>0</v>
      </c>
      <c r="W173" s="1684"/>
      <c r="X173" s="1684"/>
      <c r="Y173" s="1694"/>
      <c r="Z173" s="1683">
        <f t="shared" si="70"/>
        <v>0</v>
      </c>
      <c r="AA173" s="1692"/>
      <c r="AB173" s="1684"/>
      <c r="AC173" s="1683"/>
      <c r="AF173" s="1684"/>
      <c r="AH173" s="1684"/>
      <c r="AI173" s="1684"/>
      <c r="AJ173" s="383" t="s">
        <v>669</v>
      </c>
      <c r="AK173" s="383" t="s">
        <v>1128</v>
      </c>
      <c r="AL173" s="1674" t="b">
        <f t="shared" si="66"/>
        <v>0</v>
      </c>
      <c r="AM173" s="1692">
        <f>'Estimate Summary'!$D$9</f>
        <v>1</v>
      </c>
      <c r="AN173" s="1674" t="s">
        <v>1136</v>
      </c>
      <c r="AO173" s="1692">
        <f t="shared" si="67"/>
        <v>0</v>
      </c>
      <c r="AP173" s="1674">
        <f t="shared" si="63"/>
        <v>0</v>
      </c>
      <c r="AQ173" s="1674" t="s">
        <v>1139</v>
      </c>
      <c r="AR173" s="1674" t="s">
        <v>670</v>
      </c>
      <c r="AS173" s="605" t="s">
        <v>751</v>
      </c>
      <c r="AT173" s="1674" t="str">
        <f>'Estimate Summary'!$AT$11</f>
        <v>FOB SH</v>
      </c>
      <c r="AU173" s="610" t="b">
        <f t="shared" si="68"/>
        <v>0</v>
      </c>
      <c r="AV173" s="1674" t="s">
        <v>1140</v>
      </c>
      <c r="AW173" s="2255">
        <f t="shared" si="69"/>
        <v>0</v>
      </c>
    </row>
    <row r="174" spans="1:49" s="605" customFormat="1" ht="13.5" hidden="1" customHeight="1" outlineLevel="1" thickTop="1">
      <c r="B174" s="1641" t="s">
        <v>953</v>
      </c>
      <c r="C174" s="1644"/>
      <c r="D174" s="1833"/>
      <c r="E174" s="2271"/>
      <c r="F174" s="2286"/>
      <c r="G174" s="2287">
        <f t="shared" si="72"/>
        <v>0</v>
      </c>
      <c r="H174" s="2272"/>
      <c r="I174" s="2253"/>
      <c r="J174" s="2253"/>
      <c r="K174" s="2253"/>
      <c r="L174" s="2253"/>
      <c r="M174" s="2253"/>
      <c r="N174" s="2273"/>
      <c r="P174" s="2256"/>
      <c r="Q174" s="794"/>
      <c r="R174" s="796"/>
      <c r="S174" s="899"/>
      <c r="T174" s="551"/>
      <c r="V174" s="1014">
        <f t="shared" si="65"/>
        <v>0</v>
      </c>
      <c r="W174" s="870"/>
      <c r="X174" s="870"/>
      <c r="Y174" s="900"/>
      <c r="Z174" s="1018">
        <f t="shared" si="70"/>
        <v>0</v>
      </c>
      <c r="AA174" s="899"/>
      <c r="AB174" s="1012"/>
      <c r="AC174" s="900"/>
      <c r="AF174" s="870"/>
      <c r="AH174" s="870"/>
      <c r="AI174" s="870"/>
      <c r="AJ174" s="383" t="s">
        <v>669</v>
      </c>
      <c r="AK174" s="383" t="s">
        <v>1128</v>
      </c>
      <c r="AL174" s="605" t="b">
        <f t="shared" si="66"/>
        <v>0</v>
      </c>
      <c r="AM174" s="899">
        <f>'Estimate Summary'!$D$9</f>
        <v>1</v>
      </c>
      <c r="AN174" s="605" t="s">
        <v>1136</v>
      </c>
      <c r="AO174" s="899">
        <f t="shared" si="67"/>
        <v>0</v>
      </c>
      <c r="AP174" s="605">
        <f t="shared" si="63"/>
        <v>0</v>
      </c>
      <c r="AQ174" s="605" t="s">
        <v>1139</v>
      </c>
      <c r="AR174" s="605" t="s">
        <v>670</v>
      </c>
      <c r="AS174" s="605" t="s">
        <v>751</v>
      </c>
      <c r="AT174" s="605" t="str">
        <f>'Estimate Summary'!$AT$11</f>
        <v>FOB SH</v>
      </c>
      <c r="AU174" s="610" t="b">
        <f t="shared" si="68"/>
        <v>0</v>
      </c>
      <c r="AV174" s="605" t="s">
        <v>1140</v>
      </c>
      <c r="AW174" s="2255">
        <f t="shared" si="69"/>
        <v>0</v>
      </c>
    </row>
    <row r="175" spans="1:49" s="605" customFormat="1" ht="12.75" hidden="1" customHeight="1" outlineLevel="1">
      <c r="A175" s="383"/>
      <c r="B175" s="2265"/>
      <c r="C175" s="585" t="s">
        <v>1081</v>
      </c>
      <c r="D175" s="1829"/>
      <c r="E175" s="584">
        <f>SUM(E176:E184)</f>
        <v>0</v>
      </c>
      <c r="F175" s="1886">
        <f>IF(E175=0,0,H175/E175*1000)</f>
        <v>0</v>
      </c>
      <c r="G175" s="1868">
        <f t="shared" si="72"/>
        <v>0</v>
      </c>
      <c r="H175" s="2296">
        <f t="shared" ref="H175:M175" si="78">SUM(H176:H184)</f>
        <v>0</v>
      </c>
      <c r="I175" s="1718">
        <f t="shared" si="78"/>
        <v>0</v>
      </c>
      <c r="J175" s="1718">
        <f t="shared" si="78"/>
        <v>0</v>
      </c>
      <c r="K175" s="1718">
        <f t="shared" si="78"/>
        <v>0</v>
      </c>
      <c r="L175" s="1718">
        <f t="shared" si="78"/>
        <v>0</v>
      </c>
      <c r="M175" s="1718">
        <f t="shared" si="78"/>
        <v>0</v>
      </c>
      <c r="N175" s="996"/>
      <c r="P175" s="2279"/>
      <c r="Q175" s="476"/>
      <c r="R175" s="476"/>
      <c r="S175" s="485"/>
      <c r="T175" s="2281"/>
      <c r="U175" s="1925"/>
      <c r="V175" s="1926">
        <f t="shared" si="65"/>
        <v>0</v>
      </c>
      <c r="W175" s="875"/>
      <c r="X175" s="875"/>
      <c r="Y175" s="878"/>
      <c r="Z175" s="891">
        <f t="shared" si="70"/>
        <v>0</v>
      </c>
      <c r="AA175" s="485"/>
      <c r="AB175" s="1927"/>
      <c r="AC175" s="1927"/>
      <c r="AD175" s="476"/>
      <c r="AE175" s="476"/>
      <c r="AF175" s="2282"/>
      <c r="AG175" s="1925"/>
      <c r="AH175" s="875"/>
      <c r="AI175" s="875"/>
      <c r="AJ175" s="383" t="s">
        <v>669</v>
      </c>
      <c r="AK175" s="383" t="s">
        <v>1128</v>
      </c>
      <c r="AL175" s="605" t="b">
        <f t="shared" si="66"/>
        <v>0</v>
      </c>
      <c r="AM175" s="899">
        <f>'Estimate Summary'!$D$9</f>
        <v>1</v>
      </c>
      <c r="AN175" s="605" t="s">
        <v>1136</v>
      </c>
      <c r="AO175" s="899">
        <f t="shared" si="67"/>
        <v>0</v>
      </c>
      <c r="AP175" s="605">
        <f t="shared" si="63"/>
        <v>0</v>
      </c>
      <c r="AQ175" s="605" t="s">
        <v>1139</v>
      </c>
      <c r="AR175" s="605" t="s">
        <v>670</v>
      </c>
      <c r="AS175" s="605" t="s">
        <v>751</v>
      </c>
      <c r="AT175" s="605" t="str">
        <f>'Estimate Summary'!$AT$11</f>
        <v>FOB SH</v>
      </c>
      <c r="AU175" s="610" t="b">
        <f t="shared" si="68"/>
        <v>0</v>
      </c>
      <c r="AV175" s="605" t="s">
        <v>1140</v>
      </c>
      <c r="AW175" s="2255">
        <f t="shared" si="69"/>
        <v>0</v>
      </c>
    </row>
    <row r="176" spans="1:49" s="697" customFormat="1" ht="13.5" hidden="1" customHeight="1" outlineLevel="1">
      <c r="B176" s="1079" t="s">
        <v>685</v>
      </c>
      <c r="C176" s="386" t="s">
        <v>834</v>
      </c>
      <c r="D176" s="1830" t="s">
        <v>181</v>
      </c>
      <c r="E176" s="421"/>
      <c r="F176" s="390">
        <f>IF(E176=0,0,H176/E176*1000)</f>
        <v>0</v>
      </c>
      <c r="G176" s="1817">
        <f t="shared" si="72"/>
        <v>0</v>
      </c>
      <c r="H176" s="2017">
        <f t="shared" si="72"/>
        <v>0</v>
      </c>
      <c r="I176" s="469">
        <f>IF('Estimate Summary'!$D$9&lt;2,0,$H176)</f>
        <v>0</v>
      </c>
      <c r="J176" s="469">
        <f>IF('Estimate Summary'!$D$9&lt;3,0,$H176)</f>
        <v>0</v>
      </c>
      <c r="K176" s="469">
        <f>IF('Estimate Summary'!$D$9&lt;4,0,$H176)</f>
        <v>0</v>
      </c>
      <c r="L176" s="469">
        <f>IF('Estimate Summary'!$D$9&lt;5,0,$H176)</f>
        <v>0</v>
      </c>
      <c r="M176" s="469">
        <f>IF('Estimate Summary'!$D$9&lt;6,0,$H176)</f>
        <v>0</v>
      </c>
      <c r="N176" s="1648"/>
      <c r="P176" s="1010">
        <f>IF(Q176=0,0,(YEAR(R176)-YEAR(Q176))*12+(MONTH(R176)-MONTH(Q176)))</f>
        <v>37</v>
      </c>
      <c r="Q176" s="794">
        <v>42683</v>
      </c>
      <c r="R176" s="795">
        <f>$R$2+30.42*'Offshore CF'!CB13</f>
        <v>43803.94</v>
      </c>
      <c r="S176" s="475" t="s">
        <v>128</v>
      </c>
      <c r="T176" s="475" t="s">
        <v>180</v>
      </c>
      <c r="U176" s="697" t="s">
        <v>600</v>
      </c>
      <c r="V176" s="486" t="str">
        <f t="shared" si="65"/>
        <v>CNY</v>
      </c>
      <c r="W176" s="547"/>
      <c r="X176" s="1011">
        <f t="shared" ref="X176:X185" si="79">IF(V176="CNY",W176/1.17/1000,W176/1000)</f>
        <v>0</v>
      </c>
      <c r="Y176" s="925"/>
      <c r="Z176" s="893">
        <f t="shared" si="70"/>
        <v>0</v>
      </c>
      <c r="AA176" s="475">
        <f t="shared" si="73"/>
        <v>0</v>
      </c>
      <c r="AB176" s="484">
        <f t="shared" ref="AB176:AB184" si="80">IF(V176="CNY",X176*(1-Z176),IF(V176="EUR",X176*(1-Z176)*$T$5,IF(V176="JPY",X176*(1-Z176)*$T$6,IF(V176="USD",X176*(1-Z176)*$T$7))))</f>
        <v>0</v>
      </c>
      <c r="AC176" s="880"/>
      <c r="AD176" s="697">
        <f>IF(V176&lt;&gt;"CNY",(AB176+#REF!)*AC176,0)</f>
        <v>0</v>
      </c>
      <c r="AF176" s="861">
        <f>IF(V176&lt;&gt;"CNY",(AB176+#REF!)*#REF!,0)</f>
        <v>0</v>
      </c>
      <c r="AG176" s="697">
        <f>IF(V176&lt;&gt;"CNY",E176*#REF!/1000,0)</f>
        <v>0</v>
      </c>
      <c r="AH176" s="861">
        <f t="shared" ref="AH176:AH184" si="81">SUM(AD176:AG176)</f>
        <v>0</v>
      </c>
      <c r="AI176" s="861">
        <f t="shared" ref="AI176:AI184" si="82">AB176+AH176</f>
        <v>0</v>
      </c>
      <c r="AJ176" s="383" t="s">
        <v>669</v>
      </c>
      <c r="AK176" s="383" t="s">
        <v>1128</v>
      </c>
      <c r="AL176" s="697" t="str">
        <f t="shared" si="66"/>
        <v>CN</v>
      </c>
      <c r="AM176" s="475">
        <f>'Estimate Summary'!$D$9</f>
        <v>1</v>
      </c>
      <c r="AN176" s="697" t="s">
        <v>1136</v>
      </c>
      <c r="AO176" s="475">
        <f t="shared" si="67"/>
        <v>0</v>
      </c>
      <c r="AP176" s="697" t="str">
        <f t="shared" si="63"/>
        <v>CNY</v>
      </c>
      <c r="AQ176" s="697" t="s">
        <v>1139</v>
      </c>
      <c r="AR176" s="697" t="s">
        <v>670</v>
      </c>
      <c r="AS176" s="605" t="s">
        <v>751</v>
      </c>
      <c r="AT176" s="697" t="str">
        <f>'Estimate Summary'!$AT$11</f>
        <v>FOB SH</v>
      </c>
      <c r="AU176" s="610" t="str">
        <f t="shared" si="68"/>
        <v>CN</v>
      </c>
      <c r="AV176" s="697" t="s">
        <v>1140</v>
      </c>
      <c r="AW176" s="2255">
        <f t="shared" si="69"/>
        <v>42683</v>
      </c>
    </row>
    <row r="177" spans="1:49" s="697" customFormat="1" ht="13.5" hidden="1" customHeight="1" outlineLevel="1">
      <c r="B177" s="1079" t="s">
        <v>685</v>
      </c>
      <c r="C177" s="386" t="s">
        <v>838</v>
      </c>
      <c r="D177" s="1830" t="s">
        <v>181</v>
      </c>
      <c r="E177" s="421"/>
      <c r="F177" s="390"/>
      <c r="G177" s="1817">
        <f t="shared" si="72"/>
        <v>0</v>
      </c>
      <c r="H177" s="2017">
        <f t="shared" si="72"/>
        <v>0</v>
      </c>
      <c r="I177" s="469">
        <f>IF('Estimate Summary'!$D$9&lt;2,0,$H177)</f>
        <v>0</v>
      </c>
      <c r="J177" s="469">
        <f>IF('Estimate Summary'!$D$9&lt;3,0,$H177)</f>
        <v>0</v>
      </c>
      <c r="K177" s="469">
        <f>IF('Estimate Summary'!$D$9&lt;4,0,$H177)</f>
        <v>0</v>
      </c>
      <c r="L177" s="469">
        <f>IF('Estimate Summary'!$D$9&lt;5,0,$H177)</f>
        <v>0</v>
      </c>
      <c r="M177" s="469">
        <f>IF('Estimate Summary'!$D$9&lt;6,0,$H177)</f>
        <v>0</v>
      </c>
      <c r="N177" s="1648"/>
      <c r="P177" s="1010">
        <f t="shared" ref="P177:P184" si="83">IF(Q177=0,0,(YEAR(R177)-YEAR(Q177))*12+(MONTH(R177)-MONTH(Q177)))</f>
        <v>37</v>
      </c>
      <c r="Q177" s="794">
        <v>42683</v>
      </c>
      <c r="R177" s="795">
        <f>$R$2+30.42*'Offshore CF'!CB13</f>
        <v>43803.94</v>
      </c>
      <c r="S177" s="684" t="s">
        <v>129</v>
      </c>
      <c r="T177" s="475" t="s">
        <v>180</v>
      </c>
      <c r="U177" s="697" t="s">
        <v>601</v>
      </c>
      <c r="V177" s="486" t="str">
        <f t="shared" si="65"/>
        <v>CNY</v>
      </c>
      <c r="W177" s="547"/>
      <c r="X177" s="1011">
        <f t="shared" si="79"/>
        <v>0</v>
      </c>
      <c r="Y177" s="933"/>
      <c r="Z177" s="893">
        <f t="shared" si="70"/>
        <v>0</v>
      </c>
      <c r="AA177" s="475">
        <f t="shared" si="73"/>
        <v>0</v>
      </c>
      <c r="AB177" s="484">
        <f t="shared" si="80"/>
        <v>0</v>
      </c>
      <c r="AC177" s="880"/>
      <c r="AD177" s="697">
        <f>IF(V177&lt;&gt;"CNY",(AB177+#REF!)*AC177,0)</f>
        <v>0</v>
      </c>
      <c r="AF177" s="861">
        <f>IF(V177&lt;&gt;"CNY",(AB177+#REF!)*#REF!,0)</f>
        <v>0</v>
      </c>
      <c r="AG177" s="697">
        <f>IF(V177&lt;&gt;"CNY",E177*#REF!/1000,0)</f>
        <v>0</v>
      </c>
      <c r="AH177" s="861">
        <f t="shared" si="81"/>
        <v>0</v>
      </c>
      <c r="AI177" s="861">
        <f t="shared" si="82"/>
        <v>0</v>
      </c>
      <c r="AJ177" s="383" t="s">
        <v>669</v>
      </c>
      <c r="AK177" s="383" t="s">
        <v>1128</v>
      </c>
      <c r="AL177" s="697" t="str">
        <f t="shared" si="66"/>
        <v>CN</v>
      </c>
      <c r="AM177" s="475">
        <f>'Estimate Summary'!$D$9</f>
        <v>1</v>
      </c>
      <c r="AN177" s="697" t="s">
        <v>1136</v>
      </c>
      <c r="AO177" s="475">
        <f t="shared" si="67"/>
        <v>0</v>
      </c>
      <c r="AP177" s="697" t="str">
        <f t="shared" si="63"/>
        <v>CNY</v>
      </c>
      <c r="AQ177" s="697" t="s">
        <v>1139</v>
      </c>
      <c r="AR177" s="697" t="s">
        <v>670</v>
      </c>
      <c r="AS177" s="605" t="s">
        <v>751</v>
      </c>
      <c r="AT177" s="697" t="str">
        <f>'Estimate Summary'!$AT$11</f>
        <v>FOB SH</v>
      </c>
      <c r="AU177" s="610" t="str">
        <f t="shared" si="68"/>
        <v>CN</v>
      </c>
      <c r="AV177" s="697" t="s">
        <v>1140</v>
      </c>
      <c r="AW177" s="2255">
        <f t="shared" si="69"/>
        <v>42683</v>
      </c>
    </row>
    <row r="178" spans="1:49" s="697" customFormat="1" ht="13.5" hidden="1" customHeight="1" outlineLevel="1">
      <c r="B178" s="1079" t="s">
        <v>684</v>
      </c>
      <c r="C178" s="386" t="s">
        <v>996</v>
      </c>
      <c r="D178" s="1830" t="s">
        <v>181</v>
      </c>
      <c r="E178" s="421"/>
      <c r="F178" s="390"/>
      <c r="G178" s="1817">
        <f t="shared" si="72"/>
        <v>0</v>
      </c>
      <c r="H178" s="2017">
        <f t="shared" si="72"/>
        <v>0</v>
      </c>
      <c r="I178" s="469">
        <f>IF('Estimate Summary'!$D$9&lt;2,0,$H178)</f>
        <v>0</v>
      </c>
      <c r="J178" s="469">
        <f>IF('Estimate Summary'!$D$9&lt;3,0,$H178)</f>
        <v>0</v>
      </c>
      <c r="K178" s="469">
        <f>IF('Estimate Summary'!$D$9&lt;4,0,$H178)</f>
        <v>0</v>
      </c>
      <c r="L178" s="469">
        <f>IF('Estimate Summary'!$D$9&lt;5,0,$H178)</f>
        <v>0</v>
      </c>
      <c r="M178" s="469">
        <f>IF('Estimate Summary'!$D$9&lt;6,0,$H178)</f>
        <v>0</v>
      </c>
      <c r="N178" s="1648"/>
      <c r="P178" s="1010">
        <f t="shared" si="83"/>
        <v>37</v>
      </c>
      <c r="Q178" s="794">
        <v>42683</v>
      </c>
      <c r="R178" s="795">
        <f>$R$2+30.42*'Offshore CF'!CB13</f>
        <v>43803.94</v>
      </c>
      <c r="S178" s="684" t="s">
        <v>129</v>
      </c>
      <c r="T178" s="475" t="s">
        <v>180</v>
      </c>
      <c r="U178" s="697" t="s">
        <v>601</v>
      </c>
      <c r="V178" s="486" t="str">
        <f t="shared" si="65"/>
        <v>CNY</v>
      </c>
      <c r="W178" s="547"/>
      <c r="X178" s="1011">
        <f t="shared" si="79"/>
        <v>0</v>
      </c>
      <c r="Y178" s="933"/>
      <c r="Z178" s="893">
        <f t="shared" si="70"/>
        <v>0</v>
      </c>
      <c r="AA178" s="475">
        <f t="shared" si="73"/>
        <v>0</v>
      </c>
      <c r="AB178" s="484">
        <f t="shared" si="80"/>
        <v>0</v>
      </c>
      <c r="AC178" s="880"/>
      <c r="AD178" s="697">
        <f>IF(V178&lt;&gt;"CNY",(AB178+#REF!)*AC178,0)</f>
        <v>0</v>
      </c>
      <c r="AF178" s="861">
        <f>IF(V178&lt;&gt;"CNY",(AB178+#REF!)*#REF!,0)</f>
        <v>0</v>
      </c>
      <c r="AG178" s="697">
        <f>IF(V178&lt;&gt;"CNY",E178*#REF!/1000,0)</f>
        <v>0</v>
      </c>
      <c r="AH178" s="861">
        <f t="shared" si="81"/>
        <v>0</v>
      </c>
      <c r="AI178" s="861">
        <f t="shared" si="82"/>
        <v>0</v>
      </c>
      <c r="AJ178" s="383" t="s">
        <v>669</v>
      </c>
      <c r="AK178" s="383" t="s">
        <v>1128</v>
      </c>
      <c r="AL178" s="697" t="str">
        <f t="shared" si="66"/>
        <v>CN</v>
      </c>
      <c r="AM178" s="475">
        <f>'Estimate Summary'!$D$9</f>
        <v>1</v>
      </c>
      <c r="AN178" s="697" t="s">
        <v>1136</v>
      </c>
      <c r="AO178" s="475">
        <f t="shared" si="67"/>
        <v>0</v>
      </c>
      <c r="AP178" s="697" t="str">
        <f t="shared" si="63"/>
        <v>CNY</v>
      </c>
      <c r="AQ178" s="697" t="s">
        <v>1139</v>
      </c>
      <c r="AR178" s="697" t="s">
        <v>670</v>
      </c>
      <c r="AS178" s="605" t="s">
        <v>751</v>
      </c>
      <c r="AT178" s="697" t="str">
        <f>'Estimate Summary'!$AT$11</f>
        <v>FOB SH</v>
      </c>
      <c r="AU178" s="610" t="str">
        <f t="shared" si="68"/>
        <v>CN</v>
      </c>
      <c r="AV178" s="697" t="s">
        <v>1140</v>
      </c>
      <c r="AW178" s="2255">
        <f t="shared" si="69"/>
        <v>42683</v>
      </c>
    </row>
    <row r="179" spans="1:49" s="697" customFormat="1" ht="13.5" hidden="1" customHeight="1" outlineLevel="1">
      <c r="B179" s="1079" t="s">
        <v>686</v>
      </c>
      <c r="C179" s="386" t="s">
        <v>837</v>
      </c>
      <c r="D179" s="1830" t="s">
        <v>181</v>
      </c>
      <c r="E179" s="421"/>
      <c r="F179" s="390">
        <f>IF(E179=0,0,H179/E179*1000)</f>
        <v>0</v>
      </c>
      <c r="G179" s="1817">
        <f t="shared" si="72"/>
        <v>0</v>
      </c>
      <c r="H179" s="2017">
        <f t="shared" si="72"/>
        <v>0</v>
      </c>
      <c r="I179" s="469">
        <f>IF('Estimate Summary'!$D$9&lt;2,0,$H179)</f>
        <v>0</v>
      </c>
      <c r="J179" s="469">
        <f>IF('Estimate Summary'!$D$9&lt;3,0,$H179)</f>
        <v>0</v>
      </c>
      <c r="K179" s="469">
        <f>IF('Estimate Summary'!$D$9&lt;4,0,$H179)</f>
        <v>0</v>
      </c>
      <c r="L179" s="469">
        <f>IF('Estimate Summary'!$D$9&lt;5,0,$H179)</f>
        <v>0</v>
      </c>
      <c r="M179" s="469">
        <f>IF('Estimate Summary'!$D$9&lt;6,0,$H179)</f>
        <v>0</v>
      </c>
      <c r="N179" s="1648"/>
      <c r="P179" s="1010">
        <f t="shared" si="83"/>
        <v>37</v>
      </c>
      <c r="Q179" s="794">
        <v>42683</v>
      </c>
      <c r="R179" s="795">
        <f>$R$2+30.42*'Offshore CF'!CB13</f>
        <v>43803.94</v>
      </c>
      <c r="S179" s="475" t="s">
        <v>128</v>
      </c>
      <c r="T179" s="475" t="s">
        <v>180</v>
      </c>
      <c r="U179" s="697" t="s">
        <v>600</v>
      </c>
      <c r="V179" s="486" t="str">
        <f t="shared" si="65"/>
        <v>CNY</v>
      </c>
      <c r="W179" s="547"/>
      <c r="X179" s="1011">
        <f t="shared" si="79"/>
        <v>0</v>
      </c>
      <c r="Y179" s="925"/>
      <c r="Z179" s="893">
        <f t="shared" si="70"/>
        <v>0</v>
      </c>
      <c r="AA179" s="475">
        <f t="shared" si="73"/>
        <v>0</v>
      </c>
      <c r="AB179" s="484">
        <f t="shared" si="80"/>
        <v>0</v>
      </c>
      <c r="AC179" s="880"/>
      <c r="AD179" s="697">
        <f>IF(V179&lt;&gt;"CNY",(AB179+#REF!)*AC179,0)</f>
        <v>0</v>
      </c>
      <c r="AF179" s="861">
        <f>IF(V179&lt;&gt;"CNY",(AB179+#REF!)*#REF!,0)</f>
        <v>0</v>
      </c>
      <c r="AG179" s="697">
        <f>IF(V179&lt;&gt;"CNY",E179*#REF!/1000,0)</f>
        <v>0</v>
      </c>
      <c r="AH179" s="861">
        <f t="shared" si="81"/>
        <v>0</v>
      </c>
      <c r="AI179" s="861">
        <f t="shared" si="82"/>
        <v>0</v>
      </c>
      <c r="AJ179" s="383" t="s">
        <v>669</v>
      </c>
      <c r="AK179" s="383" t="s">
        <v>1128</v>
      </c>
      <c r="AL179" s="697" t="str">
        <f t="shared" si="66"/>
        <v>CN</v>
      </c>
      <c r="AM179" s="475">
        <f>'Estimate Summary'!$D$9</f>
        <v>1</v>
      </c>
      <c r="AN179" s="697" t="s">
        <v>1136</v>
      </c>
      <c r="AO179" s="475">
        <f t="shared" si="67"/>
        <v>0</v>
      </c>
      <c r="AP179" s="697" t="str">
        <f t="shared" si="63"/>
        <v>CNY</v>
      </c>
      <c r="AQ179" s="697" t="s">
        <v>1139</v>
      </c>
      <c r="AR179" s="697" t="s">
        <v>670</v>
      </c>
      <c r="AS179" s="605" t="s">
        <v>751</v>
      </c>
      <c r="AT179" s="697" t="str">
        <f>'Estimate Summary'!$AT$11</f>
        <v>FOB SH</v>
      </c>
      <c r="AU179" s="610" t="str">
        <f t="shared" si="68"/>
        <v>CN</v>
      </c>
      <c r="AV179" s="697" t="s">
        <v>1140</v>
      </c>
      <c r="AW179" s="2255">
        <f t="shared" si="69"/>
        <v>42683</v>
      </c>
    </row>
    <row r="180" spans="1:49" s="697" customFormat="1" ht="13.5" hidden="1" customHeight="1" outlineLevel="1">
      <c r="B180" s="1079" t="s">
        <v>686</v>
      </c>
      <c r="C180" s="386" t="s">
        <v>839</v>
      </c>
      <c r="D180" s="1830" t="s">
        <v>181</v>
      </c>
      <c r="E180" s="421"/>
      <c r="F180" s="390"/>
      <c r="G180" s="1817">
        <f t="shared" si="72"/>
        <v>0</v>
      </c>
      <c r="H180" s="2017">
        <f t="shared" si="72"/>
        <v>0</v>
      </c>
      <c r="I180" s="469">
        <f>IF('Estimate Summary'!$D$9&lt;2,0,$H180)</f>
        <v>0</v>
      </c>
      <c r="J180" s="469">
        <f>IF('Estimate Summary'!$D$9&lt;3,0,$H180)</f>
        <v>0</v>
      </c>
      <c r="K180" s="469">
        <f>IF('Estimate Summary'!$D$9&lt;4,0,$H180)</f>
        <v>0</v>
      </c>
      <c r="L180" s="469">
        <f>IF('Estimate Summary'!$D$9&lt;5,0,$H180)</f>
        <v>0</v>
      </c>
      <c r="M180" s="469">
        <f>IF('Estimate Summary'!$D$9&lt;6,0,$H180)</f>
        <v>0</v>
      </c>
      <c r="N180" s="1648"/>
      <c r="P180" s="1010">
        <f t="shared" si="83"/>
        <v>37</v>
      </c>
      <c r="Q180" s="794">
        <v>42683</v>
      </c>
      <c r="R180" s="795">
        <f>$R$2+30.42*'Offshore CF'!CB13</f>
        <v>43803.94</v>
      </c>
      <c r="S180" s="684" t="s">
        <v>129</v>
      </c>
      <c r="T180" s="475" t="s">
        <v>180</v>
      </c>
      <c r="U180" s="697" t="s">
        <v>601</v>
      </c>
      <c r="V180" s="486" t="str">
        <f t="shared" si="65"/>
        <v>CNY</v>
      </c>
      <c r="W180" s="547"/>
      <c r="X180" s="1011">
        <f t="shared" si="79"/>
        <v>0</v>
      </c>
      <c r="Y180" s="933"/>
      <c r="Z180" s="893">
        <f t="shared" si="70"/>
        <v>0</v>
      </c>
      <c r="AA180" s="475">
        <f t="shared" si="73"/>
        <v>0</v>
      </c>
      <c r="AB180" s="484">
        <f t="shared" si="80"/>
        <v>0</v>
      </c>
      <c r="AC180" s="880"/>
      <c r="AD180" s="697">
        <f>IF(V180&lt;&gt;"CNY",(AB180+#REF!)*AC180,0)</f>
        <v>0</v>
      </c>
      <c r="AF180" s="861">
        <f>IF(V180&lt;&gt;"CNY",(AB180+#REF!)*#REF!,0)</f>
        <v>0</v>
      </c>
      <c r="AG180" s="697">
        <f>IF(V180&lt;&gt;"CNY",E180*#REF!/1000,0)</f>
        <v>0</v>
      </c>
      <c r="AH180" s="861">
        <f t="shared" si="81"/>
        <v>0</v>
      </c>
      <c r="AI180" s="861">
        <f t="shared" si="82"/>
        <v>0</v>
      </c>
      <c r="AJ180" s="383" t="s">
        <v>669</v>
      </c>
      <c r="AK180" s="383" t="s">
        <v>1128</v>
      </c>
      <c r="AL180" s="697" t="str">
        <f t="shared" si="66"/>
        <v>CN</v>
      </c>
      <c r="AM180" s="475">
        <f>'Estimate Summary'!$D$9</f>
        <v>1</v>
      </c>
      <c r="AN180" s="697" t="s">
        <v>1136</v>
      </c>
      <c r="AO180" s="475">
        <f t="shared" si="67"/>
        <v>0</v>
      </c>
      <c r="AP180" s="697" t="str">
        <f t="shared" si="63"/>
        <v>CNY</v>
      </c>
      <c r="AQ180" s="697" t="s">
        <v>1139</v>
      </c>
      <c r="AR180" s="697" t="s">
        <v>670</v>
      </c>
      <c r="AS180" s="605" t="s">
        <v>751</v>
      </c>
      <c r="AT180" s="697" t="str">
        <f>'Estimate Summary'!$AT$11</f>
        <v>FOB SH</v>
      </c>
      <c r="AU180" s="610" t="str">
        <f t="shared" si="68"/>
        <v>CN</v>
      </c>
      <c r="AV180" s="697" t="s">
        <v>1140</v>
      </c>
      <c r="AW180" s="2255">
        <f t="shared" si="69"/>
        <v>42683</v>
      </c>
    </row>
    <row r="181" spans="1:49" s="697" customFormat="1" ht="13.5" hidden="1" customHeight="1" outlineLevel="1">
      <c r="B181" s="1079" t="s">
        <v>684</v>
      </c>
      <c r="C181" s="386" t="s">
        <v>997</v>
      </c>
      <c r="D181" s="1830" t="s">
        <v>181</v>
      </c>
      <c r="E181" s="421"/>
      <c r="F181" s="390"/>
      <c r="G181" s="1817">
        <f t="shared" si="72"/>
        <v>0</v>
      </c>
      <c r="H181" s="2017">
        <f t="shared" si="72"/>
        <v>0</v>
      </c>
      <c r="I181" s="469">
        <f>IF('Estimate Summary'!$D$9&lt;2,0,$H181)</f>
        <v>0</v>
      </c>
      <c r="J181" s="469">
        <f>IF('Estimate Summary'!$D$9&lt;3,0,$H181)</f>
        <v>0</v>
      </c>
      <c r="K181" s="469">
        <f>IF('Estimate Summary'!$D$9&lt;4,0,$H181)</f>
        <v>0</v>
      </c>
      <c r="L181" s="469">
        <f>IF('Estimate Summary'!$D$9&lt;5,0,$H181)</f>
        <v>0</v>
      </c>
      <c r="M181" s="469">
        <f>IF('Estimate Summary'!$D$9&lt;6,0,$H181)</f>
        <v>0</v>
      </c>
      <c r="N181" s="1647"/>
      <c r="P181" s="1010">
        <f t="shared" si="83"/>
        <v>37</v>
      </c>
      <c r="Q181" s="794">
        <v>42683</v>
      </c>
      <c r="R181" s="795">
        <f>$R$2+30.42*'Offshore CF'!CB13</f>
        <v>43803.94</v>
      </c>
      <c r="S181" s="684" t="s">
        <v>129</v>
      </c>
      <c r="T181" s="475" t="s">
        <v>180</v>
      </c>
      <c r="U181" s="697" t="s">
        <v>601</v>
      </c>
      <c r="V181" s="486" t="str">
        <f t="shared" si="65"/>
        <v>CNY</v>
      </c>
      <c r="W181" s="547"/>
      <c r="X181" s="1011">
        <f t="shared" si="79"/>
        <v>0</v>
      </c>
      <c r="Y181" s="926"/>
      <c r="Z181" s="893">
        <f t="shared" si="70"/>
        <v>0</v>
      </c>
      <c r="AA181" s="475">
        <f t="shared" si="73"/>
        <v>0</v>
      </c>
      <c r="AB181" s="484">
        <f t="shared" si="80"/>
        <v>0</v>
      </c>
      <c r="AC181" s="880"/>
      <c r="AD181" s="697">
        <f>IF(V181&lt;&gt;"CNY",(AB181+#REF!)*AC181,0)</f>
        <v>0</v>
      </c>
      <c r="AF181" s="861">
        <f>IF(V181&lt;&gt;"CNY",(AB181+#REF!)*#REF!,0)</f>
        <v>0</v>
      </c>
      <c r="AG181" s="697">
        <f>IF(V181&lt;&gt;"CNY",E181*#REF!/1000,0)</f>
        <v>0</v>
      </c>
      <c r="AH181" s="861">
        <f t="shared" si="81"/>
        <v>0</v>
      </c>
      <c r="AI181" s="861">
        <f t="shared" si="82"/>
        <v>0</v>
      </c>
      <c r="AJ181" s="383" t="s">
        <v>669</v>
      </c>
      <c r="AK181" s="383" t="s">
        <v>1128</v>
      </c>
      <c r="AL181" s="697" t="str">
        <f t="shared" si="66"/>
        <v>CN</v>
      </c>
      <c r="AM181" s="475">
        <f>'Estimate Summary'!$D$9</f>
        <v>1</v>
      </c>
      <c r="AN181" s="697" t="s">
        <v>1136</v>
      </c>
      <c r="AO181" s="475">
        <f t="shared" si="67"/>
        <v>0</v>
      </c>
      <c r="AP181" s="697" t="str">
        <f t="shared" si="63"/>
        <v>CNY</v>
      </c>
      <c r="AQ181" s="697" t="s">
        <v>1139</v>
      </c>
      <c r="AR181" s="697" t="s">
        <v>670</v>
      </c>
      <c r="AS181" s="605" t="s">
        <v>751</v>
      </c>
      <c r="AT181" s="697" t="str">
        <f>'Estimate Summary'!$AT$11</f>
        <v>FOB SH</v>
      </c>
      <c r="AU181" s="610" t="str">
        <f t="shared" si="68"/>
        <v>CN</v>
      </c>
      <c r="AV181" s="697" t="s">
        <v>1140</v>
      </c>
      <c r="AW181" s="2255">
        <f t="shared" si="69"/>
        <v>42683</v>
      </c>
    </row>
    <row r="182" spans="1:49" s="697" customFormat="1" ht="13.5" hidden="1" customHeight="1" outlineLevel="1">
      <c r="B182" s="1079" t="s">
        <v>683</v>
      </c>
      <c r="C182" s="386" t="s">
        <v>835</v>
      </c>
      <c r="D182" s="1830" t="s">
        <v>181</v>
      </c>
      <c r="E182" s="421"/>
      <c r="F182" s="390"/>
      <c r="G182" s="1817">
        <f t="shared" si="72"/>
        <v>0</v>
      </c>
      <c r="H182" s="2017">
        <f t="shared" si="72"/>
        <v>0</v>
      </c>
      <c r="I182" s="469">
        <f>IF('Estimate Summary'!$D$9&lt;2,0,$H182)</f>
        <v>0</v>
      </c>
      <c r="J182" s="469">
        <f>IF('Estimate Summary'!$D$9&lt;3,0,$H182)</f>
        <v>0</v>
      </c>
      <c r="K182" s="469">
        <f>IF('Estimate Summary'!$D$9&lt;4,0,$H182)</f>
        <v>0</v>
      </c>
      <c r="L182" s="469">
        <f>IF('Estimate Summary'!$D$9&lt;5,0,$H182)</f>
        <v>0</v>
      </c>
      <c r="M182" s="469">
        <f>IF('Estimate Summary'!$D$9&lt;6,0,$H182)</f>
        <v>0</v>
      </c>
      <c r="N182" s="1647"/>
      <c r="P182" s="1010">
        <f t="shared" si="83"/>
        <v>37</v>
      </c>
      <c r="Q182" s="794">
        <v>42683</v>
      </c>
      <c r="R182" s="795">
        <f>$R$2+30.42*'Offshore CF'!CB13</f>
        <v>43803.94</v>
      </c>
      <c r="S182" s="475" t="s">
        <v>128</v>
      </c>
      <c r="T182" s="475" t="s">
        <v>180</v>
      </c>
      <c r="U182" s="697" t="s">
        <v>426</v>
      </c>
      <c r="V182" s="486" t="str">
        <f t="shared" si="65"/>
        <v>CNY</v>
      </c>
      <c r="W182" s="547"/>
      <c r="X182" s="1011">
        <f t="shared" si="79"/>
        <v>0</v>
      </c>
      <c r="Y182" s="925"/>
      <c r="Z182" s="893">
        <f t="shared" si="70"/>
        <v>0</v>
      </c>
      <c r="AA182" s="475">
        <f t="shared" si="73"/>
        <v>0</v>
      </c>
      <c r="AB182" s="484">
        <f t="shared" si="80"/>
        <v>0</v>
      </c>
      <c r="AC182" s="880"/>
      <c r="AD182" s="697">
        <f>IF(V182&lt;&gt;"CNY",(AB182+#REF!)*AC182,0)</f>
        <v>0</v>
      </c>
      <c r="AF182" s="861">
        <f>IF(V182&lt;&gt;"CNY",(AB182+#REF!)*#REF!,0)</f>
        <v>0</v>
      </c>
      <c r="AG182" s="697">
        <f>IF(V182&lt;&gt;"CNY",E182*#REF!/1000,0)</f>
        <v>0</v>
      </c>
      <c r="AH182" s="861">
        <f t="shared" si="81"/>
        <v>0</v>
      </c>
      <c r="AI182" s="861">
        <f t="shared" si="82"/>
        <v>0</v>
      </c>
      <c r="AJ182" s="383" t="s">
        <v>669</v>
      </c>
      <c r="AK182" s="383" t="s">
        <v>1128</v>
      </c>
      <c r="AL182" s="697" t="str">
        <f t="shared" si="66"/>
        <v>CN</v>
      </c>
      <c r="AM182" s="475">
        <f>'Estimate Summary'!$D$9</f>
        <v>1</v>
      </c>
      <c r="AN182" s="697" t="s">
        <v>1136</v>
      </c>
      <c r="AO182" s="475">
        <f t="shared" si="67"/>
        <v>0</v>
      </c>
      <c r="AP182" s="697" t="str">
        <f t="shared" si="63"/>
        <v>CNY</v>
      </c>
      <c r="AQ182" s="697" t="s">
        <v>1139</v>
      </c>
      <c r="AR182" s="697" t="s">
        <v>670</v>
      </c>
      <c r="AS182" s="605" t="s">
        <v>751</v>
      </c>
      <c r="AT182" s="697" t="str">
        <f>'Estimate Summary'!$AT$11</f>
        <v>FOB SH</v>
      </c>
      <c r="AU182" s="610" t="str">
        <f t="shared" si="68"/>
        <v>CN</v>
      </c>
      <c r="AV182" s="697" t="s">
        <v>1140</v>
      </c>
      <c r="AW182" s="2255">
        <f t="shared" si="69"/>
        <v>42683</v>
      </c>
    </row>
    <row r="183" spans="1:49" s="697" customFormat="1" ht="13.5" hidden="1" customHeight="1" outlineLevel="1">
      <c r="B183" s="1079" t="s">
        <v>683</v>
      </c>
      <c r="C183" s="386" t="s">
        <v>836</v>
      </c>
      <c r="D183" s="1830" t="s">
        <v>181</v>
      </c>
      <c r="E183" s="421"/>
      <c r="F183" s="390"/>
      <c r="G183" s="1817">
        <f t="shared" si="72"/>
        <v>0</v>
      </c>
      <c r="H183" s="2017">
        <f t="shared" si="72"/>
        <v>0</v>
      </c>
      <c r="I183" s="469">
        <f>IF('Estimate Summary'!$D$9&lt;2,0,$H183)</f>
        <v>0</v>
      </c>
      <c r="J183" s="469">
        <f>IF('Estimate Summary'!$D$9&lt;3,0,$H183)</f>
        <v>0</v>
      </c>
      <c r="K183" s="469">
        <f>IF('Estimate Summary'!$D$9&lt;4,0,$H183)</f>
        <v>0</v>
      </c>
      <c r="L183" s="469">
        <f>IF('Estimate Summary'!$D$9&lt;5,0,$H183)</f>
        <v>0</v>
      </c>
      <c r="M183" s="469">
        <f>IF('Estimate Summary'!$D$9&lt;6,0,$H183)</f>
        <v>0</v>
      </c>
      <c r="N183" s="1647"/>
      <c r="P183" s="1010">
        <f t="shared" si="83"/>
        <v>37</v>
      </c>
      <c r="Q183" s="794">
        <v>42683</v>
      </c>
      <c r="R183" s="795">
        <f>$R$2+30.42*'Offshore CF'!CB13</f>
        <v>43803.94</v>
      </c>
      <c r="S183" s="475" t="s">
        <v>128</v>
      </c>
      <c r="T183" s="475" t="s">
        <v>180</v>
      </c>
      <c r="U183" s="697" t="s">
        <v>426</v>
      </c>
      <c r="V183" s="486" t="str">
        <f t="shared" si="65"/>
        <v>CNY</v>
      </c>
      <c r="W183" s="547"/>
      <c r="X183" s="1011">
        <f t="shared" si="79"/>
        <v>0</v>
      </c>
      <c r="Y183" s="925"/>
      <c r="Z183" s="893">
        <f t="shared" si="70"/>
        <v>0</v>
      </c>
      <c r="AA183" s="475">
        <f t="shared" si="73"/>
        <v>0</v>
      </c>
      <c r="AB183" s="484">
        <f t="shared" si="80"/>
        <v>0</v>
      </c>
      <c r="AC183" s="880"/>
      <c r="AD183" s="697">
        <f>IF(V183&lt;&gt;"CNY",(AB183+#REF!)*AC183,0)</f>
        <v>0</v>
      </c>
      <c r="AF183" s="861">
        <f>IF(V183&lt;&gt;"CNY",(AB183+#REF!)*#REF!,0)</f>
        <v>0</v>
      </c>
      <c r="AG183" s="697">
        <f>IF(V183&lt;&gt;"CNY",E183*#REF!/1000,0)</f>
        <v>0</v>
      </c>
      <c r="AH183" s="861">
        <f t="shared" si="81"/>
        <v>0</v>
      </c>
      <c r="AI183" s="861">
        <f t="shared" si="82"/>
        <v>0</v>
      </c>
      <c r="AJ183" s="383" t="s">
        <v>669</v>
      </c>
      <c r="AK183" s="383" t="s">
        <v>1128</v>
      </c>
      <c r="AL183" s="697" t="str">
        <f t="shared" si="66"/>
        <v>CN</v>
      </c>
      <c r="AM183" s="475">
        <f>'Estimate Summary'!$D$9</f>
        <v>1</v>
      </c>
      <c r="AN183" s="697" t="s">
        <v>1136</v>
      </c>
      <c r="AO183" s="475">
        <f t="shared" si="67"/>
        <v>0</v>
      </c>
      <c r="AP183" s="697" t="str">
        <f t="shared" si="63"/>
        <v>CNY</v>
      </c>
      <c r="AQ183" s="697" t="s">
        <v>1139</v>
      </c>
      <c r="AR183" s="697" t="s">
        <v>670</v>
      </c>
      <c r="AS183" s="605" t="s">
        <v>751</v>
      </c>
      <c r="AT183" s="697" t="str">
        <f>'Estimate Summary'!$AT$11</f>
        <v>FOB SH</v>
      </c>
      <c r="AU183" s="610" t="str">
        <f t="shared" si="68"/>
        <v>CN</v>
      </c>
      <c r="AV183" s="697" t="s">
        <v>1140</v>
      </c>
      <c r="AW183" s="2255">
        <f t="shared" si="69"/>
        <v>42683</v>
      </c>
    </row>
    <row r="184" spans="1:49" s="697" customFormat="1" ht="13.5" hidden="1" customHeight="1" outlineLevel="1">
      <c r="A184" s="383"/>
      <c r="B184" s="1079" t="s">
        <v>746</v>
      </c>
      <c r="C184" s="386" t="s">
        <v>1055</v>
      </c>
      <c r="D184" s="1831" t="s">
        <v>181</v>
      </c>
      <c r="E184" s="421"/>
      <c r="F184" s="390">
        <f>IF(E184=0,0,H184/E184*1000)</f>
        <v>0</v>
      </c>
      <c r="G184" s="1817">
        <f t="shared" si="72"/>
        <v>0</v>
      </c>
      <c r="H184" s="2017">
        <f t="shared" si="72"/>
        <v>0</v>
      </c>
      <c r="I184" s="469">
        <f>IF('Estimate Summary'!$D$9&lt;2,0,$H184)</f>
        <v>0</v>
      </c>
      <c r="J184" s="469">
        <f>IF('Estimate Summary'!$D$9&lt;3,0,$H184)</f>
        <v>0</v>
      </c>
      <c r="K184" s="469">
        <f>IF('Estimate Summary'!$D$9&lt;4,0,$H184)</f>
        <v>0</v>
      </c>
      <c r="L184" s="469">
        <f>IF('Estimate Summary'!$D$9&lt;5,0,$H184)</f>
        <v>0</v>
      </c>
      <c r="M184" s="469">
        <f>IF('Estimate Summary'!$D$9&lt;6,0,$H184)</f>
        <v>0</v>
      </c>
      <c r="N184" s="1647" t="s">
        <v>1321</v>
      </c>
      <c r="O184" s="383"/>
      <c r="P184" s="1010">
        <f t="shared" si="83"/>
        <v>37</v>
      </c>
      <c r="Q184" s="794">
        <v>42683</v>
      </c>
      <c r="R184" s="795">
        <f>$R$2+30.42*'Offshore CF'!CB13</f>
        <v>43803.94</v>
      </c>
      <c r="S184" s="475" t="s">
        <v>129</v>
      </c>
      <c r="T184" s="475" t="s">
        <v>180</v>
      </c>
      <c r="U184" s="697" t="s">
        <v>676</v>
      </c>
      <c r="V184" s="391" t="str">
        <f t="shared" si="65"/>
        <v>CNY</v>
      </c>
      <c r="W184" s="547"/>
      <c r="X184" s="863">
        <f t="shared" si="79"/>
        <v>0</v>
      </c>
      <c r="Y184" s="888"/>
      <c r="Z184" s="890">
        <f t="shared" si="70"/>
        <v>0</v>
      </c>
      <c r="AA184" s="484">
        <f t="shared" si="73"/>
        <v>0</v>
      </c>
      <c r="AB184" s="484">
        <f t="shared" si="80"/>
        <v>0</v>
      </c>
      <c r="AC184" s="880"/>
      <c r="AD184" s="697">
        <f>IF(V184&lt;&gt;"CNY",(AB184+#REF!)*AC184,0)</f>
        <v>0</v>
      </c>
      <c r="AF184" s="861">
        <f>IF(V184&lt;&gt;"CNY",(AB184+#REF!)*#REF!,0)</f>
        <v>0</v>
      </c>
      <c r="AG184" s="697">
        <f>IF(V184&lt;&gt;"CNY",E184*#REF!/1000,0)</f>
        <v>0</v>
      </c>
      <c r="AH184" s="861">
        <f t="shared" si="81"/>
        <v>0</v>
      </c>
      <c r="AI184" s="861">
        <f t="shared" si="82"/>
        <v>0</v>
      </c>
      <c r="AJ184" s="383" t="s">
        <v>669</v>
      </c>
      <c r="AK184" s="383" t="s">
        <v>1128</v>
      </c>
      <c r="AL184" s="697" t="str">
        <f t="shared" si="66"/>
        <v>CN</v>
      </c>
      <c r="AM184" s="475">
        <f>'Estimate Summary'!$D$9</f>
        <v>1</v>
      </c>
      <c r="AN184" s="697" t="s">
        <v>1136</v>
      </c>
      <c r="AO184" s="475">
        <f t="shared" si="67"/>
        <v>0</v>
      </c>
      <c r="AP184" s="697" t="str">
        <f t="shared" si="63"/>
        <v>CNY</v>
      </c>
      <c r="AQ184" s="697" t="s">
        <v>1139</v>
      </c>
      <c r="AR184" s="697" t="s">
        <v>670</v>
      </c>
      <c r="AS184" s="605" t="s">
        <v>751</v>
      </c>
      <c r="AT184" s="697" t="str">
        <f>'Estimate Summary'!$AT$11</f>
        <v>FOB SH</v>
      </c>
      <c r="AU184" s="610" t="str">
        <f t="shared" si="68"/>
        <v>CN</v>
      </c>
      <c r="AV184" s="697" t="s">
        <v>1140</v>
      </c>
      <c r="AW184" s="2255">
        <f t="shared" si="69"/>
        <v>42683</v>
      </c>
    </row>
    <row r="185" spans="1:49" s="605" customFormat="1" ht="13.5" hidden="1" customHeight="1" outlineLevel="1" collapsed="1" thickBot="1">
      <c r="B185" s="2283"/>
      <c r="C185" s="1660" t="s">
        <v>289</v>
      </c>
      <c r="D185" s="1826"/>
      <c r="E185" s="1661">
        <f>E175</f>
        <v>0</v>
      </c>
      <c r="F185" s="1899"/>
      <c r="G185" s="2284">
        <f t="shared" si="72"/>
        <v>0</v>
      </c>
      <c r="H185" s="1696">
        <f t="shared" ref="H185:M185" si="84">H175</f>
        <v>0</v>
      </c>
      <c r="I185" s="1749">
        <f t="shared" si="84"/>
        <v>0</v>
      </c>
      <c r="J185" s="1663">
        <f t="shared" si="84"/>
        <v>0</v>
      </c>
      <c r="K185" s="1663">
        <f t="shared" si="84"/>
        <v>0</v>
      </c>
      <c r="L185" s="1663">
        <f t="shared" si="84"/>
        <v>0</v>
      </c>
      <c r="M185" s="1663">
        <f t="shared" si="84"/>
        <v>0</v>
      </c>
      <c r="N185" s="1758"/>
      <c r="O185" s="697"/>
      <c r="P185" s="1014"/>
      <c r="Q185" s="794"/>
      <c r="R185" s="796"/>
      <c r="S185" s="899"/>
      <c r="T185" s="551"/>
      <c r="V185" s="1014">
        <f t="shared" si="65"/>
        <v>0</v>
      </c>
      <c r="W185" s="870"/>
      <c r="X185" s="863">
        <f t="shared" si="79"/>
        <v>0</v>
      </c>
      <c r="Y185" s="900"/>
      <c r="Z185" s="890">
        <f t="shared" si="70"/>
        <v>0</v>
      </c>
      <c r="AA185" s="484"/>
      <c r="AB185" s="1012"/>
      <c r="AC185" s="900"/>
      <c r="AF185" s="870"/>
      <c r="AH185" s="870"/>
      <c r="AI185" s="870"/>
      <c r="AJ185" s="383" t="s">
        <v>669</v>
      </c>
      <c r="AK185" s="383" t="s">
        <v>1128</v>
      </c>
      <c r="AL185" s="697" t="b">
        <f t="shared" si="66"/>
        <v>0</v>
      </c>
      <c r="AM185" s="475">
        <f>'Estimate Summary'!$D$9</f>
        <v>1</v>
      </c>
      <c r="AN185" s="697" t="s">
        <v>1136</v>
      </c>
      <c r="AO185" s="475">
        <f t="shared" si="67"/>
        <v>0</v>
      </c>
      <c r="AP185" s="605">
        <f t="shared" si="63"/>
        <v>0</v>
      </c>
      <c r="AQ185" s="605" t="s">
        <v>1139</v>
      </c>
      <c r="AR185" s="605" t="s">
        <v>670</v>
      </c>
      <c r="AS185" s="605" t="s">
        <v>751</v>
      </c>
      <c r="AT185" s="605" t="str">
        <f>'Estimate Summary'!$AT$11</f>
        <v>FOB SH</v>
      </c>
      <c r="AU185" s="610" t="b">
        <f t="shared" si="68"/>
        <v>0</v>
      </c>
      <c r="AV185" s="605" t="s">
        <v>1140</v>
      </c>
      <c r="AW185" s="2255">
        <f t="shared" si="69"/>
        <v>0</v>
      </c>
    </row>
    <row r="186" spans="1:49" s="86" customFormat="1" ht="16.5" hidden="1" customHeight="1" outlineLevel="1" thickTop="1">
      <c r="B186" s="1641" t="s">
        <v>954</v>
      </c>
      <c r="C186" s="1652"/>
      <c r="D186" s="1834"/>
      <c r="E186" s="1653"/>
      <c r="F186" s="1654"/>
      <c r="G186" s="1654">
        <f t="shared" si="72"/>
        <v>0</v>
      </c>
      <c r="H186" s="1739"/>
      <c r="I186" s="1746"/>
      <c r="J186" s="1655"/>
      <c r="K186" s="569"/>
      <c r="L186" s="569"/>
      <c r="M186" s="569"/>
      <c r="N186" s="2273"/>
      <c r="P186" s="102"/>
      <c r="Q186" s="794"/>
      <c r="R186" s="797"/>
      <c r="S186" s="540"/>
      <c r="T186" s="551"/>
      <c r="V186" s="102">
        <f t="shared" si="65"/>
        <v>0</v>
      </c>
      <c r="W186" s="859"/>
      <c r="X186" s="859"/>
      <c r="Y186" s="882"/>
      <c r="Z186" s="892">
        <f t="shared" si="70"/>
        <v>0</v>
      </c>
      <c r="AA186" s="540"/>
      <c r="AB186" s="1012"/>
      <c r="AC186" s="882"/>
      <c r="AF186" s="859"/>
      <c r="AH186" s="859"/>
      <c r="AI186" s="859"/>
      <c r="AJ186" s="383" t="s">
        <v>669</v>
      </c>
      <c r="AK186" s="383" t="s">
        <v>1128</v>
      </c>
      <c r="AL186" s="697" t="b">
        <f t="shared" si="66"/>
        <v>0</v>
      </c>
      <c r="AM186" s="475">
        <f>'Estimate Summary'!$D$9</f>
        <v>1</v>
      </c>
      <c r="AN186" s="697" t="s">
        <v>1136</v>
      </c>
      <c r="AO186" s="475">
        <f t="shared" si="67"/>
        <v>0</v>
      </c>
      <c r="AP186" s="86">
        <f t="shared" si="63"/>
        <v>0</v>
      </c>
      <c r="AQ186" s="86" t="s">
        <v>1139</v>
      </c>
      <c r="AR186" s="86" t="s">
        <v>670</v>
      </c>
      <c r="AS186" s="605" t="s">
        <v>751</v>
      </c>
      <c r="AT186" s="86" t="str">
        <f>'Estimate Summary'!$AT$11</f>
        <v>FOB SH</v>
      </c>
      <c r="AU186" s="610" t="b">
        <f t="shared" si="68"/>
        <v>0</v>
      </c>
      <c r="AV186" s="86" t="s">
        <v>1140</v>
      </c>
      <c r="AW186" s="2255">
        <f t="shared" si="69"/>
        <v>0</v>
      </c>
    </row>
    <row r="187" spans="1:49" s="360" customFormat="1" ht="12.75" hidden="1" customHeight="1" outlineLevel="1">
      <c r="A187" s="383"/>
      <c r="B187" s="1079" t="s">
        <v>860</v>
      </c>
      <c r="C187" s="694" t="s">
        <v>859</v>
      </c>
      <c r="D187" s="1829"/>
      <c r="E187" s="584"/>
      <c r="F187" s="415"/>
      <c r="G187" s="1611">
        <f t="shared" si="72"/>
        <v>0</v>
      </c>
      <c r="H187" s="1808">
        <f>AB187</f>
        <v>0</v>
      </c>
      <c r="I187" s="1718">
        <f>IF('Estimate Summary'!$D$9&lt;2,0,$H187)</f>
        <v>0</v>
      </c>
      <c r="J187" s="1718">
        <f>IF('Estimate Summary'!$D$9&lt;3,0,$H187)</f>
        <v>0</v>
      </c>
      <c r="K187" s="1718">
        <f>IF('Estimate Summary'!$D$9&lt;4,0,$H187)</f>
        <v>0</v>
      </c>
      <c r="L187" s="1718">
        <f>IF('Estimate Summary'!$D$9&lt;5,0,$H187)</f>
        <v>0</v>
      </c>
      <c r="M187" s="1718">
        <f>IF('Estimate Summary'!$D$9&lt;6,0,$H187)</f>
        <v>0</v>
      </c>
      <c r="N187" s="996"/>
      <c r="O187" s="357"/>
      <c r="P187" s="1875">
        <f>IF(Q187=0,0,(YEAR(R187)-YEAR(Q187))*12+(MONTH(R187)-MONTH(Q187)))</f>
        <v>0</v>
      </c>
      <c r="Q187" s="794"/>
      <c r="R187" s="796"/>
      <c r="S187" s="898"/>
      <c r="T187" s="551"/>
      <c r="U187" s="605"/>
      <c r="V187" s="603">
        <f t="shared" si="65"/>
        <v>0</v>
      </c>
      <c r="W187" s="932"/>
      <c r="X187" s="1876">
        <f>IF(V187="CNY",W187/1.17/1000,W187/1000)</f>
        <v>0</v>
      </c>
      <c r="Y187" s="920"/>
      <c r="Z187" s="1018">
        <f t="shared" si="70"/>
        <v>0</v>
      </c>
      <c r="AA187" s="899">
        <f t="shared" si="73"/>
        <v>0</v>
      </c>
      <c r="AB187" s="1012"/>
      <c r="AC187" s="883"/>
      <c r="AF187" s="869"/>
      <c r="AH187" s="869">
        <f>SUM(AD187:AG187)</f>
        <v>0</v>
      </c>
      <c r="AI187" s="876">
        <f>AB187+AH187</f>
        <v>0</v>
      </c>
      <c r="AJ187" s="383" t="s">
        <v>669</v>
      </c>
      <c r="AK187" s="383" t="s">
        <v>1128</v>
      </c>
      <c r="AL187" s="697" t="b">
        <f t="shared" si="66"/>
        <v>0</v>
      </c>
      <c r="AM187" s="475">
        <f>'Estimate Summary'!$D$9</f>
        <v>1</v>
      </c>
      <c r="AN187" s="697" t="s">
        <v>1136</v>
      </c>
      <c r="AO187" s="475">
        <f t="shared" si="67"/>
        <v>0</v>
      </c>
      <c r="AP187" s="360">
        <f t="shared" si="63"/>
        <v>0</v>
      </c>
      <c r="AQ187" s="360" t="s">
        <v>1139</v>
      </c>
      <c r="AR187" s="360" t="s">
        <v>670</v>
      </c>
      <c r="AS187" s="605" t="s">
        <v>751</v>
      </c>
      <c r="AT187" s="360" t="str">
        <f>'Estimate Summary'!$AT$11</f>
        <v>FOB SH</v>
      </c>
      <c r="AU187" s="610" t="b">
        <f t="shared" si="68"/>
        <v>0</v>
      </c>
      <c r="AV187" s="360" t="s">
        <v>1140</v>
      </c>
      <c r="AW187" s="2255">
        <f t="shared" si="69"/>
        <v>0</v>
      </c>
    </row>
    <row r="188" spans="1:49" s="357" customFormat="1" ht="12.75" hidden="1" customHeight="1" outlineLevel="1" thickBot="1">
      <c r="B188" s="1656"/>
      <c r="C188" s="1642" t="s">
        <v>198</v>
      </c>
      <c r="D188" s="1826"/>
      <c r="E188" s="1657"/>
      <c r="F188" s="1658"/>
      <c r="G188" s="1659">
        <f t="shared" si="72"/>
        <v>0</v>
      </c>
      <c r="H188" s="1687">
        <f t="shared" ref="H188:M188" si="85">SUM(H187:H187)</f>
        <v>0</v>
      </c>
      <c r="I188" s="1663">
        <f t="shared" si="85"/>
        <v>0</v>
      </c>
      <c r="J188" s="1663">
        <f t="shared" si="85"/>
        <v>0</v>
      </c>
      <c r="K188" s="1663">
        <f t="shared" si="85"/>
        <v>0</v>
      </c>
      <c r="L188" s="1663">
        <f t="shared" si="85"/>
        <v>0</v>
      </c>
      <c r="M188" s="1663">
        <f t="shared" si="85"/>
        <v>0</v>
      </c>
      <c r="N188" s="1758"/>
      <c r="P188" s="606"/>
      <c r="Q188" s="794"/>
      <c r="R188" s="798"/>
      <c r="S188" s="541"/>
      <c r="T188" s="551"/>
      <c r="V188" s="102">
        <f t="shared" si="65"/>
        <v>0</v>
      </c>
      <c r="W188" s="860"/>
      <c r="X188" s="860"/>
      <c r="Y188" s="888"/>
      <c r="Z188" s="1018">
        <f t="shared" si="70"/>
        <v>0</v>
      </c>
      <c r="AA188" s="899"/>
      <c r="AB188" s="1012"/>
      <c r="AC188" s="884"/>
      <c r="AF188" s="860"/>
      <c r="AH188" s="860"/>
      <c r="AI188" s="860"/>
      <c r="AJ188" s="383" t="s">
        <v>669</v>
      </c>
      <c r="AK188" s="383" t="s">
        <v>1128</v>
      </c>
      <c r="AL188" s="697" t="b">
        <f t="shared" si="66"/>
        <v>0</v>
      </c>
      <c r="AM188" s="475">
        <f>'Estimate Summary'!$D$9</f>
        <v>1</v>
      </c>
      <c r="AN188" s="697" t="s">
        <v>1136</v>
      </c>
      <c r="AO188" s="475">
        <f t="shared" si="67"/>
        <v>0</v>
      </c>
      <c r="AP188" s="357">
        <f t="shared" si="63"/>
        <v>0</v>
      </c>
      <c r="AQ188" s="357" t="s">
        <v>1139</v>
      </c>
      <c r="AR188" s="357" t="s">
        <v>670</v>
      </c>
      <c r="AS188" s="605" t="s">
        <v>751</v>
      </c>
      <c r="AT188" s="357" t="str">
        <f>'Estimate Summary'!$AT$11</f>
        <v>FOB SH</v>
      </c>
      <c r="AU188" s="610" t="b">
        <f t="shared" si="68"/>
        <v>0</v>
      </c>
      <c r="AV188" s="357" t="s">
        <v>1140</v>
      </c>
      <c r="AW188" s="2255">
        <f t="shared" si="69"/>
        <v>0</v>
      </c>
    </row>
    <row r="189" spans="1:49" s="605" customFormat="1" ht="13.5" hidden="1" customHeight="1" outlineLevel="1" thickTop="1">
      <c r="B189" s="1641" t="s">
        <v>955</v>
      </c>
      <c r="C189" s="1644"/>
      <c r="D189" s="1833"/>
      <c r="E189" s="2271"/>
      <c r="F189" s="1635"/>
      <c r="G189" s="1636">
        <f t="shared" si="72"/>
        <v>0</v>
      </c>
      <c r="H189" s="2272"/>
      <c r="I189" s="2253"/>
      <c r="J189" s="2253"/>
      <c r="K189" s="2253"/>
      <c r="L189" s="2253"/>
      <c r="M189" s="2253"/>
      <c r="N189" s="2273"/>
      <c r="P189" s="1014"/>
      <c r="Q189" s="794"/>
      <c r="R189" s="796"/>
      <c r="S189" s="899"/>
      <c r="T189" s="551"/>
      <c r="V189" s="1014">
        <f t="shared" si="65"/>
        <v>0</v>
      </c>
      <c r="W189" s="870"/>
      <c r="X189" s="870"/>
      <c r="Y189" s="888"/>
      <c r="Z189" s="1018">
        <f t="shared" si="70"/>
        <v>0</v>
      </c>
      <c r="AA189" s="899"/>
      <c r="AB189" s="1012"/>
      <c r="AC189" s="900"/>
      <c r="AF189" s="870"/>
      <c r="AH189" s="870"/>
      <c r="AI189" s="870"/>
      <c r="AJ189" s="383" t="s">
        <v>669</v>
      </c>
      <c r="AK189" s="383" t="s">
        <v>1128</v>
      </c>
      <c r="AL189" s="697" t="b">
        <f t="shared" si="66"/>
        <v>0</v>
      </c>
      <c r="AM189" s="475">
        <f>'Estimate Summary'!$D$9</f>
        <v>1</v>
      </c>
      <c r="AN189" s="697" t="s">
        <v>1136</v>
      </c>
      <c r="AO189" s="475">
        <f t="shared" si="67"/>
        <v>0</v>
      </c>
      <c r="AP189" s="605">
        <f t="shared" si="63"/>
        <v>0</v>
      </c>
      <c r="AQ189" s="605" t="s">
        <v>1139</v>
      </c>
      <c r="AR189" s="605" t="s">
        <v>670</v>
      </c>
      <c r="AS189" s="605" t="s">
        <v>751</v>
      </c>
      <c r="AT189" s="605" t="str">
        <f>'Estimate Summary'!$AT$11</f>
        <v>FOB SH</v>
      </c>
      <c r="AU189" s="610" t="b">
        <f t="shared" si="68"/>
        <v>0</v>
      </c>
      <c r="AV189" s="605" t="s">
        <v>1140</v>
      </c>
      <c r="AW189" s="2255">
        <f t="shared" si="69"/>
        <v>0</v>
      </c>
    </row>
    <row r="190" spans="1:49" s="412" customFormat="1" ht="12.75" hidden="1" customHeight="1" outlineLevel="1">
      <c r="A190" s="383"/>
      <c r="B190" s="2265"/>
      <c r="C190" s="694" t="s">
        <v>332</v>
      </c>
      <c r="D190" s="1829"/>
      <c r="E190" s="584"/>
      <c r="F190" s="570"/>
      <c r="G190" s="1612">
        <f t="shared" si="72"/>
        <v>0</v>
      </c>
      <c r="H190" s="1870">
        <f t="shared" ref="H190:M190" si="86">SUM(H191:H192)</f>
        <v>0</v>
      </c>
      <c r="I190" s="1718">
        <f t="shared" si="86"/>
        <v>0</v>
      </c>
      <c r="J190" s="1718">
        <f t="shared" si="86"/>
        <v>0</v>
      </c>
      <c r="K190" s="1718">
        <f t="shared" si="86"/>
        <v>0</v>
      </c>
      <c r="L190" s="1718">
        <f t="shared" si="86"/>
        <v>0</v>
      </c>
      <c r="M190" s="1718">
        <f t="shared" si="86"/>
        <v>0</v>
      </c>
      <c r="N190" s="996"/>
      <c r="P190" s="2279"/>
      <c r="Q190" s="476"/>
      <c r="R190" s="476"/>
      <c r="S190" s="485"/>
      <c r="T190" s="2281"/>
      <c r="U190" s="1925"/>
      <c r="V190" s="1926">
        <f t="shared" si="65"/>
        <v>0</v>
      </c>
      <c r="W190" s="875"/>
      <c r="X190" s="875"/>
      <c r="Y190" s="878"/>
      <c r="Z190" s="891">
        <f t="shared" si="70"/>
        <v>0</v>
      </c>
      <c r="AA190" s="485"/>
      <c r="AB190" s="1927"/>
      <c r="AC190" s="1927"/>
      <c r="AD190" s="476"/>
      <c r="AE190" s="476"/>
      <c r="AF190" s="2282"/>
      <c r="AG190" s="1925"/>
      <c r="AH190" s="875"/>
      <c r="AI190" s="875"/>
      <c r="AJ190" s="383" t="s">
        <v>669</v>
      </c>
      <c r="AK190" s="383" t="s">
        <v>1128</v>
      </c>
      <c r="AL190" s="697" t="b">
        <f t="shared" si="66"/>
        <v>0</v>
      </c>
      <c r="AM190" s="475">
        <f>'Estimate Summary'!$D$9</f>
        <v>1</v>
      </c>
      <c r="AN190" s="697" t="s">
        <v>1136</v>
      </c>
      <c r="AO190" s="475">
        <f t="shared" si="67"/>
        <v>0</v>
      </c>
      <c r="AP190" s="412">
        <f t="shared" si="63"/>
        <v>0</v>
      </c>
      <c r="AQ190" s="412" t="s">
        <v>1139</v>
      </c>
      <c r="AR190" s="412" t="s">
        <v>670</v>
      </c>
      <c r="AS190" s="605" t="s">
        <v>745</v>
      </c>
      <c r="AT190" s="412" t="str">
        <f>'Estimate Summary'!$AT$11</f>
        <v>FOB SH</v>
      </c>
      <c r="AU190" s="610" t="b">
        <f t="shared" si="68"/>
        <v>0</v>
      </c>
      <c r="AV190" s="412" t="s">
        <v>1140</v>
      </c>
      <c r="AW190" s="2255">
        <f t="shared" si="69"/>
        <v>0</v>
      </c>
    </row>
    <row r="191" spans="1:49" s="388" customFormat="1" ht="13.5" hidden="1" customHeight="1" outlineLevel="1">
      <c r="A191" s="383"/>
      <c r="B191" s="1079" t="s">
        <v>862</v>
      </c>
      <c r="C191" s="385" t="s">
        <v>861</v>
      </c>
      <c r="D191" s="1831" t="s">
        <v>181</v>
      </c>
      <c r="E191" s="421"/>
      <c r="F191" s="570"/>
      <c r="G191" s="1738">
        <f t="shared" si="72"/>
        <v>0</v>
      </c>
      <c r="H191" s="2017">
        <f>AB191</f>
        <v>0</v>
      </c>
      <c r="I191" s="469">
        <f>IF('Estimate Summary'!$D$9&lt;2,0,$H191)</f>
        <v>0</v>
      </c>
      <c r="J191" s="469">
        <f>IF('Estimate Summary'!$D$9&lt;3,0,$H191)</f>
        <v>0</v>
      </c>
      <c r="K191" s="469">
        <f>IF('Estimate Summary'!$D$9&lt;4,0,$H191)</f>
        <v>0</v>
      </c>
      <c r="L191" s="469">
        <f>IF('Estimate Summary'!$D$9&lt;5,0,$H191)</f>
        <v>0</v>
      </c>
      <c r="M191" s="469">
        <f>IF('Estimate Summary'!$D$9&lt;6,0,$H191)</f>
        <v>0</v>
      </c>
      <c r="N191" s="996"/>
      <c r="P191" s="474">
        <f>IF(Q191=0,0,(YEAR(R191)-YEAR(Q191))*12+(MONTH(R191)-MONTH(Q191)))</f>
        <v>37</v>
      </c>
      <c r="Q191" s="794">
        <v>42683</v>
      </c>
      <c r="R191" s="795">
        <f>$R$2+30.42*'Offshore CF'!CD13</f>
        <v>43803.94</v>
      </c>
      <c r="S191" s="475" t="s">
        <v>127</v>
      </c>
      <c r="T191" s="484" t="s">
        <v>180</v>
      </c>
      <c r="U191" s="697" t="s">
        <v>475</v>
      </c>
      <c r="V191" s="391" t="str">
        <f t="shared" si="65"/>
        <v>CNY</v>
      </c>
      <c r="W191" s="547"/>
      <c r="X191" s="864">
        <f>IF(V191="CNY",W191/1.17/1000,W191/1000)</f>
        <v>0</v>
      </c>
      <c r="Y191" s="893">
        <f>5%</f>
        <v>0.05</v>
      </c>
      <c r="Z191" s="893">
        <f t="shared" si="70"/>
        <v>0.05</v>
      </c>
      <c r="AA191" s="475">
        <f t="shared" si="73"/>
        <v>0</v>
      </c>
      <c r="AB191" s="484">
        <f>IF(V191="CNY",X191*(1-Z191),IF(V191="EUR",X191*(1-Z191)*$T$5,IF(V191="JPY",X191*(1-Z191)*$T$6,IF(V191="USD",X191*(1-Z191)*$T$7))))</f>
        <v>0</v>
      </c>
      <c r="AC191" s="881"/>
      <c r="AD191" s="388">
        <f>IF(V191&lt;&gt;"CNY",(AB191+#REF!)*AC191,0)</f>
        <v>0</v>
      </c>
      <c r="AF191" s="868">
        <f>IF(V191&lt;&gt;"CNY",(AB191+#REF!)*#REF!,0)</f>
        <v>0</v>
      </c>
      <c r="AG191" s="388">
        <f>IF(V191&lt;&gt;"CNY",E191*#REF!/1000,0)</f>
        <v>0</v>
      </c>
      <c r="AH191" s="868">
        <f>SUM(AD191:AG191)</f>
        <v>0</v>
      </c>
      <c r="AI191" s="861">
        <f>AB191+AH191</f>
        <v>0</v>
      </c>
      <c r="AJ191" s="383" t="s">
        <v>669</v>
      </c>
      <c r="AK191" s="383" t="s">
        <v>1128</v>
      </c>
      <c r="AL191" s="697" t="str">
        <f t="shared" si="66"/>
        <v>CN</v>
      </c>
      <c r="AM191" s="475">
        <f>'Estimate Summary'!$D$9</f>
        <v>1</v>
      </c>
      <c r="AN191" s="697" t="s">
        <v>1136</v>
      </c>
      <c r="AO191" s="475">
        <f t="shared" si="67"/>
        <v>0</v>
      </c>
      <c r="AP191" s="388" t="str">
        <f t="shared" si="63"/>
        <v>CNY</v>
      </c>
      <c r="AQ191" s="388" t="s">
        <v>1139</v>
      </c>
      <c r="AR191" s="388" t="s">
        <v>670</v>
      </c>
      <c r="AS191" s="605" t="s">
        <v>745</v>
      </c>
      <c r="AT191" s="388" t="str">
        <f>'Estimate Summary'!$AT$11</f>
        <v>FOB SH</v>
      </c>
      <c r="AU191" s="610" t="str">
        <f t="shared" si="68"/>
        <v>CN</v>
      </c>
      <c r="AV191" s="388" t="s">
        <v>1140</v>
      </c>
      <c r="AW191" s="2255">
        <f t="shared" si="69"/>
        <v>42683</v>
      </c>
    </row>
    <row r="192" spans="1:49" s="605" customFormat="1" ht="13.5" hidden="1" customHeight="1" outlineLevel="1">
      <c r="A192" s="383"/>
      <c r="B192" s="1079" t="s">
        <v>1054</v>
      </c>
      <c r="C192" s="385" t="s">
        <v>707</v>
      </c>
      <c r="D192" s="1831" t="s">
        <v>181</v>
      </c>
      <c r="E192" s="421"/>
      <c r="F192" s="570"/>
      <c r="G192" s="1738">
        <f t="shared" si="72"/>
        <v>0</v>
      </c>
      <c r="H192" s="2017">
        <f>AB192</f>
        <v>0</v>
      </c>
      <c r="I192" s="469">
        <f>IF('Estimate Summary'!$D$9&lt;2,0,$H192)</f>
        <v>0</v>
      </c>
      <c r="J192" s="469">
        <f>IF('Estimate Summary'!$D$9&lt;3,0,$H192)</f>
        <v>0</v>
      </c>
      <c r="K192" s="469">
        <f>IF('Estimate Summary'!$D$9&lt;4,0,$H192)</f>
        <v>0</v>
      </c>
      <c r="L192" s="469">
        <f>IF('Estimate Summary'!$D$9&lt;5,0,$H192)</f>
        <v>0</v>
      </c>
      <c r="M192" s="469">
        <f>IF('Estimate Summary'!$D$9&lt;6,0,$H192)</f>
        <v>0</v>
      </c>
      <c r="N192" s="416" t="s">
        <v>1322</v>
      </c>
      <c r="P192" s="1010">
        <f>IF(Q192=0,0,(YEAR(R192)-YEAR(Q192))*12+(MONTH(R192)-MONTH(Q192)))</f>
        <v>37</v>
      </c>
      <c r="Q192" s="794">
        <v>42683</v>
      </c>
      <c r="R192" s="795">
        <f>$R$2+30.42*'Offshore CF'!CD13</f>
        <v>43803.94</v>
      </c>
      <c r="S192" s="475" t="s">
        <v>128</v>
      </c>
      <c r="T192" s="475" t="s">
        <v>180</v>
      </c>
      <c r="U192" s="697" t="s">
        <v>607</v>
      </c>
      <c r="V192" s="486" t="str">
        <f t="shared" si="65"/>
        <v>CNY</v>
      </c>
      <c r="W192" s="547"/>
      <c r="X192" s="1011">
        <f>IF(V192="CNY",W192/1.17/1000,W192/1000)</f>
        <v>0</v>
      </c>
      <c r="Y192" s="1867"/>
      <c r="Z192" s="893">
        <f t="shared" si="70"/>
        <v>0</v>
      </c>
      <c r="AA192" s="475">
        <f t="shared" si="73"/>
        <v>0</v>
      </c>
      <c r="AB192" s="484">
        <f>IF(V192="CNY",X192*(1-Z192),IF(V192="EUR",X192*(1-Z192)*$T$5,IF(V192="JPY",X192*(1-Z192)*$T$6,IF(V192="USD",X192*(1-Z192)*$T$7))))</f>
        <v>0</v>
      </c>
      <c r="AC192" s="880"/>
      <c r="AD192" s="697">
        <f>IF(V192&lt;&gt;"CNY",(AB192+#REF!)*AC192,0)</f>
        <v>0</v>
      </c>
      <c r="AE192" s="697"/>
      <c r="AF192" s="861">
        <f>IF(V192&lt;&gt;"CNY",(AB192+#REF!)*#REF!,0)</f>
        <v>0</v>
      </c>
      <c r="AG192" s="697"/>
      <c r="AH192" s="861"/>
      <c r="AI192" s="861">
        <f>AB192+AH192</f>
        <v>0</v>
      </c>
      <c r="AJ192" s="383" t="s">
        <v>669</v>
      </c>
      <c r="AK192" s="383" t="s">
        <v>1128</v>
      </c>
      <c r="AL192" s="697" t="str">
        <f t="shared" si="66"/>
        <v>CN</v>
      </c>
      <c r="AM192" s="475">
        <f>'Estimate Summary'!$D$9</f>
        <v>1</v>
      </c>
      <c r="AN192" s="697" t="s">
        <v>1136</v>
      </c>
      <c r="AO192" s="475">
        <f t="shared" si="67"/>
        <v>0</v>
      </c>
      <c r="AP192" s="605" t="str">
        <f t="shared" si="63"/>
        <v>CNY</v>
      </c>
      <c r="AQ192" s="605" t="s">
        <v>1139</v>
      </c>
      <c r="AR192" s="605" t="s">
        <v>670</v>
      </c>
      <c r="AS192" s="605" t="s">
        <v>745</v>
      </c>
      <c r="AT192" s="605" t="str">
        <f>'Estimate Summary'!$AT$11</f>
        <v>FOB SH</v>
      </c>
      <c r="AU192" s="610" t="str">
        <f t="shared" si="68"/>
        <v>CN</v>
      </c>
      <c r="AV192" s="605" t="s">
        <v>1140</v>
      </c>
      <c r="AW192" s="2255">
        <f t="shared" si="69"/>
        <v>42683</v>
      </c>
    </row>
    <row r="193" spans="2:49" s="605" customFormat="1" ht="13.5" hidden="1" customHeight="1" outlineLevel="1" collapsed="1" thickBot="1">
      <c r="B193" s="2283"/>
      <c r="C193" s="1660" t="s">
        <v>291</v>
      </c>
      <c r="D193" s="1826"/>
      <c r="E193" s="1661"/>
      <c r="F193" s="1633"/>
      <c r="G193" s="1662">
        <f t="shared" si="72"/>
        <v>0</v>
      </c>
      <c r="H193" s="1687">
        <f t="shared" ref="H193:M193" si="87">SUM(H190)</f>
        <v>0</v>
      </c>
      <c r="I193" s="1663">
        <f t="shared" si="87"/>
        <v>0</v>
      </c>
      <c r="J193" s="1663">
        <f t="shared" si="87"/>
        <v>0</v>
      </c>
      <c r="K193" s="1663">
        <f t="shared" si="87"/>
        <v>0</v>
      </c>
      <c r="L193" s="1663">
        <f t="shared" si="87"/>
        <v>0</v>
      </c>
      <c r="M193" s="1663">
        <f t="shared" si="87"/>
        <v>0</v>
      </c>
      <c r="N193" s="1758"/>
      <c r="P193" s="474"/>
      <c r="Q193" s="794"/>
      <c r="R193" s="796"/>
      <c r="S193" s="899"/>
      <c r="T193" s="551"/>
      <c r="V193" s="1014">
        <f t="shared" si="65"/>
        <v>0</v>
      </c>
      <c r="W193" s="870"/>
      <c r="X193" s="870"/>
      <c r="Y193" s="1867"/>
      <c r="Z193" s="900">
        <f t="shared" si="70"/>
        <v>0</v>
      </c>
      <c r="AA193" s="899"/>
      <c r="AB193" s="1012"/>
      <c r="AC193" s="900"/>
      <c r="AF193" s="870"/>
      <c r="AH193" s="870"/>
      <c r="AI193" s="870"/>
      <c r="AJ193" s="383" t="s">
        <v>669</v>
      </c>
      <c r="AK193" s="383" t="s">
        <v>1128</v>
      </c>
      <c r="AL193" s="697" t="b">
        <f t="shared" si="66"/>
        <v>0</v>
      </c>
      <c r="AM193" s="475">
        <f>'Estimate Summary'!$D$9</f>
        <v>1</v>
      </c>
      <c r="AN193" s="697" t="s">
        <v>1136</v>
      </c>
      <c r="AO193" s="475">
        <f t="shared" si="67"/>
        <v>0</v>
      </c>
      <c r="AP193" s="605">
        <f t="shared" si="63"/>
        <v>0</v>
      </c>
      <c r="AQ193" s="605" t="s">
        <v>1139</v>
      </c>
      <c r="AR193" s="605" t="s">
        <v>670</v>
      </c>
      <c r="AS193" s="605" t="s">
        <v>745</v>
      </c>
      <c r="AT193" s="605" t="str">
        <f>'Estimate Summary'!$AT$11</f>
        <v>FOB SH</v>
      </c>
      <c r="AU193" s="610" t="b">
        <f t="shared" si="68"/>
        <v>0</v>
      </c>
      <c r="AV193" s="605" t="s">
        <v>1140</v>
      </c>
      <c r="AW193" s="2255">
        <f t="shared" si="69"/>
        <v>0</v>
      </c>
    </row>
    <row r="194" spans="2:49" s="605" customFormat="1" ht="13.5" hidden="1" customHeight="1" outlineLevel="1" thickTop="1">
      <c r="B194" s="1641" t="s">
        <v>956</v>
      </c>
      <c r="C194" s="1644"/>
      <c r="D194" s="1833"/>
      <c r="E194" s="2271"/>
      <c r="F194" s="1635"/>
      <c r="G194" s="1636">
        <f t="shared" si="72"/>
        <v>0</v>
      </c>
      <c r="H194" s="2272"/>
      <c r="I194" s="2253"/>
      <c r="J194" s="2253"/>
      <c r="K194" s="2253"/>
      <c r="L194" s="2253"/>
      <c r="M194" s="2253"/>
      <c r="N194" s="2273"/>
      <c r="P194" s="603"/>
      <c r="Q194" s="794"/>
      <c r="R194" s="2255"/>
      <c r="S194" s="551"/>
      <c r="T194" s="551"/>
      <c r="U194" s="610"/>
      <c r="V194" s="603">
        <f t="shared" si="65"/>
        <v>0</v>
      </c>
      <c r="W194" s="874"/>
      <c r="X194" s="874"/>
      <c r="Y194" s="900"/>
      <c r="Z194" s="1874">
        <f t="shared" si="70"/>
        <v>0</v>
      </c>
      <c r="AA194" s="551"/>
      <c r="AB194" s="1012"/>
      <c r="AC194" s="900"/>
      <c r="AF194" s="870"/>
      <c r="AH194" s="870"/>
      <c r="AI194" s="870"/>
      <c r="AJ194" s="383" t="s">
        <v>669</v>
      </c>
      <c r="AK194" s="383" t="s">
        <v>1128</v>
      </c>
      <c r="AL194" s="697" t="b">
        <f t="shared" si="66"/>
        <v>0</v>
      </c>
      <c r="AM194" s="475">
        <f>'Estimate Summary'!$D$9</f>
        <v>1</v>
      </c>
      <c r="AN194" s="697" t="s">
        <v>1136</v>
      </c>
      <c r="AO194" s="475">
        <f t="shared" si="67"/>
        <v>0</v>
      </c>
      <c r="AP194" s="605">
        <f t="shared" si="63"/>
        <v>0</v>
      </c>
      <c r="AQ194" s="605" t="s">
        <v>1139</v>
      </c>
      <c r="AR194" s="605" t="s">
        <v>670</v>
      </c>
      <c r="AS194" s="605" t="s">
        <v>745</v>
      </c>
      <c r="AT194" s="605" t="str">
        <f>'Estimate Summary'!$AT$11</f>
        <v>FOB SH</v>
      </c>
      <c r="AU194" s="610" t="b">
        <f t="shared" si="68"/>
        <v>0</v>
      </c>
      <c r="AV194" s="605" t="s">
        <v>1140</v>
      </c>
      <c r="AW194" s="2255">
        <f t="shared" si="69"/>
        <v>0</v>
      </c>
    </row>
    <row r="195" spans="2:49" s="605" customFormat="1" ht="12.75" hidden="1" customHeight="1" outlineLevel="1">
      <c r="B195" s="2293"/>
      <c r="C195" s="2302" t="s">
        <v>594</v>
      </c>
      <c r="D195" s="2303"/>
      <c r="E195" s="2304"/>
      <c r="F195" s="566"/>
      <c r="G195" s="1610"/>
      <c r="H195" s="2298">
        <f t="shared" ref="H195:M195" si="88">SUM(H196:H199)</f>
        <v>0</v>
      </c>
      <c r="I195" s="2301">
        <f t="shared" si="88"/>
        <v>0</v>
      </c>
      <c r="J195" s="2301">
        <f t="shared" si="88"/>
        <v>0</v>
      </c>
      <c r="K195" s="2301">
        <f t="shared" si="88"/>
        <v>0</v>
      </c>
      <c r="L195" s="2301">
        <f t="shared" si="88"/>
        <v>0</v>
      </c>
      <c r="M195" s="2301">
        <f t="shared" si="88"/>
        <v>0</v>
      </c>
      <c r="N195" s="1921"/>
      <c r="P195" s="2279"/>
      <c r="Q195" s="476"/>
      <c r="R195" s="476"/>
      <c r="S195" s="485"/>
      <c r="T195" s="2281"/>
      <c r="U195" s="1925"/>
      <c r="V195" s="1926">
        <f t="shared" si="65"/>
        <v>0</v>
      </c>
      <c r="W195" s="875"/>
      <c r="X195" s="875"/>
      <c r="Y195" s="878"/>
      <c r="Z195" s="891">
        <f t="shared" si="70"/>
        <v>0</v>
      </c>
      <c r="AA195" s="485"/>
      <c r="AB195" s="1927"/>
      <c r="AC195" s="1927"/>
      <c r="AD195" s="476"/>
      <c r="AE195" s="476"/>
      <c r="AF195" s="2282"/>
      <c r="AG195" s="1925"/>
      <c r="AH195" s="875"/>
      <c r="AI195" s="875"/>
      <c r="AJ195" s="383" t="s">
        <v>669</v>
      </c>
      <c r="AK195" s="383" t="s">
        <v>1128</v>
      </c>
      <c r="AL195" s="605" t="b">
        <f t="shared" si="66"/>
        <v>0</v>
      </c>
      <c r="AM195" s="899">
        <f>'Estimate Summary'!$D$9</f>
        <v>1</v>
      </c>
      <c r="AN195" s="605" t="s">
        <v>1136</v>
      </c>
      <c r="AO195" s="899">
        <f t="shared" si="67"/>
        <v>0</v>
      </c>
      <c r="AP195" s="605">
        <f t="shared" si="63"/>
        <v>0</v>
      </c>
      <c r="AQ195" s="605" t="s">
        <v>1139</v>
      </c>
      <c r="AR195" s="605" t="s">
        <v>670</v>
      </c>
      <c r="AS195" s="605" t="s">
        <v>745</v>
      </c>
      <c r="AT195" s="605" t="str">
        <f>'Estimate Summary'!$AT$11</f>
        <v>FOB SH</v>
      </c>
      <c r="AU195" s="610" t="b">
        <f t="shared" si="68"/>
        <v>0</v>
      </c>
      <c r="AV195" s="605" t="s">
        <v>1140</v>
      </c>
      <c r="AW195" s="2255">
        <f t="shared" si="69"/>
        <v>0</v>
      </c>
    </row>
    <row r="196" spans="2:49" s="605" customFormat="1" ht="13.5" hidden="1" customHeight="1" outlineLevel="1">
      <c r="B196" s="1079" t="s">
        <v>867</v>
      </c>
      <c r="C196" s="385" t="s">
        <v>863</v>
      </c>
      <c r="D196" s="1831"/>
      <c r="E196" s="421"/>
      <c r="F196" s="570"/>
      <c r="G196" s="1738">
        <f t="shared" si="72"/>
        <v>0</v>
      </c>
      <c r="H196" s="1738">
        <f t="shared" si="72"/>
        <v>0</v>
      </c>
      <c r="I196" s="469">
        <f>IF('Estimate Summary'!$D$9&lt;2,0,$H196)</f>
        <v>0</v>
      </c>
      <c r="J196" s="469">
        <f>IF('Estimate Summary'!$D$9&lt;3,0,$H196)</f>
        <v>0</v>
      </c>
      <c r="K196" s="469">
        <f>IF('Estimate Summary'!$D$9&lt;4,0,$H196)</f>
        <v>0</v>
      </c>
      <c r="L196" s="469">
        <f>IF('Estimate Summary'!$D$9&lt;5,0,$H196)</f>
        <v>0</v>
      </c>
      <c r="M196" s="469">
        <f>IF('Estimate Summary'!$D$9&lt;6,0,$H196)</f>
        <v>0</v>
      </c>
      <c r="N196" s="996"/>
      <c r="O196" s="388"/>
      <c r="P196" s="474"/>
      <c r="Q196" s="794"/>
      <c r="R196" s="795"/>
      <c r="S196" s="475"/>
      <c r="T196" s="484"/>
      <c r="U196" s="697"/>
      <c r="V196" s="391">
        <f t="shared" si="65"/>
        <v>0</v>
      </c>
      <c r="W196" s="547"/>
      <c r="X196" s="864">
        <f>IF(V196="CNY",W196/1.17/1000,W196/1000)</f>
        <v>0</v>
      </c>
      <c r="Y196" s="893"/>
      <c r="Z196" s="893">
        <f t="shared" si="70"/>
        <v>0</v>
      </c>
      <c r="AA196" s="475">
        <f>X196*(1-Z196)</f>
        <v>0</v>
      </c>
      <c r="AB196" s="484"/>
      <c r="AC196" s="881"/>
      <c r="AD196" s="388"/>
      <c r="AE196" s="388"/>
      <c r="AF196" s="868"/>
      <c r="AG196" s="388"/>
      <c r="AH196" s="868">
        <f>SUM(AD196:AG196)</f>
        <v>0</v>
      </c>
      <c r="AI196" s="861">
        <f>AB196+AH196</f>
        <v>0</v>
      </c>
      <c r="AJ196" s="383" t="s">
        <v>669</v>
      </c>
      <c r="AK196" s="383" t="s">
        <v>1128</v>
      </c>
      <c r="AL196" s="605" t="b">
        <f t="shared" si="66"/>
        <v>0</v>
      </c>
      <c r="AM196" s="899">
        <f>'Estimate Summary'!$D$9</f>
        <v>1</v>
      </c>
      <c r="AN196" s="605" t="s">
        <v>1136</v>
      </c>
      <c r="AO196" s="899">
        <f t="shared" si="67"/>
        <v>0</v>
      </c>
      <c r="AP196" s="605">
        <f t="shared" si="63"/>
        <v>0</v>
      </c>
      <c r="AQ196" s="605" t="s">
        <v>1139</v>
      </c>
      <c r="AR196" s="605" t="s">
        <v>670</v>
      </c>
      <c r="AS196" s="605" t="s">
        <v>745</v>
      </c>
      <c r="AT196" s="605" t="str">
        <f>'Estimate Summary'!$AT$11</f>
        <v>FOB SH</v>
      </c>
      <c r="AU196" s="610" t="b">
        <f t="shared" si="68"/>
        <v>0</v>
      </c>
      <c r="AV196" s="605" t="s">
        <v>1140</v>
      </c>
      <c r="AW196" s="2255">
        <f t="shared" si="69"/>
        <v>0</v>
      </c>
    </row>
    <row r="197" spans="2:49" s="605" customFormat="1" ht="13.5" hidden="1" customHeight="1" outlineLevel="1">
      <c r="B197" s="1079" t="s">
        <v>868</v>
      </c>
      <c r="C197" s="385" t="s">
        <v>864</v>
      </c>
      <c r="D197" s="1831" t="s">
        <v>181</v>
      </c>
      <c r="E197" s="421"/>
      <c r="F197" s="570"/>
      <c r="G197" s="1738">
        <f t="shared" si="72"/>
        <v>0</v>
      </c>
      <c r="H197" s="2017">
        <f>AB197</f>
        <v>0</v>
      </c>
      <c r="I197" s="469">
        <f>IF('Estimate Summary'!$D$9&lt;2,0,$H197)</f>
        <v>0</v>
      </c>
      <c r="J197" s="469">
        <f>IF('Estimate Summary'!$D$9&lt;3,0,$H197)</f>
        <v>0</v>
      </c>
      <c r="K197" s="469">
        <f>IF('Estimate Summary'!$D$9&lt;4,0,$H197)</f>
        <v>0</v>
      </c>
      <c r="L197" s="469">
        <f>IF('Estimate Summary'!$D$9&lt;5,0,$H197)</f>
        <v>0</v>
      </c>
      <c r="M197" s="469">
        <f>IF('Estimate Summary'!$D$9&lt;6,0,$H197)</f>
        <v>0</v>
      </c>
      <c r="N197" s="996"/>
      <c r="O197" s="388"/>
      <c r="P197" s="474">
        <f>IF(Q197=0,0,(YEAR(R197)-YEAR(Q197))*12+(MONTH(R197)-MONTH(Q197)))</f>
        <v>30</v>
      </c>
      <c r="Q197" s="794">
        <v>42683</v>
      </c>
      <c r="R197" s="795">
        <f>$R$2+30.42*'Offshore CF'!CE12</f>
        <v>43591</v>
      </c>
      <c r="S197" s="475" t="s">
        <v>127</v>
      </c>
      <c r="T197" s="484" t="s">
        <v>180</v>
      </c>
      <c r="U197" s="697" t="s">
        <v>606</v>
      </c>
      <c r="V197" s="391" t="str">
        <f t="shared" si="65"/>
        <v>CNY</v>
      </c>
      <c r="W197" s="547"/>
      <c r="X197" s="864">
        <f>IF(V197="CNY",W197/1.17/1000,W197/1000)</f>
        <v>0</v>
      </c>
      <c r="Y197" s="893">
        <v>0.1</v>
      </c>
      <c r="Z197" s="893">
        <f t="shared" si="70"/>
        <v>0.1</v>
      </c>
      <c r="AA197" s="475">
        <f>X197*(1-Z197)</f>
        <v>0</v>
      </c>
      <c r="AB197" s="484">
        <f>IF(V197="CNY",X197*(1-Z197),IF(V197="EUR",X197*(1-Z197)*$T$5,IF(V197="JPY",X197*(1-Z197)*$T$6,IF(V197="USD",X197*(1-Z197)*$T$7))))</f>
        <v>0</v>
      </c>
      <c r="AC197" s="881"/>
      <c r="AD197" s="388">
        <f>IF(V197&lt;&gt;"CNY",(AB197+#REF!)*AC197,0)</f>
        <v>0</v>
      </c>
      <c r="AE197" s="388"/>
      <c r="AF197" s="868">
        <f>IF(V197&lt;&gt;"CNY",(AB197+#REF!)*#REF!,0)</f>
        <v>0</v>
      </c>
      <c r="AG197" s="388">
        <f>IF(V197&lt;&gt;"CNY",E197*#REF!/1000,0)</f>
        <v>0</v>
      </c>
      <c r="AH197" s="868">
        <f>SUM(AD197:AG197)</f>
        <v>0</v>
      </c>
      <c r="AI197" s="861">
        <f>AB197+AH197</f>
        <v>0</v>
      </c>
      <c r="AJ197" s="383" t="s">
        <v>669</v>
      </c>
      <c r="AK197" s="383" t="s">
        <v>1128</v>
      </c>
      <c r="AL197" s="605" t="str">
        <f>IF(D197="CNY","CN",IF(D197="EUR","DE",IF(D197="USD","US",IF(D197="JPY","JP",IF(D197="INR","IN")))))</f>
        <v>CN</v>
      </c>
      <c r="AM197" s="899">
        <f>'Estimate Summary'!$D$9</f>
        <v>1</v>
      </c>
      <c r="AN197" s="605" t="s">
        <v>1136</v>
      </c>
      <c r="AO197" s="899">
        <f>G197</f>
        <v>0</v>
      </c>
      <c r="AP197" s="605" t="str">
        <f t="shared" si="63"/>
        <v>CNY</v>
      </c>
      <c r="AQ197" s="605" t="s">
        <v>1139</v>
      </c>
      <c r="AR197" s="605" t="s">
        <v>670</v>
      </c>
      <c r="AS197" s="605" t="s">
        <v>745</v>
      </c>
      <c r="AT197" s="605" t="str">
        <f>'Estimate Summary'!$AT$11</f>
        <v>FOB SH</v>
      </c>
      <c r="AU197" s="610" t="str">
        <f>AL197</f>
        <v>CN</v>
      </c>
      <c r="AV197" s="605" t="s">
        <v>1140</v>
      </c>
      <c r="AW197" s="2255">
        <f>Q197</f>
        <v>42683</v>
      </c>
    </row>
    <row r="198" spans="2:49" s="605" customFormat="1" ht="13.5" hidden="1" customHeight="1" outlineLevel="1">
      <c r="B198" s="1079" t="s">
        <v>869</v>
      </c>
      <c r="C198" s="385" t="s">
        <v>865</v>
      </c>
      <c r="D198" s="1831"/>
      <c r="E198" s="421"/>
      <c r="F198" s="570"/>
      <c r="G198" s="1738">
        <f t="shared" si="72"/>
        <v>0</v>
      </c>
      <c r="H198" s="1738">
        <f>AB198</f>
        <v>0</v>
      </c>
      <c r="I198" s="469">
        <f>IF('Estimate Summary'!$D$9&lt;2,0,$H198)</f>
        <v>0</v>
      </c>
      <c r="J198" s="469">
        <f>IF('Estimate Summary'!$D$9&lt;3,0,$H198)</f>
        <v>0</v>
      </c>
      <c r="K198" s="469">
        <f>IF('Estimate Summary'!$D$9&lt;4,0,$H198)</f>
        <v>0</v>
      </c>
      <c r="L198" s="469">
        <f>IF('Estimate Summary'!$D$9&lt;5,0,$H198)</f>
        <v>0</v>
      </c>
      <c r="M198" s="469">
        <f>IF('Estimate Summary'!$D$9&lt;6,0,$H198)</f>
        <v>0</v>
      </c>
      <c r="N198" s="996"/>
      <c r="O198" s="388"/>
      <c r="P198" s="474">
        <f>IF(Q198=0,0,(YEAR(R198)-YEAR(Q198))*12+(MONTH(R198)-MONTH(Q198)))</f>
        <v>0</v>
      </c>
      <c r="Q198" s="794"/>
      <c r="R198" s="795"/>
      <c r="S198" s="475"/>
      <c r="T198" s="484"/>
      <c r="U198" s="697"/>
      <c r="V198" s="391">
        <f t="shared" si="65"/>
        <v>0</v>
      </c>
      <c r="W198" s="547"/>
      <c r="X198" s="864">
        <f>IF(V198="CNY",W198/1.17/1000,W198/1000)</f>
        <v>0</v>
      </c>
      <c r="Y198" s="893"/>
      <c r="Z198" s="893">
        <f t="shared" si="70"/>
        <v>0</v>
      </c>
      <c r="AA198" s="475">
        <f t="shared" si="73"/>
        <v>0</v>
      </c>
      <c r="AB198" s="484"/>
      <c r="AC198" s="881"/>
      <c r="AD198" s="388"/>
      <c r="AE198" s="388"/>
      <c r="AF198" s="868"/>
      <c r="AG198" s="388"/>
      <c r="AH198" s="868">
        <f>SUM(AD198:AG198)</f>
        <v>0</v>
      </c>
      <c r="AI198" s="861">
        <f>AB198+AH198</f>
        <v>0</v>
      </c>
      <c r="AJ198" s="383" t="s">
        <v>669</v>
      </c>
      <c r="AK198" s="383" t="s">
        <v>1128</v>
      </c>
      <c r="AL198" s="605" t="b">
        <f t="shared" si="66"/>
        <v>0</v>
      </c>
      <c r="AM198" s="899">
        <f>'Estimate Summary'!$D$9</f>
        <v>1</v>
      </c>
      <c r="AN198" s="605" t="s">
        <v>1136</v>
      </c>
      <c r="AO198" s="899">
        <f t="shared" si="67"/>
        <v>0</v>
      </c>
      <c r="AP198" s="605">
        <f t="shared" si="63"/>
        <v>0</v>
      </c>
      <c r="AQ198" s="605" t="s">
        <v>1139</v>
      </c>
      <c r="AR198" s="605" t="s">
        <v>670</v>
      </c>
      <c r="AS198" s="605" t="s">
        <v>745</v>
      </c>
      <c r="AT198" s="605" t="str">
        <f>'Estimate Summary'!$AT$11</f>
        <v>FOB SH</v>
      </c>
      <c r="AU198" s="610" t="b">
        <f t="shared" si="68"/>
        <v>0</v>
      </c>
      <c r="AV198" s="605" t="s">
        <v>1140</v>
      </c>
      <c r="AW198" s="2255">
        <f t="shared" si="69"/>
        <v>0</v>
      </c>
    </row>
    <row r="199" spans="2:49" s="605" customFormat="1" ht="13.5" hidden="1" customHeight="1" outlineLevel="1">
      <c r="B199" s="1079" t="s">
        <v>870</v>
      </c>
      <c r="C199" s="385" t="s">
        <v>866</v>
      </c>
      <c r="D199" s="1831"/>
      <c r="E199" s="421"/>
      <c r="F199" s="570"/>
      <c r="G199" s="1738">
        <f t="shared" si="72"/>
        <v>0</v>
      </c>
      <c r="H199" s="1738">
        <f>AB199</f>
        <v>0</v>
      </c>
      <c r="I199" s="469">
        <f>IF('Estimate Summary'!$D$9&lt;2,0,$H199)</f>
        <v>0</v>
      </c>
      <c r="J199" s="469">
        <f>IF('Estimate Summary'!$D$9&lt;3,0,$H199)</f>
        <v>0</v>
      </c>
      <c r="K199" s="469">
        <f>IF('Estimate Summary'!$D$9&lt;4,0,$H199)</f>
        <v>0</v>
      </c>
      <c r="L199" s="469">
        <f>IF('Estimate Summary'!$D$9&lt;5,0,$H199)</f>
        <v>0</v>
      </c>
      <c r="M199" s="469">
        <f>IF('Estimate Summary'!$D$9&lt;6,0,$H199)</f>
        <v>0</v>
      </c>
      <c r="N199" s="996"/>
      <c r="O199" s="388"/>
      <c r="P199" s="474"/>
      <c r="Q199" s="794"/>
      <c r="R199" s="795"/>
      <c r="S199" s="475"/>
      <c r="T199" s="484"/>
      <c r="U199" s="697"/>
      <c r="V199" s="391">
        <f t="shared" si="65"/>
        <v>0</v>
      </c>
      <c r="W199" s="547"/>
      <c r="X199" s="864">
        <f>IF(V199="CNY",W199/1.17/1000,W199/1000)</f>
        <v>0</v>
      </c>
      <c r="Y199" s="893"/>
      <c r="Z199" s="893">
        <f t="shared" si="70"/>
        <v>0</v>
      </c>
      <c r="AA199" s="475">
        <f>X199*(1-Z199)</f>
        <v>0</v>
      </c>
      <c r="AB199" s="484"/>
      <c r="AC199" s="881"/>
      <c r="AD199" s="388"/>
      <c r="AE199" s="388"/>
      <c r="AF199" s="868"/>
      <c r="AG199" s="388"/>
      <c r="AH199" s="868">
        <f>SUM(AD199:AG199)</f>
        <v>0</v>
      </c>
      <c r="AI199" s="861">
        <f>AB199+AH199</f>
        <v>0</v>
      </c>
      <c r="AJ199" s="383" t="s">
        <v>669</v>
      </c>
      <c r="AK199" s="383" t="s">
        <v>1128</v>
      </c>
      <c r="AL199" s="605" t="b">
        <f t="shared" si="66"/>
        <v>0</v>
      </c>
      <c r="AM199" s="899">
        <f>'Estimate Summary'!$D$9</f>
        <v>1</v>
      </c>
      <c r="AN199" s="605" t="s">
        <v>1136</v>
      </c>
      <c r="AO199" s="899">
        <f t="shared" si="67"/>
        <v>0</v>
      </c>
      <c r="AP199" s="605">
        <f t="shared" si="63"/>
        <v>0</v>
      </c>
      <c r="AQ199" s="605" t="s">
        <v>1139</v>
      </c>
      <c r="AR199" s="605" t="s">
        <v>670</v>
      </c>
      <c r="AS199" s="605" t="s">
        <v>745</v>
      </c>
      <c r="AT199" s="605" t="str">
        <f>'Estimate Summary'!$AT$11</f>
        <v>FOB SH</v>
      </c>
      <c r="AU199" s="610" t="b">
        <f t="shared" si="68"/>
        <v>0</v>
      </c>
      <c r="AV199" s="605" t="s">
        <v>1140</v>
      </c>
      <c r="AW199" s="2255">
        <f t="shared" si="69"/>
        <v>0</v>
      </c>
    </row>
    <row r="200" spans="2:49" s="605" customFormat="1" ht="13.5" hidden="1" customHeight="1" outlineLevel="1" collapsed="1" thickBot="1">
      <c r="B200" s="2283"/>
      <c r="C200" s="1660" t="s">
        <v>1062</v>
      </c>
      <c r="D200" s="1826"/>
      <c r="E200" s="1687">
        <f>SUM(E196:E199)</f>
        <v>0</v>
      </c>
      <c r="F200" s="1633"/>
      <c r="G200" s="1662">
        <f t="shared" si="72"/>
        <v>0</v>
      </c>
      <c r="H200" s="1928">
        <f t="shared" ref="H200:M200" si="89">H195</f>
        <v>0</v>
      </c>
      <c r="I200" s="2018">
        <f t="shared" si="89"/>
        <v>0</v>
      </c>
      <c r="J200" s="427">
        <f t="shared" si="89"/>
        <v>0</v>
      </c>
      <c r="K200" s="427">
        <f t="shared" si="89"/>
        <v>0</v>
      </c>
      <c r="L200" s="427">
        <f t="shared" si="89"/>
        <v>0</v>
      </c>
      <c r="M200" s="427">
        <f t="shared" si="89"/>
        <v>0</v>
      </c>
      <c r="N200" s="1758"/>
      <c r="P200" s="603"/>
      <c r="Q200" s="794"/>
      <c r="R200" s="2255"/>
      <c r="S200" s="551"/>
      <c r="T200" s="551"/>
      <c r="U200" s="610"/>
      <c r="V200" s="603">
        <f t="shared" si="65"/>
        <v>0</v>
      </c>
      <c r="W200" s="874"/>
      <c r="X200" s="874"/>
      <c r="Y200" s="900"/>
      <c r="Z200" s="1874">
        <f t="shared" si="70"/>
        <v>0</v>
      </c>
      <c r="AA200" s="551">
        <f t="shared" si="73"/>
        <v>0</v>
      </c>
      <c r="AB200" s="1012"/>
      <c r="AC200" s="900"/>
      <c r="AF200" s="870"/>
      <c r="AH200" s="870"/>
      <c r="AI200" s="870"/>
      <c r="AJ200" s="383" t="s">
        <v>669</v>
      </c>
      <c r="AK200" s="383" t="s">
        <v>1128</v>
      </c>
      <c r="AL200" s="605" t="b">
        <f t="shared" si="66"/>
        <v>0</v>
      </c>
      <c r="AM200" s="899">
        <f>'Estimate Summary'!$D$9</f>
        <v>1</v>
      </c>
      <c r="AN200" s="605" t="s">
        <v>1136</v>
      </c>
      <c r="AO200" s="899">
        <f t="shared" si="67"/>
        <v>0</v>
      </c>
      <c r="AP200" s="605">
        <f t="shared" si="63"/>
        <v>0</v>
      </c>
      <c r="AQ200" s="605" t="s">
        <v>1139</v>
      </c>
      <c r="AR200" s="605" t="s">
        <v>670</v>
      </c>
      <c r="AS200" s="605" t="s">
        <v>745</v>
      </c>
      <c r="AT200" s="605" t="str">
        <f>'Estimate Summary'!$AT$11</f>
        <v>FOB SH</v>
      </c>
      <c r="AU200" s="610" t="b">
        <f t="shared" si="68"/>
        <v>0</v>
      </c>
      <c r="AV200" s="605" t="s">
        <v>1140</v>
      </c>
      <c r="AW200" s="2255">
        <f t="shared" si="69"/>
        <v>0</v>
      </c>
    </row>
    <row r="201" spans="2:49" s="605" customFormat="1" ht="13.5" hidden="1" customHeight="1" outlineLevel="1" thickTop="1">
      <c r="B201" s="1707" t="s">
        <v>957</v>
      </c>
      <c r="C201" s="1644"/>
      <c r="D201" s="2305"/>
      <c r="E201" s="1666"/>
      <c r="F201" s="1635"/>
      <c r="G201" s="1635">
        <f t="shared" si="72"/>
        <v>0</v>
      </c>
      <c r="H201" s="1689"/>
      <c r="I201" s="1713"/>
      <c r="J201" s="1750"/>
      <c r="K201" s="1750"/>
      <c r="L201" s="1750"/>
      <c r="M201" s="1750"/>
      <c r="N201" s="1702"/>
      <c r="P201" s="603"/>
      <c r="Q201" s="794"/>
      <c r="R201" s="2255"/>
      <c r="S201" s="551"/>
      <c r="T201" s="551"/>
      <c r="U201" s="610"/>
      <c r="V201" s="603">
        <f t="shared" si="65"/>
        <v>0</v>
      </c>
      <c r="W201" s="874"/>
      <c r="X201" s="874"/>
      <c r="Y201" s="900"/>
      <c r="Z201" s="1874">
        <f t="shared" si="70"/>
        <v>0</v>
      </c>
      <c r="AA201" s="551">
        <f t="shared" si="73"/>
        <v>0</v>
      </c>
      <c r="AB201" s="1012"/>
      <c r="AC201" s="900"/>
      <c r="AF201" s="870"/>
      <c r="AH201" s="870"/>
      <c r="AI201" s="870"/>
      <c r="AJ201" s="383" t="s">
        <v>669</v>
      </c>
      <c r="AK201" s="383" t="s">
        <v>1128</v>
      </c>
      <c r="AL201" s="605" t="b">
        <f t="shared" si="66"/>
        <v>0</v>
      </c>
      <c r="AM201" s="899">
        <f>'Estimate Summary'!$D$9</f>
        <v>1</v>
      </c>
      <c r="AN201" s="605" t="s">
        <v>1136</v>
      </c>
      <c r="AO201" s="899">
        <f t="shared" si="67"/>
        <v>0</v>
      </c>
      <c r="AP201" s="605">
        <f t="shared" si="63"/>
        <v>0</v>
      </c>
      <c r="AQ201" s="605" t="s">
        <v>1139</v>
      </c>
      <c r="AR201" s="605" t="s">
        <v>670</v>
      </c>
      <c r="AS201" s="605" t="s">
        <v>751</v>
      </c>
      <c r="AT201" s="605" t="str">
        <f>'Estimate Summary'!$AT$11</f>
        <v>FOB SH</v>
      </c>
      <c r="AU201" s="610" t="b">
        <f t="shared" si="68"/>
        <v>0</v>
      </c>
      <c r="AV201" s="605" t="s">
        <v>1140</v>
      </c>
      <c r="AW201" s="2255">
        <f t="shared" si="69"/>
        <v>0</v>
      </c>
    </row>
    <row r="202" spans="2:49" s="605" customFormat="1" ht="12.75" hidden="1" customHeight="1" outlineLevel="1">
      <c r="B202" s="1079" t="s">
        <v>998</v>
      </c>
      <c r="C202" s="1626" t="s">
        <v>939</v>
      </c>
      <c r="D202" s="1829"/>
      <c r="E202" s="1664"/>
      <c r="F202" s="1639"/>
      <c r="G202" s="1639">
        <f t="shared" si="72"/>
        <v>0</v>
      </c>
      <c r="H202" s="1870">
        <f>AB202</f>
        <v>0</v>
      </c>
      <c r="I202" s="1718">
        <f>IF('Estimate Summary'!$D$9&lt;2,0,$H202)</f>
        <v>0</v>
      </c>
      <c r="J202" s="1718">
        <f>IF('Estimate Summary'!$D$9&lt;3,0,$H202)</f>
        <v>0</v>
      </c>
      <c r="K202" s="1718">
        <f>IF('Estimate Summary'!$D$9&lt;4,0,$H202)</f>
        <v>0</v>
      </c>
      <c r="L202" s="1718">
        <f>IF('Estimate Summary'!$D$9&lt;5,0,$H202)</f>
        <v>0</v>
      </c>
      <c r="M202" s="1718">
        <f>IF('Estimate Summary'!$D$9&lt;6,0,$H202)</f>
        <v>0</v>
      </c>
      <c r="N202" s="1647"/>
      <c r="P202" s="1875">
        <f>IF(Q202=0,0,(YEAR(R202)-YEAR(Q202))*12+(MONTH(R202)-MONTH(Q202)))</f>
        <v>0</v>
      </c>
      <c r="Q202" s="1670"/>
      <c r="R202" s="796"/>
      <c r="S202" s="899"/>
      <c r="T202" s="551"/>
      <c r="V202" s="603">
        <f t="shared" si="65"/>
        <v>0</v>
      </c>
      <c r="W202" s="1880"/>
      <c r="X202" s="1876">
        <f>IF(V202="CNY",W202/1.17/1000,W202/1000)</f>
        <v>0</v>
      </c>
      <c r="Y202" s="1867"/>
      <c r="Z202" s="1018">
        <f t="shared" si="70"/>
        <v>0</v>
      </c>
      <c r="AA202" s="899">
        <f>X202*(1-Z202)</f>
        <v>0</v>
      </c>
      <c r="AB202" s="1866"/>
      <c r="AC202" s="1878"/>
      <c r="AD202" s="412"/>
      <c r="AE202" s="412"/>
      <c r="AF202" s="1879"/>
      <c r="AG202" s="412"/>
      <c r="AH202" s="1879">
        <f>SUM(AD202:AG202)</f>
        <v>0</v>
      </c>
      <c r="AI202" s="870">
        <f>AB202+AH202</f>
        <v>0</v>
      </c>
      <c r="AJ202" s="383" t="s">
        <v>669</v>
      </c>
      <c r="AK202" s="383" t="s">
        <v>1128</v>
      </c>
      <c r="AL202" s="605" t="b">
        <f t="shared" si="66"/>
        <v>0</v>
      </c>
      <c r="AM202" s="899">
        <f>'Estimate Summary'!$D$9</f>
        <v>1</v>
      </c>
      <c r="AN202" s="605" t="s">
        <v>1136</v>
      </c>
      <c r="AO202" s="899">
        <f t="shared" si="67"/>
        <v>0</v>
      </c>
      <c r="AP202" s="605">
        <f t="shared" si="63"/>
        <v>0</v>
      </c>
      <c r="AQ202" s="605" t="s">
        <v>1139</v>
      </c>
      <c r="AR202" s="605" t="s">
        <v>670</v>
      </c>
      <c r="AS202" s="605" t="s">
        <v>751</v>
      </c>
      <c r="AT202" s="605" t="str">
        <f>'Estimate Summary'!$AT$11</f>
        <v>FOB SH</v>
      </c>
      <c r="AU202" s="610" t="b">
        <f t="shared" si="68"/>
        <v>0</v>
      </c>
      <c r="AV202" s="605" t="s">
        <v>1140</v>
      </c>
      <c r="AW202" s="2255">
        <f t="shared" si="69"/>
        <v>0</v>
      </c>
    </row>
    <row r="203" spans="2:49" s="605" customFormat="1" ht="13.5" hidden="1" customHeight="1" outlineLevel="1" thickBot="1">
      <c r="B203" s="2306"/>
      <c r="C203" s="103" t="s">
        <v>940</v>
      </c>
      <c r="D203" s="2269"/>
      <c r="E203" s="590"/>
      <c r="F203" s="565"/>
      <c r="G203" s="565">
        <f t="shared" si="72"/>
        <v>0</v>
      </c>
      <c r="H203" s="426">
        <f t="shared" ref="H203:M203" si="90">SUM(H202)</f>
        <v>0</v>
      </c>
      <c r="I203" s="1714">
        <f t="shared" si="90"/>
        <v>0</v>
      </c>
      <c r="J203" s="1751">
        <f t="shared" si="90"/>
        <v>0</v>
      </c>
      <c r="K203" s="1751">
        <f t="shared" si="90"/>
        <v>0</v>
      </c>
      <c r="L203" s="1751">
        <f t="shared" si="90"/>
        <v>0</v>
      </c>
      <c r="M203" s="1751">
        <f t="shared" si="90"/>
        <v>0</v>
      </c>
      <c r="N203" s="1703"/>
      <c r="P203" s="603"/>
      <c r="Q203" s="794"/>
      <c r="R203" s="2255"/>
      <c r="S203" s="551"/>
      <c r="T203" s="551"/>
      <c r="U203" s="610"/>
      <c r="V203" s="603">
        <f t="shared" si="65"/>
        <v>0</v>
      </c>
      <c r="W203" s="874"/>
      <c r="X203" s="874"/>
      <c r="Y203" s="900"/>
      <c r="Z203" s="1874">
        <f t="shared" si="70"/>
        <v>0</v>
      </c>
      <c r="AA203" s="551">
        <f t="shared" si="73"/>
        <v>0</v>
      </c>
      <c r="AB203" s="1012"/>
      <c r="AC203" s="900"/>
      <c r="AF203" s="870"/>
      <c r="AH203" s="870"/>
      <c r="AI203" s="870"/>
      <c r="AJ203" s="383" t="s">
        <v>669</v>
      </c>
      <c r="AK203" s="383" t="s">
        <v>1128</v>
      </c>
      <c r="AL203" s="605" t="b">
        <f t="shared" si="66"/>
        <v>0</v>
      </c>
      <c r="AM203" s="899">
        <f>'Estimate Summary'!$D$9</f>
        <v>1</v>
      </c>
      <c r="AN203" s="605" t="s">
        <v>1136</v>
      </c>
      <c r="AO203" s="899">
        <f t="shared" si="67"/>
        <v>0</v>
      </c>
      <c r="AP203" s="605">
        <f t="shared" si="63"/>
        <v>0</v>
      </c>
      <c r="AQ203" s="605" t="s">
        <v>1139</v>
      </c>
      <c r="AR203" s="605" t="s">
        <v>670</v>
      </c>
      <c r="AS203" s="605" t="s">
        <v>751</v>
      </c>
      <c r="AT203" s="605" t="str">
        <f>'Estimate Summary'!$AT$11</f>
        <v>FOB SH</v>
      </c>
      <c r="AU203" s="610" t="b">
        <f t="shared" si="68"/>
        <v>0</v>
      </c>
      <c r="AV203" s="605" t="s">
        <v>1140</v>
      </c>
      <c r="AW203" s="2255">
        <f t="shared" si="69"/>
        <v>0</v>
      </c>
    </row>
    <row r="204" spans="2:49" s="605" customFormat="1" ht="13.5" hidden="1" customHeight="1" outlineLevel="1" thickTop="1">
      <c r="B204" s="1707" t="s">
        <v>958</v>
      </c>
      <c r="C204" s="425"/>
      <c r="D204" s="2307"/>
      <c r="E204" s="1665"/>
      <c r="F204" s="1700"/>
      <c r="G204" s="1613">
        <f t="shared" si="72"/>
        <v>0</v>
      </c>
      <c r="H204" s="1708"/>
      <c r="I204" s="1715"/>
      <c r="J204" s="1752"/>
      <c r="K204" s="1752"/>
      <c r="L204" s="1752"/>
      <c r="M204" s="1752"/>
      <c r="N204" s="1701"/>
      <c r="P204" s="603"/>
      <c r="Q204" s="794"/>
      <c r="R204" s="2255"/>
      <c r="S204" s="551"/>
      <c r="T204" s="551"/>
      <c r="U204" s="610"/>
      <c r="V204" s="603">
        <f t="shared" si="65"/>
        <v>0</v>
      </c>
      <c r="W204" s="874"/>
      <c r="X204" s="874"/>
      <c r="Y204" s="900"/>
      <c r="Z204" s="1874">
        <f t="shared" si="70"/>
        <v>0</v>
      </c>
      <c r="AA204" s="551">
        <f t="shared" si="73"/>
        <v>0</v>
      </c>
      <c r="AB204" s="1012"/>
      <c r="AC204" s="900"/>
      <c r="AF204" s="870"/>
      <c r="AH204" s="870"/>
      <c r="AI204" s="870"/>
      <c r="AJ204" s="383" t="s">
        <v>669</v>
      </c>
      <c r="AK204" s="383" t="s">
        <v>1128</v>
      </c>
      <c r="AL204" s="605" t="b">
        <f t="shared" si="66"/>
        <v>0</v>
      </c>
      <c r="AM204" s="899">
        <f>'Estimate Summary'!$D$9</f>
        <v>1</v>
      </c>
      <c r="AN204" s="605" t="s">
        <v>1136</v>
      </c>
      <c r="AO204" s="899">
        <f t="shared" si="67"/>
        <v>0</v>
      </c>
      <c r="AP204" s="605">
        <f t="shared" si="63"/>
        <v>0</v>
      </c>
      <c r="AQ204" s="605" t="s">
        <v>1139</v>
      </c>
      <c r="AR204" s="605" t="s">
        <v>670</v>
      </c>
      <c r="AS204" s="605" t="s">
        <v>751</v>
      </c>
      <c r="AT204" s="605" t="str">
        <f>'Estimate Summary'!$AT$11</f>
        <v>FOB SH</v>
      </c>
      <c r="AU204" s="610" t="b">
        <f t="shared" si="68"/>
        <v>0</v>
      </c>
      <c r="AV204" s="605" t="s">
        <v>1140</v>
      </c>
      <c r="AW204" s="2255">
        <f t="shared" si="69"/>
        <v>0</v>
      </c>
    </row>
    <row r="205" spans="2:49" s="605" customFormat="1" ht="12.75" hidden="1" customHeight="1" outlineLevel="1">
      <c r="B205" s="2308"/>
      <c r="C205" s="2309" t="s">
        <v>1078</v>
      </c>
      <c r="D205" s="2310"/>
      <c r="E205" s="1861"/>
      <c r="F205" s="1862"/>
      <c r="G205" s="1863"/>
      <c r="H205" s="1809">
        <f t="shared" ref="H205:M205" si="91">SUM(H206:H209)</f>
        <v>0</v>
      </c>
      <c r="I205" s="1864">
        <f t="shared" si="91"/>
        <v>0</v>
      </c>
      <c r="J205" s="1929">
        <f t="shared" si="91"/>
        <v>0</v>
      </c>
      <c r="K205" s="1929">
        <f t="shared" si="91"/>
        <v>0</v>
      </c>
      <c r="L205" s="1929">
        <f t="shared" si="91"/>
        <v>0</v>
      </c>
      <c r="M205" s="1929">
        <f t="shared" si="91"/>
        <v>0</v>
      </c>
      <c r="N205" s="1930"/>
      <c r="P205" s="2279"/>
      <c r="Q205" s="476"/>
      <c r="R205" s="476"/>
      <c r="S205" s="485"/>
      <c r="T205" s="2281"/>
      <c r="U205" s="1925"/>
      <c r="V205" s="1926">
        <f t="shared" si="65"/>
        <v>0</v>
      </c>
      <c r="W205" s="875"/>
      <c r="X205" s="875"/>
      <c r="Y205" s="878"/>
      <c r="Z205" s="891">
        <f t="shared" si="70"/>
        <v>0</v>
      </c>
      <c r="AA205" s="485"/>
      <c r="AB205" s="1927"/>
      <c r="AC205" s="1927"/>
      <c r="AD205" s="476"/>
      <c r="AE205" s="476"/>
      <c r="AF205" s="2282"/>
      <c r="AG205" s="1925"/>
      <c r="AH205" s="875"/>
      <c r="AI205" s="875"/>
      <c r="AJ205" s="383" t="s">
        <v>669</v>
      </c>
      <c r="AK205" s="383" t="s">
        <v>1128</v>
      </c>
      <c r="AL205" s="605" t="b">
        <f t="shared" si="66"/>
        <v>0</v>
      </c>
      <c r="AM205" s="899">
        <f>'Estimate Summary'!$D$9</f>
        <v>1</v>
      </c>
      <c r="AN205" s="605" t="s">
        <v>1136</v>
      </c>
      <c r="AO205" s="899">
        <f t="shared" si="67"/>
        <v>0</v>
      </c>
      <c r="AP205" s="605">
        <f t="shared" ref="AP205:AP270" si="92">D205</f>
        <v>0</v>
      </c>
      <c r="AQ205" s="605" t="s">
        <v>1139</v>
      </c>
      <c r="AR205" s="605" t="s">
        <v>670</v>
      </c>
      <c r="AS205" s="605" t="s">
        <v>751</v>
      </c>
      <c r="AT205" s="605" t="str">
        <f>'Estimate Summary'!$AT$11</f>
        <v>FOB SH</v>
      </c>
      <c r="AU205" s="610" t="b">
        <f t="shared" si="68"/>
        <v>0</v>
      </c>
      <c r="AV205" s="605" t="s">
        <v>1140</v>
      </c>
      <c r="AW205" s="2255">
        <f t="shared" si="69"/>
        <v>0</v>
      </c>
    </row>
    <row r="206" spans="2:49" s="605" customFormat="1" ht="13.5" hidden="1" customHeight="1" outlineLevel="1">
      <c r="B206" s="1079" t="s">
        <v>999</v>
      </c>
      <c r="C206" s="385" t="s">
        <v>941</v>
      </c>
      <c r="D206" s="1831"/>
      <c r="E206" s="421"/>
      <c r="F206" s="570"/>
      <c r="G206" s="1738">
        <f t="shared" si="72"/>
        <v>0</v>
      </c>
      <c r="H206" s="1738">
        <f>AB206</f>
        <v>0</v>
      </c>
      <c r="I206" s="469">
        <f>IF('Estimate Summary'!$D$9&lt;2,0,$H206)</f>
        <v>0</v>
      </c>
      <c r="J206" s="469">
        <f>IF('Estimate Summary'!$D$9&lt;3,0,$H206)</f>
        <v>0</v>
      </c>
      <c r="K206" s="469">
        <f>IF('Estimate Summary'!$D$9&lt;4,0,$H206)</f>
        <v>0</v>
      </c>
      <c r="L206" s="469">
        <f>IF('Estimate Summary'!$D$9&lt;5,0,$H206)</f>
        <v>0</v>
      </c>
      <c r="M206" s="469">
        <f>IF('Estimate Summary'!$D$9&lt;6,0,$H206)</f>
        <v>0</v>
      </c>
      <c r="N206" s="996"/>
      <c r="O206" s="388"/>
      <c r="P206" s="474">
        <f>IF(Q206=0,0,(YEAR(R206)-YEAR(Q206))*12+(MONTH(R206)-MONTH(Q206)))</f>
        <v>0</v>
      </c>
      <c r="Q206" s="794"/>
      <c r="R206" s="795"/>
      <c r="S206" s="475"/>
      <c r="T206" s="484"/>
      <c r="U206" s="697"/>
      <c r="V206" s="391">
        <f t="shared" si="65"/>
        <v>0</v>
      </c>
      <c r="W206" s="547"/>
      <c r="X206" s="864">
        <f>IF(V206="CNY",W206/1.17/1000,W206/1000)</f>
        <v>0</v>
      </c>
      <c r="Y206" s="893"/>
      <c r="Z206" s="893">
        <f t="shared" si="70"/>
        <v>0</v>
      </c>
      <c r="AA206" s="475">
        <f t="shared" si="73"/>
        <v>0</v>
      </c>
      <c r="AB206" s="484"/>
      <c r="AC206" s="881"/>
      <c r="AD206" s="388"/>
      <c r="AE206" s="388"/>
      <c r="AF206" s="868"/>
      <c r="AG206" s="388"/>
      <c r="AH206" s="868">
        <f>SUM(AD206:AG206)</f>
        <v>0</v>
      </c>
      <c r="AI206" s="861">
        <f>AB206+AH206</f>
        <v>0</v>
      </c>
      <c r="AJ206" s="383" t="s">
        <v>669</v>
      </c>
      <c r="AK206" s="383" t="s">
        <v>1128</v>
      </c>
      <c r="AL206" s="605" t="b">
        <f t="shared" si="66"/>
        <v>0</v>
      </c>
      <c r="AM206" s="899">
        <f>'Estimate Summary'!$D$9</f>
        <v>1</v>
      </c>
      <c r="AN206" s="605" t="s">
        <v>1136</v>
      </c>
      <c r="AO206" s="899">
        <f t="shared" si="67"/>
        <v>0</v>
      </c>
      <c r="AP206" s="605">
        <f t="shared" si="92"/>
        <v>0</v>
      </c>
      <c r="AQ206" s="605" t="s">
        <v>1139</v>
      </c>
      <c r="AR206" s="605" t="s">
        <v>670</v>
      </c>
      <c r="AS206" s="605" t="s">
        <v>751</v>
      </c>
      <c r="AT206" s="605" t="str">
        <f>'Estimate Summary'!$AT$11</f>
        <v>FOB SH</v>
      </c>
      <c r="AU206" s="610" t="b">
        <f t="shared" si="68"/>
        <v>0</v>
      </c>
      <c r="AV206" s="605" t="s">
        <v>1140</v>
      </c>
      <c r="AW206" s="2255">
        <f t="shared" si="69"/>
        <v>0</v>
      </c>
    </row>
    <row r="207" spans="2:49" s="605" customFormat="1" ht="13.5" hidden="1" customHeight="1" outlineLevel="1">
      <c r="B207" s="1079" t="s">
        <v>1000</v>
      </c>
      <c r="C207" s="385" t="s">
        <v>1230</v>
      </c>
      <c r="D207" s="1831" t="s">
        <v>181</v>
      </c>
      <c r="E207" s="421"/>
      <c r="F207" s="570"/>
      <c r="G207" s="1738">
        <f t="shared" si="72"/>
        <v>0</v>
      </c>
      <c r="H207" s="2017">
        <f>AB207</f>
        <v>0</v>
      </c>
      <c r="I207" s="469">
        <f>IF('Estimate Summary'!$D$9&lt;2,0,$H207)</f>
        <v>0</v>
      </c>
      <c r="J207" s="469">
        <f>IF('Estimate Summary'!$D$9&lt;3,0,$H207)</f>
        <v>0</v>
      </c>
      <c r="K207" s="469">
        <f>IF('Estimate Summary'!$D$9&lt;4,0,$H207)</f>
        <v>0</v>
      </c>
      <c r="L207" s="469">
        <f>IF('Estimate Summary'!$D$9&lt;5,0,$H207)</f>
        <v>0</v>
      </c>
      <c r="M207" s="469">
        <f>IF('Estimate Summary'!$D$9&lt;6,0,$H207)</f>
        <v>0</v>
      </c>
      <c r="N207" s="996"/>
      <c r="O207" s="388"/>
      <c r="P207" s="474">
        <f>IF(Q207=0,0,(YEAR(R207)-YEAR(Q207))*12+(MONTH(R207)-MONTH(Q207)))</f>
        <v>37</v>
      </c>
      <c r="Q207" s="794">
        <v>42683</v>
      </c>
      <c r="R207" s="795">
        <f>$R$2+30.42*'Offshore CF'!CE13</f>
        <v>43803.94</v>
      </c>
      <c r="S207" s="475" t="s">
        <v>129</v>
      </c>
      <c r="T207" s="484" t="s">
        <v>180</v>
      </c>
      <c r="U207" s="697" t="s">
        <v>676</v>
      </c>
      <c r="V207" s="391" t="str">
        <f>D207</f>
        <v>CNY</v>
      </c>
      <c r="W207" s="547"/>
      <c r="X207" s="864">
        <f>IF(V207="CNY",W207/1.17/1000,W207/1000)</f>
        <v>0</v>
      </c>
      <c r="Y207" s="893"/>
      <c r="Z207" s="893">
        <f>Y207+$Z$78</f>
        <v>0</v>
      </c>
      <c r="AA207" s="475">
        <f t="shared" si="73"/>
        <v>0</v>
      </c>
      <c r="AB207" s="484">
        <f>IF(V207="CNY",X207*(1-Z207),IF(V207="EUR",X207*(1-Z207)*$T$5,IF(V207="JPY",X207*(1-Z207)*$T$6,IF(V207="USD",X207*(1-Z207)*$T$7))))</f>
        <v>0</v>
      </c>
      <c r="AC207" s="881"/>
      <c r="AD207" s="388">
        <f>IF(V207&lt;&gt;"CNY",(AB207+#REF!)*AC207,0)</f>
        <v>0</v>
      </c>
      <c r="AE207" s="388"/>
      <c r="AF207" s="868">
        <f>IF(V207&lt;&gt;"CNY",(AB207+#REF!)*#REF!,0)</f>
        <v>0</v>
      </c>
      <c r="AG207" s="388">
        <f>IF(V207&lt;&gt;"CNY",E207*#REF!/1000,0)</f>
        <v>0</v>
      </c>
      <c r="AH207" s="868">
        <f>SUM(AD207:AG207)</f>
        <v>0</v>
      </c>
      <c r="AI207" s="861">
        <f>AB207+AH207</f>
        <v>0</v>
      </c>
      <c r="AJ207" s="383" t="s">
        <v>669</v>
      </c>
      <c r="AK207" s="383" t="s">
        <v>1128</v>
      </c>
      <c r="AL207" s="605" t="str">
        <f t="shared" si="66"/>
        <v>CN</v>
      </c>
      <c r="AM207" s="899">
        <f>'Estimate Summary'!$D$9</f>
        <v>1</v>
      </c>
      <c r="AN207" s="605" t="s">
        <v>1136</v>
      </c>
      <c r="AO207" s="899">
        <f t="shared" si="67"/>
        <v>0</v>
      </c>
      <c r="AP207" s="605" t="str">
        <f t="shared" si="92"/>
        <v>CNY</v>
      </c>
      <c r="AQ207" s="605" t="s">
        <v>1139</v>
      </c>
      <c r="AR207" s="605" t="s">
        <v>670</v>
      </c>
      <c r="AS207" s="605" t="s">
        <v>751</v>
      </c>
      <c r="AT207" s="605" t="str">
        <f>'Estimate Summary'!$AT$11</f>
        <v>FOB SH</v>
      </c>
      <c r="AU207" s="610" t="str">
        <f t="shared" si="68"/>
        <v>CN</v>
      </c>
      <c r="AV207" s="605" t="s">
        <v>1140</v>
      </c>
      <c r="AW207" s="2255">
        <f t="shared" si="69"/>
        <v>42683</v>
      </c>
    </row>
    <row r="208" spans="2:49" s="605" customFormat="1" ht="13.5" hidden="1" customHeight="1" outlineLevel="1">
      <c r="B208" s="1079" t="s">
        <v>1001</v>
      </c>
      <c r="C208" s="385" t="s">
        <v>942</v>
      </c>
      <c r="D208" s="1831"/>
      <c r="E208" s="421"/>
      <c r="F208" s="570"/>
      <c r="G208" s="1738">
        <f t="shared" si="72"/>
        <v>0</v>
      </c>
      <c r="H208" s="1738">
        <f>AB208</f>
        <v>0</v>
      </c>
      <c r="I208" s="469">
        <f>IF('Estimate Summary'!$D$9&lt;2,0,$H208)</f>
        <v>0</v>
      </c>
      <c r="J208" s="469">
        <f>IF('Estimate Summary'!$D$9&lt;3,0,$H208)</f>
        <v>0</v>
      </c>
      <c r="K208" s="469">
        <f>IF('Estimate Summary'!$D$9&lt;4,0,$H208)</f>
        <v>0</v>
      </c>
      <c r="L208" s="469">
        <f>IF('Estimate Summary'!$D$9&lt;5,0,$H208)</f>
        <v>0</v>
      </c>
      <c r="M208" s="469">
        <f>IF('Estimate Summary'!$D$9&lt;6,0,$H208)</f>
        <v>0</v>
      </c>
      <c r="N208" s="996"/>
      <c r="O208" s="388"/>
      <c r="P208" s="474">
        <f>IF(Q208=0,0,(YEAR(R208)-YEAR(Q208))*12+(MONTH(R208)-MONTH(Q208)))</f>
        <v>0</v>
      </c>
      <c r="Q208" s="794"/>
      <c r="R208" s="795"/>
      <c r="S208" s="475"/>
      <c r="T208" s="484"/>
      <c r="U208" s="697"/>
      <c r="V208" s="391">
        <f t="shared" ref="V208:V274" si="93">D208</f>
        <v>0</v>
      </c>
      <c r="W208" s="547"/>
      <c r="X208" s="864">
        <f>IF(V208="CNY",W208/1.17/1000,W208/1000)</f>
        <v>0</v>
      </c>
      <c r="Y208" s="893"/>
      <c r="Z208" s="893">
        <f t="shared" si="70"/>
        <v>0</v>
      </c>
      <c r="AA208" s="475">
        <f>X208*(1-Z208)</f>
        <v>0</v>
      </c>
      <c r="AB208" s="484"/>
      <c r="AC208" s="881"/>
      <c r="AD208" s="388"/>
      <c r="AE208" s="388"/>
      <c r="AF208" s="868"/>
      <c r="AG208" s="388"/>
      <c r="AH208" s="868">
        <f>SUM(AD208:AG208)</f>
        <v>0</v>
      </c>
      <c r="AI208" s="861">
        <f>AB208+AH208</f>
        <v>0</v>
      </c>
      <c r="AJ208" s="383" t="s">
        <v>669</v>
      </c>
      <c r="AK208" s="383" t="s">
        <v>1128</v>
      </c>
      <c r="AL208" s="605" t="b">
        <f t="shared" ref="AL208:AL274" si="94">IF(D208="CNY","CN",IF(D208="EUR","DE",IF(D208="USD","US",IF(D208="JPY","JP",IF(D208="INR","IN")))))</f>
        <v>0</v>
      </c>
      <c r="AM208" s="899">
        <f>'Estimate Summary'!$D$9</f>
        <v>1</v>
      </c>
      <c r="AN208" s="605" t="s">
        <v>1136</v>
      </c>
      <c r="AO208" s="899">
        <f t="shared" ref="AO208:AO274" si="95">G208</f>
        <v>0</v>
      </c>
      <c r="AP208" s="605">
        <f t="shared" si="92"/>
        <v>0</v>
      </c>
      <c r="AQ208" s="605" t="s">
        <v>1139</v>
      </c>
      <c r="AR208" s="605" t="s">
        <v>670</v>
      </c>
      <c r="AS208" s="605" t="s">
        <v>751</v>
      </c>
      <c r="AT208" s="605" t="str">
        <f>'Estimate Summary'!$AT$11</f>
        <v>FOB SH</v>
      </c>
      <c r="AU208" s="610" t="b">
        <f t="shared" ref="AU208:AU274" si="96">AL208</f>
        <v>0</v>
      </c>
      <c r="AV208" s="605" t="s">
        <v>1140</v>
      </c>
      <c r="AW208" s="2255">
        <f t="shared" ref="AW208:AW274" si="97">Q208</f>
        <v>0</v>
      </c>
    </row>
    <row r="209" spans="2:49" s="605" customFormat="1" ht="13.5" hidden="1" customHeight="1" outlineLevel="1">
      <c r="B209" s="1079" t="s">
        <v>1002</v>
      </c>
      <c r="C209" s="385" t="s">
        <v>943</v>
      </c>
      <c r="D209" s="1831"/>
      <c r="E209" s="421"/>
      <c r="F209" s="570"/>
      <c r="G209" s="1738">
        <f t="shared" si="72"/>
        <v>0</v>
      </c>
      <c r="H209" s="1738">
        <f>AB209</f>
        <v>0</v>
      </c>
      <c r="I209" s="469">
        <f>IF('Estimate Summary'!$D$9&lt;2,0,$H209)</f>
        <v>0</v>
      </c>
      <c r="J209" s="469">
        <f>IF('Estimate Summary'!$D$9&lt;3,0,$H209)</f>
        <v>0</v>
      </c>
      <c r="K209" s="469">
        <f>IF('Estimate Summary'!$D$9&lt;4,0,$H209)</f>
        <v>0</v>
      </c>
      <c r="L209" s="469">
        <f>IF('Estimate Summary'!$D$9&lt;5,0,$H209)</f>
        <v>0</v>
      </c>
      <c r="M209" s="469">
        <f>IF('Estimate Summary'!$D$9&lt;6,0,$H209)</f>
        <v>0</v>
      </c>
      <c r="N209" s="996"/>
      <c r="O209" s="388"/>
      <c r="P209" s="474">
        <f>IF(Q209=0,0,(YEAR(R209)-YEAR(Q209))*12+(MONTH(R209)-MONTH(Q209)))</f>
        <v>0</v>
      </c>
      <c r="Q209" s="794"/>
      <c r="R209" s="795"/>
      <c r="S209" s="475"/>
      <c r="T209" s="484"/>
      <c r="U209" s="697"/>
      <c r="V209" s="391">
        <f t="shared" si="93"/>
        <v>0</v>
      </c>
      <c r="W209" s="547"/>
      <c r="X209" s="864">
        <f>IF(V209="CNY",W209/1.17/1000,W209/1000)</f>
        <v>0</v>
      </c>
      <c r="Y209" s="893"/>
      <c r="Z209" s="893">
        <f t="shared" si="70"/>
        <v>0</v>
      </c>
      <c r="AA209" s="475">
        <f>X209*(1-Z209)</f>
        <v>0</v>
      </c>
      <c r="AB209" s="484"/>
      <c r="AC209" s="881"/>
      <c r="AD209" s="388"/>
      <c r="AE209" s="388"/>
      <c r="AF209" s="868"/>
      <c r="AG209" s="388"/>
      <c r="AH209" s="868">
        <f>SUM(AD209:AG209)</f>
        <v>0</v>
      </c>
      <c r="AI209" s="861">
        <f>AB209+AH209</f>
        <v>0</v>
      </c>
      <c r="AJ209" s="383" t="s">
        <v>669</v>
      </c>
      <c r="AK209" s="383" t="s">
        <v>1128</v>
      </c>
      <c r="AL209" s="605" t="b">
        <f t="shared" si="94"/>
        <v>0</v>
      </c>
      <c r="AM209" s="899">
        <f>'Estimate Summary'!$D$9</f>
        <v>1</v>
      </c>
      <c r="AN209" s="605" t="s">
        <v>1136</v>
      </c>
      <c r="AO209" s="899">
        <f t="shared" si="95"/>
        <v>0</v>
      </c>
      <c r="AP209" s="605">
        <f t="shared" si="92"/>
        <v>0</v>
      </c>
      <c r="AQ209" s="605" t="s">
        <v>1139</v>
      </c>
      <c r="AR209" s="605" t="s">
        <v>670</v>
      </c>
      <c r="AS209" s="605" t="s">
        <v>751</v>
      </c>
      <c r="AT209" s="605" t="str">
        <f>'Estimate Summary'!$AT$11</f>
        <v>FOB SH</v>
      </c>
      <c r="AU209" s="610" t="b">
        <f t="shared" si="96"/>
        <v>0</v>
      </c>
      <c r="AV209" s="605" t="s">
        <v>1140</v>
      </c>
      <c r="AW209" s="2255">
        <f t="shared" si="97"/>
        <v>0</v>
      </c>
    </row>
    <row r="210" spans="2:49" s="605" customFormat="1" ht="13.5" hidden="1" customHeight="1" outlineLevel="1" collapsed="1" thickBot="1">
      <c r="B210" s="2306"/>
      <c r="C210" s="100" t="s">
        <v>944</v>
      </c>
      <c r="D210" s="2269"/>
      <c r="E210" s="590"/>
      <c r="F210" s="565"/>
      <c r="G210" s="1609">
        <f t="shared" si="72"/>
        <v>0</v>
      </c>
      <c r="H210" s="426">
        <f t="shared" ref="H210:M210" si="98">H205</f>
        <v>0</v>
      </c>
      <c r="I210" s="1714">
        <f t="shared" si="98"/>
        <v>0</v>
      </c>
      <c r="J210" s="1751">
        <f t="shared" si="98"/>
        <v>0</v>
      </c>
      <c r="K210" s="1751">
        <f t="shared" si="98"/>
        <v>0</v>
      </c>
      <c r="L210" s="1751">
        <f t="shared" si="98"/>
        <v>0</v>
      </c>
      <c r="M210" s="1751">
        <f t="shared" si="98"/>
        <v>0</v>
      </c>
      <c r="N210" s="1703"/>
      <c r="P210" s="603"/>
      <c r="Q210" s="794"/>
      <c r="R210" s="2255"/>
      <c r="S210" s="551"/>
      <c r="T210" s="551"/>
      <c r="U210" s="610"/>
      <c r="V210" s="603">
        <f t="shared" si="93"/>
        <v>0</v>
      </c>
      <c r="W210" s="874"/>
      <c r="X210" s="874"/>
      <c r="Y210" s="1671"/>
      <c r="Z210" s="1874">
        <f t="shared" ref="Z210:Z276" si="99">Y210+$Z$78</f>
        <v>0</v>
      </c>
      <c r="AA210" s="551">
        <f t="shared" si="73"/>
        <v>0</v>
      </c>
      <c r="AB210" s="1012"/>
      <c r="AC210" s="900"/>
      <c r="AF210" s="870"/>
      <c r="AH210" s="870"/>
      <c r="AI210" s="870"/>
      <c r="AJ210" s="383" t="s">
        <v>669</v>
      </c>
      <c r="AK210" s="383" t="s">
        <v>1128</v>
      </c>
      <c r="AL210" s="605" t="b">
        <f t="shared" si="94"/>
        <v>0</v>
      </c>
      <c r="AM210" s="899">
        <f>'Estimate Summary'!$D$9</f>
        <v>1</v>
      </c>
      <c r="AN210" s="605" t="s">
        <v>1136</v>
      </c>
      <c r="AO210" s="899">
        <f t="shared" si="95"/>
        <v>0</v>
      </c>
      <c r="AP210" s="605">
        <f t="shared" si="92"/>
        <v>0</v>
      </c>
      <c r="AQ210" s="605" t="s">
        <v>1139</v>
      </c>
      <c r="AR210" s="605" t="s">
        <v>670</v>
      </c>
      <c r="AS210" s="605" t="s">
        <v>751</v>
      </c>
      <c r="AT210" s="605" t="str">
        <f>'Estimate Summary'!$AT$11</f>
        <v>FOB SH</v>
      </c>
      <c r="AU210" s="610" t="b">
        <f t="shared" si="96"/>
        <v>0</v>
      </c>
      <c r="AV210" s="605" t="s">
        <v>1140</v>
      </c>
      <c r="AW210" s="2255">
        <f t="shared" si="97"/>
        <v>0</v>
      </c>
    </row>
    <row r="211" spans="2:49" s="605" customFormat="1" ht="13.5" hidden="1" customHeight="1" outlineLevel="1" thickTop="1">
      <c r="B211" s="1709" t="s">
        <v>959</v>
      </c>
      <c r="C211" s="1710"/>
      <c r="D211" s="2311"/>
      <c r="E211" s="1711"/>
      <c r="F211" s="2299"/>
      <c r="G211" s="2300">
        <f t="shared" si="72"/>
        <v>0</v>
      </c>
      <c r="H211" s="1686"/>
      <c r="I211" s="1716"/>
      <c r="J211" s="1753"/>
      <c r="K211" s="1753"/>
      <c r="L211" s="1753"/>
      <c r="M211" s="1753"/>
      <c r="N211" s="1701"/>
      <c r="P211" s="603"/>
      <c r="Q211" s="794"/>
      <c r="R211" s="2255"/>
      <c r="S211" s="551"/>
      <c r="T211" s="551"/>
      <c r="U211" s="610"/>
      <c r="V211" s="603">
        <f t="shared" si="93"/>
        <v>0</v>
      </c>
      <c r="W211" s="874"/>
      <c r="X211" s="874"/>
      <c r="Y211" s="1671"/>
      <c r="Z211" s="1874">
        <f t="shared" si="99"/>
        <v>0</v>
      </c>
      <c r="AA211" s="551">
        <f t="shared" si="73"/>
        <v>0</v>
      </c>
      <c r="AB211" s="1022"/>
      <c r="AC211" s="900"/>
      <c r="AF211" s="870"/>
      <c r="AH211" s="870"/>
      <c r="AI211" s="870"/>
      <c r="AJ211" s="383" t="s">
        <v>669</v>
      </c>
      <c r="AK211" s="383" t="s">
        <v>1128</v>
      </c>
      <c r="AL211" s="605" t="b">
        <f t="shared" si="94"/>
        <v>0</v>
      </c>
      <c r="AM211" s="899">
        <f>'Estimate Summary'!$D$9</f>
        <v>1</v>
      </c>
      <c r="AN211" s="605" t="s">
        <v>1136</v>
      </c>
      <c r="AO211" s="899">
        <f t="shared" si="95"/>
        <v>0</v>
      </c>
      <c r="AP211" s="605">
        <f t="shared" si="92"/>
        <v>0</v>
      </c>
      <c r="AQ211" s="605" t="s">
        <v>1139</v>
      </c>
      <c r="AR211" s="605" t="s">
        <v>670</v>
      </c>
      <c r="AS211" s="605" t="s">
        <v>751</v>
      </c>
      <c r="AT211" s="605" t="str">
        <f>'Estimate Summary'!$AT$11</f>
        <v>FOB SH</v>
      </c>
      <c r="AU211" s="610" t="b">
        <f t="shared" si="96"/>
        <v>0</v>
      </c>
      <c r="AV211" s="605" t="s">
        <v>1140</v>
      </c>
      <c r="AW211" s="2255">
        <f t="shared" si="97"/>
        <v>0</v>
      </c>
    </row>
    <row r="212" spans="2:49" s="605" customFormat="1" ht="12.75" hidden="1" customHeight="1" outlineLevel="1">
      <c r="B212" s="2265"/>
      <c r="C212" s="2312" t="s">
        <v>893</v>
      </c>
      <c r="D212" s="1829"/>
      <c r="E212" s="1664"/>
      <c r="F212" s="1868"/>
      <c r="G212" s="1869">
        <f t="shared" si="72"/>
        <v>0</v>
      </c>
      <c r="H212" s="1870">
        <f>SUM(H213:H232)</f>
        <v>0</v>
      </c>
      <c r="I212" s="1718">
        <f t="shared" ref="I212:M212" si="100">SUM(I214:I232)</f>
        <v>0</v>
      </c>
      <c r="J212" s="1718">
        <f t="shared" si="100"/>
        <v>0</v>
      </c>
      <c r="K212" s="1718">
        <f t="shared" si="100"/>
        <v>0</v>
      </c>
      <c r="L212" s="1718">
        <f t="shared" si="100"/>
        <v>0</v>
      </c>
      <c r="M212" s="1718">
        <f t="shared" si="100"/>
        <v>0</v>
      </c>
      <c r="N212" s="1882"/>
      <c r="P212" s="2279"/>
      <c r="Q212" s="476"/>
      <c r="R212" s="476"/>
      <c r="S212" s="485"/>
      <c r="T212" s="2281"/>
      <c r="U212" s="1925"/>
      <c r="V212" s="1926">
        <f t="shared" si="93"/>
        <v>0</v>
      </c>
      <c r="W212" s="875"/>
      <c r="X212" s="875"/>
      <c r="Y212" s="878"/>
      <c r="Z212" s="891">
        <f t="shared" si="99"/>
        <v>0</v>
      </c>
      <c r="AA212" s="485"/>
      <c r="AB212" s="1927"/>
      <c r="AC212" s="1927"/>
      <c r="AD212" s="476"/>
      <c r="AE212" s="476"/>
      <c r="AF212" s="2282"/>
      <c r="AG212" s="1925"/>
      <c r="AH212" s="875"/>
      <c r="AI212" s="875"/>
      <c r="AJ212" s="383" t="s">
        <v>669</v>
      </c>
      <c r="AK212" s="383" t="s">
        <v>1128</v>
      </c>
      <c r="AL212" s="605" t="b">
        <f t="shared" si="94"/>
        <v>0</v>
      </c>
      <c r="AM212" s="899">
        <f>'Estimate Summary'!$D$9</f>
        <v>1</v>
      </c>
      <c r="AN212" s="605" t="s">
        <v>1136</v>
      </c>
      <c r="AO212" s="899">
        <f t="shared" si="95"/>
        <v>0</v>
      </c>
      <c r="AP212" s="605">
        <f t="shared" si="92"/>
        <v>0</v>
      </c>
      <c r="AQ212" s="605" t="s">
        <v>1139</v>
      </c>
      <c r="AR212" s="605" t="s">
        <v>670</v>
      </c>
      <c r="AS212" s="605" t="s">
        <v>751</v>
      </c>
      <c r="AT212" s="605" t="str">
        <f>'Estimate Summary'!$AT$11</f>
        <v>FOB SH</v>
      </c>
      <c r="AU212" s="610" t="b">
        <f t="shared" si="96"/>
        <v>0</v>
      </c>
      <c r="AV212" s="605" t="s">
        <v>1140</v>
      </c>
      <c r="AW212" s="2255">
        <f t="shared" si="97"/>
        <v>0</v>
      </c>
    </row>
    <row r="213" spans="2:49" s="697" customFormat="1" ht="15.75" hidden="1" customHeight="1" outlineLevel="1">
      <c r="B213" s="1079" t="s">
        <v>1231</v>
      </c>
      <c r="C213" s="1017" t="s">
        <v>877</v>
      </c>
      <c r="D213" s="421" t="s">
        <v>181</v>
      </c>
      <c r="E213" s="421"/>
      <c r="F213" s="1815"/>
      <c r="G213" s="1817">
        <f>AA213</f>
        <v>0</v>
      </c>
      <c r="H213" s="2016">
        <f>AB213</f>
        <v>0</v>
      </c>
      <c r="I213" s="469">
        <f>IF('Estimate Summary'!$D$9&lt;2,0,$H213)</f>
        <v>0</v>
      </c>
      <c r="J213" s="469">
        <f>IF('Estimate Summary'!$D$9&lt;3,0,$H213)</f>
        <v>0</v>
      </c>
      <c r="K213" s="469">
        <f>IF('Estimate Summary'!$D$9&lt;4,0,$H213)</f>
        <v>0</v>
      </c>
      <c r="L213" s="469">
        <f>IF('Estimate Summary'!$D$9&lt;5,0,$H213)</f>
        <v>0</v>
      </c>
      <c r="M213" s="469">
        <f>IF('Estimate Summary'!$D$9&lt;6,0,$H213)</f>
        <v>0</v>
      </c>
      <c r="N213" s="1647"/>
      <c r="O213" s="389"/>
      <c r="P213" s="1849">
        <f>IF(Q213=0,0,(YEAR(R213)-YEAR(Q213))*12+(MONTH(R213)-MONTH(Q213)))</f>
        <v>40</v>
      </c>
      <c r="Q213" s="794">
        <v>42683</v>
      </c>
      <c r="R213" s="795">
        <f>$R$2+30.42*'Offshore CF'!BS13</f>
        <v>43895.199999999997</v>
      </c>
      <c r="S213" s="1811" t="s">
        <v>128</v>
      </c>
      <c r="T213" s="1850" t="s">
        <v>337</v>
      </c>
      <c r="U213" s="697" t="s">
        <v>608</v>
      </c>
      <c r="V213" s="391" t="str">
        <f>D213</f>
        <v>CNY</v>
      </c>
      <c r="W213" s="547"/>
      <c r="X213" s="1851">
        <f>IF(V213="CNY",W213/1.17/1000,W213/1000)</f>
        <v>0</v>
      </c>
      <c r="Y213" s="1852"/>
      <c r="Z213" s="1853">
        <f>Y213+$Z$78</f>
        <v>0</v>
      </c>
      <c r="AA213" s="484">
        <f>X213*(1-Z213)</f>
        <v>0</v>
      </c>
      <c r="AB213" s="484">
        <f>IF(V213="CNY",X213*(1-Z213),IF(V213="EUR",X213*(1-Z213)*$R$5,IF(V213="JPY",X213*(1-Z213)*$R$6,IF(V213="USD",X213*(1-Z213)*$R$7))))</f>
        <v>0</v>
      </c>
      <c r="AC213" s="880"/>
      <c r="AD213" s="791">
        <f>IF(V213&lt;&gt;"CNY",(AB213+#REF!)*AC213,0)</f>
        <v>0</v>
      </c>
      <c r="AE213" s="791"/>
      <c r="AF213" s="861">
        <f>IF(V213&lt;&gt;"CNY",(AB213+#REF!)*$AD$53,0)</f>
        <v>0</v>
      </c>
      <c r="AH213" s="861">
        <f>SUM(AD213:AG213)</f>
        <v>0</v>
      </c>
      <c r="AI213" s="861">
        <f>AB213</f>
        <v>0</v>
      </c>
      <c r="AJ213" s="383" t="s">
        <v>669</v>
      </c>
      <c r="AK213" s="383" t="s">
        <v>1128</v>
      </c>
      <c r="AL213" s="697" t="str">
        <f>IF(D213="CNY","CN",IF(D213="EUR","DE",IF(D213="USD","US",IF(D213="JPY","JP",IF(D213="INR","IN")))))</f>
        <v>CN</v>
      </c>
      <c r="AM213" s="475">
        <f>'Estimate Summary'!$D$9</f>
        <v>1</v>
      </c>
      <c r="AN213" s="697" t="s">
        <v>1136</v>
      </c>
      <c r="AO213" s="475">
        <f>G213</f>
        <v>0</v>
      </c>
      <c r="AP213" s="697" t="str">
        <f>D213</f>
        <v>CNY</v>
      </c>
      <c r="AQ213" s="697" t="s">
        <v>1139</v>
      </c>
      <c r="AR213" s="697" t="s">
        <v>670</v>
      </c>
      <c r="AS213" s="605" t="s">
        <v>751</v>
      </c>
      <c r="AT213" s="697" t="str">
        <f>'Estimate Summary'!$AT$11</f>
        <v>FOB SH</v>
      </c>
      <c r="AU213" s="610" t="str">
        <f>AL213</f>
        <v>CN</v>
      </c>
      <c r="AV213" s="697" t="s">
        <v>1140</v>
      </c>
      <c r="AW213" s="2255">
        <f>Q213</f>
        <v>42683</v>
      </c>
    </row>
    <row r="214" spans="2:49" s="605" customFormat="1" ht="26.25" hidden="1" customHeight="1" outlineLevel="1">
      <c r="B214" s="1079" t="s">
        <v>894</v>
      </c>
      <c r="C214" s="386" t="s">
        <v>895</v>
      </c>
      <c r="D214" s="1830"/>
      <c r="E214" s="386"/>
      <c r="F214" s="386"/>
      <c r="G214" s="1738">
        <f t="shared" si="72"/>
        <v>0</v>
      </c>
      <c r="H214" s="1870">
        <f>AB214</f>
        <v>0</v>
      </c>
      <c r="I214" s="1718">
        <f>IF('Estimate Summary'!$D$9&lt;2,0,$H214)</f>
        <v>0</v>
      </c>
      <c r="J214" s="1744">
        <f>IF('Estimate Summary'!$D$9&lt;3,0,$H214)</f>
        <v>0</v>
      </c>
      <c r="K214" s="1744">
        <f>IF('Estimate Summary'!$D$9&lt;4,0,$H214)</f>
        <v>0</v>
      </c>
      <c r="L214" s="1744">
        <f>IF('Estimate Summary'!$D$9&lt;5,0,$H214)</f>
        <v>0</v>
      </c>
      <c r="M214" s="1744">
        <f>IF('Estimate Summary'!$D$9&lt;6,0,$H214)</f>
        <v>0</v>
      </c>
      <c r="N214" s="104"/>
      <c r="P214" s="1810">
        <f>IF(Q214=0,0,(YEAR(R214)-YEAR(Q214))*12+(MONTH(R214)-MONTH(Q214)))</f>
        <v>0</v>
      </c>
      <c r="Q214" s="794"/>
      <c r="R214" s="795"/>
      <c r="S214" s="1811"/>
      <c r="T214" s="1811"/>
      <c r="U214" s="697"/>
      <c r="V214" s="486">
        <f t="shared" si="93"/>
        <v>0</v>
      </c>
      <c r="W214" s="547"/>
      <c r="X214" s="1812">
        <f>IF(V214="CNY",W214/1.17/1000,W214/1000)</f>
        <v>0</v>
      </c>
      <c r="Y214" s="1813"/>
      <c r="Z214" s="1813">
        <f t="shared" si="99"/>
        <v>0</v>
      </c>
      <c r="AA214" s="551">
        <f>X214*(1-Z214)</f>
        <v>0</v>
      </c>
      <c r="AB214" s="1012"/>
      <c r="AC214" s="880"/>
      <c r="AD214" s="697"/>
      <c r="AE214" s="697"/>
      <c r="AF214" s="861"/>
      <c r="AG214" s="697"/>
      <c r="AH214" s="861">
        <f t="shared" ref="AH214:AH232" si="101">SUM(AD214:AG214)</f>
        <v>0</v>
      </c>
      <c r="AI214" s="861">
        <f>AB214</f>
        <v>0</v>
      </c>
      <c r="AJ214" s="383" t="s">
        <v>669</v>
      </c>
      <c r="AK214" s="383" t="s">
        <v>1128</v>
      </c>
      <c r="AL214" s="605" t="b">
        <f t="shared" si="94"/>
        <v>0</v>
      </c>
      <c r="AM214" s="899">
        <f>'Estimate Summary'!$D$9</f>
        <v>1</v>
      </c>
      <c r="AN214" s="605" t="s">
        <v>1136</v>
      </c>
      <c r="AO214" s="899">
        <f t="shared" si="95"/>
        <v>0</v>
      </c>
      <c r="AP214" s="605">
        <f t="shared" si="92"/>
        <v>0</v>
      </c>
      <c r="AQ214" s="605" t="s">
        <v>1139</v>
      </c>
      <c r="AR214" s="605" t="s">
        <v>670</v>
      </c>
      <c r="AS214" s="605" t="s">
        <v>751</v>
      </c>
      <c r="AT214" s="605" t="str">
        <f>'Estimate Summary'!$AT$11</f>
        <v>FOB SH</v>
      </c>
      <c r="AU214" s="610" t="b">
        <f t="shared" si="96"/>
        <v>0</v>
      </c>
      <c r="AV214" s="605" t="s">
        <v>1140</v>
      </c>
      <c r="AW214" s="2255">
        <f t="shared" si="97"/>
        <v>0</v>
      </c>
    </row>
    <row r="215" spans="2:49" s="605" customFormat="1" ht="13.5" hidden="1" customHeight="1" outlineLevel="1">
      <c r="B215" s="1079" t="s">
        <v>894</v>
      </c>
      <c r="C215" s="386" t="s">
        <v>896</v>
      </c>
      <c r="D215" s="1830"/>
      <c r="E215" s="386"/>
      <c r="F215" s="386"/>
      <c r="G215" s="1738">
        <f t="shared" ref="G215:G252" si="102">AA215</f>
        <v>0</v>
      </c>
      <c r="H215" s="1740">
        <f t="shared" ref="H215:H229" si="103">AB215</f>
        <v>0</v>
      </c>
      <c r="I215" s="1669">
        <f>IF('Estimate Summary'!$D$9&lt;2,0,$H215)</f>
        <v>0</v>
      </c>
      <c r="J215" s="104">
        <f>IF('Estimate Summary'!$D$9&lt;3,0,$H215)</f>
        <v>0</v>
      </c>
      <c r="K215" s="104">
        <f>IF('Estimate Summary'!$D$9&lt;4,0,$H215)</f>
        <v>0</v>
      </c>
      <c r="L215" s="104">
        <f>IF('Estimate Summary'!$D$9&lt;5,0,$H215)</f>
        <v>0</v>
      </c>
      <c r="M215" s="104">
        <f>IF('Estimate Summary'!$D$9&lt;6,0,$H215)</f>
        <v>0</v>
      </c>
      <c r="N215" s="104"/>
      <c r="P215" s="1810">
        <f t="shared" ref="P215:P230" si="104">IF(Q215=0,0,(YEAR(R215)-YEAR(Q215))*12+(MONTH(R215)-MONTH(Q215)))</f>
        <v>0</v>
      </c>
      <c r="Q215" s="794"/>
      <c r="R215" s="795"/>
      <c r="S215" s="1811"/>
      <c r="T215" s="1811"/>
      <c r="U215" s="697"/>
      <c r="V215" s="486">
        <f t="shared" si="93"/>
        <v>0</v>
      </c>
      <c r="W215" s="547"/>
      <c r="X215" s="1812">
        <f t="shared" ref="X215:X222" si="105">IF(V215="CNY",W215/1.17/1000,W215/1000)</f>
        <v>0</v>
      </c>
      <c r="Y215" s="1813"/>
      <c r="Z215" s="1813">
        <f t="shared" si="99"/>
        <v>0</v>
      </c>
      <c r="AA215" s="551">
        <f t="shared" ref="AA215:AA222" si="106">X215*(1-Z215)</f>
        <v>0</v>
      </c>
      <c r="AB215" s="1012"/>
      <c r="AC215" s="880"/>
      <c r="AD215" s="697"/>
      <c r="AE215" s="697"/>
      <c r="AF215" s="861"/>
      <c r="AG215" s="697"/>
      <c r="AH215" s="861">
        <f t="shared" si="101"/>
        <v>0</v>
      </c>
      <c r="AI215" s="861">
        <f>AB215</f>
        <v>0</v>
      </c>
      <c r="AJ215" s="383" t="s">
        <v>669</v>
      </c>
      <c r="AK215" s="383" t="s">
        <v>1128</v>
      </c>
      <c r="AL215" s="605" t="b">
        <f t="shared" si="94"/>
        <v>0</v>
      </c>
      <c r="AM215" s="899">
        <f>'Estimate Summary'!$D$9</f>
        <v>1</v>
      </c>
      <c r="AN215" s="605" t="s">
        <v>1136</v>
      </c>
      <c r="AO215" s="899">
        <f t="shared" si="95"/>
        <v>0</v>
      </c>
      <c r="AP215" s="605">
        <f t="shared" si="92"/>
        <v>0</v>
      </c>
      <c r="AQ215" s="605" t="s">
        <v>1139</v>
      </c>
      <c r="AR215" s="605" t="s">
        <v>670</v>
      </c>
      <c r="AS215" s="605" t="s">
        <v>751</v>
      </c>
      <c r="AT215" s="605" t="str">
        <f>'Estimate Summary'!$AT$11</f>
        <v>FOB SH</v>
      </c>
      <c r="AU215" s="610" t="b">
        <f t="shared" si="96"/>
        <v>0</v>
      </c>
      <c r="AV215" s="605" t="s">
        <v>1140</v>
      </c>
      <c r="AW215" s="2255">
        <f t="shared" si="97"/>
        <v>0</v>
      </c>
    </row>
    <row r="216" spans="2:49" s="605" customFormat="1" ht="13.5" hidden="1" customHeight="1" outlineLevel="1">
      <c r="B216" s="1079" t="s">
        <v>897</v>
      </c>
      <c r="C216" s="386" t="s">
        <v>919</v>
      </c>
      <c r="D216" s="1831" t="s">
        <v>181</v>
      </c>
      <c r="E216" s="421"/>
      <c r="F216" s="390"/>
      <c r="G216" s="1738">
        <f t="shared" si="102"/>
        <v>0</v>
      </c>
      <c r="H216" s="2017">
        <f t="shared" si="103"/>
        <v>0</v>
      </c>
      <c r="I216" s="469">
        <f>IF('Estimate Summary'!$D$9&lt;2,0,$H216)</f>
        <v>0</v>
      </c>
      <c r="J216" s="469">
        <f>IF('Estimate Summary'!$D$9&lt;3,0,$H216)</f>
        <v>0</v>
      </c>
      <c r="K216" s="469">
        <f>IF('Estimate Summary'!$D$9&lt;4,0,$H216)</f>
        <v>0</v>
      </c>
      <c r="L216" s="469">
        <f>IF('Estimate Summary'!$D$9&lt;5,0,$H216)</f>
        <v>0</v>
      </c>
      <c r="M216" s="469">
        <f>IF('Estimate Summary'!$D$9&lt;6,0,$H216)</f>
        <v>0</v>
      </c>
      <c r="N216" s="1882"/>
      <c r="P216" s="1810">
        <f t="shared" si="104"/>
        <v>40</v>
      </c>
      <c r="Q216" s="794">
        <v>42683</v>
      </c>
      <c r="R216" s="795">
        <f>$R$2+30.42*'Offshore CF'!CH13</f>
        <v>43895.199999999997</v>
      </c>
      <c r="S216" s="1811" t="s">
        <v>129</v>
      </c>
      <c r="T216" s="1811" t="s">
        <v>180</v>
      </c>
      <c r="U216" s="697" t="s">
        <v>609</v>
      </c>
      <c r="V216" s="486" t="str">
        <f t="shared" si="93"/>
        <v>CNY</v>
      </c>
      <c r="W216" s="547"/>
      <c r="X216" s="1812">
        <f t="shared" si="105"/>
        <v>0</v>
      </c>
      <c r="Y216" s="1813"/>
      <c r="Z216" s="1813">
        <f t="shared" si="99"/>
        <v>0</v>
      </c>
      <c r="AA216" s="551">
        <f t="shared" si="106"/>
        <v>0</v>
      </c>
      <c r="AB216" s="484">
        <f t="shared" ref="AB216:AB222" si="107">IF(V216="CNY",X216*(1-Z216),IF(V216="EUR",X216*(1-Z216)*$R$5,IF(V216="JPY",X216*(1-Z216)*$R$6,IF(V216="USD",X216*(1-Z216)*$R$7))))</f>
        <v>0</v>
      </c>
      <c r="AC216" s="880"/>
      <c r="AD216" s="697">
        <f>IF(V216&lt;&gt;"CNY",(AB216+#REF!)*AC216,0)</f>
        <v>0</v>
      </c>
      <c r="AE216" s="697"/>
      <c r="AF216" s="861">
        <f>IF(V216&lt;&gt;"CNY",(AB216+#REF!)*$AD$53,0)</f>
        <v>0</v>
      </c>
      <c r="AG216" s="697">
        <f>IF(V216&lt;&gt;"CNY",F216*#REF!/1000,0)</f>
        <v>0</v>
      </c>
      <c r="AH216" s="861">
        <f t="shared" si="101"/>
        <v>0</v>
      </c>
      <c r="AI216" s="861">
        <f t="shared" ref="AI216:AI232" si="108">AB216+AH216</f>
        <v>0</v>
      </c>
      <c r="AJ216" s="383" t="s">
        <v>669</v>
      </c>
      <c r="AK216" s="383" t="s">
        <v>1128</v>
      </c>
      <c r="AL216" s="605" t="str">
        <f t="shared" si="94"/>
        <v>CN</v>
      </c>
      <c r="AM216" s="899">
        <f>'Estimate Summary'!$D$9</f>
        <v>1</v>
      </c>
      <c r="AN216" s="605" t="s">
        <v>1136</v>
      </c>
      <c r="AO216" s="899">
        <f t="shared" si="95"/>
        <v>0</v>
      </c>
      <c r="AP216" s="605" t="str">
        <f t="shared" si="92"/>
        <v>CNY</v>
      </c>
      <c r="AQ216" s="605" t="s">
        <v>1139</v>
      </c>
      <c r="AR216" s="605" t="s">
        <v>670</v>
      </c>
      <c r="AS216" s="605" t="s">
        <v>751</v>
      </c>
      <c r="AT216" s="605" t="str">
        <f>'Estimate Summary'!$AT$11</f>
        <v>FOB SH</v>
      </c>
      <c r="AU216" s="610" t="str">
        <f t="shared" si="96"/>
        <v>CN</v>
      </c>
      <c r="AV216" s="605" t="s">
        <v>1140</v>
      </c>
      <c r="AW216" s="2255">
        <f t="shared" si="97"/>
        <v>42683</v>
      </c>
    </row>
    <row r="217" spans="2:49" s="605" customFormat="1" ht="26.25" hidden="1" customHeight="1" outlineLevel="1">
      <c r="B217" s="1079" t="s">
        <v>897</v>
      </c>
      <c r="C217" s="1645" t="s">
        <v>1072</v>
      </c>
      <c r="D217" s="1830" t="s">
        <v>181</v>
      </c>
      <c r="E217" s="1646"/>
      <c r="F217" s="1639"/>
      <c r="G217" s="1738">
        <f t="shared" si="102"/>
        <v>0</v>
      </c>
      <c r="H217" s="2017">
        <f t="shared" si="103"/>
        <v>0</v>
      </c>
      <c r="I217" s="469">
        <f>IF('Estimate Summary'!$D$9&lt;2,0,$H217)</f>
        <v>0</v>
      </c>
      <c r="J217" s="469">
        <f>IF('Estimate Summary'!$D$9&lt;3,0,$H217)</f>
        <v>0</v>
      </c>
      <c r="K217" s="469">
        <f>IF('Estimate Summary'!$D$9&lt;4,0,$H217)</f>
        <v>0</v>
      </c>
      <c r="L217" s="469">
        <f>IF('Estimate Summary'!$D$9&lt;5,0,$H217)</f>
        <v>0</v>
      </c>
      <c r="M217" s="469">
        <f>IF('Estimate Summary'!$D$9&lt;6,0,$H217)</f>
        <v>0</v>
      </c>
      <c r="N217" s="1882"/>
      <c r="P217" s="1810">
        <f t="shared" si="104"/>
        <v>40</v>
      </c>
      <c r="Q217" s="794">
        <v>42683</v>
      </c>
      <c r="R217" s="795">
        <f>$R$2+30.42*'Offshore CF'!CH13</f>
        <v>43895.199999999997</v>
      </c>
      <c r="S217" s="1811" t="s">
        <v>128</v>
      </c>
      <c r="T217" s="1811" t="s">
        <v>180</v>
      </c>
      <c r="U217" s="697" t="s">
        <v>1063</v>
      </c>
      <c r="V217" s="486" t="str">
        <f t="shared" si="93"/>
        <v>CNY</v>
      </c>
      <c r="W217" s="547"/>
      <c r="X217" s="1812">
        <f t="shared" si="105"/>
        <v>0</v>
      </c>
      <c r="Y217" s="1813"/>
      <c r="Z217" s="1813">
        <f t="shared" si="99"/>
        <v>0</v>
      </c>
      <c r="AA217" s="484">
        <f t="shared" si="106"/>
        <v>0</v>
      </c>
      <c r="AB217" s="484">
        <f t="shared" si="107"/>
        <v>0</v>
      </c>
      <c r="AC217" s="880"/>
      <c r="AD217" s="697">
        <f>IF(V217&lt;&gt;"CNY",(AB217+#REF!)*AC217,0)</f>
        <v>0</v>
      </c>
      <c r="AE217" s="697"/>
      <c r="AF217" s="861">
        <f>IF(V217&lt;&gt;"CNY",(AB217+#REF!)*$AD$53,0)</f>
        <v>0</v>
      </c>
      <c r="AG217" s="697">
        <f>IF(V217&lt;&gt;"CNY",F217*#REF!/1000,0)</f>
        <v>0</v>
      </c>
      <c r="AH217" s="861">
        <f t="shared" si="101"/>
        <v>0</v>
      </c>
      <c r="AI217" s="861">
        <f t="shared" si="108"/>
        <v>0</v>
      </c>
      <c r="AJ217" s="383" t="s">
        <v>669</v>
      </c>
      <c r="AK217" s="383" t="s">
        <v>1128</v>
      </c>
      <c r="AL217" s="605" t="str">
        <f t="shared" si="94"/>
        <v>CN</v>
      </c>
      <c r="AM217" s="899">
        <f>'Estimate Summary'!$D$9</f>
        <v>1</v>
      </c>
      <c r="AN217" s="605" t="s">
        <v>1136</v>
      </c>
      <c r="AO217" s="899">
        <f t="shared" si="95"/>
        <v>0</v>
      </c>
      <c r="AP217" s="605" t="str">
        <f t="shared" si="92"/>
        <v>CNY</v>
      </c>
      <c r="AQ217" s="605" t="s">
        <v>1139</v>
      </c>
      <c r="AR217" s="605" t="s">
        <v>670</v>
      </c>
      <c r="AS217" s="605" t="s">
        <v>751</v>
      </c>
      <c r="AT217" s="605" t="str">
        <f>'Estimate Summary'!$AT$11</f>
        <v>FOB SH</v>
      </c>
      <c r="AU217" s="610" t="str">
        <f t="shared" si="96"/>
        <v>CN</v>
      </c>
      <c r="AV217" s="605" t="s">
        <v>1140</v>
      </c>
      <c r="AW217" s="2255">
        <f t="shared" si="97"/>
        <v>42683</v>
      </c>
    </row>
    <row r="218" spans="2:49" s="605" customFormat="1" ht="24.75" hidden="1" customHeight="1" outlineLevel="1">
      <c r="B218" s="1079" t="s">
        <v>897</v>
      </c>
      <c r="C218" s="1645" t="s">
        <v>899</v>
      </c>
      <c r="D218" s="1831" t="s">
        <v>181</v>
      </c>
      <c r="E218" s="1646"/>
      <c r="F218" s="1639"/>
      <c r="G218" s="1738">
        <f t="shared" si="102"/>
        <v>0</v>
      </c>
      <c r="H218" s="2017">
        <f t="shared" si="103"/>
        <v>0</v>
      </c>
      <c r="I218" s="469">
        <f>IF('Estimate Summary'!$D$9&lt;2,0,$H218)</f>
        <v>0</v>
      </c>
      <c r="J218" s="469">
        <f>IF('Estimate Summary'!$D$9&lt;3,0,$H218)</f>
        <v>0</v>
      </c>
      <c r="K218" s="469">
        <f>IF('Estimate Summary'!$D$9&lt;4,0,$H218)</f>
        <v>0</v>
      </c>
      <c r="L218" s="469">
        <f>IF('Estimate Summary'!$D$9&lt;5,0,$H218)</f>
        <v>0</v>
      </c>
      <c r="M218" s="469">
        <f>IF('Estimate Summary'!$D$9&lt;6,0,$H218)</f>
        <v>0</v>
      </c>
      <c r="N218" s="1882"/>
      <c r="P218" s="1810">
        <f t="shared" si="104"/>
        <v>40</v>
      </c>
      <c r="Q218" s="794">
        <v>42683</v>
      </c>
      <c r="R218" s="795">
        <f>$R$2+30.42*'Offshore CF'!CH13</f>
        <v>43895.199999999997</v>
      </c>
      <c r="S218" s="1811" t="s">
        <v>128</v>
      </c>
      <c r="T218" s="1811" t="s">
        <v>180</v>
      </c>
      <c r="U218" s="697" t="s">
        <v>1063</v>
      </c>
      <c r="V218" s="486" t="str">
        <f t="shared" si="93"/>
        <v>CNY</v>
      </c>
      <c r="W218" s="547"/>
      <c r="X218" s="1812">
        <f t="shared" si="105"/>
        <v>0</v>
      </c>
      <c r="Y218" s="1813"/>
      <c r="Z218" s="1813">
        <f t="shared" si="99"/>
        <v>0</v>
      </c>
      <c r="AA218" s="484">
        <f t="shared" si="106"/>
        <v>0</v>
      </c>
      <c r="AB218" s="484">
        <f t="shared" si="107"/>
        <v>0</v>
      </c>
      <c r="AC218" s="880"/>
      <c r="AD218" s="697">
        <f>IF(V218&lt;&gt;"CNY",(AB218+#REF!)*AC218,0)</f>
        <v>0</v>
      </c>
      <c r="AE218" s="697"/>
      <c r="AF218" s="861">
        <f>IF(V218&lt;&gt;"CNY",(AB218+#REF!)*$AD$53,0)</f>
        <v>0</v>
      </c>
      <c r="AG218" s="697">
        <f>IF(V218&lt;&gt;"CNY",F218*#REF!/1000,0)</f>
        <v>0</v>
      </c>
      <c r="AH218" s="861">
        <f t="shared" si="101"/>
        <v>0</v>
      </c>
      <c r="AI218" s="861">
        <f t="shared" si="108"/>
        <v>0</v>
      </c>
      <c r="AJ218" s="383" t="s">
        <v>669</v>
      </c>
      <c r="AK218" s="383" t="s">
        <v>1128</v>
      </c>
      <c r="AL218" s="605" t="str">
        <f t="shared" si="94"/>
        <v>CN</v>
      </c>
      <c r="AM218" s="899">
        <f>'Estimate Summary'!$D$9</f>
        <v>1</v>
      </c>
      <c r="AN218" s="605" t="s">
        <v>1136</v>
      </c>
      <c r="AO218" s="899">
        <f t="shared" si="95"/>
        <v>0</v>
      </c>
      <c r="AP218" s="605" t="str">
        <f t="shared" si="92"/>
        <v>CNY</v>
      </c>
      <c r="AQ218" s="605" t="s">
        <v>1139</v>
      </c>
      <c r="AR218" s="605" t="s">
        <v>670</v>
      </c>
      <c r="AS218" s="605" t="s">
        <v>751</v>
      </c>
      <c r="AT218" s="605" t="str">
        <f>'Estimate Summary'!$AT$11</f>
        <v>FOB SH</v>
      </c>
      <c r="AU218" s="610" t="str">
        <f t="shared" si="96"/>
        <v>CN</v>
      </c>
      <c r="AV218" s="605" t="s">
        <v>1140</v>
      </c>
      <c r="AW218" s="2255">
        <f t="shared" si="97"/>
        <v>42683</v>
      </c>
    </row>
    <row r="219" spans="2:49" s="605" customFormat="1" ht="13.5" hidden="1" customHeight="1" outlineLevel="1">
      <c r="B219" s="1079" t="s">
        <v>897</v>
      </c>
      <c r="C219" s="1645" t="s">
        <v>901</v>
      </c>
      <c r="D219" s="1830" t="s">
        <v>181</v>
      </c>
      <c r="E219" s="1646"/>
      <c r="F219" s="1639"/>
      <c r="G219" s="1738">
        <f t="shared" si="102"/>
        <v>0</v>
      </c>
      <c r="H219" s="2017">
        <f t="shared" si="103"/>
        <v>0</v>
      </c>
      <c r="I219" s="469">
        <f>IF('Estimate Summary'!$D$9&lt;2,0,$H219)</f>
        <v>0</v>
      </c>
      <c r="J219" s="469">
        <f>IF('Estimate Summary'!$D$9&lt;3,0,$H219)</f>
        <v>0</v>
      </c>
      <c r="K219" s="469">
        <f>IF('Estimate Summary'!$D$9&lt;4,0,$H219)</f>
        <v>0</v>
      </c>
      <c r="L219" s="469">
        <f>IF('Estimate Summary'!$D$9&lt;5,0,$H219)</f>
        <v>0</v>
      </c>
      <c r="M219" s="469">
        <f>IF('Estimate Summary'!$D$9&lt;6,0,$H219)</f>
        <v>0</v>
      </c>
      <c r="N219" s="1882"/>
      <c r="P219" s="1810">
        <f t="shared" si="104"/>
        <v>40</v>
      </c>
      <c r="Q219" s="794">
        <v>42683</v>
      </c>
      <c r="R219" s="795">
        <f>$R$2+30.42*'Offshore CF'!CH13</f>
        <v>43895.199999999997</v>
      </c>
      <c r="S219" s="1811" t="s">
        <v>128</v>
      </c>
      <c r="T219" s="1811" t="s">
        <v>180</v>
      </c>
      <c r="U219" s="697" t="s">
        <v>1064</v>
      </c>
      <c r="V219" s="486" t="str">
        <f t="shared" si="93"/>
        <v>CNY</v>
      </c>
      <c r="W219" s="547"/>
      <c r="X219" s="1812">
        <f t="shared" si="105"/>
        <v>0</v>
      </c>
      <c r="Y219" s="1813"/>
      <c r="Z219" s="1813">
        <f t="shared" si="99"/>
        <v>0</v>
      </c>
      <c r="AA219" s="484">
        <f t="shared" si="106"/>
        <v>0</v>
      </c>
      <c r="AB219" s="484">
        <f t="shared" si="107"/>
        <v>0</v>
      </c>
      <c r="AC219" s="880"/>
      <c r="AD219" s="697">
        <f>IF(V219&lt;&gt;"CNY",(AB219+#REF!)*AC219,0)</f>
        <v>0</v>
      </c>
      <c r="AE219" s="697"/>
      <c r="AF219" s="861">
        <f>IF(V219&lt;&gt;"CNY",(AB219+#REF!)*$AD$53,0)</f>
        <v>0</v>
      </c>
      <c r="AG219" s="697"/>
      <c r="AH219" s="861">
        <f t="shared" si="101"/>
        <v>0</v>
      </c>
      <c r="AI219" s="861">
        <f t="shared" si="108"/>
        <v>0</v>
      </c>
      <c r="AJ219" s="383" t="s">
        <v>669</v>
      </c>
      <c r="AK219" s="383" t="s">
        <v>1128</v>
      </c>
      <c r="AL219" s="605" t="str">
        <f t="shared" si="94"/>
        <v>CN</v>
      </c>
      <c r="AM219" s="899">
        <f>'Estimate Summary'!$D$9</f>
        <v>1</v>
      </c>
      <c r="AN219" s="605" t="s">
        <v>1136</v>
      </c>
      <c r="AO219" s="899">
        <f t="shared" si="95"/>
        <v>0</v>
      </c>
      <c r="AP219" s="605" t="str">
        <f t="shared" si="92"/>
        <v>CNY</v>
      </c>
      <c r="AQ219" s="605" t="s">
        <v>1139</v>
      </c>
      <c r="AR219" s="605" t="s">
        <v>670</v>
      </c>
      <c r="AS219" s="605" t="s">
        <v>751</v>
      </c>
      <c r="AT219" s="605" t="str">
        <f>'Estimate Summary'!$AT$11</f>
        <v>FOB SH</v>
      </c>
      <c r="AU219" s="610" t="str">
        <f t="shared" si="96"/>
        <v>CN</v>
      </c>
      <c r="AV219" s="605" t="s">
        <v>1140</v>
      </c>
      <c r="AW219" s="2255">
        <f t="shared" si="97"/>
        <v>42683</v>
      </c>
    </row>
    <row r="220" spans="2:49" s="605" customFormat="1" ht="13.5" hidden="1" customHeight="1" outlineLevel="1">
      <c r="B220" s="1079" t="s">
        <v>897</v>
      </c>
      <c r="C220" s="1645" t="s">
        <v>900</v>
      </c>
      <c r="D220" s="1831" t="s">
        <v>181</v>
      </c>
      <c r="E220" s="1646"/>
      <c r="F220" s="1639"/>
      <c r="G220" s="1738">
        <f t="shared" si="102"/>
        <v>0</v>
      </c>
      <c r="H220" s="2017">
        <f t="shared" si="103"/>
        <v>0</v>
      </c>
      <c r="I220" s="469">
        <f>IF('Estimate Summary'!$D$9&lt;2,0,$H220)</f>
        <v>0</v>
      </c>
      <c r="J220" s="469">
        <f>IF('Estimate Summary'!$D$9&lt;3,0,$H220)</f>
        <v>0</v>
      </c>
      <c r="K220" s="469">
        <f>IF('Estimate Summary'!$D$9&lt;4,0,$H220)</f>
        <v>0</v>
      </c>
      <c r="L220" s="469">
        <f>IF('Estimate Summary'!$D$9&lt;5,0,$H220)</f>
        <v>0</v>
      </c>
      <c r="M220" s="469">
        <f>IF('Estimate Summary'!$D$9&lt;6,0,$H220)</f>
        <v>0</v>
      </c>
      <c r="N220" s="1882"/>
      <c r="P220" s="1810">
        <f t="shared" si="104"/>
        <v>40</v>
      </c>
      <c r="Q220" s="794">
        <v>42683</v>
      </c>
      <c r="R220" s="795">
        <f>$R$2+30.42*'Offshore CF'!CH13</f>
        <v>43895.199999999997</v>
      </c>
      <c r="S220" s="1811" t="s">
        <v>128</v>
      </c>
      <c r="T220" s="1811" t="s">
        <v>180</v>
      </c>
      <c r="U220" s="697" t="s">
        <v>1065</v>
      </c>
      <c r="V220" s="486" t="str">
        <f t="shared" si="93"/>
        <v>CNY</v>
      </c>
      <c r="W220" s="547"/>
      <c r="X220" s="1812">
        <f t="shared" si="105"/>
        <v>0</v>
      </c>
      <c r="Y220" s="1813"/>
      <c r="Z220" s="1813">
        <f t="shared" si="99"/>
        <v>0</v>
      </c>
      <c r="AA220" s="484">
        <f t="shared" si="106"/>
        <v>0</v>
      </c>
      <c r="AB220" s="484">
        <f t="shared" si="107"/>
        <v>0</v>
      </c>
      <c r="AC220" s="880"/>
      <c r="AD220" s="697">
        <f>IF(V220&lt;&gt;"CNY",(AB220+#REF!)*AC220,0)</f>
        <v>0</v>
      </c>
      <c r="AE220" s="697"/>
      <c r="AF220" s="861">
        <f>IF(V220&lt;&gt;"CNY",(AB220+#REF!)*$AD$53,0)</f>
        <v>0</v>
      </c>
      <c r="AG220" s="697">
        <f>IF(V220&lt;&gt;"CNY",F220*#REF!/1000,0)</f>
        <v>0</v>
      </c>
      <c r="AH220" s="861">
        <f t="shared" si="101"/>
        <v>0</v>
      </c>
      <c r="AI220" s="861">
        <f t="shared" si="108"/>
        <v>0</v>
      </c>
      <c r="AJ220" s="383" t="s">
        <v>669</v>
      </c>
      <c r="AK220" s="383" t="s">
        <v>1128</v>
      </c>
      <c r="AL220" s="605" t="str">
        <f t="shared" si="94"/>
        <v>CN</v>
      </c>
      <c r="AM220" s="899">
        <f>'Estimate Summary'!$D$9</f>
        <v>1</v>
      </c>
      <c r="AN220" s="605" t="s">
        <v>1136</v>
      </c>
      <c r="AO220" s="899">
        <f t="shared" si="95"/>
        <v>0</v>
      </c>
      <c r="AP220" s="605" t="str">
        <f t="shared" si="92"/>
        <v>CNY</v>
      </c>
      <c r="AQ220" s="605" t="s">
        <v>1139</v>
      </c>
      <c r="AR220" s="605" t="s">
        <v>670</v>
      </c>
      <c r="AS220" s="605" t="s">
        <v>751</v>
      </c>
      <c r="AT220" s="605" t="str">
        <f>'Estimate Summary'!$AT$11</f>
        <v>FOB SH</v>
      </c>
      <c r="AU220" s="610" t="str">
        <f t="shared" si="96"/>
        <v>CN</v>
      </c>
      <c r="AV220" s="605" t="s">
        <v>1140</v>
      </c>
      <c r="AW220" s="2255">
        <f t="shared" si="97"/>
        <v>42683</v>
      </c>
    </row>
    <row r="221" spans="2:49" s="605" customFormat="1" ht="13.5" hidden="1" customHeight="1" outlineLevel="1">
      <c r="B221" s="1079" t="s">
        <v>897</v>
      </c>
      <c r="C221" s="1645" t="s">
        <v>902</v>
      </c>
      <c r="D221" s="1830" t="s">
        <v>181</v>
      </c>
      <c r="E221" s="1646"/>
      <c r="F221" s="1639"/>
      <c r="G221" s="1738">
        <f t="shared" si="102"/>
        <v>0</v>
      </c>
      <c r="H221" s="2017">
        <f t="shared" si="103"/>
        <v>0</v>
      </c>
      <c r="I221" s="469">
        <f>IF('Estimate Summary'!$D$9&lt;2,0,$H221)</f>
        <v>0</v>
      </c>
      <c r="J221" s="469">
        <f>IF('Estimate Summary'!$D$9&lt;3,0,$H221)</f>
        <v>0</v>
      </c>
      <c r="K221" s="469">
        <f>IF('Estimate Summary'!$D$9&lt;4,0,$H221)</f>
        <v>0</v>
      </c>
      <c r="L221" s="469">
        <f>IF('Estimate Summary'!$D$9&lt;5,0,$H221)</f>
        <v>0</v>
      </c>
      <c r="M221" s="469">
        <f>IF('Estimate Summary'!$D$9&lt;6,0,$H221)</f>
        <v>0</v>
      </c>
      <c r="N221" s="1882"/>
      <c r="P221" s="1810">
        <f t="shared" si="104"/>
        <v>40</v>
      </c>
      <c r="Q221" s="794">
        <v>42683</v>
      </c>
      <c r="R221" s="795">
        <f>$R$2+30.42*'Offshore CF'!CH13</f>
        <v>43895.199999999997</v>
      </c>
      <c r="S221" s="1811" t="s">
        <v>129</v>
      </c>
      <c r="T221" s="1811" t="s">
        <v>337</v>
      </c>
      <c r="U221" s="697" t="s">
        <v>1066</v>
      </c>
      <c r="V221" s="486" t="str">
        <f t="shared" si="93"/>
        <v>CNY</v>
      </c>
      <c r="W221" s="547"/>
      <c r="X221" s="1812">
        <f t="shared" si="105"/>
        <v>0</v>
      </c>
      <c r="Y221" s="1813"/>
      <c r="Z221" s="1813">
        <f t="shared" si="99"/>
        <v>0</v>
      </c>
      <c r="AA221" s="484">
        <f t="shared" si="106"/>
        <v>0</v>
      </c>
      <c r="AB221" s="484">
        <f t="shared" si="107"/>
        <v>0</v>
      </c>
      <c r="AC221" s="880"/>
      <c r="AD221" s="697">
        <f>IF(V221&lt;&gt;"CNY",(AB221+#REF!)*AC221,0)</f>
        <v>0</v>
      </c>
      <c r="AE221" s="697"/>
      <c r="AF221" s="861">
        <f>IF(V221&lt;&gt;"CNY",(AB221+#REF!)*$AD$53,0)</f>
        <v>0</v>
      </c>
      <c r="AG221" s="697">
        <f>IF(V221&lt;&gt;"CNY",F221*#REF!/1000,0)</f>
        <v>0</v>
      </c>
      <c r="AH221" s="861">
        <f t="shared" si="101"/>
        <v>0</v>
      </c>
      <c r="AI221" s="861">
        <f t="shared" si="108"/>
        <v>0</v>
      </c>
      <c r="AJ221" s="383" t="s">
        <v>669</v>
      </c>
      <c r="AK221" s="383" t="s">
        <v>1128</v>
      </c>
      <c r="AL221" s="605" t="str">
        <f t="shared" si="94"/>
        <v>CN</v>
      </c>
      <c r="AM221" s="899">
        <f>'Estimate Summary'!$D$9</f>
        <v>1</v>
      </c>
      <c r="AN221" s="605" t="s">
        <v>1136</v>
      </c>
      <c r="AO221" s="899">
        <f t="shared" si="95"/>
        <v>0</v>
      </c>
      <c r="AP221" s="605" t="str">
        <f t="shared" si="92"/>
        <v>CNY</v>
      </c>
      <c r="AQ221" s="605" t="s">
        <v>1139</v>
      </c>
      <c r="AR221" s="605" t="s">
        <v>670</v>
      </c>
      <c r="AS221" s="605" t="s">
        <v>751</v>
      </c>
      <c r="AT221" s="605" t="str">
        <f>'Estimate Summary'!$AT$11</f>
        <v>FOB SH</v>
      </c>
      <c r="AU221" s="610" t="str">
        <f t="shared" si="96"/>
        <v>CN</v>
      </c>
      <c r="AV221" s="605" t="s">
        <v>1140</v>
      </c>
      <c r="AW221" s="2255">
        <f t="shared" si="97"/>
        <v>42683</v>
      </c>
    </row>
    <row r="222" spans="2:49" s="605" customFormat="1" ht="13.5" hidden="1" customHeight="1" outlineLevel="1">
      <c r="B222" s="1079" t="s">
        <v>897</v>
      </c>
      <c r="C222" s="1645" t="s">
        <v>903</v>
      </c>
      <c r="D222" s="1831" t="s">
        <v>181</v>
      </c>
      <c r="E222" s="1646"/>
      <c r="F222" s="1639"/>
      <c r="G222" s="1738">
        <f t="shared" si="102"/>
        <v>0</v>
      </c>
      <c r="H222" s="2017">
        <f t="shared" si="103"/>
        <v>0</v>
      </c>
      <c r="I222" s="469">
        <f>IF('Estimate Summary'!$D$9&lt;2,0,$H222)</f>
        <v>0</v>
      </c>
      <c r="J222" s="469">
        <f>IF('Estimate Summary'!$D$9&lt;3,0,$H222)</f>
        <v>0</v>
      </c>
      <c r="K222" s="469">
        <f>IF('Estimate Summary'!$D$9&lt;4,0,$H222)</f>
        <v>0</v>
      </c>
      <c r="L222" s="469">
        <f>IF('Estimate Summary'!$D$9&lt;5,0,$H222)</f>
        <v>0</v>
      </c>
      <c r="M222" s="469">
        <f>IF('Estimate Summary'!$D$9&lt;6,0,$H222)</f>
        <v>0</v>
      </c>
      <c r="N222" s="1882"/>
      <c r="P222" s="1810">
        <f t="shared" si="104"/>
        <v>40</v>
      </c>
      <c r="Q222" s="794">
        <v>42683</v>
      </c>
      <c r="R222" s="795">
        <f>$R$2+30.42*'Offshore CF'!CH13</f>
        <v>43895.199999999997</v>
      </c>
      <c r="S222" s="1811" t="s">
        <v>129</v>
      </c>
      <c r="T222" s="1811" t="s">
        <v>337</v>
      </c>
      <c r="U222" s="697" t="s">
        <v>1066</v>
      </c>
      <c r="V222" s="486" t="str">
        <f t="shared" si="93"/>
        <v>CNY</v>
      </c>
      <c r="W222" s="547"/>
      <c r="X222" s="1812">
        <f t="shared" si="105"/>
        <v>0</v>
      </c>
      <c r="Y222" s="1813"/>
      <c r="Z222" s="1813">
        <f t="shared" si="99"/>
        <v>0</v>
      </c>
      <c r="AA222" s="484">
        <f t="shared" si="106"/>
        <v>0</v>
      </c>
      <c r="AB222" s="484">
        <f t="shared" si="107"/>
        <v>0</v>
      </c>
      <c r="AC222" s="880"/>
      <c r="AD222" s="697">
        <f>IF(V222&lt;&gt;"CNY",(AB222+#REF!)*AC222,0)</f>
        <v>0</v>
      </c>
      <c r="AE222" s="697"/>
      <c r="AF222" s="861">
        <f>IF(V222&lt;&gt;"CNY",(AB222+#REF!)*$AD$53,0)</f>
        <v>0</v>
      </c>
      <c r="AG222" s="697">
        <f>IF(V222&lt;&gt;"CNY",F222*#REF!/1000,0)</f>
        <v>0</v>
      </c>
      <c r="AH222" s="861">
        <f t="shared" si="101"/>
        <v>0</v>
      </c>
      <c r="AI222" s="861">
        <f t="shared" si="108"/>
        <v>0</v>
      </c>
      <c r="AJ222" s="383" t="s">
        <v>669</v>
      </c>
      <c r="AK222" s="383" t="s">
        <v>1128</v>
      </c>
      <c r="AL222" s="605" t="str">
        <f t="shared" si="94"/>
        <v>CN</v>
      </c>
      <c r="AM222" s="899">
        <f>'Estimate Summary'!$D$9</f>
        <v>1</v>
      </c>
      <c r="AN222" s="605" t="s">
        <v>1136</v>
      </c>
      <c r="AO222" s="899">
        <f t="shared" si="95"/>
        <v>0</v>
      </c>
      <c r="AP222" s="605" t="str">
        <f t="shared" si="92"/>
        <v>CNY</v>
      </c>
      <c r="AQ222" s="605" t="s">
        <v>1139</v>
      </c>
      <c r="AR222" s="605" t="s">
        <v>670</v>
      </c>
      <c r="AS222" s="605" t="s">
        <v>751</v>
      </c>
      <c r="AT222" s="605" t="str">
        <f>'Estimate Summary'!$AT$11</f>
        <v>FOB SH</v>
      </c>
      <c r="AU222" s="610" t="str">
        <f t="shared" si="96"/>
        <v>CN</v>
      </c>
      <c r="AV222" s="605" t="s">
        <v>1140</v>
      </c>
      <c r="AW222" s="2255">
        <f t="shared" si="97"/>
        <v>42683</v>
      </c>
    </row>
    <row r="223" spans="2:49" s="605" customFormat="1" ht="13.5" hidden="1" customHeight="1" outlineLevel="1">
      <c r="B223" s="1079" t="s">
        <v>897</v>
      </c>
      <c r="C223" s="1645" t="s">
        <v>1067</v>
      </c>
      <c r="D223" s="1831" t="s">
        <v>181</v>
      </c>
      <c r="E223" s="1646"/>
      <c r="F223" s="1639"/>
      <c r="G223" s="1738">
        <f t="shared" si="102"/>
        <v>0</v>
      </c>
      <c r="H223" s="2017">
        <f>AB223</f>
        <v>0</v>
      </c>
      <c r="I223" s="469">
        <f>IF('Estimate Summary'!$D$9&lt;2,0,$H223)</f>
        <v>0</v>
      </c>
      <c r="J223" s="469">
        <f>IF('Estimate Summary'!$D$9&lt;3,0,$H223)</f>
        <v>0</v>
      </c>
      <c r="K223" s="469">
        <f>IF('Estimate Summary'!$D$9&lt;4,0,$H223)</f>
        <v>0</v>
      </c>
      <c r="L223" s="469">
        <f>IF('Estimate Summary'!$D$9&lt;5,0,$H223)</f>
        <v>0</v>
      </c>
      <c r="M223" s="469">
        <f>IF('Estimate Summary'!$D$9&lt;6,0,$H223)</f>
        <v>0</v>
      </c>
      <c r="N223" s="1882"/>
      <c r="P223" s="1810">
        <f t="shared" si="104"/>
        <v>40</v>
      </c>
      <c r="Q223" s="794">
        <v>42683</v>
      </c>
      <c r="R223" s="795">
        <f>$R$2+30.42*'Offshore CF'!CH13</f>
        <v>43895.199999999997</v>
      </c>
      <c r="S223" s="1811" t="s">
        <v>129</v>
      </c>
      <c r="T223" s="1811" t="s">
        <v>337</v>
      </c>
      <c r="U223" s="697" t="s">
        <v>676</v>
      </c>
      <c r="V223" s="486" t="str">
        <f t="shared" si="93"/>
        <v>CNY</v>
      </c>
      <c r="W223" s="547"/>
      <c r="X223" s="1812">
        <f t="shared" ref="X223:X232" si="109">IF(V223="CNY",W223/1.17/1000,W223/1000)</f>
        <v>0</v>
      </c>
      <c r="Y223" s="1813"/>
      <c r="Z223" s="1813">
        <f t="shared" si="99"/>
        <v>0</v>
      </c>
      <c r="AA223" s="484">
        <f t="shared" ref="AA223:AA232" si="110">X223*(1-Z223)</f>
        <v>0</v>
      </c>
      <c r="AB223" s="484">
        <f>IF(V223="CNY",X223*(1-Z223),IF(V223="EUR",X223*(1-Z223)*$R$5,IF(V223="JPY",X223*(1-Z223)*$R$6,IF(V223="USD",X223*(1-Z223)*$R$7))))</f>
        <v>0</v>
      </c>
      <c r="AC223" s="880"/>
      <c r="AD223" s="697">
        <f>IF(V223&lt;&gt;"CNY",(AB223+#REF!)*AC223,0)</f>
        <v>0</v>
      </c>
      <c r="AE223" s="697"/>
      <c r="AF223" s="861">
        <f>IF(V223&lt;&gt;"CNY",(AB223+#REF!)*$AD$53,0)</f>
        <v>0</v>
      </c>
      <c r="AG223" s="697">
        <f>IF(V223&lt;&gt;"CNY",F223*#REF!/1000,0)</f>
        <v>0</v>
      </c>
      <c r="AH223" s="861">
        <f t="shared" si="101"/>
        <v>0</v>
      </c>
      <c r="AI223" s="861">
        <f t="shared" si="108"/>
        <v>0</v>
      </c>
      <c r="AJ223" s="383" t="s">
        <v>669</v>
      </c>
      <c r="AK223" s="383" t="s">
        <v>1128</v>
      </c>
      <c r="AL223" s="605" t="str">
        <f t="shared" si="94"/>
        <v>CN</v>
      </c>
      <c r="AM223" s="899">
        <f>'Estimate Summary'!$D$9</f>
        <v>1</v>
      </c>
      <c r="AN223" s="605" t="s">
        <v>1136</v>
      </c>
      <c r="AO223" s="899">
        <f t="shared" si="95"/>
        <v>0</v>
      </c>
      <c r="AP223" s="605" t="str">
        <f t="shared" si="92"/>
        <v>CNY</v>
      </c>
      <c r="AQ223" s="605" t="s">
        <v>1139</v>
      </c>
      <c r="AR223" s="605" t="s">
        <v>670</v>
      </c>
      <c r="AS223" s="605" t="s">
        <v>751</v>
      </c>
      <c r="AT223" s="605" t="str">
        <f>'Estimate Summary'!$AT$11</f>
        <v>FOB SH</v>
      </c>
      <c r="AU223" s="610" t="str">
        <f t="shared" si="96"/>
        <v>CN</v>
      </c>
      <c r="AV223" s="605" t="s">
        <v>1140</v>
      </c>
      <c r="AW223" s="2255">
        <f t="shared" si="97"/>
        <v>42683</v>
      </c>
    </row>
    <row r="224" spans="2:49" s="605" customFormat="1" ht="13.5" hidden="1" customHeight="1" outlineLevel="1">
      <c r="B224" s="1079" t="s">
        <v>898</v>
      </c>
      <c r="C224" s="1645" t="s">
        <v>904</v>
      </c>
      <c r="D224" s="1831" t="s">
        <v>181</v>
      </c>
      <c r="E224" s="1646"/>
      <c r="F224" s="1639"/>
      <c r="G224" s="1738">
        <f t="shared" si="102"/>
        <v>0</v>
      </c>
      <c r="H224" s="2017">
        <f t="shared" si="103"/>
        <v>0</v>
      </c>
      <c r="I224" s="469">
        <f>IF('Estimate Summary'!$D$9&lt;2,0,$H224)</f>
        <v>0</v>
      </c>
      <c r="J224" s="469">
        <f>IF('Estimate Summary'!$D$9&lt;3,0,$H224)</f>
        <v>0</v>
      </c>
      <c r="K224" s="469">
        <f>IF('Estimate Summary'!$D$9&lt;4,0,$H224)</f>
        <v>0</v>
      </c>
      <c r="L224" s="469">
        <f>IF('Estimate Summary'!$D$9&lt;5,0,$H224)</f>
        <v>0</v>
      </c>
      <c r="M224" s="469">
        <f>IF('Estimate Summary'!$D$9&lt;6,0,$H224)</f>
        <v>0</v>
      </c>
      <c r="N224" s="1882"/>
      <c r="P224" s="1810">
        <f t="shared" si="104"/>
        <v>40</v>
      </c>
      <c r="Q224" s="794">
        <v>42683</v>
      </c>
      <c r="R224" s="795">
        <f>$R$2+30.42*'Offshore CF'!CH13</f>
        <v>43895.199999999997</v>
      </c>
      <c r="S224" s="1811" t="s">
        <v>128</v>
      </c>
      <c r="T224" s="1811" t="s">
        <v>180</v>
      </c>
      <c r="U224" s="697" t="s">
        <v>1068</v>
      </c>
      <c r="V224" s="486" t="str">
        <f t="shared" si="93"/>
        <v>CNY</v>
      </c>
      <c r="W224" s="547"/>
      <c r="X224" s="1812">
        <f t="shared" si="109"/>
        <v>0</v>
      </c>
      <c r="Y224" s="1813"/>
      <c r="Z224" s="1813">
        <f t="shared" si="99"/>
        <v>0</v>
      </c>
      <c r="AA224" s="484">
        <f t="shared" si="110"/>
        <v>0</v>
      </c>
      <c r="AB224" s="484">
        <f>IF(V224="CNY",X224*(1-Z224),IF(V224="EUR",X224*(1-Z224)*$R$5,IF(V224="JPY",X224*(1-Z224)*$R$6,IF(V224="USD",X224*(1-Z224)*$R$7))))</f>
        <v>0</v>
      </c>
      <c r="AC224" s="880"/>
      <c r="AD224" s="697">
        <f>IF(V224&lt;&gt;"CNY",(AB224+#REF!)*AC224,0)</f>
        <v>0</v>
      </c>
      <c r="AE224" s="697"/>
      <c r="AF224" s="861">
        <f>IF(V224&lt;&gt;"CNY",(AB224+#REF!)*$AD$53,0)</f>
        <v>0</v>
      </c>
      <c r="AG224" s="697">
        <f>IF(V224&lt;&gt;"CNY",F224*#REF!/1000,0)</f>
        <v>0</v>
      </c>
      <c r="AH224" s="861">
        <f t="shared" si="101"/>
        <v>0</v>
      </c>
      <c r="AI224" s="861">
        <f t="shared" si="108"/>
        <v>0</v>
      </c>
      <c r="AJ224" s="383" t="s">
        <v>669</v>
      </c>
      <c r="AK224" s="383" t="s">
        <v>1128</v>
      </c>
      <c r="AL224" s="605" t="str">
        <f t="shared" si="94"/>
        <v>CN</v>
      </c>
      <c r="AM224" s="899">
        <f>'Estimate Summary'!$D$9</f>
        <v>1</v>
      </c>
      <c r="AN224" s="605" t="s">
        <v>1136</v>
      </c>
      <c r="AO224" s="899">
        <f t="shared" si="95"/>
        <v>0</v>
      </c>
      <c r="AP224" s="605" t="str">
        <f t="shared" si="92"/>
        <v>CNY</v>
      </c>
      <c r="AQ224" s="605" t="s">
        <v>1139</v>
      </c>
      <c r="AR224" s="605" t="s">
        <v>670</v>
      </c>
      <c r="AS224" s="605" t="s">
        <v>751</v>
      </c>
      <c r="AT224" s="605" t="str">
        <f>'Estimate Summary'!$AT$11</f>
        <v>FOB SH</v>
      </c>
      <c r="AU224" s="610" t="str">
        <f t="shared" si="96"/>
        <v>CN</v>
      </c>
      <c r="AV224" s="605" t="s">
        <v>1140</v>
      </c>
      <c r="AW224" s="2255">
        <f t="shared" si="97"/>
        <v>42683</v>
      </c>
    </row>
    <row r="225" spans="1:49" s="605" customFormat="1" ht="26.25" hidden="1" customHeight="1" outlineLevel="1">
      <c r="B225" s="1079" t="s">
        <v>897</v>
      </c>
      <c r="C225" s="386" t="s">
        <v>905</v>
      </c>
      <c r="D225" s="1831" t="s">
        <v>181</v>
      </c>
      <c r="E225" s="421"/>
      <c r="F225" s="390"/>
      <c r="G225" s="1738">
        <f t="shared" si="102"/>
        <v>0</v>
      </c>
      <c r="H225" s="2017">
        <f t="shared" si="103"/>
        <v>0</v>
      </c>
      <c r="I225" s="469">
        <f>IF('Estimate Summary'!$D$9&lt;2,0,$H225)</f>
        <v>0</v>
      </c>
      <c r="J225" s="469">
        <f>IF('Estimate Summary'!$D$9&lt;3,0,$H225)</f>
        <v>0</v>
      </c>
      <c r="K225" s="469">
        <f>IF('Estimate Summary'!$D$9&lt;4,0,$H225)</f>
        <v>0</v>
      </c>
      <c r="L225" s="469">
        <f>IF('Estimate Summary'!$D$9&lt;5,0,$H225)</f>
        <v>0</v>
      </c>
      <c r="M225" s="469">
        <f>IF('Estimate Summary'!$D$9&lt;6,0,$H225)</f>
        <v>0</v>
      </c>
      <c r="N225" s="1882"/>
      <c r="P225" s="1810">
        <f t="shared" si="104"/>
        <v>40</v>
      </c>
      <c r="Q225" s="794">
        <v>42683</v>
      </c>
      <c r="R225" s="795">
        <f>$R$2+30.42*'Offshore CF'!CH13</f>
        <v>43895.199999999997</v>
      </c>
      <c r="S225" s="1811" t="s">
        <v>128</v>
      </c>
      <c r="T225" s="1811" t="s">
        <v>337</v>
      </c>
      <c r="U225" s="697" t="s">
        <v>1069</v>
      </c>
      <c r="V225" s="486" t="str">
        <f t="shared" si="93"/>
        <v>CNY</v>
      </c>
      <c r="W225" s="547"/>
      <c r="X225" s="1812">
        <f t="shared" si="109"/>
        <v>0</v>
      </c>
      <c r="Y225" s="1813"/>
      <c r="Z225" s="1813">
        <f t="shared" si="99"/>
        <v>0</v>
      </c>
      <c r="AA225" s="484">
        <f t="shared" si="110"/>
        <v>0</v>
      </c>
      <c r="AB225" s="484">
        <f>IF(V225="CNY",X225*(1-Z225),IF(V225="EUR",X225*(1-Z225)*$R$5,IF(V225="JPY",X225*(1-Z225)*$R$6,IF(V225="USD",X225*(1-Z225)*$R$7))))</f>
        <v>0</v>
      </c>
      <c r="AC225" s="880"/>
      <c r="AD225" s="697">
        <f>IF(V225&lt;&gt;"CNY",(AB225+#REF!)*AC225,0)</f>
        <v>0</v>
      </c>
      <c r="AE225" s="697"/>
      <c r="AF225" s="861">
        <f>IF(V225&lt;&gt;"CNY",(AB225+#REF!)*$AD$53,0)</f>
        <v>0</v>
      </c>
      <c r="AG225" s="697">
        <f>IF(V225&lt;&gt;"CNY",F225*#REF!/1000,0)</f>
        <v>0</v>
      </c>
      <c r="AH225" s="861">
        <f t="shared" si="101"/>
        <v>0</v>
      </c>
      <c r="AI225" s="861">
        <f t="shared" si="108"/>
        <v>0</v>
      </c>
      <c r="AJ225" s="383" t="s">
        <v>669</v>
      </c>
      <c r="AK225" s="383" t="s">
        <v>1128</v>
      </c>
      <c r="AL225" s="605" t="str">
        <f t="shared" si="94"/>
        <v>CN</v>
      </c>
      <c r="AM225" s="899">
        <f>'Estimate Summary'!$D$9</f>
        <v>1</v>
      </c>
      <c r="AN225" s="605" t="s">
        <v>1136</v>
      </c>
      <c r="AO225" s="899">
        <f t="shared" si="95"/>
        <v>0</v>
      </c>
      <c r="AP225" s="605" t="str">
        <f t="shared" si="92"/>
        <v>CNY</v>
      </c>
      <c r="AQ225" s="605" t="s">
        <v>1139</v>
      </c>
      <c r="AR225" s="605" t="s">
        <v>670</v>
      </c>
      <c r="AS225" s="605" t="s">
        <v>751</v>
      </c>
      <c r="AT225" s="605" t="str">
        <f>'Estimate Summary'!$AT$11</f>
        <v>FOB SH</v>
      </c>
      <c r="AU225" s="610" t="str">
        <f t="shared" si="96"/>
        <v>CN</v>
      </c>
      <c r="AV225" s="605" t="s">
        <v>1140</v>
      </c>
      <c r="AW225" s="2255">
        <f t="shared" si="97"/>
        <v>42683</v>
      </c>
    </row>
    <row r="226" spans="1:49" s="605" customFormat="1" ht="13.5" hidden="1" customHeight="1" outlineLevel="1">
      <c r="B226" s="1079" t="s">
        <v>687</v>
      </c>
      <c r="C226" s="386" t="s">
        <v>906</v>
      </c>
      <c r="D226" s="1831" t="s">
        <v>181</v>
      </c>
      <c r="E226" s="421"/>
      <c r="F226" s="390"/>
      <c r="G226" s="1738">
        <f t="shared" si="102"/>
        <v>0</v>
      </c>
      <c r="H226" s="2017">
        <f t="shared" si="103"/>
        <v>0</v>
      </c>
      <c r="I226" s="469">
        <f>IF('Estimate Summary'!$D$9&lt;2,0,$H226)</f>
        <v>0</v>
      </c>
      <c r="J226" s="469">
        <f>IF('Estimate Summary'!$D$9&lt;3,0,$H226)</f>
        <v>0</v>
      </c>
      <c r="K226" s="469">
        <f>IF('Estimate Summary'!$D$9&lt;4,0,$H226)</f>
        <v>0</v>
      </c>
      <c r="L226" s="469">
        <f>IF('Estimate Summary'!$D$9&lt;5,0,$H226)</f>
        <v>0</v>
      </c>
      <c r="M226" s="469">
        <f>IF('Estimate Summary'!$D$9&lt;6,0,$H226)</f>
        <v>0</v>
      </c>
      <c r="N226" s="1882"/>
      <c r="P226" s="1810">
        <f t="shared" si="104"/>
        <v>40</v>
      </c>
      <c r="Q226" s="794">
        <v>42683</v>
      </c>
      <c r="R226" s="795">
        <f>$R$2+30.42*'Offshore CF'!CH13</f>
        <v>43895.199999999997</v>
      </c>
      <c r="S226" s="1811" t="s">
        <v>128</v>
      </c>
      <c r="T226" s="1811" t="s">
        <v>180</v>
      </c>
      <c r="U226" s="697" t="s">
        <v>615</v>
      </c>
      <c r="V226" s="486" t="str">
        <f t="shared" si="93"/>
        <v>CNY</v>
      </c>
      <c r="W226" s="547"/>
      <c r="X226" s="1812">
        <f t="shared" si="109"/>
        <v>0</v>
      </c>
      <c r="Y226" s="1813"/>
      <c r="Z226" s="1813">
        <f t="shared" si="99"/>
        <v>0</v>
      </c>
      <c r="AA226" s="484">
        <f t="shared" si="110"/>
        <v>0</v>
      </c>
      <c r="AB226" s="484">
        <f>IF(V226="CNY",X226*(1-Z226),IF(V226="EUR",X226*(1-Z226)*$R$5,IF(V226="JPY",X226*(1-Z226)*$R$6,IF(V226="USD",X226*(1-Z226)*$R$7))))</f>
        <v>0</v>
      </c>
      <c r="AC226" s="880"/>
      <c r="AD226" s="697">
        <f>IF(V226&lt;&gt;"CNY",(AB226+#REF!)*AC226,0)</f>
        <v>0</v>
      </c>
      <c r="AE226" s="697"/>
      <c r="AF226" s="861">
        <f>IF(V226&lt;&gt;"CNY",(AB226+#REF!)*$AD$53,0)</f>
        <v>0</v>
      </c>
      <c r="AG226" s="697">
        <f>IF(V226&lt;&gt;"CNY",F226*#REF!/1000,0)</f>
        <v>0</v>
      </c>
      <c r="AH226" s="861">
        <f t="shared" si="101"/>
        <v>0</v>
      </c>
      <c r="AI226" s="861">
        <f t="shared" si="108"/>
        <v>0</v>
      </c>
      <c r="AJ226" s="383" t="s">
        <v>669</v>
      </c>
      <c r="AK226" s="383" t="s">
        <v>1128</v>
      </c>
      <c r="AL226" s="605" t="str">
        <f t="shared" si="94"/>
        <v>CN</v>
      </c>
      <c r="AM226" s="899">
        <f>'Estimate Summary'!$D$9</f>
        <v>1</v>
      </c>
      <c r="AN226" s="605" t="s">
        <v>1136</v>
      </c>
      <c r="AO226" s="899">
        <f t="shared" si="95"/>
        <v>0</v>
      </c>
      <c r="AP226" s="605" t="str">
        <f t="shared" si="92"/>
        <v>CNY</v>
      </c>
      <c r="AQ226" s="605" t="s">
        <v>1139</v>
      </c>
      <c r="AR226" s="605" t="s">
        <v>670</v>
      </c>
      <c r="AS226" s="605" t="s">
        <v>751</v>
      </c>
      <c r="AT226" s="605" t="str">
        <f>'Estimate Summary'!$AT$11</f>
        <v>FOB SH</v>
      </c>
      <c r="AU226" s="610" t="str">
        <f t="shared" si="96"/>
        <v>CN</v>
      </c>
      <c r="AV226" s="605" t="s">
        <v>1140</v>
      </c>
      <c r="AW226" s="2255">
        <f t="shared" si="97"/>
        <v>42683</v>
      </c>
    </row>
    <row r="227" spans="1:49" s="605" customFormat="1" ht="13.5" hidden="1" customHeight="1" outlineLevel="1">
      <c r="B227" s="1079" t="s">
        <v>687</v>
      </c>
      <c r="C227" s="386" t="s">
        <v>906</v>
      </c>
      <c r="D227" s="1831" t="s">
        <v>181</v>
      </c>
      <c r="E227" s="421"/>
      <c r="F227" s="390"/>
      <c r="G227" s="1738">
        <f t="shared" si="102"/>
        <v>0</v>
      </c>
      <c r="H227" s="2017">
        <f>AB227</f>
        <v>0</v>
      </c>
      <c r="I227" s="469">
        <f>IF('Estimate Summary'!$D$9&lt;2,0,$H227)</f>
        <v>0</v>
      </c>
      <c r="J227" s="469">
        <f>IF('Estimate Summary'!$D$9&lt;3,0,$H227)</f>
        <v>0</v>
      </c>
      <c r="K227" s="469">
        <f>IF('Estimate Summary'!$D$9&lt;4,0,$H227)</f>
        <v>0</v>
      </c>
      <c r="L227" s="469">
        <f>IF('Estimate Summary'!$D$9&lt;5,0,$H227)</f>
        <v>0</v>
      </c>
      <c r="M227" s="469">
        <f>IF('Estimate Summary'!$D$9&lt;6,0,$H227)</f>
        <v>0</v>
      </c>
      <c r="N227" s="1882"/>
      <c r="P227" s="1810">
        <f>IF(Q227=0,0,(YEAR(R227)-YEAR(Q227))*12+(MONTH(R227)-MONTH(Q227)))</f>
        <v>40</v>
      </c>
      <c r="Q227" s="794">
        <v>42683</v>
      </c>
      <c r="R227" s="795">
        <f>$R$2+30.42*'Offshore CF'!CH13</f>
        <v>43895.199999999997</v>
      </c>
      <c r="S227" s="1811" t="s">
        <v>128</v>
      </c>
      <c r="T227" s="1811" t="s">
        <v>180</v>
      </c>
      <c r="U227" s="697" t="s">
        <v>615</v>
      </c>
      <c r="V227" s="486" t="str">
        <f>D227</f>
        <v>CNY</v>
      </c>
      <c r="W227" s="547"/>
      <c r="X227" s="1812">
        <f t="shared" si="109"/>
        <v>0</v>
      </c>
      <c r="Y227" s="1813"/>
      <c r="Z227" s="1813">
        <f>Y227+$Z$78</f>
        <v>0</v>
      </c>
      <c r="AA227" s="484">
        <f t="shared" si="110"/>
        <v>0</v>
      </c>
      <c r="AB227" s="484">
        <f>IF(V227="CNY",X227*(1-Z227),IF(V227="EUR",X227*(1-Z227)*$R$5,IF(V227="JPY",X227*(1-Z227)*$R$6,IF(V227="USD",X227*(1-Z227)*$R$7))))</f>
        <v>0</v>
      </c>
      <c r="AC227" s="880"/>
      <c r="AD227" s="697">
        <f>IF(V227&lt;&gt;"CNY",(AB227+#REF!)*AC227,0)</f>
        <v>0</v>
      </c>
      <c r="AE227" s="697"/>
      <c r="AF227" s="861">
        <f>IF(V227&lt;&gt;"CNY",(AB227+#REF!)*$AD$53,0)</f>
        <v>0</v>
      </c>
      <c r="AG227" s="697">
        <f>IF(V227&lt;&gt;"CNY",F227*#REF!/1000,0)</f>
        <v>0</v>
      </c>
      <c r="AH227" s="861">
        <f>SUM(AD227:AG227)</f>
        <v>0</v>
      </c>
      <c r="AI227" s="861">
        <f>AB227+AH227</f>
        <v>0</v>
      </c>
      <c r="AJ227" s="383" t="s">
        <v>669</v>
      </c>
      <c r="AK227" s="383" t="s">
        <v>1128</v>
      </c>
      <c r="AL227" s="605" t="str">
        <f>IF(D227="CNY","CN",IF(D227="EUR","DE",IF(D227="USD","US",IF(D227="JPY","JP",IF(D227="INR","IN")))))</f>
        <v>CN</v>
      </c>
      <c r="AM227" s="899">
        <f>'Estimate Summary'!$D$9</f>
        <v>1</v>
      </c>
      <c r="AN227" s="605" t="s">
        <v>1136</v>
      </c>
      <c r="AO227" s="899">
        <f>G227</f>
        <v>0</v>
      </c>
      <c r="AP227" s="605" t="str">
        <f t="shared" si="92"/>
        <v>CNY</v>
      </c>
      <c r="AQ227" s="605" t="s">
        <v>1139</v>
      </c>
      <c r="AR227" s="605" t="s">
        <v>670</v>
      </c>
      <c r="AS227" s="605" t="s">
        <v>751</v>
      </c>
      <c r="AT227" s="605" t="str">
        <f>'Estimate Summary'!$AT$11</f>
        <v>FOB SH</v>
      </c>
      <c r="AU227" s="610" t="str">
        <f>AL227</f>
        <v>CN</v>
      </c>
      <c r="AV227" s="605" t="s">
        <v>1140</v>
      </c>
      <c r="AW227" s="2255">
        <f>Q227</f>
        <v>42683</v>
      </c>
    </row>
    <row r="228" spans="1:49" s="605" customFormat="1" ht="26.25" hidden="1" customHeight="1" outlineLevel="1">
      <c r="B228" s="1079" t="s">
        <v>897</v>
      </c>
      <c r="C228" s="386" t="s">
        <v>1071</v>
      </c>
      <c r="D228" s="1831"/>
      <c r="E228" s="421"/>
      <c r="F228" s="390"/>
      <c r="G228" s="1738">
        <f t="shared" si="102"/>
        <v>0</v>
      </c>
      <c r="H228" s="1738">
        <f t="shared" si="103"/>
        <v>0</v>
      </c>
      <c r="I228" s="469">
        <f>IF('Estimate Summary'!$D$9&lt;2,0,$H228)</f>
        <v>0</v>
      </c>
      <c r="J228" s="469">
        <f>IF('Estimate Summary'!$D$9&lt;3,0,$H228)</f>
        <v>0</v>
      </c>
      <c r="K228" s="469">
        <f>IF('Estimate Summary'!$D$9&lt;4,0,$H228)</f>
        <v>0</v>
      </c>
      <c r="L228" s="469">
        <f>IF('Estimate Summary'!$D$9&lt;5,0,$H228)</f>
        <v>0</v>
      </c>
      <c r="M228" s="469">
        <f>IF('Estimate Summary'!$D$9&lt;6,0,$H228)</f>
        <v>0</v>
      </c>
      <c r="N228" s="1931" t="s">
        <v>1323</v>
      </c>
      <c r="P228" s="1810">
        <f t="shared" si="104"/>
        <v>0</v>
      </c>
      <c r="Q228" s="794"/>
      <c r="R228" s="795"/>
      <c r="S228" s="1811"/>
      <c r="T228" s="1811"/>
      <c r="U228" s="697"/>
      <c r="V228" s="486">
        <f t="shared" si="93"/>
        <v>0</v>
      </c>
      <c r="W228" s="547"/>
      <c r="X228" s="1812">
        <f t="shared" si="109"/>
        <v>0</v>
      </c>
      <c r="Y228" s="1813"/>
      <c r="Z228" s="1813">
        <f t="shared" si="99"/>
        <v>0</v>
      </c>
      <c r="AA228" s="484">
        <f t="shared" si="110"/>
        <v>0</v>
      </c>
      <c r="AB228" s="1012"/>
      <c r="AC228" s="880"/>
      <c r="AD228" s="697"/>
      <c r="AE228" s="697"/>
      <c r="AF228" s="861"/>
      <c r="AG228" s="697"/>
      <c r="AH228" s="861">
        <f t="shared" si="101"/>
        <v>0</v>
      </c>
      <c r="AI228" s="861">
        <f t="shared" si="108"/>
        <v>0</v>
      </c>
      <c r="AJ228" s="383" t="s">
        <v>669</v>
      </c>
      <c r="AK228" s="383" t="s">
        <v>1128</v>
      </c>
      <c r="AL228" s="605" t="b">
        <f t="shared" si="94"/>
        <v>0</v>
      </c>
      <c r="AM228" s="899">
        <f>'Estimate Summary'!$D$9</f>
        <v>1</v>
      </c>
      <c r="AN228" s="605" t="s">
        <v>1136</v>
      </c>
      <c r="AO228" s="899">
        <f t="shared" si="95"/>
        <v>0</v>
      </c>
      <c r="AP228" s="605">
        <f t="shared" si="92"/>
        <v>0</v>
      </c>
      <c r="AQ228" s="605" t="s">
        <v>1139</v>
      </c>
      <c r="AR228" s="605" t="s">
        <v>670</v>
      </c>
      <c r="AS228" s="605" t="s">
        <v>751</v>
      </c>
      <c r="AT228" s="605" t="str">
        <f>'Estimate Summary'!$AT$11</f>
        <v>FOB SH</v>
      </c>
      <c r="AU228" s="610" t="b">
        <f t="shared" si="96"/>
        <v>0</v>
      </c>
      <c r="AV228" s="605" t="s">
        <v>1140</v>
      </c>
      <c r="AW228" s="2255">
        <f t="shared" si="97"/>
        <v>0</v>
      </c>
    </row>
    <row r="229" spans="1:49" s="605" customFormat="1" ht="26.25" hidden="1" customHeight="1" outlineLevel="1">
      <c r="B229" s="1079" t="s">
        <v>897</v>
      </c>
      <c r="C229" s="1645" t="s">
        <v>1074</v>
      </c>
      <c r="D229" s="1831"/>
      <c r="E229" s="1646"/>
      <c r="F229" s="1639"/>
      <c r="G229" s="1738">
        <f t="shared" si="102"/>
        <v>0</v>
      </c>
      <c r="H229" s="1738">
        <f t="shared" si="103"/>
        <v>0</v>
      </c>
      <c r="I229" s="469">
        <f>IF('Estimate Summary'!$D$9&lt;2,0,$H229)</f>
        <v>0</v>
      </c>
      <c r="J229" s="469">
        <f>IF('Estimate Summary'!$D$9&lt;3,0,$H229)</f>
        <v>0</v>
      </c>
      <c r="K229" s="469">
        <f>IF('Estimate Summary'!$D$9&lt;4,0,$H229)</f>
        <v>0</v>
      </c>
      <c r="L229" s="469">
        <f>IF('Estimate Summary'!$D$9&lt;5,0,$H229)</f>
        <v>0</v>
      </c>
      <c r="M229" s="469">
        <f>IF('Estimate Summary'!$D$9&lt;6,0,$H229)</f>
        <v>0</v>
      </c>
      <c r="N229" s="1931" t="s">
        <v>1324</v>
      </c>
      <c r="P229" s="1810">
        <f t="shared" si="104"/>
        <v>0</v>
      </c>
      <c r="Q229" s="794"/>
      <c r="R229" s="795"/>
      <c r="S229" s="1811"/>
      <c r="T229" s="1811"/>
      <c r="U229" s="697"/>
      <c r="V229" s="486">
        <f t="shared" si="93"/>
        <v>0</v>
      </c>
      <c r="W229" s="547"/>
      <c r="X229" s="1812">
        <f t="shared" si="109"/>
        <v>0</v>
      </c>
      <c r="Y229" s="1813"/>
      <c r="Z229" s="1813">
        <f t="shared" si="99"/>
        <v>0</v>
      </c>
      <c r="AA229" s="484">
        <f t="shared" si="110"/>
        <v>0</v>
      </c>
      <c r="AB229" s="1012"/>
      <c r="AC229" s="880"/>
      <c r="AD229" s="697"/>
      <c r="AE229" s="697"/>
      <c r="AF229" s="861"/>
      <c r="AG229" s="697"/>
      <c r="AH229" s="861">
        <f t="shared" si="101"/>
        <v>0</v>
      </c>
      <c r="AI229" s="861">
        <f t="shared" si="108"/>
        <v>0</v>
      </c>
      <c r="AJ229" s="383" t="s">
        <v>669</v>
      </c>
      <c r="AK229" s="383" t="s">
        <v>1128</v>
      </c>
      <c r="AL229" s="605" t="b">
        <f t="shared" si="94"/>
        <v>0</v>
      </c>
      <c r="AM229" s="899">
        <f>'Estimate Summary'!$D$9</f>
        <v>1</v>
      </c>
      <c r="AN229" s="605" t="s">
        <v>1136</v>
      </c>
      <c r="AO229" s="899">
        <f t="shared" si="95"/>
        <v>0</v>
      </c>
      <c r="AP229" s="605">
        <f t="shared" si="92"/>
        <v>0</v>
      </c>
      <c r="AQ229" s="605" t="s">
        <v>1139</v>
      </c>
      <c r="AR229" s="605" t="s">
        <v>670</v>
      </c>
      <c r="AS229" s="605" t="s">
        <v>751</v>
      </c>
      <c r="AT229" s="605" t="str">
        <f>'Estimate Summary'!$AT$11</f>
        <v>FOB SH</v>
      </c>
      <c r="AU229" s="610" t="b">
        <f t="shared" si="96"/>
        <v>0</v>
      </c>
      <c r="AV229" s="605" t="s">
        <v>1140</v>
      </c>
      <c r="AW229" s="2255">
        <f t="shared" si="97"/>
        <v>0</v>
      </c>
    </row>
    <row r="230" spans="1:49" s="605" customFormat="1" ht="13.5" hidden="1" customHeight="1" outlineLevel="1">
      <c r="B230" s="1079" t="s">
        <v>897</v>
      </c>
      <c r="C230" s="1645" t="s">
        <v>1073</v>
      </c>
      <c r="D230" s="1831" t="s">
        <v>181</v>
      </c>
      <c r="E230" s="1646"/>
      <c r="F230" s="1639"/>
      <c r="G230" s="1738">
        <f t="shared" si="102"/>
        <v>0</v>
      </c>
      <c r="H230" s="2017">
        <f>AB230</f>
        <v>0</v>
      </c>
      <c r="I230" s="469">
        <f>IF('Estimate Summary'!$D$9&lt;2,0,$H230)</f>
        <v>0</v>
      </c>
      <c r="J230" s="469">
        <f>IF('Estimate Summary'!$D$9&lt;3,0,$H230)</f>
        <v>0</v>
      </c>
      <c r="K230" s="469">
        <f>IF('Estimate Summary'!$D$9&lt;4,0,$H230)</f>
        <v>0</v>
      </c>
      <c r="L230" s="469">
        <f>IF('Estimate Summary'!$D$9&lt;5,0,$H230)</f>
        <v>0</v>
      </c>
      <c r="M230" s="469">
        <f>IF('Estimate Summary'!$D$9&lt;6,0,$H230)</f>
        <v>0</v>
      </c>
      <c r="N230" s="1931" t="s">
        <v>1325</v>
      </c>
      <c r="P230" s="1810">
        <f t="shared" si="104"/>
        <v>40</v>
      </c>
      <c r="Q230" s="794">
        <v>42683</v>
      </c>
      <c r="R230" s="795">
        <f>$R$2+30.42*'Offshore CF'!CH13</f>
        <v>43895.199999999997</v>
      </c>
      <c r="S230" s="1811" t="s">
        <v>129</v>
      </c>
      <c r="T230" s="1811" t="s">
        <v>180</v>
      </c>
      <c r="U230" s="697" t="s">
        <v>676</v>
      </c>
      <c r="V230" s="486" t="str">
        <f t="shared" si="93"/>
        <v>CNY</v>
      </c>
      <c r="W230" s="547"/>
      <c r="X230" s="1812">
        <f t="shared" si="109"/>
        <v>0</v>
      </c>
      <c r="Y230" s="1813"/>
      <c r="Z230" s="1813">
        <f t="shared" si="99"/>
        <v>0</v>
      </c>
      <c r="AA230" s="484">
        <f t="shared" si="110"/>
        <v>0</v>
      </c>
      <c r="AB230" s="484">
        <f>IF(V230="CNY",X230*(1-Z230),IF(V230="EUR",X230*(1-Z230)*$R$5,IF(V230="JPY",X230*(1-Z230)*$R$6,IF(V230="USD",X230*(1-Z230)*$R$7))))</f>
        <v>0</v>
      </c>
      <c r="AC230" s="880"/>
      <c r="AD230" s="697">
        <f>IF(V230&lt;&gt;"CNY",(AB230+#REF!)*AC230,0)</f>
        <v>0</v>
      </c>
      <c r="AE230" s="697"/>
      <c r="AF230" s="861">
        <f>IF(V230&lt;&gt;"CNY",(AB230+#REF!)*$AD$53,0)</f>
        <v>0</v>
      </c>
      <c r="AG230" s="697">
        <f>IF(V230&lt;&gt;"CNY",F230*#REF!/1000,0)</f>
        <v>0</v>
      </c>
      <c r="AH230" s="861">
        <f t="shared" si="101"/>
        <v>0</v>
      </c>
      <c r="AI230" s="861">
        <f t="shared" si="108"/>
        <v>0</v>
      </c>
      <c r="AJ230" s="383" t="s">
        <v>669</v>
      </c>
      <c r="AK230" s="383" t="s">
        <v>1128</v>
      </c>
      <c r="AL230" s="605" t="str">
        <f t="shared" si="94"/>
        <v>CN</v>
      </c>
      <c r="AM230" s="899">
        <f>'Estimate Summary'!$D$9</f>
        <v>1</v>
      </c>
      <c r="AN230" s="605" t="s">
        <v>1136</v>
      </c>
      <c r="AO230" s="899">
        <f t="shared" si="95"/>
        <v>0</v>
      </c>
      <c r="AP230" s="605" t="str">
        <f t="shared" si="92"/>
        <v>CNY</v>
      </c>
      <c r="AQ230" s="605" t="s">
        <v>1139</v>
      </c>
      <c r="AR230" s="605" t="s">
        <v>670</v>
      </c>
      <c r="AS230" s="605" t="s">
        <v>751</v>
      </c>
      <c r="AT230" s="605" t="str">
        <f>'Estimate Summary'!$AT$11</f>
        <v>FOB SH</v>
      </c>
      <c r="AU230" s="610" t="str">
        <f t="shared" si="96"/>
        <v>CN</v>
      </c>
      <c r="AV230" s="605" t="s">
        <v>1140</v>
      </c>
      <c r="AW230" s="2255">
        <f t="shared" si="97"/>
        <v>42683</v>
      </c>
    </row>
    <row r="231" spans="1:49" s="605" customFormat="1" ht="13.5" hidden="1" customHeight="1" outlineLevel="1">
      <c r="B231" s="1854"/>
      <c r="C231" s="1855" t="s">
        <v>1070</v>
      </c>
      <c r="D231" s="1881"/>
      <c r="E231" s="1856"/>
      <c r="F231" s="1858"/>
      <c r="G231" s="1817">
        <f t="shared" si="102"/>
        <v>0</v>
      </c>
      <c r="H231" s="1817">
        <f>AB231</f>
        <v>0</v>
      </c>
      <c r="I231" s="1857">
        <f>IF('Estimate Summary'!$D$9&lt;2,0,$H231)</f>
        <v>0</v>
      </c>
      <c r="J231" s="1857">
        <f>IF('Estimate Summary'!$D$9&lt;3,0,$H231)</f>
        <v>0</v>
      </c>
      <c r="K231" s="1857">
        <f>IF('Estimate Summary'!$D$9&lt;4,0,$H231)</f>
        <v>0</v>
      </c>
      <c r="L231" s="1857">
        <f>IF('Estimate Summary'!$D$9&lt;5,0,$H231)</f>
        <v>0</v>
      </c>
      <c r="M231" s="1857">
        <f>IF('Estimate Summary'!$D$9&lt;6,0,$H231)</f>
        <v>0</v>
      </c>
      <c r="N231" s="2313"/>
      <c r="P231" s="1849"/>
      <c r="Q231" s="794"/>
      <c r="R231" s="795"/>
      <c r="S231" s="1811"/>
      <c r="T231" s="1811"/>
      <c r="U231" s="697"/>
      <c r="V231" s="486">
        <f t="shared" si="93"/>
        <v>0</v>
      </c>
      <c r="W231" s="547"/>
      <c r="X231" s="1812">
        <f t="shared" si="109"/>
        <v>0</v>
      </c>
      <c r="Y231" s="1813"/>
      <c r="Z231" s="1813">
        <f t="shared" si="99"/>
        <v>0</v>
      </c>
      <c r="AA231" s="484">
        <f t="shared" si="110"/>
        <v>0</v>
      </c>
      <c r="AB231" s="1012"/>
      <c r="AC231" s="880"/>
      <c r="AD231" s="697"/>
      <c r="AE231" s="697"/>
      <c r="AF231" s="861"/>
      <c r="AG231" s="697"/>
      <c r="AH231" s="861">
        <f t="shared" si="101"/>
        <v>0</v>
      </c>
      <c r="AI231" s="861">
        <f t="shared" si="108"/>
        <v>0</v>
      </c>
      <c r="AJ231" s="383" t="s">
        <v>669</v>
      </c>
      <c r="AK231" s="383" t="s">
        <v>1128</v>
      </c>
      <c r="AL231" s="605" t="b">
        <f t="shared" si="94"/>
        <v>0</v>
      </c>
      <c r="AM231" s="899">
        <f>'Estimate Summary'!$D$9</f>
        <v>1</v>
      </c>
      <c r="AN231" s="605" t="s">
        <v>1136</v>
      </c>
      <c r="AO231" s="899">
        <f t="shared" si="95"/>
        <v>0</v>
      </c>
      <c r="AP231" s="605">
        <f t="shared" si="92"/>
        <v>0</v>
      </c>
      <c r="AQ231" s="605" t="s">
        <v>1139</v>
      </c>
      <c r="AR231" s="605" t="s">
        <v>670</v>
      </c>
      <c r="AS231" s="605" t="s">
        <v>751</v>
      </c>
      <c r="AT231" s="605" t="str">
        <f>'Estimate Summary'!$AT$11</f>
        <v>FOB SH</v>
      </c>
      <c r="AU231" s="610" t="b">
        <f t="shared" si="96"/>
        <v>0</v>
      </c>
      <c r="AV231" s="605" t="s">
        <v>1140</v>
      </c>
      <c r="AW231" s="2255">
        <f t="shared" si="97"/>
        <v>0</v>
      </c>
    </row>
    <row r="232" spans="1:49" s="605" customFormat="1" ht="13.5" hidden="1" customHeight="1" outlineLevel="1">
      <c r="B232" s="1854"/>
      <c r="C232" s="1855" t="s">
        <v>1070</v>
      </c>
      <c r="D232" s="1881"/>
      <c r="E232" s="1856"/>
      <c r="F232" s="1858"/>
      <c r="G232" s="1817">
        <f t="shared" si="102"/>
        <v>0</v>
      </c>
      <c r="H232" s="1817">
        <f>AB232</f>
        <v>0</v>
      </c>
      <c r="I232" s="1857">
        <f>IF('Estimate Summary'!$D$9&lt;2,0,$H232)</f>
        <v>0</v>
      </c>
      <c r="J232" s="1857">
        <f>IF('Estimate Summary'!$D$9&lt;3,0,$H232)</f>
        <v>0</v>
      </c>
      <c r="K232" s="1857">
        <f>IF('Estimate Summary'!$D$9&lt;4,0,$H232)</f>
        <v>0</v>
      </c>
      <c r="L232" s="1857">
        <f>IF('Estimate Summary'!$D$9&lt;5,0,$H232)</f>
        <v>0</v>
      </c>
      <c r="M232" s="1857">
        <f>IF('Estimate Summary'!$D$9&lt;6,0,$H232)</f>
        <v>0</v>
      </c>
      <c r="N232" s="2313"/>
      <c r="P232" s="1849"/>
      <c r="Q232" s="794"/>
      <c r="R232" s="795"/>
      <c r="S232" s="1811"/>
      <c r="T232" s="1811"/>
      <c r="U232" s="697"/>
      <c r="V232" s="486">
        <f t="shared" si="93"/>
        <v>0</v>
      </c>
      <c r="W232" s="547"/>
      <c r="X232" s="1812">
        <f t="shared" si="109"/>
        <v>0</v>
      </c>
      <c r="Y232" s="1813"/>
      <c r="Z232" s="1813">
        <f t="shared" si="99"/>
        <v>0</v>
      </c>
      <c r="AA232" s="484">
        <f t="shared" si="110"/>
        <v>0</v>
      </c>
      <c r="AB232" s="1012"/>
      <c r="AC232" s="880"/>
      <c r="AD232" s="697"/>
      <c r="AE232" s="697"/>
      <c r="AF232" s="861"/>
      <c r="AG232" s="697"/>
      <c r="AH232" s="861">
        <f t="shared" si="101"/>
        <v>0</v>
      </c>
      <c r="AI232" s="861">
        <f t="shared" si="108"/>
        <v>0</v>
      </c>
      <c r="AJ232" s="383" t="s">
        <v>669</v>
      </c>
      <c r="AK232" s="383" t="s">
        <v>1128</v>
      </c>
      <c r="AL232" s="605" t="b">
        <f t="shared" si="94"/>
        <v>0</v>
      </c>
      <c r="AM232" s="899">
        <f>'Estimate Summary'!$D$9</f>
        <v>1</v>
      </c>
      <c r="AN232" s="605" t="s">
        <v>1136</v>
      </c>
      <c r="AO232" s="899">
        <f t="shared" si="95"/>
        <v>0</v>
      </c>
      <c r="AP232" s="605">
        <f t="shared" si="92"/>
        <v>0</v>
      </c>
      <c r="AQ232" s="605" t="s">
        <v>1139</v>
      </c>
      <c r="AR232" s="605" t="s">
        <v>670</v>
      </c>
      <c r="AS232" s="605" t="s">
        <v>751</v>
      </c>
      <c r="AT232" s="605" t="str">
        <f>'Estimate Summary'!$AT$11</f>
        <v>FOB SH</v>
      </c>
      <c r="AU232" s="610" t="b">
        <f t="shared" si="96"/>
        <v>0</v>
      </c>
      <c r="AV232" s="605" t="s">
        <v>1140</v>
      </c>
      <c r="AW232" s="2255">
        <f t="shared" si="97"/>
        <v>0</v>
      </c>
    </row>
    <row r="233" spans="1:49" s="1674" customFormat="1" ht="13.5" hidden="1" customHeight="1" outlineLevel="1" collapsed="1" thickBot="1">
      <c r="B233" s="1672"/>
      <c r="C233" s="101" t="s">
        <v>907</v>
      </c>
      <c r="D233" s="1824"/>
      <c r="E233" s="588"/>
      <c r="F233" s="844"/>
      <c r="G233" s="1605">
        <f t="shared" si="102"/>
        <v>0</v>
      </c>
      <c r="H233" s="1712">
        <f t="shared" ref="H233:M233" si="111">H212</f>
        <v>0</v>
      </c>
      <c r="I233" s="104">
        <f t="shared" si="111"/>
        <v>0</v>
      </c>
      <c r="J233" s="104">
        <f t="shared" si="111"/>
        <v>0</v>
      </c>
      <c r="K233" s="104">
        <f t="shared" si="111"/>
        <v>0</v>
      </c>
      <c r="L233" s="104">
        <f t="shared" si="111"/>
        <v>0</v>
      </c>
      <c r="M233" s="104">
        <f t="shared" si="111"/>
        <v>0</v>
      </c>
      <c r="N233" s="1673"/>
      <c r="P233" s="1675"/>
      <c r="Q233" s="1676"/>
      <c r="R233" s="1677"/>
      <c r="S233" s="1678"/>
      <c r="T233" s="1678"/>
      <c r="U233" s="1679"/>
      <c r="V233" s="1675">
        <f t="shared" si="93"/>
        <v>0</v>
      </c>
      <c r="W233" s="1680"/>
      <c r="X233" s="1680"/>
      <c r="Y233" s="1681"/>
      <c r="Z233" s="1682">
        <f t="shared" si="99"/>
        <v>0</v>
      </c>
      <c r="AA233" s="1678"/>
      <c r="AB233" s="1684"/>
      <c r="AC233" s="1683"/>
      <c r="AF233" s="1684"/>
      <c r="AH233" s="1684"/>
      <c r="AI233" s="1684"/>
      <c r="AJ233" s="383" t="s">
        <v>669</v>
      </c>
      <c r="AK233" s="383" t="s">
        <v>1128</v>
      </c>
      <c r="AL233" s="1674" t="b">
        <f t="shared" si="94"/>
        <v>0</v>
      </c>
      <c r="AM233" s="1692">
        <f>'Estimate Summary'!$D$9</f>
        <v>1</v>
      </c>
      <c r="AN233" s="1674" t="s">
        <v>1136</v>
      </c>
      <c r="AO233" s="1692">
        <f t="shared" si="95"/>
        <v>0</v>
      </c>
      <c r="AP233" s="1674">
        <f t="shared" si="92"/>
        <v>0</v>
      </c>
      <c r="AQ233" s="1674" t="s">
        <v>1139</v>
      </c>
      <c r="AR233" s="1674" t="s">
        <v>670</v>
      </c>
      <c r="AS233" s="605" t="s">
        <v>751</v>
      </c>
      <c r="AT233" s="1674" t="str">
        <f>'Estimate Summary'!$AT$11</f>
        <v>FOB SH</v>
      </c>
      <c r="AU233" s="610" t="b">
        <f t="shared" si="96"/>
        <v>0</v>
      </c>
      <c r="AV233" s="1674" t="s">
        <v>1140</v>
      </c>
      <c r="AW233" s="2255">
        <f t="shared" si="97"/>
        <v>0</v>
      </c>
    </row>
    <row r="234" spans="1:49" s="605" customFormat="1" ht="13.5" hidden="1" customHeight="1" outlineLevel="1" thickTop="1">
      <c r="B234" s="1641" t="s">
        <v>960</v>
      </c>
      <c r="C234" s="1644"/>
      <c r="D234" s="1833"/>
      <c r="E234" s="2271"/>
      <c r="F234" s="2286"/>
      <c r="G234" s="2287">
        <f t="shared" si="102"/>
        <v>0</v>
      </c>
      <c r="H234" s="2272"/>
      <c r="I234" s="2253"/>
      <c r="J234" s="2253"/>
      <c r="K234" s="2253"/>
      <c r="L234" s="2253"/>
      <c r="M234" s="2253"/>
      <c r="N234" s="2273"/>
      <c r="P234" s="1014"/>
      <c r="Q234" s="794"/>
      <c r="R234" s="796"/>
      <c r="S234" s="899"/>
      <c r="T234" s="551"/>
      <c r="V234" s="1014">
        <f t="shared" si="93"/>
        <v>0</v>
      </c>
      <c r="W234" s="870"/>
      <c r="X234" s="870"/>
      <c r="Y234" s="888"/>
      <c r="Z234" s="1018">
        <f t="shared" si="99"/>
        <v>0</v>
      </c>
      <c r="AA234" s="899"/>
      <c r="AB234" s="1022"/>
      <c r="AC234" s="900"/>
      <c r="AF234" s="870"/>
      <c r="AH234" s="870"/>
      <c r="AI234" s="870"/>
      <c r="AJ234" s="383" t="s">
        <v>669</v>
      </c>
      <c r="AK234" s="383" t="s">
        <v>1128</v>
      </c>
      <c r="AL234" s="605" t="b">
        <f t="shared" si="94"/>
        <v>0</v>
      </c>
      <c r="AM234" s="899">
        <f>'Estimate Summary'!$D$9</f>
        <v>1</v>
      </c>
      <c r="AN234" s="605" t="s">
        <v>1136</v>
      </c>
      <c r="AO234" s="899">
        <f t="shared" si="95"/>
        <v>0</v>
      </c>
      <c r="AP234" s="605">
        <f t="shared" si="92"/>
        <v>0</v>
      </c>
      <c r="AQ234" s="605" t="s">
        <v>1139</v>
      </c>
      <c r="AR234" s="605" t="s">
        <v>670</v>
      </c>
      <c r="AS234" s="605" t="s">
        <v>751</v>
      </c>
      <c r="AT234" s="605" t="str">
        <f>'Estimate Summary'!$AT$11</f>
        <v>FOB SH</v>
      </c>
      <c r="AU234" s="610" t="b">
        <f t="shared" si="96"/>
        <v>0</v>
      </c>
      <c r="AV234" s="605" t="s">
        <v>1140</v>
      </c>
      <c r="AW234" s="2255">
        <f t="shared" si="97"/>
        <v>0</v>
      </c>
    </row>
    <row r="235" spans="1:49" s="605" customFormat="1" ht="12.75" hidden="1" customHeight="1" outlineLevel="1">
      <c r="B235" s="1079" t="s">
        <v>916</v>
      </c>
      <c r="C235" s="1352" t="s">
        <v>917</v>
      </c>
      <c r="D235" s="1832" t="s">
        <v>181</v>
      </c>
      <c r="E235" s="1884"/>
      <c r="F235" s="1891"/>
      <c r="G235" s="1870">
        <f t="shared" si="102"/>
        <v>0</v>
      </c>
      <c r="H235" s="2034">
        <f t="shared" ref="H235:H240" si="112">AB235</f>
        <v>0</v>
      </c>
      <c r="I235" s="1718">
        <f>IF('Estimate Summary'!$D$9&lt;2,0,$H235)</f>
        <v>0</v>
      </c>
      <c r="J235" s="1718">
        <f>IF('Estimate Summary'!$D$9&lt;3,0,$H235)</f>
        <v>0</v>
      </c>
      <c r="K235" s="1718">
        <f>IF('Estimate Summary'!$D$9&lt;4,0,$H235)</f>
        <v>0</v>
      </c>
      <c r="L235" s="1718">
        <f>IF('Estimate Summary'!$D$9&lt;5,0,$H235)</f>
        <v>0</v>
      </c>
      <c r="M235" s="1718">
        <f>IF('Estimate Summary'!$D$9&lt;6,0,$H235)</f>
        <v>0</v>
      </c>
      <c r="N235" s="1726"/>
      <c r="P235" s="1885">
        <f t="shared" ref="P235:P240" si="113">IF(Q235=0,0,(YEAR(R235)-YEAR(Q235))*12+(MONTH(R235)-MONTH(Q235)))</f>
        <v>41</v>
      </c>
      <c r="Q235" s="1670">
        <v>42683</v>
      </c>
      <c r="R235" s="796">
        <f>$R$2+30.42*'Offshore CF'!CI13</f>
        <v>43925.62</v>
      </c>
      <c r="S235" s="1814" t="s">
        <v>129</v>
      </c>
      <c r="T235" s="1814" t="s">
        <v>180</v>
      </c>
      <c r="U235" s="605" t="s">
        <v>614</v>
      </c>
      <c r="V235" s="1014" t="str">
        <f t="shared" si="93"/>
        <v>CNY</v>
      </c>
      <c r="W235" s="932"/>
      <c r="X235" s="1883">
        <f t="shared" ref="X235:X240" si="114">IF(V235="CNY",W235/1.17/1000,W235/1000)</f>
        <v>0</v>
      </c>
      <c r="Y235" s="1892"/>
      <c r="Z235" s="1873">
        <f t="shared" si="99"/>
        <v>0</v>
      </c>
      <c r="AA235" s="899">
        <f t="shared" ref="AA235:AA240" si="115">X235*(1-Z235)</f>
        <v>0</v>
      </c>
      <c r="AB235" s="1866">
        <f>IF(V235="CNY",X235*(1-Z235),IF(V235="EUR",X235*(1-Z235)*$R$5,IF(V235="JPY",X235*(1-Z235)*$R$6,IF(V235="USD",X235*(1-Z235)*$R$7))))</f>
        <v>0</v>
      </c>
      <c r="AC235" s="900"/>
      <c r="AD235" s="605">
        <f>IF(V235&lt;&gt;"CNY",(AB235+#REF!)*AC235,0)</f>
        <v>0</v>
      </c>
      <c r="AF235" s="870">
        <f>IF(V235&lt;&gt;"CNY",(AB235+#REF!)*$AD$53,0)</f>
        <v>0</v>
      </c>
      <c r="AG235" s="605">
        <f>IF(V235&lt;&gt;"CNY",F235*#REF!/1000,0)</f>
        <v>0</v>
      </c>
      <c r="AH235" s="870">
        <f t="shared" ref="AH235:AH240" si="116">SUM(AD235:AG235)</f>
        <v>0</v>
      </c>
      <c r="AI235" s="870">
        <f t="shared" ref="AI235:AI240" si="117">AB235+AH235</f>
        <v>0</v>
      </c>
      <c r="AJ235" s="383" t="s">
        <v>669</v>
      </c>
      <c r="AK235" s="383" t="s">
        <v>1128</v>
      </c>
      <c r="AL235" s="605" t="str">
        <f t="shared" si="94"/>
        <v>CN</v>
      </c>
      <c r="AM235" s="899">
        <f>'Estimate Summary'!$D$9</f>
        <v>1</v>
      </c>
      <c r="AN235" s="605" t="s">
        <v>1136</v>
      </c>
      <c r="AO235" s="899">
        <f t="shared" si="95"/>
        <v>0</v>
      </c>
      <c r="AP235" s="605" t="str">
        <f t="shared" si="92"/>
        <v>CNY</v>
      </c>
      <c r="AQ235" s="605" t="s">
        <v>1139</v>
      </c>
      <c r="AR235" s="605" t="s">
        <v>670</v>
      </c>
      <c r="AS235" s="605" t="s">
        <v>751</v>
      </c>
      <c r="AT235" s="605" t="str">
        <f>'Estimate Summary'!$AT$11</f>
        <v>FOB SH</v>
      </c>
      <c r="AU235" s="610" t="str">
        <f t="shared" si="96"/>
        <v>CN</v>
      </c>
      <c r="AV235" s="605" t="s">
        <v>1140</v>
      </c>
      <c r="AW235" s="2255">
        <f t="shared" si="97"/>
        <v>42683</v>
      </c>
    </row>
    <row r="236" spans="1:49" s="605" customFormat="1" ht="12.75" hidden="1" customHeight="1" outlineLevel="1">
      <c r="B236" s="1079" t="s">
        <v>922</v>
      </c>
      <c r="C236" s="1352" t="s">
        <v>920</v>
      </c>
      <c r="D236" s="1832" t="s">
        <v>181</v>
      </c>
      <c r="E236" s="1884"/>
      <c r="F236" s="1891"/>
      <c r="G236" s="1870">
        <f t="shared" si="102"/>
        <v>0</v>
      </c>
      <c r="H236" s="2034">
        <f t="shared" si="112"/>
        <v>0</v>
      </c>
      <c r="I236" s="1718">
        <f>IF('Estimate Summary'!$D$9&lt;2,0,$H236)</f>
        <v>0</v>
      </c>
      <c r="J236" s="1718">
        <f>IF('Estimate Summary'!$D$9&lt;3,0,$H236)</f>
        <v>0</v>
      </c>
      <c r="K236" s="1718">
        <f>IF('Estimate Summary'!$D$9&lt;4,0,$H236)</f>
        <v>0</v>
      </c>
      <c r="L236" s="1718">
        <f>IF('Estimate Summary'!$D$9&lt;5,0,$H236)</f>
        <v>0</v>
      </c>
      <c r="M236" s="1718">
        <f>IF('Estimate Summary'!$D$9&lt;6,0,$H236)</f>
        <v>0</v>
      </c>
      <c r="N236" s="1726"/>
      <c r="P236" s="1885">
        <f t="shared" si="113"/>
        <v>40</v>
      </c>
      <c r="Q236" s="1670">
        <v>42683</v>
      </c>
      <c r="R236" s="796">
        <f>$R$2+30.42*'Offshore CF'!CJ13</f>
        <v>43895.199999999997</v>
      </c>
      <c r="S236" s="1814" t="s">
        <v>129</v>
      </c>
      <c r="T236" s="1814" t="s">
        <v>337</v>
      </c>
      <c r="U236" s="605" t="s">
        <v>1095</v>
      </c>
      <c r="V236" s="1014" t="str">
        <f t="shared" si="93"/>
        <v>CNY</v>
      </c>
      <c r="W236" s="932"/>
      <c r="X236" s="1883">
        <f t="shared" si="114"/>
        <v>0</v>
      </c>
      <c r="Y236" s="1892"/>
      <c r="Z236" s="1873">
        <f t="shared" si="99"/>
        <v>0</v>
      </c>
      <c r="AA236" s="899">
        <f t="shared" si="115"/>
        <v>0</v>
      </c>
      <c r="AB236" s="1866">
        <f>IF(V236="CNY",X236*(1-Z236),IF(V236="EUR",X236*(1-Z236)*$R$5,IF(V236="JPY",X236*(1-Z236)*$R$6,IF(V236="USD",X236*(1-Z236)*$R$7))))</f>
        <v>0</v>
      </c>
      <c r="AC236" s="900"/>
      <c r="AD236" s="605">
        <f>IF(V236&lt;&gt;"CNY",(AB236+#REF!)*AC236,0)</f>
        <v>0</v>
      </c>
      <c r="AF236" s="870">
        <f>IF(V236&lt;&gt;"CNY",(AB236+#REF!)*$AD$53,0)</f>
        <v>0</v>
      </c>
      <c r="AG236" s="605">
        <f>IF(V236&lt;&gt;"CNY",F236*#REF!/1000,0)</f>
        <v>0</v>
      </c>
      <c r="AH236" s="870">
        <f t="shared" si="116"/>
        <v>0</v>
      </c>
      <c r="AI236" s="870">
        <f t="shared" si="117"/>
        <v>0</v>
      </c>
      <c r="AJ236" s="383" t="s">
        <v>669</v>
      </c>
      <c r="AK236" s="383" t="s">
        <v>1128</v>
      </c>
      <c r="AL236" s="605" t="str">
        <f t="shared" si="94"/>
        <v>CN</v>
      </c>
      <c r="AM236" s="899">
        <f>'Estimate Summary'!$D$9</f>
        <v>1</v>
      </c>
      <c r="AN236" s="605" t="s">
        <v>1136</v>
      </c>
      <c r="AO236" s="899">
        <f t="shared" si="95"/>
        <v>0</v>
      </c>
      <c r="AP236" s="605" t="str">
        <f t="shared" si="92"/>
        <v>CNY</v>
      </c>
      <c r="AQ236" s="605" t="s">
        <v>1139</v>
      </c>
      <c r="AR236" s="605" t="s">
        <v>670</v>
      </c>
      <c r="AS236" s="605" t="s">
        <v>751</v>
      </c>
      <c r="AT236" s="605" t="str">
        <f>'Estimate Summary'!$AT$11</f>
        <v>FOB SH</v>
      </c>
      <c r="AU236" s="610" t="str">
        <f t="shared" si="96"/>
        <v>CN</v>
      </c>
      <c r="AV236" s="605" t="s">
        <v>1140</v>
      </c>
      <c r="AW236" s="2255">
        <f t="shared" si="97"/>
        <v>42683</v>
      </c>
    </row>
    <row r="237" spans="1:49" s="605" customFormat="1" ht="12.75" hidden="1" customHeight="1" outlineLevel="1">
      <c r="B237" s="1079" t="s">
        <v>923</v>
      </c>
      <c r="C237" s="585" t="s">
        <v>921</v>
      </c>
      <c r="D237" s="1832" t="s">
        <v>181</v>
      </c>
      <c r="E237" s="584"/>
      <c r="F237" s="1886"/>
      <c r="G237" s="1870">
        <f t="shared" si="102"/>
        <v>0</v>
      </c>
      <c r="H237" s="1870">
        <f t="shared" si="112"/>
        <v>0</v>
      </c>
      <c r="I237" s="1718">
        <f>IF('Estimate Summary'!$D$9&lt;2,0,$H237)</f>
        <v>0</v>
      </c>
      <c r="J237" s="1718">
        <f>IF('Estimate Summary'!$D$9&lt;3,0,$H237)</f>
        <v>0</v>
      </c>
      <c r="K237" s="1718">
        <f>IF('Estimate Summary'!$D$9&lt;4,0,$H237)</f>
        <v>0</v>
      </c>
      <c r="L237" s="1718">
        <f>IF('Estimate Summary'!$D$9&lt;5,0,$H237)</f>
        <v>0</v>
      </c>
      <c r="M237" s="1718">
        <f>IF('Estimate Summary'!$D$9&lt;6,0,$H237)</f>
        <v>0</v>
      </c>
      <c r="N237" s="637"/>
      <c r="P237" s="1885">
        <f t="shared" si="113"/>
        <v>39</v>
      </c>
      <c r="Q237" s="1670">
        <v>42683</v>
      </c>
      <c r="R237" s="796">
        <f>$R$2+30.42*'Offshore CF'!CK13</f>
        <v>43864.78</v>
      </c>
      <c r="S237" s="1814" t="s">
        <v>128</v>
      </c>
      <c r="T237" s="1888" t="s">
        <v>180</v>
      </c>
      <c r="U237" s="605" t="s">
        <v>598</v>
      </c>
      <c r="V237" s="603" t="str">
        <f t="shared" si="93"/>
        <v>CNY</v>
      </c>
      <c r="W237" s="932"/>
      <c r="X237" s="1893">
        <f t="shared" si="114"/>
        <v>0</v>
      </c>
      <c r="Y237" s="1890"/>
      <c r="Z237" s="1873">
        <f t="shared" si="99"/>
        <v>0</v>
      </c>
      <c r="AA237" s="899">
        <f t="shared" si="115"/>
        <v>0</v>
      </c>
      <c r="AB237" s="1866">
        <f>IF(V237="CNY",X237*(1-Z237),IF(V237="EUR",X237*(1-Z237)*$R$5,IF(V237="JPY",X237*(1-Z237)*$R$6,IF(V237="USD",X237*(1-Z237)*$R$7))))</f>
        <v>0</v>
      </c>
      <c r="AC237" s="900"/>
      <c r="AD237" s="605">
        <f>IF(V237&lt;&gt;"CNY",(AB237+#REF!)*AC237,0)</f>
        <v>0</v>
      </c>
      <c r="AF237" s="870">
        <f>IF(V237&lt;&gt;"CNY",(AB237+#REF!)*$AD$53,0)</f>
        <v>0</v>
      </c>
      <c r="AG237" s="605">
        <f>IF(V237&lt;&gt;"CNY",F237*#REF!/1000,0)</f>
        <v>0</v>
      </c>
      <c r="AH237" s="870">
        <f t="shared" si="116"/>
        <v>0</v>
      </c>
      <c r="AI237" s="870">
        <f t="shared" si="117"/>
        <v>0</v>
      </c>
      <c r="AJ237" s="383" t="s">
        <v>669</v>
      </c>
      <c r="AK237" s="383" t="s">
        <v>1128</v>
      </c>
      <c r="AL237" s="605" t="str">
        <f t="shared" si="94"/>
        <v>CN</v>
      </c>
      <c r="AM237" s="899">
        <f>'Estimate Summary'!$D$9</f>
        <v>1</v>
      </c>
      <c r="AN237" s="605" t="s">
        <v>1136</v>
      </c>
      <c r="AO237" s="899">
        <f t="shared" si="95"/>
        <v>0</v>
      </c>
      <c r="AP237" s="605" t="str">
        <f t="shared" si="92"/>
        <v>CNY</v>
      </c>
      <c r="AQ237" s="605" t="s">
        <v>1139</v>
      </c>
      <c r="AR237" s="605" t="s">
        <v>670</v>
      </c>
      <c r="AS237" s="605" t="s">
        <v>751</v>
      </c>
      <c r="AT237" s="605" t="str">
        <f>'Estimate Summary'!$AT$11</f>
        <v>FOB SH</v>
      </c>
      <c r="AU237" s="610" t="str">
        <f t="shared" si="96"/>
        <v>CN</v>
      </c>
      <c r="AV237" s="605" t="s">
        <v>1140</v>
      </c>
      <c r="AW237" s="2255">
        <f t="shared" si="97"/>
        <v>42683</v>
      </c>
    </row>
    <row r="238" spans="1:49" s="605" customFormat="1" ht="12.75" hidden="1" customHeight="1" outlineLevel="1">
      <c r="A238" s="610"/>
      <c r="B238" s="1079" t="s">
        <v>924</v>
      </c>
      <c r="C238" s="1894" t="s">
        <v>926</v>
      </c>
      <c r="D238" s="1829" t="s">
        <v>181</v>
      </c>
      <c r="E238" s="584"/>
      <c r="F238" s="567"/>
      <c r="G238" s="1870">
        <f t="shared" si="102"/>
        <v>0</v>
      </c>
      <c r="H238" s="2034">
        <f t="shared" si="112"/>
        <v>0</v>
      </c>
      <c r="I238" s="1718">
        <f>IF('Estimate Summary'!$D$9&lt;2,0,$H238)</f>
        <v>0</v>
      </c>
      <c r="J238" s="1718">
        <f>IF('Estimate Summary'!$D$9&lt;3,0,$H238)</f>
        <v>0</v>
      </c>
      <c r="K238" s="1718">
        <f>IF('Estimate Summary'!$D$9&lt;4,0,$H238)</f>
        <v>0</v>
      </c>
      <c r="L238" s="1718">
        <f>IF('Estimate Summary'!$D$9&lt;5,0,$H238)</f>
        <v>0</v>
      </c>
      <c r="M238" s="1718">
        <f>IF('Estimate Summary'!$D$9&lt;6,0,$H238)</f>
        <v>0</v>
      </c>
      <c r="N238" s="1630"/>
      <c r="P238" s="1885">
        <f t="shared" si="113"/>
        <v>37</v>
      </c>
      <c r="Q238" s="1670">
        <v>42683</v>
      </c>
      <c r="R238" s="796">
        <f>$R$2+30.42*'Offshore CF'!CL13</f>
        <v>43803.94</v>
      </c>
      <c r="S238" s="1814" t="s">
        <v>128</v>
      </c>
      <c r="T238" s="1888" t="s">
        <v>180</v>
      </c>
      <c r="U238" s="605" t="s">
        <v>613</v>
      </c>
      <c r="V238" s="603" t="str">
        <f t="shared" si="93"/>
        <v>CNY</v>
      </c>
      <c r="W238" s="932"/>
      <c r="X238" s="1893">
        <f t="shared" si="114"/>
        <v>0</v>
      </c>
      <c r="Y238" s="1890"/>
      <c r="Z238" s="1873">
        <f t="shared" si="99"/>
        <v>0</v>
      </c>
      <c r="AA238" s="899">
        <f t="shared" si="115"/>
        <v>0</v>
      </c>
      <c r="AB238" s="1866">
        <f>IF(V238="CNY",X238*(1-Z238),IF(V238="EUR",X238*(1-Z238)*$R$5,IF(V238="JPY",X238*(1-Z238)*$R$6,IF(V238="USD",X238*(1-Z238)*$R$7))))</f>
        <v>0</v>
      </c>
      <c r="AC238" s="900"/>
      <c r="AD238" s="605">
        <f>IF(V238&lt;&gt;"CNY",(AB238+#REF!)*AC238,0)</f>
        <v>0</v>
      </c>
      <c r="AF238" s="870">
        <f>IF(V238&lt;&gt;"CNY",(AB238+#REF!)*$AD$53,0)</f>
        <v>0</v>
      </c>
      <c r="AG238" s="605">
        <f>IF(V238&lt;&gt;"CNY",F238*#REF!/1000,0)</f>
        <v>0</v>
      </c>
      <c r="AH238" s="870">
        <f t="shared" si="116"/>
        <v>0</v>
      </c>
      <c r="AI238" s="870">
        <f t="shared" si="117"/>
        <v>0</v>
      </c>
      <c r="AJ238" s="383" t="s">
        <v>669</v>
      </c>
      <c r="AK238" s="383" t="s">
        <v>1128</v>
      </c>
      <c r="AL238" s="605" t="str">
        <f t="shared" si="94"/>
        <v>CN</v>
      </c>
      <c r="AM238" s="899">
        <f>'Estimate Summary'!$D$9</f>
        <v>1</v>
      </c>
      <c r="AN238" s="605" t="s">
        <v>1136</v>
      </c>
      <c r="AO238" s="899">
        <f t="shared" si="95"/>
        <v>0</v>
      </c>
      <c r="AP238" s="605" t="str">
        <f t="shared" si="92"/>
        <v>CNY</v>
      </c>
      <c r="AQ238" s="605" t="s">
        <v>1139</v>
      </c>
      <c r="AR238" s="605" t="s">
        <v>670</v>
      </c>
      <c r="AS238" s="605" t="s">
        <v>751</v>
      </c>
      <c r="AT238" s="605" t="str">
        <f>'Estimate Summary'!$AT$11</f>
        <v>FOB SH</v>
      </c>
      <c r="AU238" s="610" t="str">
        <f t="shared" si="96"/>
        <v>CN</v>
      </c>
      <c r="AV238" s="605" t="s">
        <v>1140</v>
      </c>
      <c r="AW238" s="2255">
        <f t="shared" si="97"/>
        <v>42683</v>
      </c>
    </row>
    <row r="239" spans="1:49" s="605" customFormat="1" ht="12.75" hidden="1" customHeight="1" outlineLevel="1">
      <c r="A239" s="610"/>
      <c r="B239" s="1079" t="s">
        <v>925</v>
      </c>
      <c r="C239" s="585" t="s">
        <v>927</v>
      </c>
      <c r="D239" s="1829" t="s">
        <v>181</v>
      </c>
      <c r="E239" s="584"/>
      <c r="F239" s="1886"/>
      <c r="G239" s="1870">
        <f t="shared" si="102"/>
        <v>0</v>
      </c>
      <c r="H239" s="2034">
        <f t="shared" si="112"/>
        <v>0</v>
      </c>
      <c r="I239" s="1718">
        <f>IF('Estimate Summary'!$D$9&lt;2,0,$H239)</f>
        <v>0</v>
      </c>
      <c r="J239" s="1718">
        <f>IF('Estimate Summary'!$D$9&lt;3,0,$H239)</f>
        <v>0</v>
      </c>
      <c r="K239" s="1718">
        <f>IF('Estimate Summary'!$D$9&lt;4,0,$H239)</f>
        <v>0</v>
      </c>
      <c r="L239" s="1718">
        <f>IF('Estimate Summary'!$D$9&lt;5,0,$H239)</f>
        <v>0</v>
      </c>
      <c r="M239" s="1718">
        <f>IF('Estimate Summary'!$D$9&lt;6,0,$H239)</f>
        <v>0</v>
      </c>
      <c r="N239" s="1726"/>
      <c r="P239" s="1885">
        <f t="shared" si="113"/>
        <v>37</v>
      </c>
      <c r="Q239" s="1670">
        <v>42683</v>
      </c>
      <c r="R239" s="796">
        <f>$R$2+30.42*'Offshore CF'!CM13</f>
        <v>43803.94</v>
      </c>
      <c r="S239" s="1814" t="s">
        <v>128</v>
      </c>
      <c r="T239" s="1888" t="s">
        <v>180</v>
      </c>
      <c r="U239" s="605" t="s">
        <v>613</v>
      </c>
      <c r="V239" s="603" t="str">
        <f t="shared" si="93"/>
        <v>CNY</v>
      </c>
      <c r="W239" s="932"/>
      <c r="X239" s="1893">
        <f t="shared" si="114"/>
        <v>0</v>
      </c>
      <c r="Y239" s="1890"/>
      <c r="Z239" s="1873">
        <f t="shared" si="99"/>
        <v>0</v>
      </c>
      <c r="AA239" s="899">
        <f t="shared" si="115"/>
        <v>0</v>
      </c>
      <c r="AB239" s="1866">
        <f>IF(V239="CNY",X239*(1-Z239),IF(V239="EUR",X239*(1-Z239)*$R$5,IF(V239="JPY",X239*(1-Z239)*$R$6,IF(V239="USD",X239*(1-Z239)*$R$7))))</f>
        <v>0</v>
      </c>
      <c r="AC239" s="900"/>
      <c r="AD239" s="605">
        <f>IF(V239&lt;&gt;"CNY",(AB239+#REF!)*AC239,0)</f>
        <v>0</v>
      </c>
      <c r="AF239" s="870">
        <f>IF(V239&lt;&gt;"CNY",(AB239+#REF!)*$AD$53,0)</f>
        <v>0</v>
      </c>
      <c r="AG239" s="605">
        <f>IF(V239&lt;&gt;"CNY",F239*#REF!/1000,0)</f>
        <v>0</v>
      </c>
      <c r="AH239" s="870">
        <f t="shared" si="116"/>
        <v>0</v>
      </c>
      <c r="AI239" s="870">
        <f t="shared" si="117"/>
        <v>0</v>
      </c>
      <c r="AJ239" s="383" t="s">
        <v>669</v>
      </c>
      <c r="AK239" s="383" t="s">
        <v>1128</v>
      </c>
      <c r="AL239" s="605" t="str">
        <f t="shared" si="94"/>
        <v>CN</v>
      </c>
      <c r="AM239" s="899">
        <f>'Estimate Summary'!$D$9</f>
        <v>1</v>
      </c>
      <c r="AN239" s="605" t="s">
        <v>1136</v>
      </c>
      <c r="AO239" s="899">
        <f t="shared" si="95"/>
        <v>0</v>
      </c>
      <c r="AP239" s="605" t="str">
        <f t="shared" si="92"/>
        <v>CNY</v>
      </c>
      <c r="AQ239" s="605" t="s">
        <v>1139</v>
      </c>
      <c r="AR239" s="605" t="s">
        <v>670</v>
      </c>
      <c r="AS239" s="605" t="s">
        <v>751</v>
      </c>
      <c r="AT239" s="605" t="str">
        <f>'Estimate Summary'!$AT$11</f>
        <v>FOB SH</v>
      </c>
      <c r="AU239" s="610" t="str">
        <f t="shared" si="96"/>
        <v>CN</v>
      </c>
      <c r="AV239" s="605" t="s">
        <v>1140</v>
      </c>
      <c r="AW239" s="2255">
        <f t="shared" si="97"/>
        <v>42683</v>
      </c>
    </row>
    <row r="240" spans="1:49" s="605" customFormat="1" ht="12.75" hidden="1" customHeight="1" outlineLevel="1">
      <c r="A240" s="610"/>
      <c r="B240" s="1079" t="s">
        <v>928</v>
      </c>
      <c r="C240" s="585" t="s">
        <v>929</v>
      </c>
      <c r="D240" s="1829"/>
      <c r="E240" s="584"/>
      <c r="F240" s="1886"/>
      <c r="G240" s="1869">
        <f t="shared" si="102"/>
        <v>0</v>
      </c>
      <c r="H240" s="1870">
        <f t="shared" si="112"/>
        <v>0</v>
      </c>
      <c r="I240" s="1718">
        <f>IF('Estimate Summary'!$D$9&lt;2,0,$H240)</f>
        <v>0</v>
      </c>
      <c r="J240" s="1718">
        <f>IF('Estimate Summary'!$D$9&lt;3,0,$H240)</f>
        <v>0</v>
      </c>
      <c r="K240" s="1718">
        <f>IF('Estimate Summary'!$D$9&lt;4,0,$H240)</f>
        <v>0</v>
      </c>
      <c r="L240" s="1718">
        <f>IF('Estimate Summary'!$D$9&lt;5,0,$H240)</f>
        <v>0</v>
      </c>
      <c r="M240" s="1718">
        <f>IF('Estimate Summary'!$D$9&lt;6,0,$H240)</f>
        <v>0</v>
      </c>
      <c r="N240" s="1630"/>
      <c r="P240" s="1885">
        <f t="shared" si="113"/>
        <v>0</v>
      </c>
      <c r="Q240" s="1670"/>
      <c r="R240" s="796"/>
      <c r="S240" s="1814"/>
      <c r="T240" s="1888"/>
      <c r="V240" s="603">
        <f t="shared" si="93"/>
        <v>0</v>
      </c>
      <c r="W240" s="932"/>
      <c r="X240" s="1893">
        <f t="shared" si="114"/>
        <v>0</v>
      </c>
      <c r="Y240" s="1890"/>
      <c r="Z240" s="1873">
        <f t="shared" si="99"/>
        <v>0</v>
      </c>
      <c r="AA240" s="899">
        <f t="shared" si="115"/>
        <v>0</v>
      </c>
      <c r="AB240" s="1866"/>
      <c r="AC240" s="900"/>
      <c r="AF240" s="870"/>
      <c r="AH240" s="870">
        <f t="shared" si="116"/>
        <v>0</v>
      </c>
      <c r="AI240" s="870">
        <f t="shared" si="117"/>
        <v>0</v>
      </c>
      <c r="AJ240" s="383" t="s">
        <v>669</v>
      </c>
      <c r="AK240" s="383" t="s">
        <v>1128</v>
      </c>
      <c r="AL240" s="605" t="b">
        <f t="shared" si="94"/>
        <v>0</v>
      </c>
      <c r="AM240" s="899">
        <f>'Estimate Summary'!$D$9</f>
        <v>1</v>
      </c>
      <c r="AN240" s="605" t="s">
        <v>1136</v>
      </c>
      <c r="AO240" s="899">
        <f t="shared" si="95"/>
        <v>0</v>
      </c>
      <c r="AP240" s="605">
        <f t="shared" si="92"/>
        <v>0</v>
      </c>
      <c r="AQ240" s="605" t="s">
        <v>1139</v>
      </c>
      <c r="AR240" s="605" t="s">
        <v>670</v>
      </c>
      <c r="AS240" s="605" t="s">
        <v>751</v>
      </c>
      <c r="AT240" s="605" t="str">
        <f>'Estimate Summary'!$AT$11</f>
        <v>FOB SH</v>
      </c>
      <c r="AU240" s="610" t="b">
        <f t="shared" si="96"/>
        <v>0</v>
      </c>
      <c r="AV240" s="605" t="s">
        <v>1140</v>
      </c>
      <c r="AW240" s="2255">
        <f t="shared" si="97"/>
        <v>0</v>
      </c>
    </row>
    <row r="241" spans="2:49" s="605" customFormat="1" ht="13.5" hidden="1" customHeight="1" outlineLevel="1" thickBot="1">
      <c r="B241" s="2265"/>
      <c r="C241" s="1005" t="s">
        <v>930</v>
      </c>
      <c r="D241" s="1829"/>
      <c r="E241" s="1712">
        <f>SUM(E235:E240)</f>
        <v>0</v>
      </c>
      <c r="F241" s="1886"/>
      <c r="G241" s="1869">
        <f t="shared" si="102"/>
        <v>0</v>
      </c>
      <c r="H241" s="1712">
        <f t="shared" ref="H241:M241" si="118">SUM(H235:H240)</f>
        <v>0</v>
      </c>
      <c r="I241" s="104">
        <f t="shared" si="118"/>
        <v>0</v>
      </c>
      <c r="J241" s="104">
        <f t="shared" si="118"/>
        <v>0</v>
      </c>
      <c r="K241" s="104">
        <f t="shared" si="118"/>
        <v>0</v>
      </c>
      <c r="L241" s="104">
        <f t="shared" si="118"/>
        <v>0</v>
      </c>
      <c r="M241" s="104">
        <f t="shared" si="118"/>
        <v>0</v>
      </c>
      <c r="N241" s="637"/>
      <c r="P241" s="1014"/>
      <c r="Q241" s="796"/>
      <c r="R241" s="796"/>
      <c r="S241" s="899"/>
      <c r="T241" s="551"/>
      <c r="V241" s="603">
        <f t="shared" si="93"/>
        <v>0</v>
      </c>
      <c r="W241" s="1880"/>
      <c r="X241" s="870"/>
      <c r="Y241" s="888"/>
      <c r="Z241" s="900">
        <f t="shared" si="99"/>
        <v>0</v>
      </c>
      <c r="AA241" s="899"/>
      <c r="AB241" s="1022"/>
      <c r="AC241" s="900"/>
      <c r="AF241" s="870"/>
      <c r="AH241" s="870"/>
      <c r="AI241" s="870"/>
      <c r="AJ241" s="383" t="s">
        <v>669</v>
      </c>
      <c r="AK241" s="383" t="s">
        <v>1128</v>
      </c>
      <c r="AL241" s="605" t="b">
        <f t="shared" si="94"/>
        <v>0</v>
      </c>
      <c r="AM241" s="899">
        <f>'Estimate Summary'!$D$9</f>
        <v>1</v>
      </c>
      <c r="AN241" s="605" t="s">
        <v>1136</v>
      </c>
      <c r="AO241" s="899">
        <f t="shared" si="95"/>
        <v>0</v>
      </c>
      <c r="AP241" s="605">
        <f t="shared" si="92"/>
        <v>0</v>
      </c>
      <c r="AQ241" s="605" t="s">
        <v>1139</v>
      </c>
      <c r="AR241" s="605" t="s">
        <v>670</v>
      </c>
      <c r="AS241" s="605" t="s">
        <v>751</v>
      </c>
      <c r="AT241" s="605" t="str">
        <f>'Estimate Summary'!$AT$11</f>
        <v>FOB SH</v>
      </c>
      <c r="AU241" s="610" t="b">
        <f t="shared" si="96"/>
        <v>0</v>
      </c>
      <c r="AV241" s="605" t="s">
        <v>1140</v>
      </c>
      <c r="AW241" s="2255">
        <f t="shared" si="97"/>
        <v>0</v>
      </c>
    </row>
    <row r="242" spans="2:49" s="605" customFormat="1" ht="13.5" hidden="1" customHeight="1" outlineLevel="1" thickTop="1">
      <c r="B242" s="1641" t="s">
        <v>961</v>
      </c>
      <c r="C242" s="1644"/>
      <c r="D242" s="1833"/>
      <c r="E242" s="2271"/>
      <c r="F242" s="2286"/>
      <c r="G242" s="2287">
        <f t="shared" si="102"/>
        <v>0</v>
      </c>
      <c r="H242" s="2272"/>
      <c r="I242" s="2253"/>
      <c r="J242" s="2253"/>
      <c r="K242" s="2253"/>
      <c r="L242" s="2253"/>
      <c r="M242" s="2253"/>
      <c r="N242" s="2273"/>
      <c r="P242" s="1014"/>
      <c r="Q242" s="794"/>
      <c r="R242" s="796"/>
      <c r="S242" s="899"/>
      <c r="T242" s="551"/>
      <c r="V242" s="603">
        <f t="shared" si="93"/>
        <v>0</v>
      </c>
      <c r="W242" s="870"/>
      <c r="X242" s="870"/>
      <c r="Y242" s="900"/>
      <c r="Z242" s="1018">
        <f t="shared" si="99"/>
        <v>0</v>
      </c>
      <c r="AA242" s="899"/>
      <c r="AB242" s="1022"/>
      <c r="AC242" s="900"/>
      <c r="AF242" s="870"/>
      <c r="AH242" s="870"/>
      <c r="AI242" s="870"/>
      <c r="AJ242" s="383" t="s">
        <v>669</v>
      </c>
      <c r="AK242" s="383" t="s">
        <v>1128</v>
      </c>
      <c r="AL242" s="605" t="b">
        <f t="shared" si="94"/>
        <v>0</v>
      </c>
      <c r="AM242" s="899">
        <f>'Estimate Summary'!$D$9</f>
        <v>1</v>
      </c>
      <c r="AN242" s="605" t="s">
        <v>1136</v>
      </c>
      <c r="AO242" s="899">
        <f t="shared" si="95"/>
        <v>0</v>
      </c>
      <c r="AP242" s="605">
        <f t="shared" si="92"/>
        <v>0</v>
      </c>
      <c r="AQ242" s="605" t="s">
        <v>1139</v>
      </c>
      <c r="AR242" s="605" t="s">
        <v>670</v>
      </c>
      <c r="AS242" s="605" t="s">
        <v>751</v>
      </c>
      <c r="AT242" s="605" t="str">
        <f>'Estimate Summary'!$AT$11</f>
        <v>FOB SH</v>
      </c>
      <c r="AU242" s="610" t="b">
        <f t="shared" si="96"/>
        <v>0</v>
      </c>
      <c r="AV242" s="605" t="s">
        <v>1140</v>
      </c>
      <c r="AW242" s="2255">
        <f t="shared" si="97"/>
        <v>0</v>
      </c>
    </row>
    <row r="243" spans="2:49" s="605" customFormat="1" ht="12.75" hidden="1" customHeight="1" outlineLevel="1">
      <c r="B243" s="2265"/>
      <c r="C243" s="2312" t="s">
        <v>908</v>
      </c>
      <c r="D243" s="1829"/>
      <c r="E243" s="584">
        <f>SUM(E244:E246)</f>
        <v>0</v>
      </c>
      <c r="F243" s="1886">
        <f>IF(E243=0,0,H243/E243*1000)</f>
        <v>0</v>
      </c>
      <c r="G243" s="1869">
        <f t="shared" si="102"/>
        <v>0</v>
      </c>
      <c r="H243" s="1870">
        <f>SUM(H244:H247)</f>
        <v>0</v>
      </c>
      <c r="I243" s="1718">
        <f t="shared" ref="I243:M243" si="119">SUM(I244:I246)</f>
        <v>0</v>
      </c>
      <c r="J243" s="1718">
        <f t="shared" si="119"/>
        <v>0</v>
      </c>
      <c r="K243" s="1718">
        <f t="shared" si="119"/>
        <v>0</v>
      </c>
      <c r="L243" s="1718">
        <f t="shared" si="119"/>
        <v>0</v>
      </c>
      <c r="M243" s="1718">
        <f t="shared" si="119"/>
        <v>0</v>
      </c>
      <c r="N243" s="1726"/>
      <c r="P243" s="2279"/>
      <c r="Q243" s="476"/>
      <c r="R243" s="476"/>
      <c r="S243" s="485"/>
      <c r="T243" s="2281"/>
      <c r="U243" s="1925"/>
      <c r="V243" s="1926">
        <f t="shared" si="93"/>
        <v>0</v>
      </c>
      <c r="W243" s="875"/>
      <c r="X243" s="875"/>
      <c r="Y243" s="878"/>
      <c r="Z243" s="891">
        <f t="shared" si="99"/>
        <v>0</v>
      </c>
      <c r="AA243" s="485"/>
      <c r="AB243" s="1927"/>
      <c r="AC243" s="1927"/>
      <c r="AD243" s="476"/>
      <c r="AE243" s="476"/>
      <c r="AF243" s="2282"/>
      <c r="AG243" s="1925"/>
      <c r="AH243" s="875"/>
      <c r="AI243" s="875"/>
      <c r="AJ243" s="383" t="s">
        <v>669</v>
      </c>
      <c r="AK243" s="383" t="s">
        <v>1128</v>
      </c>
      <c r="AL243" s="605" t="b">
        <f t="shared" si="94"/>
        <v>0</v>
      </c>
      <c r="AM243" s="899">
        <f>'Estimate Summary'!$D$9</f>
        <v>1</v>
      </c>
      <c r="AN243" s="605" t="s">
        <v>1136</v>
      </c>
      <c r="AO243" s="899">
        <f t="shared" si="95"/>
        <v>0</v>
      </c>
      <c r="AP243" s="605">
        <f t="shared" si="92"/>
        <v>0</v>
      </c>
      <c r="AQ243" s="605" t="s">
        <v>1139</v>
      </c>
      <c r="AR243" s="605" t="s">
        <v>670</v>
      </c>
      <c r="AS243" s="605" t="s">
        <v>751</v>
      </c>
      <c r="AT243" s="605" t="str">
        <f>'Estimate Summary'!$AT$11</f>
        <v>FOB SH</v>
      </c>
      <c r="AU243" s="610" t="b">
        <f t="shared" si="96"/>
        <v>0</v>
      </c>
      <c r="AV243" s="605" t="s">
        <v>1140</v>
      </c>
      <c r="AW243" s="2255">
        <f t="shared" si="97"/>
        <v>0</v>
      </c>
    </row>
    <row r="244" spans="2:49" s="802" customFormat="1" ht="13.5" hidden="1" customHeight="1" outlineLevel="1">
      <c r="B244" s="1079" t="s">
        <v>688</v>
      </c>
      <c r="C244" s="386" t="s">
        <v>910</v>
      </c>
      <c r="D244" s="1831" t="s">
        <v>181</v>
      </c>
      <c r="E244" s="421"/>
      <c r="F244" s="390">
        <f>IF(E244=0,0,H244/E244*1000)</f>
        <v>0</v>
      </c>
      <c r="G244" s="421">
        <f t="shared" si="102"/>
        <v>0</v>
      </c>
      <c r="H244" s="2017">
        <f>AB244</f>
        <v>0</v>
      </c>
      <c r="I244" s="469">
        <f>IF('Estimate Summary'!$D$9&lt;2,0,$H244)</f>
        <v>0</v>
      </c>
      <c r="J244" s="469">
        <f>IF('Estimate Summary'!$D$9&lt;3,0,$H244)</f>
        <v>0</v>
      </c>
      <c r="K244" s="469">
        <f>IF('Estimate Summary'!$D$9&lt;4,0,$H244)</f>
        <v>0</v>
      </c>
      <c r="L244" s="469">
        <f>IF('Estimate Summary'!$D$9&lt;5,0,$H244)</f>
        <v>0</v>
      </c>
      <c r="M244" s="469">
        <f>IF('Estimate Summary'!$D$9&lt;6,0,$H244)</f>
        <v>0</v>
      </c>
      <c r="N244" s="1647"/>
      <c r="O244" s="697"/>
      <c r="P244" s="474">
        <f>IF(Q244=0,0,(YEAR(R244)-YEAR(Q244))*12+(MONTH(R244)-MONTH(Q244)))</f>
        <v>42</v>
      </c>
      <c r="Q244" s="794">
        <v>42683</v>
      </c>
      <c r="R244" s="795">
        <f>$R$2+30.42*'Offshore CF'!CO13</f>
        <v>43956.04</v>
      </c>
      <c r="S244" s="475" t="s">
        <v>128</v>
      </c>
      <c r="T244" s="484" t="s">
        <v>180</v>
      </c>
      <c r="U244" s="697" t="s">
        <v>611</v>
      </c>
      <c r="V244" s="391" t="str">
        <f t="shared" si="93"/>
        <v>CNY</v>
      </c>
      <c r="W244" s="547"/>
      <c r="X244" s="863">
        <f>IF(V244="CNY",W244/1.17/1000,W244/1000)</f>
        <v>0</v>
      </c>
      <c r="Y244" s="920"/>
      <c r="Z244" s="890">
        <f t="shared" si="99"/>
        <v>0</v>
      </c>
      <c r="AA244" s="484">
        <f t="shared" ref="AA244:AA249" si="120">X244*(1-Z244)</f>
        <v>0</v>
      </c>
      <c r="AB244" s="484">
        <f>IF(V244="CNY",X244*(1-Z244),IF(V244="EUR",X244*(1-Z244)*$T$5,IF(V244="JPY",X244*(1-Z244)*$T$6,IF(V244="USD",X244*(1-Z244)*$T$7))))</f>
        <v>0</v>
      </c>
      <c r="AC244" s="885"/>
      <c r="AD244" s="802">
        <f>IF(V244&lt;&gt;"CNY",(AB244+#REF!)*AC244,0)</f>
        <v>0</v>
      </c>
      <c r="AF244" s="871">
        <f>IF(V244&lt;&gt;"CNY",(AB244+#REF!)*#REF!,0)</f>
        <v>0</v>
      </c>
      <c r="AG244" s="802">
        <f>IF(V244&lt;&gt;"CNY",E244*#REF!/1000,0)</f>
        <v>0</v>
      </c>
      <c r="AH244" s="871">
        <f>SUM(AD244:AG244)</f>
        <v>0</v>
      </c>
      <c r="AI244" s="484">
        <f>AB244+AH244</f>
        <v>0</v>
      </c>
      <c r="AJ244" s="383" t="s">
        <v>669</v>
      </c>
      <c r="AK244" s="383" t="s">
        <v>1128</v>
      </c>
      <c r="AL244" s="605" t="str">
        <f t="shared" si="94"/>
        <v>CN</v>
      </c>
      <c r="AM244" s="899">
        <f>'Estimate Summary'!$D$9</f>
        <v>1</v>
      </c>
      <c r="AN244" s="605" t="s">
        <v>1136</v>
      </c>
      <c r="AO244" s="899">
        <f t="shared" si="95"/>
        <v>0</v>
      </c>
      <c r="AP244" s="802" t="str">
        <f t="shared" si="92"/>
        <v>CNY</v>
      </c>
      <c r="AQ244" s="802" t="s">
        <v>1139</v>
      </c>
      <c r="AR244" s="802" t="s">
        <v>670</v>
      </c>
      <c r="AS244" s="605" t="s">
        <v>751</v>
      </c>
      <c r="AT244" s="802" t="str">
        <f>'Estimate Summary'!$AT$11</f>
        <v>FOB SH</v>
      </c>
      <c r="AU244" s="610" t="str">
        <f t="shared" si="96"/>
        <v>CN</v>
      </c>
      <c r="AV244" s="802" t="s">
        <v>1140</v>
      </c>
      <c r="AW244" s="2255">
        <f t="shared" si="97"/>
        <v>42683</v>
      </c>
    </row>
    <row r="245" spans="2:49" s="802" customFormat="1" ht="13.5" hidden="1" customHeight="1" outlineLevel="1">
      <c r="B245" s="1079" t="s">
        <v>688</v>
      </c>
      <c r="C245" s="386" t="s">
        <v>911</v>
      </c>
      <c r="D245" s="1831"/>
      <c r="E245" s="1607"/>
      <c r="F245" s="1639"/>
      <c r="G245" s="1639">
        <f t="shared" si="102"/>
        <v>0</v>
      </c>
      <c r="H245" s="1738">
        <f>AB245</f>
        <v>0</v>
      </c>
      <c r="I245" s="469">
        <f>IF('Estimate Summary'!$D$9&lt;2,0,$H245)</f>
        <v>0</v>
      </c>
      <c r="J245" s="469">
        <f>IF('Estimate Summary'!$D$9&lt;3,0,$H245)</f>
        <v>0</v>
      </c>
      <c r="K245" s="469">
        <f>IF('Estimate Summary'!$D$9&lt;4,0,$H245)</f>
        <v>0</v>
      </c>
      <c r="L245" s="469">
        <f>IF('Estimate Summary'!$D$9&lt;5,0,$H245)</f>
        <v>0</v>
      </c>
      <c r="M245" s="469">
        <f>IF('Estimate Summary'!$D$9&lt;6,0,$H245)</f>
        <v>0</v>
      </c>
      <c r="N245" s="1647"/>
      <c r="O245" s="697"/>
      <c r="P245" s="474">
        <f>IF(Q245=0,0,(YEAR(R245)-YEAR(Q245))*12+(MONTH(R245)-MONTH(Q245)))</f>
        <v>0</v>
      </c>
      <c r="Q245" s="794"/>
      <c r="R245" s="795"/>
      <c r="S245" s="475"/>
      <c r="T245" s="484"/>
      <c r="U245" s="383"/>
      <c r="V245" s="391">
        <f t="shared" si="93"/>
        <v>0</v>
      </c>
      <c r="W245" s="547"/>
      <c r="X245" s="863">
        <f>IF(V245="CNY",W245/1.17/1000,W245/1000)</f>
        <v>0</v>
      </c>
      <c r="Y245" s="888"/>
      <c r="Z245" s="890">
        <f t="shared" si="99"/>
        <v>0</v>
      </c>
      <c r="AA245" s="484">
        <f t="shared" si="120"/>
        <v>0</v>
      </c>
      <c r="AB245" s="1022"/>
      <c r="AC245" s="885"/>
      <c r="AF245" s="871"/>
      <c r="AH245" s="871">
        <f>SUM(AD245:AG245)</f>
        <v>0</v>
      </c>
      <c r="AI245" s="871">
        <f>AB245+AH245</f>
        <v>0</v>
      </c>
      <c r="AJ245" s="383" t="s">
        <v>669</v>
      </c>
      <c r="AK245" s="383" t="s">
        <v>1128</v>
      </c>
      <c r="AL245" s="605" t="b">
        <f t="shared" si="94"/>
        <v>0</v>
      </c>
      <c r="AM245" s="899">
        <f>'Estimate Summary'!$D$9</f>
        <v>1</v>
      </c>
      <c r="AN245" s="605" t="s">
        <v>1136</v>
      </c>
      <c r="AO245" s="899">
        <f t="shared" si="95"/>
        <v>0</v>
      </c>
      <c r="AP245" s="802">
        <f t="shared" si="92"/>
        <v>0</v>
      </c>
      <c r="AQ245" s="802" t="s">
        <v>1139</v>
      </c>
      <c r="AR245" s="802" t="s">
        <v>670</v>
      </c>
      <c r="AS245" s="605" t="s">
        <v>751</v>
      </c>
      <c r="AT245" s="802" t="str">
        <f>'Estimate Summary'!$AT$11</f>
        <v>FOB SH</v>
      </c>
      <c r="AU245" s="610" t="b">
        <f t="shared" si="96"/>
        <v>0</v>
      </c>
      <c r="AV245" s="802" t="s">
        <v>1140</v>
      </c>
      <c r="AW245" s="2255">
        <f t="shared" si="97"/>
        <v>0</v>
      </c>
    </row>
    <row r="246" spans="2:49" s="802" customFormat="1" ht="13.5" hidden="1" customHeight="1" outlineLevel="1">
      <c r="B246" s="1079" t="s">
        <v>909</v>
      </c>
      <c r="C246" s="386" t="s">
        <v>912</v>
      </c>
      <c r="D246" s="1838"/>
      <c r="E246" s="1607"/>
      <c r="F246" s="1639"/>
      <c r="G246" s="1639">
        <f t="shared" si="102"/>
        <v>0</v>
      </c>
      <c r="H246" s="1738">
        <f>AB246</f>
        <v>0</v>
      </c>
      <c r="I246" s="469">
        <f>IF('Estimate Summary'!$D$9&lt;2,0,$H246)</f>
        <v>0</v>
      </c>
      <c r="J246" s="469">
        <f>IF('Estimate Summary'!$D$9&lt;3,0,$H246)</f>
        <v>0</v>
      </c>
      <c r="K246" s="469">
        <f>IF('Estimate Summary'!$D$9&lt;4,0,$H246)</f>
        <v>0</v>
      </c>
      <c r="L246" s="469">
        <f>IF('Estimate Summary'!$D$9&lt;5,0,$H246)</f>
        <v>0</v>
      </c>
      <c r="M246" s="469">
        <f>IF('Estimate Summary'!$D$9&lt;6,0,$H246)</f>
        <v>0</v>
      </c>
      <c r="N246" s="1647"/>
      <c r="O246" s="697"/>
      <c r="P246" s="474">
        <f>IF(Q246=0,0,(YEAR(R246)-YEAR(Q246))*12+(MONTH(R246)-MONTH(Q246)))</f>
        <v>0</v>
      </c>
      <c r="Q246" s="794"/>
      <c r="R246" s="795"/>
      <c r="S246" s="475"/>
      <c r="T246" s="484"/>
      <c r="U246" s="383"/>
      <c r="V246" s="391">
        <f t="shared" si="93"/>
        <v>0</v>
      </c>
      <c r="W246" s="547"/>
      <c r="X246" s="863">
        <f>IF(V246="CNY",W246/1.17/1000,W246/1000)</f>
        <v>0</v>
      </c>
      <c r="Y246" s="888"/>
      <c r="Z246" s="890">
        <f t="shared" si="99"/>
        <v>0</v>
      </c>
      <c r="AA246" s="484">
        <f t="shared" si="120"/>
        <v>0</v>
      </c>
      <c r="AB246" s="1022"/>
      <c r="AC246" s="885"/>
      <c r="AF246" s="871"/>
      <c r="AH246" s="871">
        <f>SUM(AD246:AG246)</f>
        <v>0</v>
      </c>
      <c r="AI246" s="871">
        <f>AB246+AH246</f>
        <v>0</v>
      </c>
      <c r="AJ246" s="383" t="s">
        <v>669</v>
      </c>
      <c r="AK246" s="383" t="s">
        <v>1128</v>
      </c>
      <c r="AL246" s="605" t="b">
        <f t="shared" si="94"/>
        <v>0</v>
      </c>
      <c r="AM246" s="899">
        <f>'Estimate Summary'!$D$9</f>
        <v>1</v>
      </c>
      <c r="AN246" s="605" t="s">
        <v>1136</v>
      </c>
      <c r="AO246" s="899">
        <f t="shared" si="95"/>
        <v>0</v>
      </c>
      <c r="AP246" s="802">
        <f t="shared" si="92"/>
        <v>0</v>
      </c>
      <c r="AQ246" s="802" t="s">
        <v>1139</v>
      </c>
      <c r="AR246" s="802" t="s">
        <v>670</v>
      </c>
      <c r="AS246" s="605" t="s">
        <v>751</v>
      </c>
      <c r="AT246" s="802" t="str">
        <f>'Estimate Summary'!$AT$11</f>
        <v>FOB SH</v>
      </c>
      <c r="AU246" s="610" t="b">
        <f t="shared" si="96"/>
        <v>0</v>
      </c>
      <c r="AV246" s="802" t="s">
        <v>1140</v>
      </c>
      <c r="AW246" s="2255">
        <f t="shared" si="97"/>
        <v>0</v>
      </c>
    </row>
    <row r="247" spans="2:49" s="383" customFormat="1" ht="13.5" hidden="1" customHeight="1" outlineLevel="1">
      <c r="B247" s="1079" t="s">
        <v>806</v>
      </c>
      <c r="C247" s="385" t="s">
        <v>812</v>
      </c>
      <c r="D247" s="1831" t="s">
        <v>181</v>
      </c>
      <c r="E247" s="924">
        <f>361000*298000/361000*0</f>
        <v>0</v>
      </c>
      <c r="F247" s="390">
        <f>IF(E247=0,0,H247/E247*1000)</f>
        <v>0</v>
      </c>
      <c r="G247" s="1607">
        <f>AA247</f>
        <v>0</v>
      </c>
      <c r="H247" s="1738">
        <f>AB247</f>
        <v>0</v>
      </c>
      <c r="I247" s="469">
        <f>IF('Estimate Summary'!$D$9&lt;2,0,$H247)</f>
        <v>0</v>
      </c>
      <c r="J247" s="469">
        <f>IF('Estimate Summary'!$D$9&lt;3,0,$H247)</f>
        <v>0</v>
      </c>
      <c r="K247" s="469">
        <f>IF('Estimate Summary'!$D$9&lt;4,0,$H247)</f>
        <v>0</v>
      </c>
      <c r="L247" s="469">
        <f>IF('Estimate Summary'!$D$9&lt;5,0,$H247)</f>
        <v>0</v>
      </c>
      <c r="M247" s="469">
        <f>IF('Estimate Summary'!$D$9&lt;6,0,$H247)</f>
        <v>0</v>
      </c>
      <c r="N247" s="1648"/>
      <c r="P247" s="1010">
        <f>IF(Q247=0,0,(YEAR(R247)-YEAR(Q247))*12+(MONTH(R247)-MONTH(Q247)))</f>
        <v>0</v>
      </c>
      <c r="Q247" s="794"/>
      <c r="R247" s="795"/>
      <c r="S247" s="475"/>
      <c r="T247" s="475"/>
      <c r="U247" s="697"/>
      <c r="V247" s="391" t="str">
        <f>D247</f>
        <v>CNY</v>
      </c>
      <c r="W247" s="547"/>
      <c r="X247" s="863">
        <f>IF(V247="CNY",W247/1.17/1000,W247/1000)</f>
        <v>0</v>
      </c>
      <c r="Y247" s="920"/>
      <c r="Z247" s="890">
        <f>Y247+$Z$78</f>
        <v>0</v>
      </c>
      <c r="AA247" s="484">
        <f t="shared" si="120"/>
        <v>0</v>
      </c>
      <c r="AB247" s="484">
        <f>IF(V247="CNY",X247*(1-Z247),IF(V247="EUR",X247*(1-Z247)*$T$5,IF(V247="JPY",X247*(1-Z247)*$T$6,IF(V247="USD",X247*(1-Z247)*$T$7))))</f>
        <v>0</v>
      </c>
      <c r="AC247" s="879"/>
      <c r="AD247" s="383">
        <f>IF(V247&lt;&gt;"CNY",(AB247+#REF!)*AC247,0)</f>
        <v>0</v>
      </c>
      <c r="AF247" s="867">
        <f>IF(V247&lt;&gt;"CNY",(AB247+#REF!)*#REF!,0)</f>
        <v>0</v>
      </c>
      <c r="AG247" s="383">
        <f>IF(V247&lt;&gt;"CNY",E247*#REF!/1000,0)</f>
        <v>0</v>
      </c>
      <c r="AH247" s="867">
        <f>SUM(AD247:AG247)</f>
        <v>0</v>
      </c>
      <c r="AI247" s="867">
        <f>AB247+AH247</f>
        <v>0</v>
      </c>
      <c r="AJ247" s="383" t="s">
        <v>669</v>
      </c>
      <c r="AK247" s="383" t="s">
        <v>1128</v>
      </c>
      <c r="AL247" s="383" t="str">
        <f>IF(D247="CNY","CN",IF(D247="EUR","DE",IF(D247="USD","US",IF(D247="JPY","JP",IF(D247="INR","IN")))))</f>
        <v>CN</v>
      </c>
      <c r="AM247" s="484">
        <f>'Estimate Summary'!$D$9</f>
        <v>1</v>
      </c>
      <c r="AN247" s="383" t="s">
        <v>1136</v>
      </c>
      <c r="AO247" s="484">
        <f>G247</f>
        <v>0</v>
      </c>
      <c r="AP247" s="383" t="str">
        <f>D247</f>
        <v>CNY</v>
      </c>
      <c r="AQ247" s="383" t="s">
        <v>1139</v>
      </c>
      <c r="AR247" s="383" t="s">
        <v>670</v>
      </c>
      <c r="AS247" s="605" t="s">
        <v>745</v>
      </c>
      <c r="AT247" s="383" t="str">
        <f>'Estimate Summary'!$AT$11</f>
        <v>FOB SH</v>
      </c>
      <c r="AU247" s="610" t="str">
        <f>AL247</f>
        <v>CN</v>
      </c>
      <c r="AV247" s="383" t="s">
        <v>1140</v>
      </c>
      <c r="AW247" s="2255">
        <f>Q247</f>
        <v>0</v>
      </c>
    </row>
    <row r="248" spans="2:49" s="605" customFormat="1" ht="13.5" hidden="1" customHeight="1" outlineLevel="1" collapsed="1" thickBot="1">
      <c r="B248" s="2306"/>
      <c r="C248" s="1719" t="s">
        <v>3</v>
      </c>
      <c r="D248" s="1839"/>
      <c r="E248" s="426">
        <f>E243</f>
        <v>0</v>
      </c>
      <c r="F248" s="2314"/>
      <c r="G248" s="2315">
        <f t="shared" si="102"/>
        <v>0</v>
      </c>
      <c r="H248" s="426">
        <f t="shared" ref="H248:M248" si="121">H243</f>
        <v>0</v>
      </c>
      <c r="I248" s="427">
        <f t="shared" si="121"/>
        <v>0</v>
      </c>
      <c r="J248" s="427">
        <f t="shared" si="121"/>
        <v>0</v>
      </c>
      <c r="K248" s="427">
        <f t="shared" si="121"/>
        <v>0</v>
      </c>
      <c r="L248" s="427">
        <f t="shared" si="121"/>
        <v>0</v>
      </c>
      <c r="M248" s="427">
        <f t="shared" si="121"/>
        <v>0</v>
      </c>
      <c r="N248" s="2270"/>
      <c r="P248" s="1014"/>
      <c r="Q248" s="794"/>
      <c r="R248" s="796"/>
      <c r="S248" s="899"/>
      <c r="T248" s="551"/>
      <c r="V248" s="1014">
        <f t="shared" si="93"/>
        <v>0</v>
      </c>
      <c r="W248" s="870"/>
      <c r="X248" s="870"/>
      <c r="Y248" s="888"/>
      <c r="Z248" s="900">
        <f t="shared" si="99"/>
        <v>0</v>
      </c>
      <c r="AA248" s="899">
        <f t="shared" si="120"/>
        <v>0</v>
      </c>
      <c r="AB248" s="1022"/>
      <c r="AC248" s="900"/>
      <c r="AF248" s="870"/>
      <c r="AH248" s="870"/>
      <c r="AI248" s="870"/>
      <c r="AJ248" s="383" t="s">
        <v>669</v>
      </c>
      <c r="AK248" s="383" t="s">
        <v>1128</v>
      </c>
      <c r="AL248" s="605" t="b">
        <f t="shared" si="94"/>
        <v>0</v>
      </c>
      <c r="AM248" s="899">
        <f>'Estimate Summary'!$D$9</f>
        <v>1</v>
      </c>
      <c r="AN248" s="605" t="s">
        <v>1136</v>
      </c>
      <c r="AO248" s="899">
        <f t="shared" si="95"/>
        <v>0</v>
      </c>
      <c r="AP248" s="605">
        <f t="shared" si="92"/>
        <v>0</v>
      </c>
      <c r="AQ248" s="605" t="s">
        <v>1139</v>
      </c>
      <c r="AR248" s="605" t="s">
        <v>670</v>
      </c>
      <c r="AS248" s="605" t="s">
        <v>751</v>
      </c>
      <c r="AT248" s="605" t="str">
        <f>'Estimate Summary'!$AT$11</f>
        <v>FOB SH</v>
      </c>
      <c r="AU248" s="610" t="b">
        <f t="shared" si="96"/>
        <v>0</v>
      </c>
      <c r="AV248" s="605" t="s">
        <v>1140</v>
      </c>
      <c r="AW248" s="2255">
        <f t="shared" si="97"/>
        <v>0</v>
      </c>
    </row>
    <row r="249" spans="2:49" s="605" customFormat="1" ht="13.5" hidden="1" customHeight="1" outlineLevel="1" thickTop="1">
      <c r="B249" s="1641" t="s">
        <v>966</v>
      </c>
      <c r="C249" s="1667"/>
      <c r="D249" s="1829"/>
      <c r="E249" s="584"/>
      <c r="F249" s="1886"/>
      <c r="G249" s="1869">
        <f t="shared" si="102"/>
        <v>0</v>
      </c>
      <c r="H249" s="1870"/>
      <c r="I249" s="1718"/>
      <c r="J249" s="1718"/>
      <c r="K249" s="1718"/>
      <c r="L249" s="1718"/>
      <c r="M249" s="1718"/>
      <c r="N249" s="1726"/>
      <c r="P249" s="1014"/>
      <c r="Q249" s="794"/>
      <c r="R249" s="796"/>
      <c r="S249" s="899"/>
      <c r="T249" s="551"/>
      <c r="V249" s="1014">
        <f t="shared" si="93"/>
        <v>0</v>
      </c>
      <c r="W249" s="870"/>
      <c r="X249" s="870"/>
      <c r="Y249" s="888"/>
      <c r="Z249" s="900">
        <f t="shared" si="99"/>
        <v>0</v>
      </c>
      <c r="AA249" s="899">
        <f t="shared" si="120"/>
        <v>0</v>
      </c>
      <c r="AB249" s="1022"/>
      <c r="AC249" s="900"/>
      <c r="AF249" s="870"/>
      <c r="AH249" s="870"/>
      <c r="AI249" s="870"/>
      <c r="AJ249" s="383" t="s">
        <v>669</v>
      </c>
      <c r="AK249" s="383" t="s">
        <v>1128</v>
      </c>
      <c r="AL249" s="605" t="b">
        <f t="shared" si="94"/>
        <v>0</v>
      </c>
      <c r="AM249" s="899">
        <f>'Estimate Summary'!$D$9</f>
        <v>1</v>
      </c>
      <c r="AN249" s="605" t="s">
        <v>1136</v>
      </c>
      <c r="AO249" s="899">
        <f t="shared" si="95"/>
        <v>0</v>
      </c>
      <c r="AP249" s="605">
        <f t="shared" si="92"/>
        <v>0</v>
      </c>
      <c r="AQ249" s="605" t="s">
        <v>1139</v>
      </c>
      <c r="AR249" s="605" t="s">
        <v>670</v>
      </c>
      <c r="AS249" s="605" t="s">
        <v>751</v>
      </c>
      <c r="AT249" s="605" t="str">
        <f>'Estimate Summary'!$AT$11</f>
        <v>FOB SH</v>
      </c>
      <c r="AU249" s="610" t="b">
        <f t="shared" si="96"/>
        <v>0</v>
      </c>
      <c r="AV249" s="605" t="s">
        <v>1140</v>
      </c>
      <c r="AW249" s="2255">
        <f t="shared" si="97"/>
        <v>0</v>
      </c>
    </row>
    <row r="250" spans="2:49" s="605" customFormat="1" ht="12.75" hidden="1" customHeight="1" outlineLevel="1">
      <c r="B250" s="1709"/>
      <c r="C250" s="1667" t="s">
        <v>1075</v>
      </c>
      <c r="D250" s="1829"/>
      <c r="E250" s="1664"/>
      <c r="F250" s="1868"/>
      <c r="G250" s="1869">
        <f t="shared" si="102"/>
        <v>0</v>
      </c>
      <c r="H250" s="1870"/>
      <c r="I250" s="1718"/>
      <c r="J250" s="1718"/>
      <c r="K250" s="1718"/>
      <c r="L250" s="1718"/>
      <c r="M250" s="1718"/>
      <c r="N250" s="1726"/>
      <c r="P250" s="2279"/>
      <c r="Q250" s="476"/>
      <c r="R250" s="476"/>
      <c r="S250" s="485"/>
      <c r="T250" s="2281"/>
      <c r="U250" s="1925"/>
      <c r="V250" s="1926">
        <f t="shared" si="93"/>
        <v>0</v>
      </c>
      <c r="W250" s="875"/>
      <c r="X250" s="875"/>
      <c r="Y250" s="878"/>
      <c r="Z250" s="891">
        <f t="shared" si="99"/>
        <v>0</v>
      </c>
      <c r="AA250" s="485"/>
      <c r="AB250" s="1927"/>
      <c r="AC250" s="1927"/>
      <c r="AD250" s="476"/>
      <c r="AE250" s="476"/>
      <c r="AF250" s="2282"/>
      <c r="AG250" s="1925"/>
      <c r="AH250" s="875"/>
      <c r="AI250" s="875"/>
      <c r="AJ250" s="383" t="s">
        <v>669</v>
      </c>
      <c r="AK250" s="383" t="s">
        <v>1128</v>
      </c>
      <c r="AL250" s="605" t="b">
        <f t="shared" si="94"/>
        <v>0</v>
      </c>
      <c r="AM250" s="899">
        <f>'Estimate Summary'!$D$9</f>
        <v>1</v>
      </c>
      <c r="AN250" s="605" t="s">
        <v>1136</v>
      </c>
      <c r="AO250" s="899">
        <f t="shared" si="95"/>
        <v>0</v>
      </c>
      <c r="AP250" s="605">
        <f t="shared" si="92"/>
        <v>0</v>
      </c>
      <c r="AQ250" s="605" t="s">
        <v>1139</v>
      </c>
      <c r="AR250" s="605" t="s">
        <v>670</v>
      </c>
      <c r="AS250" s="605" t="s">
        <v>751</v>
      </c>
      <c r="AT250" s="605" t="str">
        <f>'Estimate Summary'!$AT$11</f>
        <v>FOB SH</v>
      </c>
      <c r="AU250" s="610" t="b">
        <f t="shared" si="96"/>
        <v>0</v>
      </c>
      <c r="AV250" s="605" t="s">
        <v>1140</v>
      </c>
      <c r="AW250" s="2255">
        <f t="shared" si="97"/>
        <v>0</v>
      </c>
    </row>
    <row r="251" spans="2:49" s="605" customFormat="1" ht="13.5" hidden="1" customHeight="1" outlineLevel="1">
      <c r="B251" s="1079" t="s">
        <v>749</v>
      </c>
      <c r="C251" s="386" t="s">
        <v>967</v>
      </c>
      <c r="D251" s="1831"/>
      <c r="E251" s="421"/>
      <c r="F251" s="390"/>
      <c r="G251" s="421">
        <f t="shared" si="102"/>
        <v>0</v>
      </c>
      <c r="H251" s="1738">
        <f>AB251</f>
        <v>0</v>
      </c>
      <c r="I251" s="469">
        <f>IF('Estimate Summary'!$D$9&lt;2,0,$H251)</f>
        <v>0</v>
      </c>
      <c r="J251" s="469">
        <f>IF('Estimate Summary'!$D$9&lt;3,0,$H251)</f>
        <v>0</v>
      </c>
      <c r="K251" s="469">
        <f>IF('Estimate Summary'!$D$9&lt;4,0,$H251)</f>
        <v>0</v>
      </c>
      <c r="L251" s="469">
        <f>IF('Estimate Summary'!$D$9&lt;5,0,$H251)</f>
        <v>0</v>
      </c>
      <c r="M251" s="469">
        <f>IF('Estimate Summary'!$D$9&lt;6,0,$H251)</f>
        <v>0</v>
      </c>
      <c r="N251" s="1647"/>
      <c r="P251" s="474">
        <f>IF(Q251=0,0,(YEAR(R251)-YEAR(Q251))*12+(MONTH(R251)-MONTH(Q251)))</f>
        <v>0</v>
      </c>
      <c r="Q251" s="794"/>
      <c r="R251" s="795"/>
      <c r="S251" s="475"/>
      <c r="T251" s="484"/>
      <c r="U251" s="383"/>
      <c r="V251" s="391">
        <f t="shared" si="93"/>
        <v>0</v>
      </c>
      <c r="W251" s="547"/>
      <c r="X251" s="863">
        <f>IF(V251="CNY",W251/1.17/1000,W251/1000)</f>
        <v>0</v>
      </c>
      <c r="Y251" s="888"/>
      <c r="Z251" s="890">
        <f t="shared" si="99"/>
        <v>0</v>
      </c>
      <c r="AA251" s="484">
        <f>X251*(1-Z251)</f>
        <v>0</v>
      </c>
      <c r="AB251" s="1022"/>
      <c r="AC251" s="885"/>
      <c r="AD251" s="802"/>
      <c r="AE251" s="802"/>
      <c r="AF251" s="871"/>
      <c r="AG251" s="802"/>
      <c r="AH251" s="871">
        <f>SUM(AD251:AG251)</f>
        <v>0</v>
      </c>
      <c r="AI251" s="871">
        <f>AB251+AH251</f>
        <v>0</v>
      </c>
      <c r="AJ251" s="383" t="s">
        <v>669</v>
      </c>
      <c r="AK251" s="383" t="s">
        <v>1128</v>
      </c>
      <c r="AL251" s="605" t="b">
        <f t="shared" si="94"/>
        <v>0</v>
      </c>
      <c r="AM251" s="899">
        <f>'Estimate Summary'!$D$9</f>
        <v>1</v>
      </c>
      <c r="AN251" s="605" t="s">
        <v>1136</v>
      </c>
      <c r="AO251" s="899">
        <f t="shared" si="95"/>
        <v>0</v>
      </c>
      <c r="AP251" s="605">
        <f t="shared" si="92"/>
        <v>0</v>
      </c>
      <c r="AQ251" s="605" t="s">
        <v>1139</v>
      </c>
      <c r="AR251" s="605" t="s">
        <v>670</v>
      </c>
      <c r="AS251" s="605" t="s">
        <v>751</v>
      </c>
      <c r="AT251" s="605" t="str">
        <f>'Estimate Summary'!$AT$11</f>
        <v>FOB SH</v>
      </c>
      <c r="AU251" s="610" t="b">
        <f t="shared" si="96"/>
        <v>0</v>
      </c>
      <c r="AV251" s="605" t="s">
        <v>1140</v>
      </c>
      <c r="AW251" s="2255">
        <f t="shared" si="97"/>
        <v>0</v>
      </c>
    </row>
    <row r="252" spans="2:49" s="605" customFormat="1" ht="13.5" hidden="1" customHeight="1" outlineLevel="1">
      <c r="B252" s="1079" t="s">
        <v>749</v>
      </c>
      <c r="C252" s="386" t="s">
        <v>968</v>
      </c>
      <c r="D252" s="1831"/>
      <c r="E252" s="1607"/>
      <c r="F252" s="1639"/>
      <c r="G252" s="1639">
        <f t="shared" si="102"/>
        <v>0</v>
      </c>
      <c r="H252" s="1738">
        <f>AB252</f>
        <v>0</v>
      </c>
      <c r="I252" s="469">
        <f>IF('Estimate Summary'!$D$9&lt;2,0,$H252)</f>
        <v>0</v>
      </c>
      <c r="J252" s="469">
        <f>IF('Estimate Summary'!$D$9&lt;3,0,$H252)</f>
        <v>0</v>
      </c>
      <c r="K252" s="469">
        <f>IF('Estimate Summary'!$D$9&lt;4,0,$H252)</f>
        <v>0</v>
      </c>
      <c r="L252" s="469">
        <f>IF('Estimate Summary'!$D$9&lt;5,0,$H252)</f>
        <v>0</v>
      </c>
      <c r="M252" s="469">
        <f>IF('Estimate Summary'!$D$9&lt;6,0,$H252)</f>
        <v>0</v>
      </c>
      <c r="N252" s="1647"/>
      <c r="P252" s="474">
        <f>IF(Q252=0,0,(YEAR(R252)-YEAR(Q252))*12+(MONTH(R252)-MONTH(Q252)))</f>
        <v>0</v>
      </c>
      <c r="Q252" s="794"/>
      <c r="R252" s="795"/>
      <c r="S252" s="475"/>
      <c r="T252" s="484"/>
      <c r="U252" s="383"/>
      <c r="V252" s="391">
        <f t="shared" si="93"/>
        <v>0</v>
      </c>
      <c r="W252" s="547"/>
      <c r="X252" s="863">
        <f>IF(V252="CNY",W252/1.17/1000,W252/1000)</f>
        <v>0</v>
      </c>
      <c r="Y252" s="888"/>
      <c r="Z252" s="890">
        <f t="shared" si="99"/>
        <v>0</v>
      </c>
      <c r="AA252" s="484">
        <f>X252*(1-Z252)</f>
        <v>0</v>
      </c>
      <c r="AB252" s="1022"/>
      <c r="AC252" s="885"/>
      <c r="AD252" s="802"/>
      <c r="AE252" s="802"/>
      <c r="AF252" s="871"/>
      <c r="AG252" s="802"/>
      <c r="AH252" s="871">
        <f>SUM(AD252:AG252)</f>
        <v>0</v>
      </c>
      <c r="AI252" s="871">
        <f>AB252+AH252</f>
        <v>0</v>
      </c>
      <c r="AJ252" s="383" t="s">
        <v>669</v>
      </c>
      <c r="AK252" s="383" t="s">
        <v>1128</v>
      </c>
      <c r="AL252" s="605" t="b">
        <f t="shared" si="94"/>
        <v>0</v>
      </c>
      <c r="AM252" s="899">
        <f>'Estimate Summary'!$D$9</f>
        <v>1</v>
      </c>
      <c r="AN252" s="605" t="s">
        <v>1136</v>
      </c>
      <c r="AO252" s="899">
        <f t="shared" si="95"/>
        <v>0</v>
      </c>
      <c r="AP252" s="605">
        <f t="shared" si="92"/>
        <v>0</v>
      </c>
      <c r="AQ252" s="605" t="s">
        <v>1139</v>
      </c>
      <c r="AR252" s="605" t="s">
        <v>670</v>
      </c>
      <c r="AS252" s="605" t="s">
        <v>751</v>
      </c>
      <c r="AT252" s="605" t="str">
        <f>'Estimate Summary'!$AT$11</f>
        <v>FOB SH</v>
      </c>
      <c r="AU252" s="610" t="b">
        <f t="shared" si="96"/>
        <v>0</v>
      </c>
      <c r="AV252" s="605" t="s">
        <v>1140</v>
      </c>
      <c r="AW252" s="2255">
        <f t="shared" si="97"/>
        <v>0</v>
      </c>
    </row>
    <row r="253" spans="2:49" s="605" customFormat="1" ht="12.75" hidden="1" customHeight="1" outlineLevel="1" collapsed="1">
      <c r="B253" s="1818"/>
      <c r="C253" s="1660" t="s">
        <v>969</v>
      </c>
      <c r="D253" s="1895"/>
      <c r="E253" s="1821"/>
      <c r="F253" s="1770"/>
      <c r="G253" s="1770"/>
      <c r="H253" s="1819"/>
      <c r="I253" s="1820"/>
      <c r="J253" s="1820"/>
      <c r="K253" s="1820"/>
      <c r="L253" s="1820"/>
      <c r="M253" s="1820"/>
      <c r="N253" s="1822"/>
      <c r="P253" s="1014"/>
      <c r="Q253" s="794"/>
      <c r="R253" s="796"/>
      <c r="S253" s="899"/>
      <c r="T253" s="551"/>
      <c r="V253" s="1014">
        <f t="shared" si="93"/>
        <v>0</v>
      </c>
      <c r="W253" s="870"/>
      <c r="X253" s="870"/>
      <c r="Y253" s="888"/>
      <c r="Z253" s="900">
        <f t="shared" si="99"/>
        <v>0</v>
      </c>
      <c r="AA253" s="899"/>
      <c r="AB253" s="1022"/>
      <c r="AC253" s="900"/>
      <c r="AF253" s="870"/>
      <c r="AH253" s="870"/>
      <c r="AI253" s="870"/>
      <c r="AJ253" s="383" t="s">
        <v>669</v>
      </c>
      <c r="AK253" s="383" t="s">
        <v>1128</v>
      </c>
      <c r="AL253" s="605" t="b">
        <f t="shared" si="94"/>
        <v>0</v>
      </c>
      <c r="AM253" s="899">
        <f>'Estimate Summary'!$D$9</f>
        <v>1</v>
      </c>
      <c r="AN253" s="605" t="s">
        <v>1136</v>
      </c>
      <c r="AO253" s="899">
        <f t="shared" si="95"/>
        <v>0</v>
      </c>
      <c r="AP253" s="605">
        <f t="shared" si="92"/>
        <v>0</v>
      </c>
      <c r="AQ253" s="605" t="s">
        <v>1139</v>
      </c>
      <c r="AR253" s="605" t="s">
        <v>670</v>
      </c>
      <c r="AS253" s="605" t="s">
        <v>751</v>
      </c>
      <c r="AT253" s="605" t="str">
        <f>'Estimate Summary'!$AT$11</f>
        <v>FOB SH</v>
      </c>
      <c r="AU253" s="610" t="b">
        <f t="shared" si="96"/>
        <v>0</v>
      </c>
      <c r="AV253" s="605" t="s">
        <v>1140</v>
      </c>
      <c r="AW253" s="2255">
        <f t="shared" si="97"/>
        <v>0</v>
      </c>
    </row>
    <row r="254" spans="2:49" s="605" customFormat="1" ht="13.5" hidden="1" customHeight="1" outlineLevel="1" thickBot="1">
      <c r="B254" s="1640" t="s">
        <v>1008</v>
      </c>
      <c r="C254" s="1896" t="s">
        <v>1006</v>
      </c>
      <c r="D254" s="1897"/>
      <c r="E254" s="1898"/>
      <c r="F254" s="1899"/>
      <c r="G254" s="1870">
        <f>AA254</f>
        <v>0</v>
      </c>
      <c r="H254" s="1870">
        <f>AB254</f>
        <v>0</v>
      </c>
      <c r="I254" s="1718">
        <f>IF('Estimate Summary'!$D$9&lt;2,0,$H254)</f>
        <v>0</v>
      </c>
      <c r="J254" s="1718">
        <f>IF('Estimate Summary'!$D$9&lt;3,0,$H254)</f>
        <v>0</v>
      </c>
      <c r="K254" s="1718">
        <f>IF('Estimate Summary'!$D$9&lt;4,0,$H254)</f>
        <v>0</v>
      </c>
      <c r="L254" s="1718">
        <f>IF('Estimate Summary'!$D$9&lt;5,0,$H254)</f>
        <v>0</v>
      </c>
      <c r="M254" s="1718">
        <f>IF('Estimate Summary'!$D$9&lt;6,0,$H254)</f>
        <v>0</v>
      </c>
      <c r="N254" s="1630"/>
      <c r="P254" s="1875">
        <f>IF(Q254=0,0,(YEAR(R254)-YEAR(Q254))*12+(MONTH(R254)-MONTH(Q254)))</f>
        <v>0</v>
      </c>
      <c r="Q254" s="1670"/>
      <c r="R254" s="796"/>
      <c r="S254" s="899"/>
      <c r="T254" s="551"/>
      <c r="U254" s="610"/>
      <c r="V254" s="603">
        <f t="shared" si="93"/>
        <v>0</v>
      </c>
      <c r="W254" s="932"/>
      <c r="X254" s="1907">
        <f>IF(V254="CNY",W254/1.17/1000,W254/1000)</f>
        <v>0</v>
      </c>
      <c r="Y254" s="1877"/>
      <c r="Z254" s="1874">
        <f t="shared" si="99"/>
        <v>0</v>
      </c>
      <c r="AA254" s="551">
        <f>X254*(1-Z254)</f>
        <v>0</v>
      </c>
      <c r="AB254" s="870"/>
      <c r="AC254" s="900"/>
      <c r="AF254" s="870"/>
      <c r="AH254" s="870">
        <f>SUM(AD254:AG254)</f>
        <v>0</v>
      </c>
      <c r="AI254" s="870">
        <f>AB254+AH254</f>
        <v>0</v>
      </c>
      <c r="AJ254" s="383" t="s">
        <v>669</v>
      </c>
      <c r="AK254" s="383" t="s">
        <v>1128</v>
      </c>
      <c r="AL254" s="605" t="b">
        <f t="shared" si="94"/>
        <v>0</v>
      </c>
      <c r="AM254" s="899">
        <f>'Estimate Summary'!$D$9</f>
        <v>1</v>
      </c>
      <c r="AN254" s="605" t="s">
        <v>1136</v>
      </c>
      <c r="AO254" s="899">
        <f t="shared" si="95"/>
        <v>0</v>
      </c>
      <c r="AP254" s="605">
        <f t="shared" si="92"/>
        <v>0</v>
      </c>
      <c r="AQ254" s="605" t="s">
        <v>1139</v>
      </c>
      <c r="AR254" s="605" t="s">
        <v>670</v>
      </c>
      <c r="AS254" s="605" t="s">
        <v>751</v>
      </c>
      <c r="AT254" s="605" t="str">
        <f>'Estimate Summary'!$AT$11</f>
        <v>FOB SH</v>
      </c>
      <c r="AU254" s="610" t="b">
        <f t="shared" si="96"/>
        <v>0</v>
      </c>
      <c r="AV254" s="605" t="s">
        <v>1140</v>
      </c>
      <c r="AW254" s="2255">
        <f t="shared" si="97"/>
        <v>0</v>
      </c>
    </row>
    <row r="255" spans="2:49" s="605" customFormat="1" ht="13.5" collapsed="1" thickTop="1">
      <c r="B255" s="803" t="s">
        <v>970</v>
      </c>
      <c r="C255" s="804"/>
      <c r="D255" s="1833"/>
      <c r="E255" s="805" t="s">
        <v>244</v>
      </c>
      <c r="F255" s="805" t="s">
        <v>124</v>
      </c>
      <c r="G255" s="1614"/>
      <c r="H255" s="2272"/>
      <c r="I255" s="2253"/>
      <c r="J255" s="2253"/>
      <c r="K255" s="2253"/>
      <c r="L255" s="2253"/>
      <c r="M255" s="2253"/>
      <c r="N255" s="2273"/>
      <c r="P255" s="1014"/>
      <c r="S255" s="899"/>
      <c r="T255" s="551"/>
      <c r="V255" s="1014">
        <f t="shared" si="93"/>
        <v>0</v>
      </c>
      <c r="W255" s="870"/>
      <c r="X255" s="870"/>
      <c r="Y255" s="900"/>
      <c r="Z255" s="1018">
        <f t="shared" si="99"/>
        <v>0</v>
      </c>
      <c r="AA255" s="1018"/>
      <c r="AB255" s="1022"/>
      <c r="AC255" s="900"/>
      <c r="AF255" s="870"/>
      <c r="AH255" s="870"/>
      <c r="AI255" s="870"/>
      <c r="AL255" s="605" t="b">
        <f t="shared" si="94"/>
        <v>0</v>
      </c>
      <c r="AM255" s="899">
        <f>'Estimate Summary'!$D$9</f>
        <v>1</v>
      </c>
      <c r="AN255" s="605" t="s">
        <v>1136</v>
      </c>
      <c r="AO255" s="899">
        <f t="shared" si="95"/>
        <v>0</v>
      </c>
      <c r="AP255" s="605">
        <f t="shared" si="92"/>
        <v>0</v>
      </c>
      <c r="AQ255" s="605" t="s">
        <v>1139</v>
      </c>
      <c r="AR255" s="605" t="s">
        <v>670</v>
      </c>
      <c r="AS255" s="605" t="s">
        <v>745</v>
      </c>
      <c r="AU255" s="610" t="b">
        <f t="shared" si="96"/>
        <v>0</v>
      </c>
      <c r="AV255" s="605" t="s">
        <v>1140</v>
      </c>
      <c r="AW255" s="2255">
        <f t="shared" si="97"/>
        <v>0</v>
      </c>
    </row>
    <row r="256" spans="2:49" s="605" customFormat="1" ht="13.5">
      <c r="B256" s="2316"/>
      <c r="C256" s="585" t="s">
        <v>985</v>
      </c>
      <c r="D256" s="1832"/>
      <c r="E256" s="2618">
        <f>SUM(E257:E268)</f>
        <v>16</v>
      </c>
      <c r="F256" s="421"/>
      <c r="G256" s="1607"/>
      <c r="H256" s="1693">
        <f>SUM(H257:H268)</f>
        <v>2.4</v>
      </c>
      <c r="I256" s="2278">
        <f t="shared" ref="I256:M256" si="122">SUM(I257:I268)</f>
        <v>0</v>
      </c>
      <c r="J256" s="1718">
        <f t="shared" si="122"/>
        <v>0</v>
      </c>
      <c r="K256" s="1718">
        <f t="shared" si="122"/>
        <v>0</v>
      </c>
      <c r="L256" s="1718">
        <f t="shared" si="122"/>
        <v>0</v>
      </c>
      <c r="M256" s="1718">
        <f t="shared" si="122"/>
        <v>0</v>
      </c>
      <c r="N256" s="637" t="s">
        <v>438</v>
      </c>
      <c r="P256" s="2279"/>
      <c r="Q256" s="476"/>
      <c r="R256" s="476"/>
      <c r="S256" s="485"/>
      <c r="T256" s="2281"/>
      <c r="U256" s="1925"/>
      <c r="V256" s="1926">
        <f t="shared" si="93"/>
        <v>0</v>
      </c>
      <c r="W256" s="875"/>
      <c r="X256" s="875"/>
      <c r="Y256" s="878"/>
      <c r="Z256" s="891">
        <f t="shared" si="99"/>
        <v>0</v>
      </c>
      <c r="AA256" s="485"/>
      <c r="AB256" s="1927"/>
      <c r="AC256" s="1927"/>
      <c r="AD256" s="476"/>
      <c r="AE256" s="476"/>
      <c r="AF256" s="2282"/>
      <c r="AG256" s="1925"/>
      <c r="AH256" s="875"/>
      <c r="AI256" s="875"/>
      <c r="AL256" s="605" t="b">
        <f t="shared" si="94"/>
        <v>0</v>
      </c>
      <c r="AM256" s="899">
        <f>'Estimate Summary'!$D$9</f>
        <v>1</v>
      </c>
      <c r="AN256" s="605" t="s">
        <v>1136</v>
      </c>
      <c r="AO256" s="899">
        <f t="shared" si="95"/>
        <v>0</v>
      </c>
      <c r="AP256" s="605">
        <f t="shared" si="92"/>
        <v>0</v>
      </c>
      <c r="AQ256" s="605" t="s">
        <v>1139</v>
      </c>
      <c r="AR256" s="605" t="s">
        <v>670</v>
      </c>
      <c r="AS256" s="605" t="s">
        <v>745</v>
      </c>
      <c r="AU256" s="610" t="b">
        <f t="shared" si="96"/>
        <v>0</v>
      </c>
      <c r="AV256" s="605" t="s">
        <v>1141</v>
      </c>
      <c r="AW256" s="2255">
        <f t="shared" si="97"/>
        <v>0</v>
      </c>
    </row>
    <row r="257" spans="1:49" s="605" customFormat="1" outlineLevel="1">
      <c r="A257" s="697"/>
      <c r="B257" s="1079" t="s">
        <v>689</v>
      </c>
      <c r="C257" s="2094" t="s">
        <v>691</v>
      </c>
      <c r="D257" s="1830"/>
      <c r="E257" s="421"/>
      <c r="F257" s="564">
        <v>150</v>
      </c>
      <c r="G257" s="1607">
        <f>E257*F257/1000</f>
        <v>0</v>
      </c>
      <c r="H257" s="1607">
        <f>G257</f>
        <v>0</v>
      </c>
      <c r="I257" s="469">
        <f>IF('Estimate Summary'!$D$9&lt;2,0,$E257*F257/1000*0.1)</f>
        <v>0</v>
      </c>
      <c r="J257" s="469">
        <f>IF('Estimate Summary'!$D$9&lt;3,0,$E257*F257/1000*0.1)</f>
        <v>0</v>
      </c>
      <c r="K257" s="469">
        <f>IF('Estimate Summary'!$D$9&lt;4,0,$E257*F257/1000*0.1)</f>
        <v>0</v>
      </c>
      <c r="L257" s="469">
        <f>IF('Estimate Summary'!$D$9&lt;5,0,$E257*F257/1000*0.1)</f>
        <v>0</v>
      </c>
      <c r="M257" s="469">
        <f>IF('Estimate Summary'!$D$9&lt;6,0,$E257*F257/1000*0.1)</f>
        <v>0</v>
      </c>
      <c r="N257" s="387"/>
      <c r="P257" s="1014"/>
      <c r="Q257" s="796">
        <v>43100</v>
      </c>
      <c r="S257" s="899"/>
      <c r="T257" s="899"/>
      <c r="U257" s="605" t="s">
        <v>677</v>
      </c>
      <c r="V257" s="1014">
        <f t="shared" si="93"/>
        <v>0</v>
      </c>
      <c r="W257" s="870"/>
      <c r="X257" s="870"/>
      <c r="Y257" s="900"/>
      <c r="Z257" s="1018">
        <f t="shared" si="99"/>
        <v>0</v>
      </c>
      <c r="AA257" s="1018"/>
      <c r="AB257" s="1022"/>
      <c r="AC257" s="900">
        <f>AB257*$AD$256</f>
        <v>0</v>
      </c>
      <c r="AF257" s="870"/>
      <c r="AH257" s="870"/>
      <c r="AI257" s="870"/>
      <c r="AJ257" s="605" t="s">
        <v>690</v>
      </c>
      <c r="AK257" s="605" t="s">
        <v>1129</v>
      </c>
      <c r="AL257" s="605" t="b">
        <f t="shared" si="94"/>
        <v>0</v>
      </c>
      <c r="AM257" s="899">
        <f>'Estimate Summary'!$D$9</f>
        <v>1</v>
      </c>
      <c r="AN257" s="605" t="s">
        <v>1136</v>
      </c>
      <c r="AO257" s="899">
        <f t="shared" si="95"/>
        <v>0</v>
      </c>
      <c r="AP257" s="605">
        <f t="shared" si="92"/>
        <v>0</v>
      </c>
      <c r="AQ257" s="605" t="s">
        <v>1139</v>
      </c>
      <c r="AR257" s="605" t="s">
        <v>670</v>
      </c>
      <c r="AS257" s="605" t="s">
        <v>745</v>
      </c>
      <c r="AU257" s="610" t="b">
        <f t="shared" si="96"/>
        <v>0</v>
      </c>
      <c r="AV257" s="605" t="s">
        <v>1141</v>
      </c>
      <c r="AW257" s="2255">
        <f t="shared" si="97"/>
        <v>43100</v>
      </c>
    </row>
    <row r="258" spans="1:49" s="605" customFormat="1" outlineLevel="1">
      <c r="A258" s="697"/>
      <c r="B258" s="1079" t="s">
        <v>982</v>
      </c>
      <c r="C258" s="2094" t="s">
        <v>971</v>
      </c>
      <c r="D258" s="1830"/>
      <c r="E258" s="1646"/>
      <c r="F258" s="564">
        <v>150</v>
      </c>
      <c r="G258" s="1607">
        <f t="shared" ref="G258:G268" si="123">E258*F258/1000</f>
        <v>0</v>
      </c>
      <c r="H258" s="1607">
        <f t="shared" ref="H258:H271" si="124">G258</f>
        <v>0</v>
      </c>
      <c r="I258" s="469">
        <f>IF('Estimate Summary'!$D$9&lt;2,0,$E258*F258/1000*0.1)</f>
        <v>0</v>
      </c>
      <c r="J258" s="469">
        <f>IF('Estimate Summary'!$D$9&lt;3,0,$E258*F258/1000*0.1)</f>
        <v>0</v>
      </c>
      <c r="K258" s="469">
        <f>IF('Estimate Summary'!$D$9&lt;4,0,$E258*F258/1000*0.1)</f>
        <v>0</v>
      </c>
      <c r="L258" s="469">
        <f>IF('Estimate Summary'!$D$9&lt;5,0,$E258*F258/1000*0.1)</f>
        <v>0</v>
      </c>
      <c r="M258" s="469">
        <f>IF('Estimate Summary'!$D$9&lt;6,0,$E258*F258/1000*0.1)</f>
        <v>0</v>
      </c>
      <c r="N258" s="387"/>
      <c r="P258" s="1014"/>
      <c r="Q258" s="796">
        <v>43100</v>
      </c>
      <c r="S258" s="899"/>
      <c r="T258" s="899"/>
      <c r="U258" s="605" t="s">
        <v>677</v>
      </c>
      <c r="V258" s="1014">
        <f t="shared" si="93"/>
        <v>0</v>
      </c>
      <c r="W258" s="870"/>
      <c r="X258" s="870"/>
      <c r="Y258" s="900"/>
      <c r="Z258" s="1018">
        <f t="shared" si="99"/>
        <v>0</v>
      </c>
      <c r="AA258" s="1018"/>
      <c r="AB258" s="1022"/>
      <c r="AC258" s="900"/>
      <c r="AF258" s="870"/>
      <c r="AH258" s="870"/>
      <c r="AI258" s="870"/>
      <c r="AJ258" s="605" t="s">
        <v>690</v>
      </c>
      <c r="AK258" s="605" t="s">
        <v>1129</v>
      </c>
      <c r="AL258" s="605" t="b">
        <f t="shared" si="94"/>
        <v>0</v>
      </c>
      <c r="AM258" s="899">
        <f>'Estimate Summary'!$D$9</f>
        <v>1</v>
      </c>
      <c r="AN258" s="605" t="s">
        <v>1136</v>
      </c>
      <c r="AO258" s="899">
        <f t="shared" si="95"/>
        <v>0</v>
      </c>
      <c r="AP258" s="605">
        <f t="shared" si="92"/>
        <v>0</v>
      </c>
      <c r="AQ258" s="605" t="s">
        <v>1139</v>
      </c>
      <c r="AR258" s="605" t="s">
        <v>670</v>
      </c>
      <c r="AS258" s="605" t="s">
        <v>745</v>
      </c>
      <c r="AU258" s="610" t="b">
        <f t="shared" si="96"/>
        <v>0</v>
      </c>
      <c r="AV258" s="605" t="s">
        <v>1141</v>
      </c>
      <c r="AW258" s="2255">
        <f t="shared" si="97"/>
        <v>43100</v>
      </c>
    </row>
    <row r="259" spans="1:49" s="605" customFormat="1" outlineLevel="1">
      <c r="A259" s="697"/>
      <c r="B259" s="1079" t="s">
        <v>983</v>
      </c>
      <c r="C259" s="2094" t="s">
        <v>972</v>
      </c>
      <c r="D259" s="1830"/>
      <c r="E259" s="1646"/>
      <c r="F259" s="564">
        <v>150</v>
      </c>
      <c r="G259" s="1607">
        <f t="shared" si="123"/>
        <v>0</v>
      </c>
      <c r="H259" s="1607">
        <f t="shared" si="124"/>
        <v>0</v>
      </c>
      <c r="I259" s="469">
        <f>IF('Estimate Summary'!$D$9&lt;2,0,$E259*F259/1000*0.1)</f>
        <v>0</v>
      </c>
      <c r="J259" s="469">
        <f>IF('Estimate Summary'!$D$9&lt;3,0,$E259*F259/1000*0.1)</f>
        <v>0</v>
      </c>
      <c r="K259" s="469">
        <f>IF('Estimate Summary'!$D$9&lt;4,0,$E259*F259/1000*0.1)</f>
        <v>0</v>
      </c>
      <c r="L259" s="469">
        <f>IF('Estimate Summary'!$D$9&lt;5,0,$E259*F259/1000*0.1)</f>
        <v>0</v>
      </c>
      <c r="M259" s="469">
        <f>IF('Estimate Summary'!$D$9&lt;6,0,$E259*F259/1000*0.1)</f>
        <v>0</v>
      </c>
      <c r="N259" s="387"/>
      <c r="P259" s="1014"/>
      <c r="Q259" s="796">
        <v>43100</v>
      </c>
      <c r="S259" s="899"/>
      <c r="T259" s="899"/>
      <c r="U259" s="605" t="s">
        <v>677</v>
      </c>
      <c r="V259" s="1014">
        <f t="shared" si="93"/>
        <v>0</v>
      </c>
      <c r="W259" s="870"/>
      <c r="X259" s="870"/>
      <c r="Y259" s="900"/>
      <c r="Z259" s="1018">
        <f t="shared" si="99"/>
        <v>0</v>
      </c>
      <c r="AA259" s="1018"/>
      <c r="AB259" s="1022"/>
      <c r="AC259" s="900"/>
      <c r="AF259" s="870"/>
      <c r="AH259" s="870"/>
      <c r="AI259" s="870"/>
      <c r="AJ259" s="605" t="s">
        <v>690</v>
      </c>
      <c r="AK259" s="605" t="s">
        <v>1129</v>
      </c>
      <c r="AL259" s="605" t="b">
        <f t="shared" si="94"/>
        <v>0</v>
      </c>
      <c r="AM259" s="899">
        <f>'Estimate Summary'!$D$9</f>
        <v>1</v>
      </c>
      <c r="AN259" s="605" t="s">
        <v>1136</v>
      </c>
      <c r="AO259" s="899">
        <f t="shared" si="95"/>
        <v>0</v>
      </c>
      <c r="AP259" s="605">
        <f t="shared" si="92"/>
        <v>0</v>
      </c>
      <c r="AQ259" s="605" t="s">
        <v>1139</v>
      </c>
      <c r="AR259" s="605" t="s">
        <v>670</v>
      </c>
      <c r="AS259" s="605" t="s">
        <v>745</v>
      </c>
      <c r="AU259" s="610" t="b">
        <f t="shared" si="96"/>
        <v>0</v>
      </c>
      <c r="AV259" s="605" t="s">
        <v>1141</v>
      </c>
      <c r="AW259" s="2255">
        <f t="shared" si="97"/>
        <v>43100</v>
      </c>
    </row>
    <row r="260" spans="1:49" s="605" customFormat="1" outlineLevel="1">
      <c r="A260" s="697"/>
      <c r="B260" s="1079" t="s">
        <v>984</v>
      </c>
      <c r="C260" s="2094" t="s">
        <v>973</v>
      </c>
      <c r="D260" s="1830" t="s">
        <v>181</v>
      </c>
      <c r="E260" s="1646">
        <v>8</v>
      </c>
      <c r="F260" s="564">
        <v>150</v>
      </c>
      <c r="G260" s="1607">
        <f>E260*F260/1000</f>
        <v>1.2</v>
      </c>
      <c r="H260" s="1607">
        <f t="shared" si="124"/>
        <v>1.2</v>
      </c>
      <c r="I260" s="469">
        <f>IF('Estimate Summary'!$D$9&lt;2,0,$E260*F260/1000*0)</f>
        <v>0</v>
      </c>
      <c r="J260" s="469">
        <f>IF('Estimate Summary'!$D$9&lt;3,0,$E260*F260/1000*0)</f>
        <v>0</v>
      </c>
      <c r="K260" s="469">
        <f>IF('Estimate Summary'!$D$9&lt;4,0,$E260*F260/1000*0.1)</f>
        <v>0</v>
      </c>
      <c r="L260" s="469">
        <f>IF('Estimate Summary'!$D$9&lt;5,0,$E260*F260/1000*0.1)</f>
        <v>0</v>
      </c>
      <c r="M260" s="469">
        <f>IF('Estimate Summary'!$D$9&lt;6,0,$E260*F260/1000*0.1)</f>
        <v>0</v>
      </c>
      <c r="N260" s="387"/>
      <c r="P260" s="1014"/>
      <c r="Q260" s="796">
        <v>43100</v>
      </c>
      <c r="S260" s="899"/>
      <c r="T260" s="899"/>
      <c r="U260" s="605" t="s">
        <v>677</v>
      </c>
      <c r="V260" s="1014" t="str">
        <f t="shared" si="93"/>
        <v>CNY</v>
      </c>
      <c r="W260" s="870"/>
      <c r="X260" s="870"/>
      <c r="Y260" s="900"/>
      <c r="Z260" s="1018">
        <f t="shared" si="99"/>
        <v>0</v>
      </c>
      <c r="AA260" s="1018"/>
      <c r="AB260" s="1022"/>
      <c r="AC260" s="900"/>
      <c r="AF260" s="870"/>
      <c r="AH260" s="870"/>
      <c r="AI260" s="870"/>
      <c r="AJ260" s="605" t="s">
        <v>690</v>
      </c>
      <c r="AK260" s="605" t="s">
        <v>1129</v>
      </c>
      <c r="AL260" s="605" t="str">
        <f t="shared" si="94"/>
        <v>CN</v>
      </c>
      <c r="AM260" s="899">
        <f>'Estimate Summary'!$D$9</f>
        <v>1</v>
      </c>
      <c r="AN260" s="605" t="s">
        <v>1136</v>
      </c>
      <c r="AO260" s="899">
        <f t="shared" si="95"/>
        <v>1.2</v>
      </c>
      <c r="AP260" s="605" t="str">
        <f t="shared" si="92"/>
        <v>CNY</v>
      </c>
      <c r="AQ260" s="605" t="s">
        <v>1139</v>
      </c>
      <c r="AR260" s="605" t="s">
        <v>670</v>
      </c>
      <c r="AS260" s="605" t="s">
        <v>745</v>
      </c>
      <c r="AU260" s="610" t="str">
        <f t="shared" si="96"/>
        <v>CN</v>
      </c>
      <c r="AV260" s="605" t="s">
        <v>1141</v>
      </c>
      <c r="AW260" s="2255">
        <f t="shared" si="97"/>
        <v>43100</v>
      </c>
    </row>
    <row r="261" spans="1:49" s="605" customFormat="1" outlineLevel="1">
      <c r="A261" s="697"/>
      <c r="B261" s="1079" t="s">
        <v>986</v>
      </c>
      <c r="C261" s="2094" t="s">
        <v>1654</v>
      </c>
      <c r="D261" s="1830" t="s">
        <v>181</v>
      </c>
      <c r="E261" s="1646">
        <v>8</v>
      </c>
      <c r="F261" s="564">
        <v>150</v>
      </c>
      <c r="G261" s="1607">
        <f t="shared" si="123"/>
        <v>1.2</v>
      </c>
      <c r="H261" s="1607">
        <f t="shared" si="124"/>
        <v>1.2</v>
      </c>
      <c r="I261" s="469">
        <f>IF('Estimate Summary'!$D$9&lt;2,0,$E261*F261/1000*0.1)</f>
        <v>0</v>
      </c>
      <c r="J261" s="469">
        <f>IF('Estimate Summary'!$D$9&lt;3,0,$E261*F261/1000*0.1)</f>
        <v>0</v>
      </c>
      <c r="K261" s="469">
        <f>IF('Estimate Summary'!$D$9&lt;4,0,$E261*F261/1000*0.1)</f>
        <v>0</v>
      </c>
      <c r="L261" s="469">
        <f>IF('Estimate Summary'!$D$9&lt;5,0,$E261*F261/1000*0.1)</f>
        <v>0</v>
      </c>
      <c r="M261" s="469">
        <f>IF('Estimate Summary'!$D$9&lt;6,0,$E261*F261/1000*0.1)</f>
        <v>0</v>
      </c>
      <c r="N261" s="387"/>
      <c r="P261" s="1014"/>
      <c r="Q261" s="796">
        <v>43100</v>
      </c>
      <c r="S261" s="899"/>
      <c r="T261" s="899"/>
      <c r="U261" s="605" t="s">
        <v>677</v>
      </c>
      <c r="V261" s="1014" t="str">
        <f t="shared" si="93"/>
        <v>CNY</v>
      </c>
      <c r="W261" s="870"/>
      <c r="X261" s="870"/>
      <c r="Y261" s="900"/>
      <c r="Z261" s="1018">
        <f t="shared" si="99"/>
        <v>0</v>
      </c>
      <c r="AA261" s="1018"/>
      <c r="AB261" s="1022"/>
      <c r="AC261" s="900"/>
      <c r="AF261" s="870"/>
      <c r="AH261" s="870"/>
      <c r="AI261" s="870"/>
      <c r="AJ261" s="605" t="s">
        <v>690</v>
      </c>
      <c r="AK261" s="605" t="s">
        <v>1129</v>
      </c>
      <c r="AL261" s="605" t="str">
        <f t="shared" si="94"/>
        <v>CN</v>
      </c>
      <c r="AM261" s="899">
        <f>'Estimate Summary'!$D$9</f>
        <v>1</v>
      </c>
      <c r="AN261" s="605" t="s">
        <v>1136</v>
      </c>
      <c r="AO261" s="899">
        <f t="shared" si="95"/>
        <v>1.2</v>
      </c>
      <c r="AP261" s="605" t="str">
        <f t="shared" si="92"/>
        <v>CNY</v>
      </c>
      <c r="AQ261" s="605" t="s">
        <v>1139</v>
      </c>
      <c r="AR261" s="605" t="s">
        <v>670</v>
      </c>
      <c r="AS261" s="605" t="s">
        <v>745</v>
      </c>
      <c r="AU261" s="610" t="str">
        <f t="shared" si="96"/>
        <v>CN</v>
      </c>
      <c r="AV261" s="605" t="s">
        <v>1141</v>
      </c>
      <c r="AW261" s="2255">
        <f t="shared" si="97"/>
        <v>43100</v>
      </c>
    </row>
    <row r="262" spans="1:49" s="605" customFormat="1" outlineLevel="1">
      <c r="A262" s="697"/>
      <c r="B262" s="1079" t="s">
        <v>987</v>
      </c>
      <c r="C262" s="2094" t="s">
        <v>975</v>
      </c>
      <c r="D262" s="1830"/>
      <c r="E262" s="1646"/>
      <c r="F262" s="564">
        <v>150</v>
      </c>
      <c r="G262" s="1607">
        <f t="shared" si="123"/>
        <v>0</v>
      </c>
      <c r="H262" s="1607">
        <f t="shared" si="124"/>
        <v>0</v>
      </c>
      <c r="I262" s="469">
        <f>IF('Estimate Summary'!$D$9&lt;2,0,$E262*F262/1000*0.1)</f>
        <v>0</v>
      </c>
      <c r="J262" s="469">
        <f>IF('Estimate Summary'!$D$9&lt;3,0,$E262*F262/1000*0.1)</f>
        <v>0</v>
      </c>
      <c r="K262" s="469">
        <f>IF('Estimate Summary'!$D$9&lt;4,0,$E262*F262/1000*0.1)</f>
        <v>0</v>
      </c>
      <c r="L262" s="469">
        <f>IF('Estimate Summary'!$D$9&lt;5,0,$E262*F262/1000*0.1)</f>
        <v>0</v>
      </c>
      <c r="M262" s="469">
        <f>IF('Estimate Summary'!$D$9&lt;6,0,$E262*F262/1000*0.1)</f>
        <v>0</v>
      </c>
      <c r="N262" s="387"/>
      <c r="P262" s="1014"/>
      <c r="Q262" s="796">
        <v>43100</v>
      </c>
      <c r="S262" s="899"/>
      <c r="T262" s="899"/>
      <c r="U262" s="605" t="s">
        <v>677</v>
      </c>
      <c r="V262" s="1014">
        <f t="shared" si="93"/>
        <v>0</v>
      </c>
      <c r="W262" s="870"/>
      <c r="X262" s="870"/>
      <c r="Y262" s="900"/>
      <c r="Z262" s="1018">
        <f t="shared" si="99"/>
        <v>0</v>
      </c>
      <c r="AA262" s="1018"/>
      <c r="AB262" s="1022"/>
      <c r="AC262" s="900"/>
      <c r="AF262" s="870"/>
      <c r="AH262" s="870"/>
      <c r="AI262" s="870"/>
      <c r="AJ262" s="605" t="s">
        <v>690</v>
      </c>
      <c r="AK262" s="605" t="s">
        <v>1129</v>
      </c>
      <c r="AL262" s="605" t="b">
        <f t="shared" si="94"/>
        <v>0</v>
      </c>
      <c r="AM262" s="899">
        <f>'Estimate Summary'!$D$9</f>
        <v>1</v>
      </c>
      <c r="AN262" s="605" t="s">
        <v>1136</v>
      </c>
      <c r="AO262" s="899">
        <f t="shared" si="95"/>
        <v>0</v>
      </c>
      <c r="AP262" s="605">
        <f t="shared" si="92"/>
        <v>0</v>
      </c>
      <c r="AQ262" s="605" t="s">
        <v>1139</v>
      </c>
      <c r="AR262" s="605" t="s">
        <v>670</v>
      </c>
      <c r="AS262" s="605" t="s">
        <v>745</v>
      </c>
      <c r="AU262" s="610" t="b">
        <f t="shared" si="96"/>
        <v>0</v>
      </c>
      <c r="AV262" s="605" t="s">
        <v>1141</v>
      </c>
      <c r="AW262" s="2255">
        <f t="shared" si="97"/>
        <v>43100</v>
      </c>
    </row>
    <row r="263" spans="1:49" s="605" customFormat="1" outlineLevel="1">
      <c r="A263" s="697"/>
      <c r="B263" s="1079" t="s">
        <v>988</v>
      </c>
      <c r="C263" s="2094" t="s">
        <v>976</v>
      </c>
      <c r="D263" s="1830"/>
      <c r="E263" s="1646"/>
      <c r="F263" s="564">
        <v>155</v>
      </c>
      <c r="G263" s="1607">
        <f t="shared" si="123"/>
        <v>0</v>
      </c>
      <c r="H263" s="1607">
        <f t="shared" si="124"/>
        <v>0</v>
      </c>
      <c r="I263" s="469">
        <f>IF('Estimate Summary'!$D$9&lt;2,0,$E263*F263/1000*0.1)</f>
        <v>0</v>
      </c>
      <c r="J263" s="469">
        <f>IF('Estimate Summary'!$D$9&lt;3,0,$E263*F263/1000*0.1)</f>
        <v>0</v>
      </c>
      <c r="K263" s="469">
        <f>IF('Estimate Summary'!$D$9&lt;4,0,$E263*F263/1000*0.1)</f>
        <v>0</v>
      </c>
      <c r="L263" s="469">
        <f>IF('Estimate Summary'!$D$9&lt;5,0,$E263*F263/1000*0.1)</f>
        <v>0</v>
      </c>
      <c r="M263" s="469">
        <f>IF('Estimate Summary'!$D$9&lt;6,0,$E263*F263/1000*0.1)</f>
        <v>0</v>
      </c>
      <c r="N263" s="387"/>
      <c r="P263" s="1014"/>
      <c r="Q263" s="796">
        <v>43100</v>
      </c>
      <c r="S263" s="899"/>
      <c r="T263" s="899"/>
      <c r="U263" s="605" t="s">
        <v>677</v>
      </c>
      <c r="V263" s="1014">
        <f t="shared" si="93"/>
        <v>0</v>
      </c>
      <c r="W263" s="870"/>
      <c r="X263" s="870"/>
      <c r="Y263" s="900"/>
      <c r="Z263" s="1018">
        <f t="shared" si="99"/>
        <v>0</v>
      </c>
      <c r="AA263" s="1018"/>
      <c r="AB263" s="1022"/>
      <c r="AC263" s="900"/>
      <c r="AF263" s="870"/>
      <c r="AH263" s="870"/>
      <c r="AI263" s="870"/>
      <c r="AJ263" s="605" t="s">
        <v>690</v>
      </c>
      <c r="AK263" s="605" t="s">
        <v>1129</v>
      </c>
      <c r="AL263" s="605" t="b">
        <f t="shared" si="94"/>
        <v>0</v>
      </c>
      <c r="AM263" s="899">
        <f>'Estimate Summary'!$D$9</f>
        <v>1</v>
      </c>
      <c r="AN263" s="605" t="s">
        <v>1136</v>
      </c>
      <c r="AO263" s="899">
        <f t="shared" si="95"/>
        <v>0</v>
      </c>
      <c r="AP263" s="605">
        <f t="shared" si="92"/>
        <v>0</v>
      </c>
      <c r="AQ263" s="605" t="s">
        <v>1139</v>
      </c>
      <c r="AR263" s="605" t="s">
        <v>670</v>
      </c>
      <c r="AS263" s="605" t="s">
        <v>745</v>
      </c>
      <c r="AU263" s="610" t="b">
        <f t="shared" si="96"/>
        <v>0</v>
      </c>
      <c r="AV263" s="605" t="s">
        <v>1141</v>
      </c>
      <c r="AW263" s="2255">
        <f t="shared" si="97"/>
        <v>43100</v>
      </c>
    </row>
    <row r="264" spans="1:49" s="605" customFormat="1" outlineLevel="1">
      <c r="A264" s="697"/>
      <c r="B264" s="1079" t="s">
        <v>990</v>
      </c>
      <c r="C264" s="2094" t="s">
        <v>977</v>
      </c>
      <c r="D264" s="1830"/>
      <c r="E264" s="1646"/>
      <c r="F264" s="564">
        <v>150</v>
      </c>
      <c r="G264" s="1607">
        <f t="shared" si="123"/>
        <v>0</v>
      </c>
      <c r="H264" s="1607">
        <f t="shared" si="124"/>
        <v>0</v>
      </c>
      <c r="I264" s="469">
        <f>IF('Estimate Summary'!$D$9&lt;2,0,$E264*F264/1000*0.1)</f>
        <v>0</v>
      </c>
      <c r="J264" s="469">
        <f>IF('Estimate Summary'!$D$9&lt;3,0,$E264*F264/1000*0.1)</f>
        <v>0</v>
      </c>
      <c r="K264" s="469">
        <f>IF('Estimate Summary'!$D$9&lt;4,0,$E264*F264/1000*0.1)</f>
        <v>0</v>
      </c>
      <c r="L264" s="469">
        <f>IF('Estimate Summary'!$D$9&lt;5,0,$E264*F264/1000*0.1)</f>
        <v>0</v>
      </c>
      <c r="M264" s="469">
        <f>IF('Estimate Summary'!$D$9&lt;6,0,$E264*F264/1000*0.1)</f>
        <v>0</v>
      </c>
      <c r="N264" s="387"/>
      <c r="P264" s="1014"/>
      <c r="Q264" s="796">
        <v>43100</v>
      </c>
      <c r="S264" s="899"/>
      <c r="T264" s="899"/>
      <c r="U264" s="605" t="s">
        <v>677</v>
      </c>
      <c r="V264" s="1014">
        <f t="shared" si="93"/>
        <v>0</v>
      </c>
      <c r="W264" s="870"/>
      <c r="X264" s="870"/>
      <c r="Y264" s="900"/>
      <c r="Z264" s="1018">
        <f t="shared" si="99"/>
        <v>0</v>
      </c>
      <c r="AA264" s="1018"/>
      <c r="AB264" s="1022"/>
      <c r="AC264" s="900"/>
      <c r="AF264" s="870"/>
      <c r="AH264" s="870"/>
      <c r="AI264" s="870"/>
      <c r="AJ264" s="605" t="s">
        <v>690</v>
      </c>
      <c r="AK264" s="605" t="s">
        <v>1129</v>
      </c>
      <c r="AL264" s="605" t="b">
        <f t="shared" si="94"/>
        <v>0</v>
      </c>
      <c r="AM264" s="899">
        <f>'Estimate Summary'!$D$9</f>
        <v>1</v>
      </c>
      <c r="AN264" s="605" t="s">
        <v>1136</v>
      </c>
      <c r="AO264" s="899">
        <f t="shared" si="95"/>
        <v>0</v>
      </c>
      <c r="AP264" s="605">
        <f t="shared" si="92"/>
        <v>0</v>
      </c>
      <c r="AQ264" s="605" t="s">
        <v>1139</v>
      </c>
      <c r="AR264" s="605" t="s">
        <v>670</v>
      </c>
      <c r="AS264" s="605" t="s">
        <v>745</v>
      </c>
      <c r="AU264" s="610" t="b">
        <f t="shared" si="96"/>
        <v>0</v>
      </c>
      <c r="AV264" s="605" t="s">
        <v>1141</v>
      </c>
      <c r="AW264" s="2255">
        <f t="shared" si="97"/>
        <v>43100</v>
      </c>
    </row>
    <row r="265" spans="1:49" s="605" customFormat="1" outlineLevel="1">
      <c r="A265" s="697"/>
      <c r="B265" s="1079" t="s">
        <v>989</v>
      </c>
      <c r="C265" s="2094" t="s">
        <v>978</v>
      </c>
      <c r="D265" s="1830"/>
      <c r="E265" s="1646"/>
      <c r="F265" s="564">
        <v>150</v>
      </c>
      <c r="G265" s="1607">
        <f t="shared" si="123"/>
        <v>0</v>
      </c>
      <c r="H265" s="1607">
        <f t="shared" si="124"/>
        <v>0</v>
      </c>
      <c r="I265" s="469">
        <f>IF('Estimate Summary'!$D$9&lt;2,0,$E265*F265/1000*0.1)</f>
        <v>0</v>
      </c>
      <c r="J265" s="469">
        <f>IF('Estimate Summary'!$D$9&lt;3,0,$E265*F265/1000*0.1)</f>
        <v>0</v>
      </c>
      <c r="K265" s="469">
        <f>IF('Estimate Summary'!$D$9&lt;4,0,$E265*F265/1000*0.1)</f>
        <v>0</v>
      </c>
      <c r="L265" s="469">
        <f>IF('Estimate Summary'!$D$9&lt;5,0,$E265*F265/1000*0.1)</f>
        <v>0</v>
      </c>
      <c r="M265" s="469">
        <f>IF('Estimate Summary'!$D$9&lt;6,0,$E265*F265/1000*0.1)</f>
        <v>0</v>
      </c>
      <c r="N265" s="387"/>
      <c r="P265" s="1014"/>
      <c r="Q265" s="796">
        <v>43100</v>
      </c>
      <c r="S265" s="899"/>
      <c r="T265" s="899"/>
      <c r="U265" s="605" t="s">
        <v>677</v>
      </c>
      <c r="V265" s="1014">
        <f t="shared" si="93"/>
        <v>0</v>
      </c>
      <c r="W265" s="870"/>
      <c r="X265" s="870"/>
      <c r="Y265" s="900"/>
      <c r="Z265" s="1018">
        <f t="shared" si="99"/>
        <v>0</v>
      </c>
      <c r="AA265" s="1018"/>
      <c r="AB265" s="1022"/>
      <c r="AC265" s="900"/>
      <c r="AF265" s="870"/>
      <c r="AH265" s="870"/>
      <c r="AI265" s="870"/>
      <c r="AJ265" s="605" t="s">
        <v>690</v>
      </c>
      <c r="AK265" s="605" t="s">
        <v>1129</v>
      </c>
      <c r="AL265" s="605" t="b">
        <f t="shared" si="94"/>
        <v>0</v>
      </c>
      <c r="AM265" s="899">
        <f>'Estimate Summary'!$D$9</f>
        <v>1</v>
      </c>
      <c r="AN265" s="605" t="s">
        <v>1136</v>
      </c>
      <c r="AO265" s="899">
        <f t="shared" si="95"/>
        <v>0</v>
      </c>
      <c r="AP265" s="605">
        <f t="shared" si="92"/>
        <v>0</v>
      </c>
      <c r="AQ265" s="605" t="s">
        <v>1139</v>
      </c>
      <c r="AR265" s="605" t="s">
        <v>670</v>
      </c>
      <c r="AS265" s="605" t="s">
        <v>745</v>
      </c>
      <c r="AU265" s="610" t="b">
        <f t="shared" si="96"/>
        <v>0</v>
      </c>
      <c r="AV265" s="605" t="s">
        <v>1141</v>
      </c>
      <c r="AW265" s="2255">
        <f t="shared" si="97"/>
        <v>43100</v>
      </c>
    </row>
    <row r="266" spans="1:49" s="605" customFormat="1" outlineLevel="1">
      <c r="A266" s="697"/>
      <c r="B266" s="1079" t="s">
        <v>991</v>
      </c>
      <c r="C266" s="2094" t="s">
        <v>979</v>
      </c>
      <c r="D266" s="1830"/>
      <c r="E266" s="421"/>
      <c r="F266" s="564">
        <v>150</v>
      </c>
      <c r="G266" s="1607">
        <f t="shared" si="123"/>
        <v>0</v>
      </c>
      <c r="H266" s="1607">
        <f t="shared" si="124"/>
        <v>0</v>
      </c>
      <c r="I266" s="469">
        <f>IF('Estimate Summary'!$D$9&lt;2,0,$E266*F266/1000*0.1)</f>
        <v>0</v>
      </c>
      <c r="J266" s="469">
        <f>IF('Estimate Summary'!$D$9&lt;3,0,$E266*F266/1000*0.1)</f>
        <v>0</v>
      </c>
      <c r="K266" s="469">
        <f>IF('Estimate Summary'!$D$9&lt;4,0,$E266*F266/1000*0.1)</f>
        <v>0</v>
      </c>
      <c r="L266" s="469">
        <f>IF('Estimate Summary'!$D$9&lt;5,0,$E266*F266/1000*0.1)</f>
        <v>0</v>
      </c>
      <c r="M266" s="469">
        <f>IF('Estimate Summary'!$D$9&lt;6,0,$E266*F266/1000*0.1)</f>
        <v>0</v>
      </c>
      <c r="N266" s="387"/>
      <c r="P266" s="1014"/>
      <c r="Q266" s="796">
        <v>43100</v>
      </c>
      <c r="S266" s="899"/>
      <c r="T266" s="899"/>
      <c r="U266" s="605" t="s">
        <v>677</v>
      </c>
      <c r="V266" s="2317">
        <f t="shared" si="93"/>
        <v>0</v>
      </c>
      <c r="W266" s="870"/>
      <c r="X266" s="870"/>
      <c r="Y266" s="900"/>
      <c r="Z266" s="1018">
        <f t="shared" si="99"/>
        <v>0</v>
      </c>
      <c r="AA266" s="1018"/>
      <c r="AB266" s="1022"/>
      <c r="AC266" s="900">
        <f>AB266*$AD$256</f>
        <v>0</v>
      </c>
      <c r="AF266" s="870"/>
      <c r="AH266" s="870"/>
      <c r="AI266" s="870"/>
      <c r="AJ266" s="605" t="s">
        <v>690</v>
      </c>
      <c r="AK266" s="605" t="s">
        <v>1129</v>
      </c>
      <c r="AL266" s="605" t="b">
        <f t="shared" si="94"/>
        <v>0</v>
      </c>
      <c r="AM266" s="899">
        <f>'Estimate Summary'!$D$9</f>
        <v>1</v>
      </c>
      <c r="AN266" s="605" t="s">
        <v>1136</v>
      </c>
      <c r="AO266" s="899">
        <f t="shared" si="95"/>
        <v>0</v>
      </c>
      <c r="AP266" s="605">
        <f t="shared" si="92"/>
        <v>0</v>
      </c>
      <c r="AQ266" s="605" t="s">
        <v>1139</v>
      </c>
      <c r="AR266" s="605" t="s">
        <v>670</v>
      </c>
      <c r="AS266" s="605" t="s">
        <v>745</v>
      </c>
      <c r="AU266" s="610" t="b">
        <f t="shared" si="96"/>
        <v>0</v>
      </c>
      <c r="AV266" s="605" t="s">
        <v>1141</v>
      </c>
      <c r="AW266" s="2255">
        <f t="shared" si="97"/>
        <v>43100</v>
      </c>
    </row>
    <row r="267" spans="1:49" s="605" customFormat="1" outlineLevel="1">
      <c r="A267" s="697"/>
      <c r="B267" s="1079" t="s">
        <v>992</v>
      </c>
      <c r="C267" s="2094" t="s">
        <v>980</v>
      </c>
      <c r="D267" s="1830"/>
      <c r="E267" s="421"/>
      <c r="F267" s="564">
        <v>150</v>
      </c>
      <c r="G267" s="1607">
        <f t="shared" si="123"/>
        <v>0</v>
      </c>
      <c r="H267" s="1607">
        <f t="shared" si="124"/>
        <v>0</v>
      </c>
      <c r="I267" s="469">
        <f>IF('Estimate Summary'!$D$9&lt;2,0,$E267*F267/1000*0.1)</f>
        <v>0</v>
      </c>
      <c r="J267" s="469">
        <f>IF('Estimate Summary'!$D$9&lt;3,0,$E267*F267/1000*0.1)</f>
        <v>0</v>
      </c>
      <c r="K267" s="469">
        <f>IF('Estimate Summary'!$D$9&lt;4,0,$E267*F267/1000*0.1)</f>
        <v>0</v>
      </c>
      <c r="L267" s="469">
        <f>IF('Estimate Summary'!$D$9&lt;5,0,$E267*F267/1000*0.1)</f>
        <v>0</v>
      </c>
      <c r="M267" s="469">
        <f>IF('Estimate Summary'!$D$9&lt;6,0,$E267*F267/1000*0.1)</f>
        <v>0</v>
      </c>
      <c r="N267" s="387"/>
      <c r="P267" s="1014"/>
      <c r="Q267" s="796">
        <v>43100</v>
      </c>
      <c r="S267" s="899"/>
      <c r="T267" s="899"/>
      <c r="U267" s="605" t="s">
        <v>677</v>
      </c>
      <c r="V267" s="2317">
        <f t="shared" si="93"/>
        <v>0</v>
      </c>
      <c r="W267" s="870"/>
      <c r="X267" s="870"/>
      <c r="Y267" s="900"/>
      <c r="Z267" s="1018">
        <f t="shared" si="99"/>
        <v>0</v>
      </c>
      <c r="AA267" s="1018"/>
      <c r="AB267" s="1022"/>
      <c r="AC267" s="900">
        <f>AB267*$AD$256</f>
        <v>0</v>
      </c>
      <c r="AF267" s="870"/>
      <c r="AH267" s="870"/>
      <c r="AI267" s="870"/>
      <c r="AJ267" s="605" t="s">
        <v>690</v>
      </c>
      <c r="AK267" s="605" t="s">
        <v>1129</v>
      </c>
      <c r="AL267" s="605" t="b">
        <f t="shared" si="94"/>
        <v>0</v>
      </c>
      <c r="AM267" s="899">
        <f>'Estimate Summary'!$D$9</f>
        <v>1</v>
      </c>
      <c r="AN267" s="605" t="s">
        <v>1136</v>
      </c>
      <c r="AO267" s="899">
        <f t="shared" si="95"/>
        <v>0</v>
      </c>
      <c r="AP267" s="605">
        <f t="shared" si="92"/>
        <v>0</v>
      </c>
      <c r="AQ267" s="605" t="s">
        <v>1139</v>
      </c>
      <c r="AR267" s="605" t="s">
        <v>670</v>
      </c>
      <c r="AS267" s="605" t="s">
        <v>745</v>
      </c>
      <c r="AU267" s="610" t="b">
        <f t="shared" si="96"/>
        <v>0</v>
      </c>
      <c r="AV267" s="605" t="s">
        <v>1141</v>
      </c>
      <c r="AW267" s="2255">
        <f t="shared" si="97"/>
        <v>43100</v>
      </c>
    </row>
    <row r="268" spans="1:49" s="605" customFormat="1" outlineLevel="1">
      <c r="A268" s="697"/>
      <c r="B268" s="1079" t="s">
        <v>993</v>
      </c>
      <c r="C268" s="2094" t="s">
        <v>981</v>
      </c>
      <c r="D268" s="1830"/>
      <c r="E268" s="421"/>
      <c r="F268" s="564">
        <v>150</v>
      </c>
      <c r="G268" s="1607">
        <f t="shared" si="123"/>
        <v>0</v>
      </c>
      <c r="H268" s="1607">
        <f t="shared" si="124"/>
        <v>0</v>
      </c>
      <c r="I268" s="469">
        <f>IF('Estimate Summary'!$D$9&lt;2,0,$E268*F268/1000*0.1)</f>
        <v>0</v>
      </c>
      <c r="J268" s="469">
        <f>IF('Estimate Summary'!$D$9&lt;3,0,$E268*F268/1000*0.1)</f>
        <v>0</v>
      </c>
      <c r="K268" s="469">
        <f>IF('Estimate Summary'!$D$9&lt;4,0,$E268*F268/1000*0.1)</f>
        <v>0</v>
      </c>
      <c r="L268" s="469">
        <f>IF('Estimate Summary'!$D$9&lt;5,0,$E268*F268/1000*0.1)</f>
        <v>0</v>
      </c>
      <c r="M268" s="469">
        <f>IF('Estimate Summary'!$D$9&lt;6,0,$E268*F268/1000*0.1)</f>
        <v>0</v>
      </c>
      <c r="N268" s="387"/>
      <c r="P268" s="1014"/>
      <c r="Q268" s="796">
        <v>43100</v>
      </c>
      <c r="S268" s="899"/>
      <c r="T268" s="899"/>
      <c r="U268" s="605" t="s">
        <v>677</v>
      </c>
      <c r="V268" s="2317">
        <f t="shared" si="93"/>
        <v>0</v>
      </c>
      <c r="W268" s="870"/>
      <c r="X268" s="870"/>
      <c r="Y268" s="900"/>
      <c r="Z268" s="1018">
        <f t="shared" si="99"/>
        <v>0</v>
      </c>
      <c r="AA268" s="1018"/>
      <c r="AB268" s="1022"/>
      <c r="AC268" s="900">
        <f>AB268*$AD$256</f>
        <v>0</v>
      </c>
      <c r="AF268" s="870"/>
      <c r="AH268" s="870"/>
      <c r="AI268" s="870"/>
      <c r="AJ268" s="605" t="s">
        <v>690</v>
      </c>
      <c r="AK268" s="605" t="s">
        <v>1129</v>
      </c>
      <c r="AL268" s="605" t="b">
        <f t="shared" si="94"/>
        <v>0</v>
      </c>
      <c r="AM268" s="899">
        <f>'Estimate Summary'!$D$9</f>
        <v>1</v>
      </c>
      <c r="AN268" s="605" t="s">
        <v>1136</v>
      </c>
      <c r="AO268" s="899">
        <f t="shared" si="95"/>
        <v>0</v>
      </c>
      <c r="AP268" s="605">
        <f t="shared" si="92"/>
        <v>0</v>
      </c>
      <c r="AQ268" s="605" t="s">
        <v>1139</v>
      </c>
      <c r="AR268" s="605" t="s">
        <v>670</v>
      </c>
      <c r="AS268" s="605" t="s">
        <v>745</v>
      </c>
      <c r="AU268" s="610" t="b">
        <f t="shared" si="96"/>
        <v>0</v>
      </c>
      <c r="AV268" s="605" t="s">
        <v>1141</v>
      </c>
      <c r="AW268" s="2255">
        <f t="shared" si="97"/>
        <v>43100</v>
      </c>
    </row>
    <row r="269" spans="1:49" s="605" customFormat="1">
      <c r="B269" s="1079"/>
      <c r="C269" s="1730" t="s">
        <v>1004</v>
      </c>
      <c r="D269" s="1832"/>
      <c r="E269" s="1693">
        <f t="shared" ref="E269" si="125">SUM(E270:E271)</f>
        <v>0</v>
      </c>
      <c r="F269" s="1664"/>
      <c r="G269" s="1693"/>
      <c r="H269" s="1693">
        <f t="shared" ref="H269:M269" si="126">SUM(H270:H271)</f>
        <v>0</v>
      </c>
      <c r="I269" s="1718">
        <f t="shared" si="126"/>
        <v>0</v>
      </c>
      <c r="J269" s="1718">
        <f t="shared" si="126"/>
        <v>0</v>
      </c>
      <c r="K269" s="1718">
        <f t="shared" si="126"/>
        <v>0</v>
      </c>
      <c r="L269" s="1718">
        <f t="shared" si="126"/>
        <v>0</v>
      </c>
      <c r="M269" s="1718">
        <f t="shared" si="126"/>
        <v>0</v>
      </c>
      <c r="N269" s="637"/>
      <c r="P269" s="2279"/>
      <c r="Q269" s="2318">
        <v>43100</v>
      </c>
      <c r="R269" s="476"/>
      <c r="S269" s="485"/>
      <c r="T269" s="2281"/>
      <c r="U269" s="1925"/>
      <c r="V269" s="1926">
        <f t="shared" si="93"/>
        <v>0</v>
      </c>
      <c r="W269" s="875"/>
      <c r="X269" s="875"/>
      <c r="Y269" s="878"/>
      <c r="Z269" s="891">
        <f t="shared" si="99"/>
        <v>0</v>
      </c>
      <c r="AA269" s="485"/>
      <c r="AB269" s="1927"/>
      <c r="AC269" s="1927"/>
      <c r="AD269" s="476"/>
      <c r="AE269" s="476"/>
      <c r="AF269" s="2282"/>
      <c r="AG269" s="1925"/>
      <c r="AH269" s="875"/>
      <c r="AI269" s="875"/>
      <c r="AJ269" s="605" t="s">
        <v>690</v>
      </c>
      <c r="AK269" s="605" t="s">
        <v>1129</v>
      </c>
      <c r="AL269" s="605" t="b">
        <f t="shared" si="94"/>
        <v>0</v>
      </c>
      <c r="AM269" s="899">
        <f>'Estimate Summary'!$D$9</f>
        <v>1</v>
      </c>
      <c r="AN269" s="605" t="s">
        <v>1136</v>
      </c>
      <c r="AO269" s="899">
        <f t="shared" si="95"/>
        <v>0</v>
      </c>
      <c r="AP269" s="605">
        <f t="shared" si="92"/>
        <v>0</v>
      </c>
      <c r="AQ269" s="605" t="s">
        <v>1139</v>
      </c>
      <c r="AR269" s="605" t="s">
        <v>670</v>
      </c>
      <c r="AS269" s="605" t="s">
        <v>745</v>
      </c>
      <c r="AU269" s="610" t="b">
        <f t="shared" si="96"/>
        <v>0</v>
      </c>
      <c r="AV269" s="605" t="s">
        <v>1141</v>
      </c>
      <c r="AW269" s="2255">
        <f t="shared" si="97"/>
        <v>43100</v>
      </c>
    </row>
    <row r="270" spans="1:49" s="605" customFormat="1" outlineLevel="1">
      <c r="A270" s="697"/>
      <c r="B270" s="1079" t="s">
        <v>1003</v>
      </c>
      <c r="C270" s="2094" t="s">
        <v>391</v>
      </c>
      <c r="D270" s="1830" t="s">
        <v>181</v>
      </c>
      <c r="E270" s="2059"/>
      <c r="F270" s="564">
        <v>191</v>
      </c>
      <c r="G270" s="1607">
        <f>E270*F270/1000</f>
        <v>0</v>
      </c>
      <c r="H270" s="1607">
        <f t="shared" si="124"/>
        <v>0</v>
      </c>
      <c r="I270" s="469">
        <f>IF('Estimate Summary'!$D$9&lt;2,0,(210+85)/2*F270/1000)</f>
        <v>0</v>
      </c>
      <c r="J270" s="469">
        <f>IF('Estimate Summary'!$D$9&lt;3,0,(210+85)/2*F270/1000)</f>
        <v>0</v>
      </c>
      <c r="K270" s="469">
        <f>IF('Estimate Summary'!$D$9&lt;4,0,$E270*F270/1000*0.1)</f>
        <v>0</v>
      </c>
      <c r="L270" s="469">
        <f>IF('Estimate Summary'!$D$9&lt;5,0,$E270*F270/1000*0.1)</f>
        <v>0</v>
      </c>
      <c r="M270" s="469">
        <f>IF('Estimate Summary'!$D$9&lt;6,0,$E270*F270/1000*0.1)</f>
        <v>0</v>
      </c>
      <c r="N270" s="387"/>
      <c r="P270" s="1014"/>
      <c r="Q270" s="796">
        <v>43100</v>
      </c>
      <c r="S270" s="899"/>
      <c r="T270" s="899"/>
      <c r="U270" s="605" t="s">
        <v>677</v>
      </c>
      <c r="V270" s="2317" t="str">
        <f t="shared" si="93"/>
        <v>CNY</v>
      </c>
      <c r="W270" s="870"/>
      <c r="X270" s="870"/>
      <c r="Y270" s="900"/>
      <c r="Z270" s="1018">
        <f t="shared" si="99"/>
        <v>0</v>
      </c>
      <c r="AA270" s="1018"/>
      <c r="AB270" s="1022"/>
      <c r="AC270" s="900"/>
      <c r="AF270" s="870"/>
      <c r="AH270" s="870"/>
      <c r="AI270" s="870"/>
      <c r="AJ270" s="605" t="s">
        <v>690</v>
      </c>
      <c r="AK270" s="605" t="s">
        <v>1129</v>
      </c>
      <c r="AL270" s="605" t="str">
        <f t="shared" si="94"/>
        <v>CN</v>
      </c>
      <c r="AM270" s="899">
        <f>'Estimate Summary'!$D$9</f>
        <v>1</v>
      </c>
      <c r="AN270" s="605" t="s">
        <v>1136</v>
      </c>
      <c r="AO270" s="899">
        <f t="shared" si="95"/>
        <v>0</v>
      </c>
      <c r="AP270" s="605" t="str">
        <f t="shared" si="92"/>
        <v>CNY</v>
      </c>
      <c r="AQ270" s="605" t="s">
        <v>700</v>
      </c>
      <c r="AR270" s="605" t="s">
        <v>670</v>
      </c>
      <c r="AS270" s="605" t="s">
        <v>745</v>
      </c>
      <c r="AU270" s="610" t="str">
        <f t="shared" si="96"/>
        <v>CN</v>
      </c>
      <c r="AV270" s="605" t="s">
        <v>1141</v>
      </c>
      <c r="AW270" s="2255">
        <f t="shared" si="97"/>
        <v>43100</v>
      </c>
    </row>
    <row r="271" spans="1:49" s="605" customFormat="1" outlineLevel="1">
      <c r="A271" s="697"/>
      <c r="B271" s="1079" t="s">
        <v>1003</v>
      </c>
      <c r="C271" s="2094" t="s">
        <v>406</v>
      </c>
      <c r="D271" s="1830" t="s">
        <v>181</v>
      </c>
      <c r="E271" s="2059"/>
      <c r="F271" s="564">
        <v>202</v>
      </c>
      <c r="G271" s="1607">
        <f>E271*F271/1000</f>
        <v>0</v>
      </c>
      <c r="H271" s="1607">
        <f t="shared" si="124"/>
        <v>0</v>
      </c>
      <c r="I271" s="469">
        <f>IF('Estimate Summary'!$D$9&lt;2,0,125/2*F271/1000)</f>
        <v>0</v>
      </c>
      <c r="J271" s="469">
        <f>IF('Estimate Summary'!$D$9&lt;3,0,125/2*F271/1000)</f>
        <v>0</v>
      </c>
      <c r="K271" s="469">
        <f>IF('Estimate Summary'!$D$9&lt;4,0,$E271*F271/1000*0.1)</f>
        <v>0</v>
      </c>
      <c r="L271" s="469">
        <f>IF('Estimate Summary'!$D$9&lt;5,0,$E271*F271/1000*0.1)</f>
        <v>0</v>
      </c>
      <c r="M271" s="469">
        <f>IF('Estimate Summary'!$D$9&lt;6,0,$E271*F271/1000*0.1)</f>
        <v>0</v>
      </c>
      <c r="N271" s="387"/>
      <c r="P271" s="1014"/>
      <c r="Q271" s="796">
        <v>43100</v>
      </c>
      <c r="S271" s="899"/>
      <c r="T271" s="899"/>
      <c r="U271" s="605" t="s">
        <v>677</v>
      </c>
      <c r="V271" s="2317" t="str">
        <f t="shared" si="93"/>
        <v>CNY</v>
      </c>
      <c r="W271" s="870"/>
      <c r="X271" s="870"/>
      <c r="Y271" s="900"/>
      <c r="Z271" s="1018">
        <f t="shared" si="99"/>
        <v>0</v>
      </c>
      <c r="AA271" s="1018"/>
      <c r="AB271" s="1022"/>
      <c r="AC271" s="900"/>
      <c r="AF271" s="870"/>
      <c r="AH271" s="870"/>
      <c r="AI271" s="870"/>
      <c r="AJ271" s="605" t="s">
        <v>690</v>
      </c>
      <c r="AK271" s="605" t="s">
        <v>1129</v>
      </c>
      <c r="AL271" s="605" t="str">
        <f t="shared" si="94"/>
        <v>CN</v>
      </c>
      <c r="AM271" s="899">
        <f>'Estimate Summary'!$D$9</f>
        <v>1</v>
      </c>
      <c r="AN271" s="605" t="s">
        <v>1136</v>
      </c>
      <c r="AO271" s="899">
        <f t="shared" si="95"/>
        <v>0</v>
      </c>
      <c r="AP271" s="605" t="str">
        <f t="shared" ref="AP271:AP336" si="127">D271</f>
        <v>CNY</v>
      </c>
      <c r="AQ271" s="605" t="s">
        <v>700</v>
      </c>
      <c r="AR271" s="605" t="s">
        <v>670</v>
      </c>
      <c r="AS271" s="605" t="s">
        <v>745</v>
      </c>
      <c r="AU271" s="610" t="str">
        <f t="shared" si="96"/>
        <v>CN</v>
      </c>
      <c r="AV271" s="605" t="s">
        <v>1141</v>
      </c>
      <c r="AW271" s="2255">
        <f t="shared" si="97"/>
        <v>43100</v>
      </c>
    </row>
    <row r="272" spans="1:49" s="1674" customFormat="1">
      <c r="B272" s="2469"/>
      <c r="C272" s="2470" t="s">
        <v>1005</v>
      </c>
      <c r="D272" s="2471"/>
      <c r="E272" s="2472"/>
      <c r="F272" s="2473"/>
      <c r="G272" s="2473"/>
      <c r="H272" s="2000">
        <f>H256+H269</f>
        <v>2.4</v>
      </c>
      <c r="I272" s="104">
        <f t="shared" ref="I272:M272" si="128">I256+I269</f>
        <v>0</v>
      </c>
      <c r="J272" s="104">
        <f t="shared" si="128"/>
        <v>0</v>
      </c>
      <c r="K272" s="104">
        <f t="shared" si="128"/>
        <v>0</v>
      </c>
      <c r="L272" s="104">
        <f t="shared" si="128"/>
        <v>0</v>
      </c>
      <c r="M272" s="104">
        <f t="shared" si="128"/>
        <v>0</v>
      </c>
      <c r="N272" s="1933"/>
      <c r="P272" s="1690"/>
      <c r="Q272" s="796">
        <v>43100</v>
      </c>
      <c r="S272" s="1692"/>
      <c r="T272" s="1692"/>
      <c r="V272" s="1690">
        <f t="shared" si="93"/>
        <v>0</v>
      </c>
      <c r="W272" s="1684"/>
      <c r="X272" s="1684"/>
      <c r="Y272" s="1683"/>
      <c r="Z272" s="1769">
        <f t="shared" si="99"/>
        <v>0</v>
      </c>
      <c r="AA272" s="1769"/>
      <c r="AB272" s="1904"/>
      <c r="AC272" s="1683"/>
      <c r="AF272" s="1684"/>
      <c r="AH272" s="1684"/>
      <c r="AI272" s="1684"/>
      <c r="AJ272" s="1674" t="s">
        <v>690</v>
      </c>
      <c r="AK272" s="1674" t="s">
        <v>1129</v>
      </c>
      <c r="AL272" s="1674" t="b">
        <f t="shared" si="94"/>
        <v>0</v>
      </c>
      <c r="AM272" s="1692">
        <f>'Estimate Summary'!$D$9</f>
        <v>1</v>
      </c>
      <c r="AN272" s="1674" t="s">
        <v>1136</v>
      </c>
      <c r="AO272" s="1692">
        <f t="shared" si="95"/>
        <v>0</v>
      </c>
      <c r="AP272" s="1674">
        <f t="shared" si="127"/>
        <v>0</v>
      </c>
      <c r="AQ272" s="1674" t="s">
        <v>1139</v>
      </c>
      <c r="AR272" s="1674" t="s">
        <v>670</v>
      </c>
      <c r="AS272" s="1674" t="s">
        <v>745</v>
      </c>
      <c r="AU272" s="610" t="b">
        <f t="shared" si="96"/>
        <v>0</v>
      </c>
      <c r="AV272" s="605" t="s">
        <v>1141</v>
      </c>
      <c r="AW272" s="2255">
        <f t="shared" si="97"/>
        <v>43100</v>
      </c>
    </row>
    <row r="273" spans="2:49" s="605" customFormat="1" hidden="1" outlineLevel="1">
      <c r="B273" s="2319"/>
      <c r="C273" s="2320" t="s">
        <v>1009</v>
      </c>
      <c r="D273" s="2321"/>
      <c r="E273" s="1934"/>
      <c r="F273" s="1727"/>
      <c r="G273" s="1728"/>
      <c r="H273" s="2268">
        <f>SUM(H274:H276)</f>
        <v>0</v>
      </c>
      <c r="I273" s="2294"/>
      <c r="J273" s="2294"/>
      <c r="K273" s="2294"/>
      <c r="L273" s="2294"/>
      <c r="M273" s="2294"/>
      <c r="N273" s="1729"/>
      <c r="P273" s="2279"/>
      <c r="Q273" s="2318">
        <v>43100</v>
      </c>
      <c r="R273" s="476"/>
      <c r="S273" s="485"/>
      <c r="T273" s="2281"/>
      <c r="U273" s="1925"/>
      <c r="V273" s="1926">
        <f t="shared" si="93"/>
        <v>0</v>
      </c>
      <c r="W273" s="875"/>
      <c r="X273" s="875"/>
      <c r="Y273" s="878"/>
      <c r="Z273" s="891">
        <f t="shared" si="99"/>
        <v>0</v>
      </c>
      <c r="AA273" s="485"/>
      <c r="AB273" s="1927"/>
      <c r="AC273" s="1927"/>
      <c r="AD273" s="476"/>
      <c r="AE273" s="476"/>
      <c r="AF273" s="2282"/>
      <c r="AG273" s="1925"/>
      <c r="AH273" s="875"/>
      <c r="AI273" s="875"/>
      <c r="AJ273" s="605" t="s">
        <v>690</v>
      </c>
      <c r="AK273" s="605" t="s">
        <v>1129</v>
      </c>
      <c r="AL273" s="605" t="b">
        <f t="shared" si="94"/>
        <v>0</v>
      </c>
      <c r="AM273" s="899">
        <f>'Estimate Summary'!$D$9</f>
        <v>1</v>
      </c>
      <c r="AN273" s="605" t="s">
        <v>1136</v>
      </c>
      <c r="AO273" s="899">
        <f t="shared" si="95"/>
        <v>0</v>
      </c>
      <c r="AP273" s="605">
        <f t="shared" si="127"/>
        <v>0</v>
      </c>
      <c r="AQ273" s="605" t="s">
        <v>1139</v>
      </c>
      <c r="AR273" s="605" t="s">
        <v>670</v>
      </c>
      <c r="AS273" s="605" t="s">
        <v>745</v>
      </c>
      <c r="AU273" s="610" t="b">
        <f t="shared" si="96"/>
        <v>0</v>
      </c>
      <c r="AV273" s="605" t="s">
        <v>1141</v>
      </c>
      <c r="AW273" s="2255">
        <f t="shared" si="97"/>
        <v>43100</v>
      </c>
    </row>
    <row r="274" spans="2:49" s="605" customFormat="1" hidden="1" outlineLevel="1">
      <c r="B274" s="1079" t="s">
        <v>1011</v>
      </c>
      <c r="C274" s="2094" t="s">
        <v>1012</v>
      </c>
      <c r="D274" s="1840" t="s">
        <v>181</v>
      </c>
      <c r="E274" s="393"/>
      <c r="F274" s="564"/>
      <c r="G274" s="421">
        <f t="shared" ref="G274:H276" si="129">AA274</f>
        <v>0</v>
      </c>
      <c r="H274" s="1738">
        <f t="shared" si="129"/>
        <v>0</v>
      </c>
      <c r="I274" s="469"/>
      <c r="J274" s="469"/>
      <c r="K274" s="469"/>
      <c r="L274" s="469"/>
      <c r="M274" s="469"/>
      <c r="N274" s="847"/>
      <c r="P274" s="474">
        <f>IF(Q274=0,0,(YEAR(R274)-YEAR(Q274))*12+(MONTH(R274)-MONTH(Q274)))</f>
        <v>-1415</v>
      </c>
      <c r="Q274" s="796">
        <v>43100</v>
      </c>
      <c r="R274" s="795"/>
      <c r="S274" s="475"/>
      <c r="T274" s="484"/>
      <c r="U274" s="1900" t="s">
        <v>677</v>
      </c>
      <c r="V274" s="391" t="str">
        <f t="shared" si="93"/>
        <v>CNY</v>
      </c>
      <c r="W274" s="547"/>
      <c r="X274" s="863">
        <f>IF(V274="CNY",W274/1.17/1000,W274/1000)</f>
        <v>0</v>
      </c>
      <c r="Y274" s="888"/>
      <c r="Z274" s="890">
        <f t="shared" si="99"/>
        <v>0</v>
      </c>
      <c r="AA274" s="484">
        <f>X274*(1-Z274)</f>
        <v>0</v>
      </c>
      <c r="AB274" s="484">
        <f>IF(V274="CNY",X274*(1-Z274),IF(V274="EUR",X274*(1-Z274)*$T$5,IF(V274="JPY",X274*(1-Z274)*$T$6,IF(V274="USD",X274*(1-Z274)*$T$7))))</f>
        <v>0</v>
      </c>
      <c r="AC274" s="885"/>
      <c r="AD274" s="802">
        <f>IF(V274&lt;&gt;"CNY",(AB274+#REF!)*AC274,0)</f>
        <v>0</v>
      </c>
      <c r="AE274" s="802"/>
      <c r="AF274" s="871">
        <f>IF(V274&lt;&gt;"CNY",(AB274+#REF!)*#REF!,0)</f>
        <v>0</v>
      </c>
      <c r="AG274" s="802">
        <f>IF(V274&lt;&gt;"CNY",E274*#REF!/1000,0)</f>
        <v>0</v>
      </c>
      <c r="AH274" s="871">
        <f>SUM(AD274:AG274)</f>
        <v>0</v>
      </c>
      <c r="AI274" s="484">
        <f>AB274+AH274</f>
        <v>0</v>
      </c>
      <c r="AJ274" s="605" t="s">
        <v>690</v>
      </c>
      <c r="AK274" s="605" t="s">
        <v>1129</v>
      </c>
      <c r="AL274" s="605" t="str">
        <f t="shared" si="94"/>
        <v>CN</v>
      </c>
      <c r="AM274" s="899">
        <f>'Estimate Summary'!$D$9</f>
        <v>1</v>
      </c>
      <c r="AN274" s="605" t="s">
        <v>1136</v>
      </c>
      <c r="AO274" s="899">
        <f t="shared" si="95"/>
        <v>0</v>
      </c>
      <c r="AP274" s="605" t="str">
        <f t="shared" si="127"/>
        <v>CNY</v>
      </c>
      <c r="AQ274" s="605" t="s">
        <v>1139</v>
      </c>
      <c r="AR274" s="605" t="s">
        <v>670</v>
      </c>
      <c r="AS274" s="605" t="s">
        <v>745</v>
      </c>
      <c r="AU274" s="610" t="str">
        <f t="shared" si="96"/>
        <v>CN</v>
      </c>
      <c r="AV274" s="605" t="s">
        <v>1141</v>
      </c>
      <c r="AW274" s="2255">
        <f t="shared" si="97"/>
        <v>43100</v>
      </c>
    </row>
    <row r="275" spans="2:49" s="605" customFormat="1" hidden="1" outlineLevel="1">
      <c r="B275" s="1079" t="s">
        <v>1011</v>
      </c>
      <c r="C275" s="2094" t="s">
        <v>1013</v>
      </c>
      <c r="D275" s="1840" t="s">
        <v>179</v>
      </c>
      <c r="E275" s="393"/>
      <c r="F275" s="564"/>
      <c r="G275" s="421">
        <f t="shared" si="129"/>
        <v>0</v>
      </c>
      <c r="H275" s="1738">
        <f t="shared" si="129"/>
        <v>0</v>
      </c>
      <c r="I275" s="469"/>
      <c r="J275" s="469"/>
      <c r="K275" s="469"/>
      <c r="L275" s="469"/>
      <c r="M275" s="469"/>
      <c r="N275" s="847"/>
      <c r="P275" s="474">
        <f>IF(Q275=0,0,(YEAR(R275)-YEAR(Q275))*12+(MONTH(R275)-MONTH(Q275)))</f>
        <v>-1415</v>
      </c>
      <c r="Q275" s="796">
        <v>43100</v>
      </c>
      <c r="R275" s="795"/>
      <c r="S275" s="475"/>
      <c r="T275" s="484"/>
      <c r="U275" s="1900" t="s">
        <v>747</v>
      </c>
      <c r="V275" s="391" t="str">
        <f t="shared" ref="V275:V341" si="130">D275</f>
        <v>EUR</v>
      </c>
      <c r="W275" s="547"/>
      <c r="X275" s="863">
        <f>IF(V275="CNY",W275/1.17/1000,W275/1000)</f>
        <v>0</v>
      </c>
      <c r="Y275" s="888"/>
      <c r="Z275" s="890">
        <f t="shared" si="99"/>
        <v>0</v>
      </c>
      <c r="AA275" s="484">
        <f>X275*(1-Z275)</f>
        <v>0</v>
      </c>
      <c r="AB275" s="484">
        <f>IF(V275="CNY",X275*(1-Z275),IF(V275="EUR",X275*(1-Z275)*$T$5,IF(V275="JPY",X275*(1-Z275)*$T$6,IF(V275="USD",X275*(1-Z275)*$T$7))))</f>
        <v>0</v>
      </c>
      <c r="AC275" s="885"/>
      <c r="AD275" s="802"/>
      <c r="AE275" s="802"/>
      <c r="AF275" s="871"/>
      <c r="AG275" s="802"/>
      <c r="AH275" s="871">
        <f>SUM(AD275:AG275)</f>
        <v>0</v>
      </c>
      <c r="AI275" s="484">
        <f>AB275+AH275</f>
        <v>0</v>
      </c>
      <c r="AJ275" s="605" t="s">
        <v>690</v>
      </c>
      <c r="AK275" s="605" t="s">
        <v>1129</v>
      </c>
      <c r="AL275" s="605" t="str">
        <f t="shared" ref="AL275:AL341" si="131">IF(D275="CNY","CN",IF(D275="EUR","DE",IF(D275="USD","US",IF(D275="JPY","JP",IF(D275="INR","IN")))))</f>
        <v>DE</v>
      </c>
      <c r="AM275" s="899">
        <f>'Estimate Summary'!$D$9</f>
        <v>1</v>
      </c>
      <c r="AN275" s="605" t="s">
        <v>1136</v>
      </c>
      <c r="AO275" s="899">
        <f t="shared" ref="AO275:AO341" si="132">G275</f>
        <v>0</v>
      </c>
      <c r="AP275" s="605" t="str">
        <f t="shared" si="127"/>
        <v>EUR</v>
      </c>
      <c r="AQ275" s="605" t="s">
        <v>1139</v>
      </c>
      <c r="AR275" s="605" t="s">
        <v>670</v>
      </c>
      <c r="AS275" s="605" t="s">
        <v>745</v>
      </c>
      <c r="AU275" s="610" t="str">
        <f t="shared" ref="AU275:AU341" si="133">AL275</f>
        <v>DE</v>
      </c>
      <c r="AV275" s="605" t="s">
        <v>1141</v>
      </c>
      <c r="AW275" s="2255">
        <f t="shared" ref="AW275:AW341" si="134">Q275</f>
        <v>43100</v>
      </c>
    </row>
    <row r="276" spans="2:49" s="605" customFormat="1" hidden="1" outlineLevel="1">
      <c r="B276" s="1079" t="s">
        <v>1011</v>
      </c>
      <c r="C276" s="2094" t="s">
        <v>1014</v>
      </c>
      <c r="D276" s="1840" t="s">
        <v>160</v>
      </c>
      <c r="E276" s="393"/>
      <c r="F276" s="564"/>
      <c r="G276" s="421">
        <f t="shared" si="129"/>
        <v>0</v>
      </c>
      <c r="H276" s="1738">
        <f t="shared" si="129"/>
        <v>0</v>
      </c>
      <c r="I276" s="469"/>
      <c r="J276" s="469"/>
      <c r="K276" s="469"/>
      <c r="L276" s="469"/>
      <c r="M276" s="469"/>
      <c r="N276" s="847"/>
      <c r="P276" s="474">
        <f>IF(Q276=0,0,(YEAR(R276)-YEAR(Q276))*12+(MONTH(R276)-MONTH(Q276)))</f>
        <v>-1415</v>
      </c>
      <c r="Q276" s="796">
        <v>43100</v>
      </c>
      <c r="R276" s="795"/>
      <c r="S276" s="475"/>
      <c r="T276" s="484"/>
      <c r="U276" s="1900" t="s">
        <v>1076</v>
      </c>
      <c r="V276" s="391" t="str">
        <f t="shared" si="130"/>
        <v>INR</v>
      </c>
      <c r="W276" s="547"/>
      <c r="X276" s="863">
        <f>IF(V276="CNY",W276/1.17/1000,W276/1000)</f>
        <v>0</v>
      </c>
      <c r="Y276" s="888"/>
      <c r="Z276" s="890">
        <f t="shared" si="99"/>
        <v>0</v>
      </c>
      <c r="AA276" s="484">
        <f>X276*(1-Z276)</f>
        <v>0</v>
      </c>
      <c r="AB276" s="484">
        <f>IF(V276="CNY",X276*(1-Z276),IF(V276="EUR",X276*(1-Z276)*$T$5,IF(V276="JPY",X276*(1-Z276)*$T$6,IF(V276="USD",X276*(1-Z276)*$T$7,IF(V276="INR",X276*(1-Z276)*$T$8)))))</f>
        <v>0</v>
      </c>
      <c r="AC276" s="885"/>
      <c r="AD276" s="802"/>
      <c r="AE276" s="802"/>
      <c r="AF276" s="871"/>
      <c r="AG276" s="802"/>
      <c r="AH276" s="871">
        <f>SUM(AD276:AG276)</f>
        <v>0</v>
      </c>
      <c r="AI276" s="484">
        <f>AB276+AH276</f>
        <v>0</v>
      </c>
      <c r="AJ276" s="605" t="s">
        <v>690</v>
      </c>
      <c r="AK276" s="605" t="s">
        <v>1129</v>
      </c>
      <c r="AL276" s="605" t="str">
        <f t="shared" si="131"/>
        <v>IN</v>
      </c>
      <c r="AM276" s="899">
        <f>'Estimate Summary'!$D$9</f>
        <v>1</v>
      </c>
      <c r="AN276" s="605" t="s">
        <v>1136</v>
      </c>
      <c r="AO276" s="899">
        <f t="shared" si="132"/>
        <v>0</v>
      </c>
      <c r="AP276" s="605" t="str">
        <f t="shared" si="127"/>
        <v>INR</v>
      </c>
      <c r="AQ276" s="605" t="s">
        <v>1139</v>
      </c>
      <c r="AR276" s="605" t="s">
        <v>670</v>
      </c>
      <c r="AS276" s="605" t="s">
        <v>745</v>
      </c>
      <c r="AU276" s="610" t="str">
        <f t="shared" si="133"/>
        <v>IN</v>
      </c>
      <c r="AV276" s="605" t="s">
        <v>1141</v>
      </c>
      <c r="AW276" s="2255">
        <f t="shared" si="134"/>
        <v>43100</v>
      </c>
    </row>
    <row r="277" spans="2:49" s="605" customFormat="1" hidden="1" outlineLevel="1">
      <c r="B277" s="2316"/>
      <c r="C277" s="1627" t="s">
        <v>1010</v>
      </c>
      <c r="D277" s="1841"/>
      <c r="E277" s="2322"/>
      <c r="F277" s="1731"/>
      <c r="G277" s="1615"/>
      <c r="H277" s="1712">
        <f>H273</f>
        <v>0</v>
      </c>
      <c r="I277" s="104"/>
      <c r="J277" s="104"/>
      <c r="K277" s="104"/>
      <c r="L277" s="104"/>
      <c r="M277" s="104"/>
      <c r="N277" s="387"/>
      <c r="P277" s="1014"/>
      <c r="Q277" s="796">
        <v>43100</v>
      </c>
      <c r="S277" s="899"/>
      <c r="T277" s="899"/>
      <c r="V277" s="1014">
        <f t="shared" si="130"/>
        <v>0</v>
      </c>
      <c r="W277" s="870"/>
      <c r="X277" s="870"/>
      <c r="Y277" s="900"/>
      <c r="Z277" s="1018">
        <f t="shared" ref="Z277:Z334" si="135">Y277+$Z$78</f>
        <v>0</v>
      </c>
      <c r="AA277" s="1018"/>
      <c r="AB277" s="1022"/>
      <c r="AC277" s="900"/>
      <c r="AF277" s="870"/>
      <c r="AH277" s="870"/>
      <c r="AI277" s="870"/>
      <c r="AJ277" s="605" t="s">
        <v>690</v>
      </c>
      <c r="AK277" s="605" t="s">
        <v>1129</v>
      </c>
      <c r="AL277" s="605" t="b">
        <f t="shared" si="131"/>
        <v>0</v>
      </c>
      <c r="AM277" s="899">
        <f>'Estimate Summary'!$D$9</f>
        <v>1</v>
      </c>
      <c r="AN277" s="605" t="s">
        <v>1136</v>
      </c>
      <c r="AO277" s="899">
        <f t="shared" si="132"/>
        <v>0</v>
      </c>
      <c r="AP277" s="605">
        <f t="shared" si="127"/>
        <v>0</v>
      </c>
      <c r="AQ277" s="605" t="s">
        <v>1139</v>
      </c>
      <c r="AR277" s="605" t="s">
        <v>670</v>
      </c>
      <c r="AS277" s="605" t="s">
        <v>745</v>
      </c>
      <c r="AU277" s="610" t="b">
        <f t="shared" si="133"/>
        <v>0</v>
      </c>
      <c r="AV277" s="605" t="s">
        <v>1141</v>
      </c>
      <c r="AW277" s="2255">
        <f t="shared" si="134"/>
        <v>43100</v>
      </c>
    </row>
    <row r="278" spans="2:49" s="605" customFormat="1" hidden="1" outlineLevel="1">
      <c r="B278" s="2323"/>
      <c r="C278" s="585" t="s">
        <v>1015</v>
      </c>
      <c r="D278" s="1912"/>
      <c r="E278" s="1759"/>
      <c r="F278" s="1733"/>
      <c r="G278" s="1734"/>
      <c r="H278" s="2298">
        <f t="shared" ref="H278:M278" si="136">SUM(H279:H291)</f>
        <v>0</v>
      </c>
      <c r="I278" s="2301">
        <f t="shared" si="136"/>
        <v>0</v>
      </c>
      <c r="J278" s="2301">
        <f t="shared" si="136"/>
        <v>0</v>
      </c>
      <c r="K278" s="2301">
        <f t="shared" si="136"/>
        <v>0</v>
      </c>
      <c r="L278" s="2301">
        <f t="shared" si="136"/>
        <v>0</v>
      </c>
      <c r="M278" s="2301">
        <f t="shared" si="136"/>
        <v>0</v>
      </c>
      <c r="N278" s="1735"/>
      <c r="P278" s="2279"/>
      <c r="Q278" s="2318">
        <v>43100</v>
      </c>
      <c r="R278" s="476"/>
      <c r="S278" s="485"/>
      <c r="T278" s="2281"/>
      <c r="U278" s="1925"/>
      <c r="V278" s="1926">
        <f t="shared" si="130"/>
        <v>0</v>
      </c>
      <c r="W278" s="875"/>
      <c r="X278" s="875"/>
      <c r="Y278" s="878"/>
      <c r="Z278" s="891">
        <f t="shared" si="135"/>
        <v>0</v>
      </c>
      <c r="AA278" s="485"/>
      <c r="AB278" s="1927"/>
      <c r="AC278" s="1927"/>
      <c r="AD278" s="476"/>
      <c r="AE278" s="476"/>
      <c r="AF278" s="2282"/>
      <c r="AG278" s="1925"/>
      <c r="AH278" s="875"/>
      <c r="AI278" s="875"/>
      <c r="AJ278" s="605" t="s">
        <v>690</v>
      </c>
      <c r="AK278" s="605" t="s">
        <v>1129</v>
      </c>
      <c r="AL278" s="605" t="b">
        <f t="shared" si="131"/>
        <v>0</v>
      </c>
      <c r="AM278" s="899">
        <f>'Estimate Summary'!$D$9</f>
        <v>1</v>
      </c>
      <c r="AN278" s="605" t="s">
        <v>1136</v>
      </c>
      <c r="AO278" s="899">
        <f t="shared" si="132"/>
        <v>0</v>
      </c>
      <c r="AP278" s="605">
        <f t="shared" si="127"/>
        <v>0</v>
      </c>
      <c r="AQ278" s="605" t="s">
        <v>1139</v>
      </c>
      <c r="AR278" s="605" t="s">
        <v>670</v>
      </c>
      <c r="AS278" s="605" t="s">
        <v>745</v>
      </c>
      <c r="AU278" s="610" t="b">
        <f t="shared" si="133"/>
        <v>0</v>
      </c>
      <c r="AV278" s="605" t="s">
        <v>1141</v>
      </c>
      <c r="AW278" s="2255">
        <f t="shared" si="134"/>
        <v>43100</v>
      </c>
    </row>
    <row r="279" spans="2:49" s="605" customFormat="1" hidden="1" outlineLevel="1">
      <c r="B279" s="1079" t="s">
        <v>689</v>
      </c>
      <c r="C279" s="2094" t="s">
        <v>1203</v>
      </c>
      <c r="D279" s="1840" t="s">
        <v>179</v>
      </c>
      <c r="E279" s="393"/>
      <c r="F279" s="564"/>
      <c r="G279" s="421">
        <f>AA279</f>
        <v>0</v>
      </c>
      <c r="H279" s="1738">
        <f>AB279</f>
        <v>0</v>
      </c>
      <c r="I279" s="469"/>
      <c r="J279" s="469"/>
      <c r="K279" s="469"/>
      <c r="L279" s="469"/>
      <c r="M279" s="469"/>
      <c r="N279" s="847"/>
      <c r="P279" s="474">
        <f>IF(Q279=0,0,(YEAR(R279)-YEAR(Q279))*12+(MONTH(R279)-MONTH(Q279)))</f>
        <v>-1415</v>
      </c>
      <c r="Q279" s="796">
        <v>43100</v>
      </c>
      <c r="R279" s="795"/>
      <c r="S279" s="475"/>
      <c r="T279" s="484"/>
      <c r="U279" s="1900" t="s">
        <v>747</v>
      </c>
      <c r="V279" s="391" t="str">
        <f t="shared" si="130"/>
        <v>EUR</v>
      </c>
      <c r="W279" s="547"/>
      <c r="X279" s="863">
        <f>IF(V279="CNY",W279/1.17/1000,W279/1000)</f>
        <v>0</v>
      </c>
      <c r="Y279" s="888"/>
      <c r="Z279" s="890">
        <f t="shared" si="135"/>
        <v>0</v>
      </c>
      <c r="AA279" s="484">
        <f>X279*(1-Z279)</f>
        <v>0</v>
      </c>
      <c r="AB279" s="484">
        <f>IF(V279="CNY",X279*(1-Z279),IF(V279="EUR",X279*(1-Z279)*$T$5,IF(V279="JPY",X279*(1-Z279)*$T$6,IF(V279="USD",X279*(1-Z279)*$T$7,IF(V279="INR",X279*(1-Z279)*$T$8)))))</f>
        <v>0</v>
      </c>
      <c r="AC279" s="885"/>
      <c r="AD279" s="802"/>
      <c r="AE279" s="802"/>
      <c r="AF279" s="871"/>
      <c r="AG279" s="802"/>
      <c r="AH279" s="871">
        <f t="shared" ref="AH279:AH291" si="137">SUM(AD279:AG279)</f>
        <v>0</v>
      </c>
      <c r="AI279" s="484">
        <f t="shared" ref="AI279:AI291" si="138">AB279+AH279</f>
        <v>0</v>
      </c>
      <c r="AJ279" s="605" t="s">
        <v>690</v>
      </c>
      <c r="AK279" s="605" t="s">
        <v>1129</v>
      </c>
      <c r="AL279" s="605" t="str">
        <f t="shared" si="131"/>
        <v>DE</v>
      </c>
      <c r="AM279" s="899">
        <f>'Estimate Summary'!$D$9</f>
        <v>1</v>
      </c>
      <c r="AN279" s="605" t="s">
        <v>1136</v>
      </c>
      <c r="AO279" s="899">
        <f t="shared" si="132"/>
        <v>0</v>
      </c>
      <c r="AP279" s="605" t="str">
        <f t="shared" si="127"/>
        <v>EUR</v>
      </c>
      <c r="AQ279" s="605" t="s">
        <v>1139</v>
      </c>
      <c r="AR279" s="605" t="s">
        <v>670</v>
      </c>
      <c r="AS279" s="605" t="s">
        <v>745</v>
      </c>
      <c r="AU279" s="610" t="str">
        <f t="shared" si="133"/>
        <v>DE</v>
      </c>
      <c r="AV279" s="605" t="s">
        <v>1141</v>
      </c>
      <c r="AW279" s="2255">
        <f t="shared" si="134"/>
        <v>43100</v>
      </c>
    </row>
    <row r="280" spans="2:49" s="605" customFormat="1" hidden="1" outlineLevel="1">
      <c r="B280" s="1079" t="s">
        <v>689</v>
      </c>
      <c r="C280" s="2094" t="s">
        <v>1204</v>
      </c>
      <c r="D280" s="1840" t="s">
        <v>179</v>
      </c>
      <c r="E280" s="393"/>
      <c r="F280" s="564"/>
      <c r="G280" s="421">
        <f>AA280</f>
        <v>0</v>
      </c>
      <c r="H280" s="1738">
        <f>AB280</f>
        <v>0</v>
      </c>
      <c r="I280" s="469"/>
      <c r="J280" s="469"/>
      <c r="K280" s="469"/>
      <c r="L280" s="469"/>
      <c r="M280" s="469"/>
      <c r="N280" s="847"/>
      <c r="P280" s="474">
        <f>IF(Q280=0,0,(YEAR(R280)-YEAR(Q280))*12+(MONTH(R280)-MONTH(Q280)))</f>
        <v>-1415</v>
      </c>
      <c r="Q280" s="796">
        <v>43100</v>
      </c>
      <c r="R280" s="795"/>
      <c r="S280" s="475"/>
      <c r="T280" s="484"/>
      <c r="U280" s="1900" t="s">
        <v>747</v>
      </c>
      <c r="V280" s="391" t="str">
        <f>D280</f>
        <v>EUR</v>
      </c>
      <c r="W280" s="547"/>
      <c r="X280" s="863">
        <f>IF(V280="CNY",W280/1.17/1000,W280/1000)</f>
        <v>0</v>
      </c>
      <c r="Y280" s="888"/>
      <c r="Z280" s="890">
        <f>Y280+$Z$78</f>
        <v>0</v>
      </c>
      <c r="AA280" s="484">
        <f>X280*(1-Z280)</f>
        <v>0</v>
      </c>
      <c r="AB280" s="484">
        <f>IF(V280="CNY",X280*(1-Z280),IF(V280="EUR",X280*(1-Z280)*$T$5,IF(V280="JPY",X280*(1-Z280)*$T$6,IF(V280="USD",X280*(1-Z280)*$T$7,IF(V280="INR",X280*(1-Z280)*$T$8)))))</f>
        <v>0</v>
      </c>
      <c r="AC280" s="885"/>
      <c r="AD280" s="802"/>
      <c r="AE280" s="802"/>
      <c r="AF280" s="871"/>
      <c r="AG280" s="802"/>
      <c r="AH280" s="871">
        <f>SUM(AD280:AG280)</f>
        <v>0</v>
      </c>
      <c r="AI280" s="484">
        <f>AB280+AH280</f>
        <v>0</v>
      </c>
      <c r="AJ280" s="605" t="s">
        <v>690</v>
      </c>
      <c r="AK280" s="605" t="s">
        <v>1129</v>
      </c>
      <c r="AL280" s="605" t="str">
        <f>IF(D280="CNY","CN",IF(D280="EUR","DE",IF(D280="USD","US",IF(D280="JPY","JP",IF(D280="INR","IN")))))</f>
        <v>DE</v>
      </c>
      <c r="AM280" s="899">
        <f>'Estimate Summary'!$D$9</f>
        <v>1</v>
      </c>
      <c r="AN280" s="605" t="s">
        <v>1136</v>
      </c>
      <c r="AO280" s="899">
        <f>G280</f>
        <v>0</v>
      </c>
      <c r="AP280" s="605" t="str">
        <f t="shared" si="127"/>
        <v>EUR</v>
      </c>
      <c r="AQ280" s="605" t="s">
        <v>1139</v>
      </c>
      <c r="AR280" s="605" t="s">
        <v>670</v>
      </c>
      <c r="AS280" s="605" t="s">
        <v>745</v>
      </c>
      <c r="AU280" s="610" t="str">
        <f>AL280</f>
        <v>DE</v>
      </c>
      <c r="AV280" s="605" t="s">
        <v>1141</v>
      </c>
      <c r="AW280" s="2255">
        <f>Q280</f>
        <v>43100</v>
      </c>
    </row>
    <row r="281" spans="2:49" s="605" customFormat="1" hidden="1" outlineLevel="1">
      <c r="B281" s="1079" t="s">
        <v>982</v>
      </c>
      <c r="C281" s="2094" t="s">
        <v>971</v>
      </c>
      <c r="D281" s="1840"/>
      <c r="E281" s="393"/>
      <c r="F281" s="564"/>
      <c r="G281" s="421">
        <f t="shared" ref="G281:G291" si="139">AA281</f>
        <v>0</v>
      </c>
      <c r="H281" s="1738">
        <f t="shared" ref="H281:H291" si="140">AB281</f>
        <v>0</v>
      </c>
      <c r="I281" s="469"/>
      <c r="J281" s="469"/>
      <c r="K281" s="469"/>
      <c r="L281" s="469"/>
      <c r="M281" s="469"/>
      <c r="N281" s="847"/>
      <c r="P281" s="474">
        <f t="shared" ref="P281:P291" si="141">IF(Q281=0,0,(YEAR(R281)-YEAR(Q281))*12+(MONTH(R281)-MONTH(Q281)))</f>
        <v>-1415</v>
      </c>
      <c r="Q281" s="796">
        <v>43100</v>
      </c>
      <c r="R281" s="795"/>
      <c r="S281" s="475"/>
      <c r="T281" s="484"/>
      <c r="U281" s="1900"/>
      <c r="V281" s="391">
        <f t="shared" si="130"/>
        <v>0</v>
      </c>
      <c r="W281" s="547"/>
      <c r="X281" s="863">
        <f t="shared" ref="X281:X291" si="142">IF(V281="CNY",W281/1.17/1000,W281/1000)</f>
        <v>0</v>
      </c>
      <c r="Y281" s="888"/>
      <c r="Z281" s="890">
        <f t="shared" si="135"/>
        <v>0</v>
      </c>
      <c r="AA281" s="484">
        <f t="shared" ref="AA281:AA291" si="143">X281*(1-Z281)</f>
        <v>0</v>
      </c>
      <c r="AB281" s="484"/>
      <c r="AC281" s="885"/>
      <c r="AD281" s="802"/>
      <c r="AE281" s="802"/>
      <c r="AF281" s="871"/>
      <c r="AG281" s="802"/>
      <c r="AH281" s="871">
        <f t="shared" si="137"/>
        <v>0</v>
      </c>
      <c r="AI281" s="484">
        <f t="shared" si="138"/>
        <v>0</v>
      </c>
      <c r="AJ281" s="605" t="s">
        <v>690</v>
      </c>
      <c r="AK281" s="605" t="s">
        <v>1129</v>
      </c>
      <c r="AL281" s="605" t="b">
        <f t="shared" si="131"/>
        <v>0</v>
      </c>
      <c r="AM281" s="899">
        <f>'Estimate Summary'!$D$9</f>
        <v>1</v>
      </c>
      <c r="AN281" s="605" t="s">
        <v>1136</v>
      </c>
      <c r="AO281" s="899">
        <f t="shared" si="132"/>
        <v>0</v>
      </c>
      <c r="AP281" s="605">
        <f t="shared" si="127"/>
        <v>0</v>
      </c>
      <c r="AQ281" s="605" t="s">
        <v>1139</v>
      </c>
      <c r="AR281" s="605" t="s">
        <v>670</v>
      </c>
      <c r="AS281" s="605" t="s">
        <v>745</v>
      </c>
      <c r="AU281" s="610" t="b">
        <f t="shared" si="133"/>
        <v>0</v>
      </c>
      <c r="AV281" s="605" t="s">
        <v>1141</v>
      </c>
      <c r="AW281" s="2255">
        <f t="shared" si="134"/>
        <v>43100</v>
      </c>
    </row>
    <row r="282" spans="2:49" s="605" customFormat="1" hidden="1" outlineLevel="1">
      <c r="B282" s="1079" t="s">
        <v>983</v>
      </c>
      <c r="C282" s="2094" t="s">
        <v>972</v>
      </c>
      <c r="D282" s="1840"/>
      <c r="E282" s="393"/>
      <c r="F282" s="564"/>
      <c r="G282" s="421">
        <f t="shared" si="139"/>
        <v>0</v>
      </c>
      <c r="H282" s="1738">
        <f t="shared" si="140"/>
        <v>0</v>
      </c>
      <c r="I282" s="469"/>
      <c r="J282" s="469"/>
      <c r="K282" s="469"/>
      <c r="L282" s="469"/>
      <c r="M282" s="469"/>
      <c r="N282" s="847"/>
      <c r="P282" s="474">
        <f t="shared" si="141"/>
        <v>-1415</v>
      </c>
      <c r="Q282" s="796">
        <v>43100</v>
      </c>
      <c r="R282" s="795"/>
      <c r="S282" s="475"/>
      <c r="T282" s="484"/>
      <c r="U282" s="1900"/>
      <c r="V282" s="391">
        <f t="shared" si="130"/>
        <v>0</v>
      </c>
      <c r="W282" s="547"/>
      <c r="X282" s="863">
        <f t="shared" si="142"/>
        <v>0</v>
      </c>
      <c r="Y282" s="888"/>
      <c r="Z282" s="890">
        <f t="shared" si="135"/>
        <v>0</v>
      </c>
      <c r="AA282" s="484">
        <f t="shared" si="143"/>
        <v>0</v>
      </c>
      <c r="AB282" s="484"/>
      <c r="AC282" s="885"/>
      <c r="AD282" s="802"/>
      <c r="AE282" s="802"/>
      <c r="AF282" s="871"/>
      <c r="AG282" s="802"/>
      <c r="AH282" s="871">
        <f t="shared" si="137"/>
        <v>0</v>
      </c>
      <c r="AI282" s="484">
        <f t="shared" si="138"/>
        <v>0</v>
      </c>
      <c r="AJ282" s="605" t="s">
        <v>690</v>
      </c>
      <c r="AK282" s="605" t="s">
        <v>1129</v>
      </c>
      <c r="AL282" s="605" t="b">
        <f t="shared" si="131"/>
        <v>0</v>
      </c>
      <c r="AM282" s="899">
        <f>'Estimate Summary'!$D$9</f>
        <v>1</v>
      </c>
      <c r="AN282" s="605" t="s">
        <v>1136</v>
      </c>
      <c r="AO282" s="899">
        <f t="shared" si="132"/>
        <v>0</v>
      </c>
      <c r="AP282" s="605">
        <f t="shared" si="127"/>
        <v>0</v>
      </c>
      <c r="AQ282" s="605" t="s">
        <v>1139</v>
      </c>
      <c r="AR282" s="605" t="s">
        <v>670</v>
      </c>
      <c r="AS282" s="605" t="s">
        <v>745</v>
      </c>
      <c r="AU282" s="610" t="b">
        <f t="shared" si="133"/>
        <v>0</v>
      </c>
      <c r="AV282" s="605" t="s">
        <v>1141</v>
      </c>
      <c r="AW282" s="2255">
        <f t="shared" si="134"/>
        <v>43100</v>
      </c>
    </row>
    <row r="283" spans="2:49" s="605" customFormat="1" hidden="1" outlineLevel="1">
      <c r="B283" s="1079" t="s">
        <v>984</v>
      </c>
      <c r="C283" s="2094" t="s">
        <v>973</v>
      </c>
      <c r="D283" s="1840"/>
      <c r="E283" s="393"/>
      <c r="F283" s="564"/>
      <c r="G283" s="421">
        <f t="shared" si="139"/>
        <v>0</v>
      </c>
      <c r="H283" s="1738">
        <f t="shared" si="140"/>
        <v>0</v>
      </c>
      <c r="I283" s="469"/>
      <c r="J283" s="469"/>
      <c r="K283" s="469"/>
      <c r="L283" s="469"/>
      <c r="M283" s="469"/>
      <c r="N283" s="847"/>
      <c r="P283" s="474">
        <f t="shared" si="141"/>
        <v>-1415</v>
      </c>
      <c r="Q283" s="796">
        <v>43100</v>
      </c>
      <c r="R283" s="795"/>
      <c r="S283" s="475"/>
      <c r="T283" s="484"/>
      <c r="U283" s="1900"/>
      <c r="V283" s="391">
        <f t="shared" si="130"/>
        <v>0</v>
      </c>
      <c r="W283" s="547"/>
      <c r="X283" s="863">
        <f t="shared" si="142"/>
        <v>0</v>
      </c>
      <c r="Y283" s="888"/>
      <c r="Z283" s="890">
        <f t="shared" si="135"/>
        <v>0</v>
      </c>
      <c r="AA283" s="484">
        <f t="shared" si="143"/>
        <v>0</v>
      </c>
      <c r="AB283" s="484"/>
      <c r="AC283" s="885"/>
      <c r="AD283" s="802"/>
      <c r="AE283" s="802"/>
      <c r="AF283" s="871"/>
      <c r="AG283" s="802"/>
      <c r="AH283" s="871">
        <f t="shared" si="137"/>
        <v>0</v>
      </c>
      <c r="AI283" s="484">
        <f t="shared" si="138"/>
        <v>0</v>
      </c>
      <c r="AJ283" s="605" t="s">
        <v>690</v>
      </c>
      <c r="AK283" s="605" t="s">
        <v>1129</v>
      </c>
      <c r="AL283" s="605" t="b">
        <f t="shared" si="131"/>
        <v>0</v>
      </c>
      <c r="AM283" s="899">
        <f>'Estimate Summary'!$D$9</f>
        <v>1</v>
      </c>
      <c r="AN283" s="605" t="s">
        <v>1136</v>
      </c>
      <c r="AO283" s="899">
        <f t="shared" si="132"/>
        <v>0</v>
      </c>
      <c r="AP283" s="605">
        <f t="shared" si="127"/>
        <v>0</v>
      </c>
      <c r="AQ283" s="605" t="s">
        <v>1139</v>
      </c>
      <c r="AR283" s="605" t="s">
        <v>670</v>
      </c>
      <c r="AS283" s="605" t="s">
        <v>745</v>
      </c>
      <c r="AU283" s="610" t="b">
        <f t="shared" si="133"/>
        <v>0</v>
      </c>
      <c r="AV283" s="605" t="s">
        <v>1141</v>
      </c>
      <c r="AW283" s="2255">
        <f t="shared" si="134"/>
        <v>43100</v>
      </c>
    </row>
    <row r="284" spans="2:49" s="605" customFormat="1" hidden="1" outlineLevel="1">
      <c r="B284" s="1079" t="s">
        <v>986</v>
      </c>
      <c r="C284" s="2094" t="s">
        <v>974</v>
      </c>
      <c r="D284" s="1840"/>
      <c r="E284" s="393"/>
      <c r="F284" s="564"/>
      <c r="G284" s="421">
        <f t="shared" si="139"/>
        <v>0</v>
      </c>
      <c r="H284" s="1738">
        <f t="shared" si="140"/>
        <v>0</v>
      </c>
      <c r="I284" s="469"/>
      <c r="J284" s="469"/>
      <c r="K284" s="469"/>
      <c r="L284" s="469"/>
      <c r="M284" s="469"/>
      <c r="N284" s="847"/>
      <c r="P284" s="474">
        <f t="shared" si="141"/>
        <v>-1415</v>
      </c>
      <c r="Q284" s="796">
        <v>43100</v>
      </c>
      <c r="R284" s="795"/>
      <c r="S284" s="475"/>
      <c r="T284" s="484"/>
      <c r="U284" s="1900"/>
      <c r="V284" s="391">
        <f t="shared" si="130"/>
        <v>0</v>
      </c>
      <c r="W284" s="547"/>
      <c r="X284" s="863">
        <f t="shared" si="142"/>
        <v>0</v>
      </c>
      <c r="Y284" s="888"/>
      <c r="Z284" s="890">
        <f t="shared" si="135"/>
        <v>0</v>
      </c>
      <c r="AA284" s="484">
        <f t="shared" si="143"/>
        <v>0</v>
      </c>
      <c r="AB284" s="484"/>
      <c r="AC284" s="885"/>
      <c r="AD284" s="802"/>
      <c r="AE284" s="802"/>
      <c r="AF284" s="871"/>
      <c r="AG284" s="802"/>
      <c r="AH284" s="871">
        <f t="shared" si="137"/>
        <v>0</v>
      </c>
      <c r="AI284" s="484">
        <f t="shared" si="138"/>
        <v>0</v>
      </c>
      <c r="AJ284" s="605" t="s">
        <v>690</v>
      </c>
      <c r="AK284" s="605" t="s">
        <v>1129</v>
      </c>
      <c r="AL284" s="605" t="b">
        <f t="shared" si="131"/>
        <v>0</v>
      </c>
      <c r="AM284" s="899">
        <f>'Estimate Summary'!$D$9</f>
        <v>1</v>
      </c>
      <c r="AN284" s="605" t="s">
        <v>1136</v>
      </c>
      <c r="AO284" s="899">
        <f t="shared" si="132"/>
        <v>0</v>
      </c>
      <c r="AP284" s="605">
        <f t="shared" si="127"/>
        <v>0</v>
      </c>
      <c r="AQ284" s="605" t="s">
        <v>1139</v>
      </c>
      <c r="AR284" s="605" t="s">
        <v>670</v>
      </c>
      <c r="AS284" s="605" t="s">
        <v>745</v>
      </c>
      <c r="AU284" s="610" t="b">
        <f t="shared" si="133"/>
        <v>0</v>
      </c>
      <c r="AV284" s="605" t="s">
        <v>1141</v>
      </c>
      <c r="AW284" s="2255">
        <f t="shared" si="134"/>
        <v>43100</v>
      </c>
    </row>
    <row r="285" spans="2:49" s="605" customFormat="1" hidden="1" outlineLevel="1">
      <c r="B285" s="1079" t="s">
        <v>987</v>
      </c>
      <c r="C285" s="2094" t="s">
        <v>975</v>
      </c>
      <c r="D285" s="1840"/>
      <c r="E285" s="393"/>
      <c r="F285" s="564"/>
      <c r="G285" s="421">
        <f t="shared" si="139"/>
        <v>0</v>
      </c>
      <c r="H285" s="1738">
        <f t="shared" si="140"/>
        <v>0</v>
      </c>
      <c r="I285" s="469"/>
      <c r="J285" s="469"/>
      <c r="K285" s="469"/>
      <c r="L285" s="469"/>
      <c r="M285" s="469"/>
      <c r="N285" s="847"/>
      <c r="P285" s="474">
        <f t="shared" si="141"/>
        <v>-1415</v>
      </c>
      <c r="Q285" s="796">
        <v>43100</v>
      </c>
      <c r="R285" s="795"/>
      <c r="S285" s="475"/>
      <c r="T285" s="484"/>
      <c r="U285" s="1900"/>
      <c r="V285" s="391">
        <f t="shared" si="130"/>
        <v>0</v>
      </c>
      <c r="W285" s="547"/>
      <c r="X285" s="863">
        <f t="shared" si="142"/>
        <v>0</v>
      </c>
      <c r="Y285" s="888"/>
      <c r="Z285" s="890">
        <f t="shared" si="135"/>
        <v>0</v>
      </c>
      <c r="AA285" s="484">
        <f t="shared" si="143"/>
        <v>0</v>
      </c>
      <c r="AB285" s="484"/>
      <c r="AC285" s="885"/>
      <c r="AD285" s="802"/>
      <c r="AE285" s="802"/>
      <c r="AF285" s="871"/>
      <c r="AG285" s="802"/>
      <c r="AH285" s="871">
        <f t="shared" si="137"/>
        <v>0</v>
      </c>
      <c r="AI285" s="484">
        <f t="shared" si="138"/>
        <v>0</v>
      </c>
      <c r="AJ285" s="605" t="s">
        <v>690</v>
      </c>
      <c r="AK285" s="605" t="s">
        <v>1129</v>
      </c>
      <c r="AL285" s="605" t="b">
        <f t="shared" si="131"/>
        <v>0</v>
      </c>
      <c r="AM285" s="899">
        <f>'Estimate Summary'!$D$9</f>
        <v>1</v>
      </c>
      <c r="AN285" s="605" t="s">
        <v>1136</v>
      </c>
      <c r="AO285" s="899">
        <f t="shared" si="132"/>
        <v>0</v>
      </c>
      <c r="AP285" s="605">
        <f t="shared" si="127"/>
        <v>0</v>
      </c>
      <c r="AQ285" s="605" t="s">
        <v>1139</v>
      </c>
      <c r="AR285" s="605" t="s">
        <v>670</v>
      </c>
      <c r="AS285" s="605" t="s">
        <v>745</v>
      </c>
      <c r="AU285" s="610" t="b">
        <f t="shared" si="133"/>
        <v>0</v>
      </c>
      <c r="AV285" s="605" t="s">
        <v>1141</v>
      </c>
      <c r="AW285" s="2255">
        <f t="shared" si="134"/>
        <v>43100</v>
      </c>
    </row>
    <row r="286" spans="2:49" s="605" customFormat="1" hidden="1" outlineLevel="1">
      <c r="B286" s="1079" t="s">
        <v>988</v>
      </c>
      <c r="C286" s="2094" t="s">
        <v>976</v>
      </c>
      <c r="D286" s="1840"/>
      <c r="E286" s="393"/>
      <c r="F286" s="564"/>
      <c r="G286" s="421">
        <f t="shared" si="139"/>
        <v>0</v>
      </c>
      <c r="H286" s="1738">
        <f t="shared" si="140"/>
        <v>0</v>
      </c>
      <c r="I286" s="469"/>
      <c r="J286" s="469"/>
      <c r="K286" s="469"/>
      <c r="L286" s="469"/>
      <c r="M286" s="469"/>
      <c r="N286" s="847"/>
      <c r="P286" s="474">
        <f t="shared" si="141"/>
        <v>-1415</v>
      </c>
      <c r="Q286" s="796">
        <v>43100</v>
      </c>
      <c r="R286" s="795"/>
      <c r="S286" s="475"/>
      <c r="T286" s="484"/>
      <c r="U286" s="1900"/>
      <c r="V286" s="391">
        <f t="shared" si="130"/>
        <v>0</v>
      </c>
      <c r="W286" s="547"/>
      <c r="X286" s="863">
        <f t="shared" si="142"/>
        <v>0</v>
      </c>
      <c r="Y286" s="888"/>
      <c r="Z286" s="890">
        <f t="shared" si="135"/>
        <v>0</v>
      </c>
      <c r="AA286" s="484">
        <f t="shared" si="143"/>
        <v>0</v>
      </c>
      <c r="AB286" s="484"/>
      <c r="AC286" s="885"/>
      <c r="AD286" s="802"/>
      <c r="AE286" s="802"/>
      <c r="AF286" s="871"/>
      <c r="AG286" s="802"/>
      <c r="AH286" s="871">
        <f t="shared" si="137"/>
        <v>0</v>
      </c>
      <c r="AI286" s="484">
        <f t="shared" si="138"/>
        <v>0</v>
      </c>
      <c r="AJ286" s="605" t="s">
        <v>690</v>
      </c>
      <c r="AK286" s="605" t="s">
        <v>1129</v>
      </c>
      <c r="AL286" s="605" t="b">
        <f t="shared" si="131"/>
        <v>0</v>
      </c>
      <c r="AM286" s="899">
        <f>'Estimate Summary'!$D$9</f>
        <v>1</v>
      </c>
      <c r="AN286" s="605" t="s">
        <v>1136</v>
      </c>
      <c r="AO286" s="899">
        <f t="shared" si="132"/>
        <v>0</v>
      </c>
      <c r="AP286" s="605">
        <f t="shared" si="127"/>
        <v>0</v>
      </c>
      <c r="AQ286" s="605" t="s">
        <v>1139</v>
      </c>
      <c r="AR286" s="605" t="s">
        <v>670</v>
      </c>
      <c r="AS286" s="605" t="s">
        <v>745</v>
      </c>
      <c r="AU286" s="610" t="b">
        <f t="shared" si="133"/>
        <v>0</v>
      </c>
      <c r="AV286" s="605" t="s">
        <v>1141</v>
      </c>
      <c r="AW286" s="2255">
        <f t="shared" si="134"/>
        <v>43100</v>
      </c>
    </row>
    <row r="287" spans="2:49" s="605" customFormat="1" hidden="1" outlineLevel="1">
      <c r="B287" s="1079" t="s">
        <v>990</v>
      </c>
      <c r="C287" s="2094" t="s">
        <v>977</v>
      </c>
      <c r="D287" s="1840"/>
      <c r="E287" s="393"/>
      <c r="F287" s="564"/>
      <c r="G287" s="421">
        <f t="shared" si="139"/>
        <v>0</v>
      </c>
      <c r="H287" s="1738">
        <f t="shared" si="140"/>
        <v>0</v>
      </c>
      <c r="I287" s="469"/>
      <c r="J287" s="469"/>
      <c r="K287" s="469"/>
      <c r="L287" s="469"/>
      <c r="M287" s="469"/>
      <c r="N287" s="847"/>
      <c r="P287" s="474">
        <f t="shared" si="141"/>
        <v>-1415</v>
      </c>
      <c r="Q287" s="796">
        <v>43100</v>
      </c>
      <c r="R287" s="795"/>
      <c r="S287" s="475"/>
      <c r="T287" s="484"/>
      <c r="U287" s="1900"/>
      <c r="V287" s="391">
        <f t="shared" si="130"/>
        <v>0</v>
      </c>
      <c r="W287" s="547"/>
      <c r="X287" s="863">
        <f t="shared" si="142"/>
        <v>0</v>
      </c>
      <c r="Y287" s="888"/>
      <c r="Z287" s="890">
        <f t="shared" si="135"/>
        <v>0</v>
      </c>
      <c r="AA287" s="484">
        <f t="shared" si="143"/>
        <v>0</v>
      </c>
      <c r="AB287" s="484"/>
      <c r="AC287" s="885"/>
      <c r="AD287" s="802"/>
      <c r="AE287" s="802"/>
      <c r="AF287" s="871"/>
      <c r="AG287" s="802"/>
      <c r="AH287" s="871">
        <f t="shared" si="137"/>
        <v>0</v>
      </c>
      <c r="AI287" s="484">
        <f t="shared" si="138"/>
        <v>0</v>
      </c>
      <c r="AJ287" s="605" t="s">
        <v>690</v>
      </c>
      <c r="AK287" s="605" t="s">
        <v>1129</v>
      </c>
      <c r="AL287" s="605" t="b">
        <f t="shared" si="131"/>
        <v>0</v>
      </c>
      <c r="AM287" s="899">
        <f>'Estimate Summary'!$D$9</f>
        <v>1</v>
      </c>
      <c r="AN287" s="605" t="s">
        <v>1136</v>
      </c>
      <c r="AO287" s="899">
        <f t="shared" si="132"/>
        <v>0</v>
      </c>
      <c r="AP287" s="605">
        <f t="shared" si="127"/>
        <v>0</v>
      </c>
      <c r="AQ287" s="605" t="s">
        <v>1139</v>
      </c>
      <c r="AR287" s="605" t="s">
        <v>670</v>
      </c>
      <c r="AS287" s="605" t="s">
        <v>745</v>
      </c>
      <c r="AU287" s="610" t="b">
        <f t="shared" si="133"/>
        <v>0</v>
      </c>
      <c r="AV287" s="605" t="s">
        <v>1141</v>
      </c>
      <c r="AW287" s="2255">
        <f t="shared" si="134"/>
        <v>43100</v>
      </c>
    </row>
    <row r="288" spans="2:49" s="605" customFormat="1" hidden="1" outlineLevel="1">
      <c r="B288" s="1079" t="s">
        <v>989</v>
      </c>
      <c r="C288" s="2094" t="s">
        <v>978</v>
      </c>
      <c r="D288" s="1840"/>
      <c r="E288" s="393"/>
      <c r="F288" s="564"/>
      <c r="G288" s="421">
        <f t="shared" si="139"/>
        <v>0</v>
      </c>
      <c r="H288" s="1738">
        <f t="shared" si="140"/>
        <v>0</v>
      </c>
      <c r="I288" s="469"/>
      <c r="J288" s="469"/>
      <c r="K288" s="469"/>
      <c r="L288" s="469"/>
      <c r="M288" s="469"/>
      <c r="N288" s="847"/>
      <c r="P288" s="474">
        <f t="shared" si="141"/>
        <v>-1415</v>
      </c>
      <c r="Q288" s="796">
        <v>43100</v>
      </c>
      <c r="R288" s="795"/>
      <c r="S288" s="475"/>
      <c r="T288" s="484"/>
      <c r="U288" s="1900"/>
      <c r="V288" s="391">
        <f t="shared" si="130"/>
        <v>0</v>
      </c>
      <c r="W288" s="547"/>
      <c r="X288" s="863">
        <f t="shared" si="142"/>
        <v>0</v>
      </c>
      <c r="Y288" s="888"/>
      <c r="Z288" s="890">
        <f t="shared" si="135"/>
        <v>0</v>
      </c>
      <c r="AA288" s="484">
        <f t="shared" si="143"/>
        <v>0</v>
      </c>
      <c r="AB288" s="484"/>
      <c r="AC288" s="885"/>
      <c r="AD288" s="802"/>
      <c r="AE288" s="802"/>
      <c r="AF288" s="871"/>
      <c r="AG288" s="802"/>
      <c r="AH288" s="871">
        <f t="shared" si="137"/>
        <v>0</v>
      </c>
      <c r="AI288" s="484">
        <f t="shared" si="138"/>
        <v>0</v>
      </c>
      <c r="AJ288" s="605" t="s">
        <v>690</v>
      </c>
      <c r="AK288" s="605" t="s">
        <v>1129</v>
      </c>
      <c r="AL288" s="605" t="b">
        <f t="shared" si="131"/>
        <v>0</v>
      </c>
      <c r="AM288" s="899">
        <f>'Estimate Summary'!$D$9</f>
        <v>1</v>
      </c>
      <c r="AN288" s="605" t="s">
        <v>1136</v>
      </c>
      <c r="AO288" s="899">
        <f t="shared" si="132"/>
        <v>0</v>
      </c>
      <c r="AP288" s="605">
        <f t="shared" si="127"/>
        <v>0</v>
      </c>
      <c r="AQ288" s="605" t="s">
        <v>1139</v>
      </c>
      <c r="AR288" s="605" t="s">
        <v>670</v>
      </c>
      <c r="AS288" s="605" t="s">
        <v>745</v>
      </c>
      <c r="AU288" s="610" t="b">
        <f t="shared" si="133"/>
        <v>0</v>
      </c>
      <c r="AV288" s="605" t="s">
        <v>1141</v>
      </c>
      <c r="AW288" s="2255">
        <f t="shared" si="134"/>
        <v>43100</v>
      </c>
    </row>
    <row r="289" spans="1:49" s="605" customFormat="1" hidden="1" outlineLevel="1">
      <c r="B289" s="1079" t="s">
        <v>991</v>
      </c>
      <c r="C289" s="2094" t="s">
        <v>979</v>
      </c>
      <c r="D289" s="1840"/>
      <c r="E289" s="393"/>
      <c r="F289" s="564"/>
      <c r="G289" s="421">
        <f t="shared" si="139"/>
        <v>0</v>
      </c>
      <c r="H289" s="1738">
        <f t="shared" si="140"/>
        <v>0</v>
      </c>
      <c r="I289" s="469"/>
      <c r="J289" s="469"/>
      <c r="K289" s="469"/>
      <c r="L289" s="469"/>
      <c r="M289" s="469"/>
      <c r="N289" s="847"/>
      <c r="P289" s="474">
        <f t="shared" si="141"/>
        <v>-1415</v>
      </c>
      <c r="Q289" s="796">
        <v>43100</v>
      </c>
      <c r="R289" s="795"/>
      <c r="S289" s="475"/>
      <c r="T289" s="484"/>
      <c r="U289" s="1900"/>
      <c r="V289" s="391">
        <f t="shared" si="130"/>
        <v>0</v>
      </c>
      <c r="W289" s="547"/>
      <c r="X289" s="863">
        <f t="shared" si="142"/>
        <v>0</v>
      </c>
      <c r="Y289" s="888"/>
      <c r="Z289" s="890">
        <f t="shared" si="135"/>
        <v>0</v>
      </c>
      <c r="AA289" s="484">
        <f t="shared" si="143"/>
        <v>0</v>
      </c>
      <c r="AB289" s="484"/>
      <c r="AC289" s="885"/>
      <c r="AD289" s="802"/>
      <c r="AE289" s="802"/>
      <c r="AF289" s="871"/>
      <c r="AG289" s="802"/>
      <c r="AH289" s="871">
        <f t="shared" si="137"/>
        <v>0</v>
      </c>
      <c r="AI289" s="484">
        <f t="shared" si="138"/>
        <v>0</v>
      </c>
      <c r="AJ289" s="605" t="s">
        <v>690</v>
      </c>
      <c r="AK289" s="605" t="s">
        <v>1129</v>
      </c>
      <c r="AL289" s="605" t="b">
        <f t="shared" si="131"/>
        <v>0</v>
      </c>
      <c r="AM289" s="899">
        <f>'Estimate Summary'!$D$9</f>
        <v>1</v>
      </c>
      <c r="AN289" s="605" t="s">
        <v>1136</v>
      </c>
      <c r="AO289" s="899">
        <f t="shared" si="132"/>
        <v>0</v>
      </c>
      <c r="AP289" s="605">
        <f t="shared" si="127"/>
        <v>0</v>
      </c>
      <c r="AQ289" s="605" t="s">
        <v>1139</v>
      </c>
      <c r="AR289" s="605" t="s">
        <v>670</v>
      </c>
      <c r="AS289" s="605" t="s">
        <v>745</v>
      </c>
      <c r="AU289" s="610" t="b">
        <f t="shared" si="133"/>
        <v>0</v>
      </c>
      <c r="AV289" s="605" t="s">
        <v>1141</v>
      </c>
      <c r="AW289" s="2255">
        <f t="shared" si="134"/>
        <v>43100</v>
      </c>
    </row>
    <row r="290" spans="1:49" s="605" customFormat="1" hidden="1" outlineLevel="1">
      <c r="B290" s="1079" t="s">
        <v>992</v>
      </c>
      <c r="C290" s="2094" t="s">
        <v>980</v>
      </c>
      <c r="D290" s="1840"/>
      <c r="E290" s="393"/>
      <c r="F290" s="564"/>
      <c r="G290" s="421">
        <f t="shared" si="139"/>
        <v>0</v>
      </c>
      <c r="H290" s="1738">
        <f t="shared" si="140"/>
        <v>0</v>
      </c>
      <c r="I290" s="469"/>
      <c r="J290" s="469"/>
      <c r="K290" s="469"/>
      <c r="L290" s="469"/>
      <c r="M290" s="469"/>
      <c r="N290" s="847"/>
      <c r="P290" s="474">
        <f t="shared" si="141"/>
        <v>-1415</v>
      </c>
      <c r="Q290" s="796">
        <v>43100</v>
      </c>
      <c r="R290" s="795"/>
      <c r="S290" s="475"/>
      <c r="T290" s="484"/>
      <c r="U290" s="1900"/>
      <c r="V290" s="391">
        <f t="shared" si="130"/>
        <v>0</v>
      </c>
      <c r="W290" s="547"/>
      <c r="X290" s="863">
        <f t="shared" si="142"/>
        <v>0</v>
      </c>
      <c r="Y290" s="888"/>
      <c r="Z290" s="890">
        <f t="shared" si="135"/>
        <v>0</v>
      </c>
      <c r="AA290" s="484">
        <f t="shared" si="143"/>
        <v>0</v>
      </c>
      <c r="AB290" s="484"/>
      <c r="AC290" s="885"/>
      <c r="AD290" s="802"/>
      <c r="AE290" s="802"/>
      <c r="AF290" s="871"/>
      <c r="AG290" s="802"/>
      <c r="AH290" s="871">
        <f t="shared" si="137"/>
        <v>0</v>
      </c>
      <c r="AI290" s="484">
        <f t="shared" si="138"/>
        <v>0</v>
      </c>
      <c r="AJ290" s="605" t="s">
        <v>690</v>
      </c>
      <c r="AK290" s="605" t="s">
        <v>1129</v>
      </c>
      <c r="AL290" s="605" t="b">
        <f t="shared" si="131"/>
        <v>0</v>
      </c>
      <c r="AM290" s="899">
        <f>'Estimate Summary'!$D$9</f>
        <v>1</v>
      </c>
      <c r="AN290" s="605" t="s">
        <v>1136</v>
      </c>
      <c r="AO290" s="899">
        <f t="shared" si="132"/>
        <v>0</v>
      </c>
      <c r="AP290" s="605">
        <f t="shared" si="127"/>
        <v>0</v>
      </c>
      <c r="AQ290" s="605" t="s">
        <v>1139</v>
      </c>
      <c r="AR290" s="605" t="s">
        <v>670</v>
      </c>
      <c r="AS290" s="605" t="s">
        <v>745</v>
      </c>
      <c r="AU290" s="610" t="b">
        <f t="shared" si="133"/>
        <v>0</v>
      </c>
      <c r="AV290" s="605" t="s">
        <v>1141</v>
      </c>
      <c r="AW290" s="2255">
        <f t="shared" si="134"/>
        <v>43100</v>
      </c>
    </row>
    <row r="291" spans="1:49" s="605" customFormat="1" hidden="1" outlineLevel="1">
      <c r="B291" s="1079" t="s">
        <v>993</v>
      </c>
      <c r="C291" s="2094" t="s">
        <v>981</v>
      </c>
      <c r="D291" s="1840"/>
      <c r="E291" s="393"/>
      <c r="F291" s="564"/>
      <c r="G291" s="421">
        <f t="shared" si="139"/>
        <v>0</v>
      </c>
      <c r="H291" s="1738">
        <f t="shared" si="140"/>
        <v>0</v>
      </c>
      <c r="I291" s="469"/>
      <c r="J291" s="469"/>
      <c r="K291" s="469"/>
      <c r="L291" s="469"/>
      <c r="M291" s="469"/>
      <c r="N291" s="847"/>
      <c r="P291" s="474">
        <f t="shared" si="141"/>
        <v>-1415</v>
      </c>
      <c r="Q291" s="796">
        <v>43100</v>
      </c>
      <c r="R291" s="795"/>
      <c r="S291" s="475"/>
      <c r="T291" s="484"/>
      <c r="U291" s="1900"/>
      <c r="V291" s="391">
        <f t="shared" si="130"/>
        <v>0</v>
      </c>
      <c r="W291" s="547"/>
      <c r="X291" s="863">
        <f t="shared" si="142"/>
        <v>0</v>
      </c>
      <c r="Y291" s="888"/>
      <c r="Z291" s="890">
        <f t="shared" si="135"/>
        <v>0</v>
      </c>
      <c r="AA291" s="484">
        <f t="shared" si="143"/>
        <v>0</v>
      </c>
      <c r="AB291" s="484"/>
      <c r="AC291" s="885"/>
      <c r="AD291" s="802"/>
      <c r="AE291" s="802"/>
      <c r="AF291" s="871"/>
      <c r="AG291" s="802"/>
      <c r="AH291" s="871">
        <f t="shared" si="137"/>
        <v>0</v>
      </c>
      <c r="AI291" s="484">
        <f t="shared" si="138"/>
        <v>0</v>
      </c>
      <c r="AJ291" s="605" t="s">
        <v>690</v>
      </c>
      <c r="AK291" s="605" t="s">
        <v>1129</v>
      </c>
      <c r="AL291" s="605" t="b">
        <f t="shared" si="131"/>
        <v>0</v>
      </c>
      <c r="AM291" s="899">
        <f>'Estimate Summary'!$D$9</f>
        <v>1</v>
      </c>
      <c r="AN291" s="605" t="s">
        <v>1136</v>
      </c>
      <c r="AO291" s="899">
        <f t="shared" si="132"/>
        <v>0</v>
      </c>
      <c r="AP291" s="605">
        <f t="shared" si="127"/>
        <v>0</v>
      </c>
      <c r="AQ291" s="605" t="s">
        <v>1139</v>
      </c>
      <c r="AR291" s="605" t="s">
        <v>670</v>
      </c>
      <c r="AS291" s="605" t="s">
        <v>745</v>
      </c>
      <c r="AU291" s="610" t="b">
        <f t="shared" si="133"/>
        <v>0</v>
      </c>
      <c r="AV291" s="605" t="s">
        <v>1141</v>
      </c>
      <c r="AW291" s="2255">
        <f t="shared" si="134"/>
        <v>43100</v>
      </c>
    </row>
    <row r="292" spans="1:49" s="605" customFormat="1" ht="13.5" collapsed="1" thickBot="1">
      <c r="B292" s="2323"/>
      <c r="C292" s="1732" t="s">
        <v>1016</v>
      </c>
      <c r="D292" s="1842"/>
      <c r="E292" s="1759"/>
      <c r="F292" s="1733"/>
      <c r="G292" s="1734"/>
      <c r="H292" s="1686">
        <f t="shared" ref="H292:M292" si="144">H278</f>
        <v>0</v>
      </c>
      <c r="I292" s="1748">
        <f t="shared" si="144"/>
        <v>0</v>
      </c>
      <c r="J292" s="1748">
        <f t="shared" si="144"/>
        <v>0</v>
      </c>
      <c r="K292" s="1748">
        <f t="shared" si="144"/>
        <v>0</v>
      </c>
      <c r="L292" s="1748">
        <f t="shared" si="144"/>
        <v>0</v>
      </c>
      <c r="M292" s="1748">
        <f t="shared" si="144"/>
        <v>0</v>
      </c>
      <c r="N292" s="1735"/>
      <c r="P292" s="1014"/>
      <c r="Q292" s="796">
        <v>43100</v>
      </c>
      <c r="S292" s="899"/>
      <c r="T292" s="899"/>
      <c r="V292" s="1014">
        <f t="shared" si="130"/>
        <v>0</v>
      </c>
      <c r="W292" s="870"/>
      <c r="X292" s="870"/>
      <c r="Y292" s="900"/>
      <c r="Z292" s="1018">
        <f t="shared" si="135"/>
        <v>0</v>
      </c>
      <c r="AA292" s="1018"/>
      <c r="AB292" s="1022"/>
      <c r="AC292" s="900"/>
      <c r="AF292" s="870"/>
      <c r="AH292" s="870"/>
      <c r="AI292" s="870"/>
      <c r="AL292" s="605" t="b">
        <f t="shared" si="131"/>
        <v>0</v>
      </c>
      <c r="AM292" s="899">
        <f>'Estimate Summary'!$D$9</f>
        <v>1</v>
      </c>
      <c r="AN292" s="605" t="s">
        <v>1136</v>
      </c>
      <c r="AO292" s="899">
        <f t="shared" si="132"/>
        <v>0</v>
      </c>
      <c r="AP292" s="605">
        <f t="shared" si="127"/>
        <v>0</v>
      </c>
      <c r="AQ292" s="605" t="s">
        <v>1139</v>
      </c>
      <c r="AR292" s="605" t="s">
        <v>670</v>
      </c>
      <c r="AS292" s="605" t="s">
        <v>745</v>
      </c>
      <c r="AU292" s="610" t="b">
        <f t="shared" si="133"/>
        <v>0</v>
      </c>
      <c r="AV292" s="605" t="s">
        <v>1141</v>
      </c>
      <c r="AW292" s="2255">
        <f t="shared" si="134"/>
        <v>43100</v>
      </c>
    </row>
    <row r="293" spans="1:49" s="605" customFormat="1" ht="13.5" thickTop="1">
      <c r="B293" s="1641" t="s">
        <v>1023</v>
      </c>
      <c r="C293" s="1644"/>
      <c r="D293" s="1833"/>
      <c r="E293" s="805" t="s">
        <v>244</v>
      </c>
      <c r="F293" s="805" t="s">
        <v>245</v>
      </c>
      <c r="G293" s="1614"/>
      <c r="H293" s="2272"/>
      <c r="I293" s="2253"/>
      <c r="J293" s="2253"/>
      <c r="K293" s="2253"/>
      <c r="L293" s="2253"/>
      <c r="M293" s="2253"/>
      <c r="N293" s="2273"/>
      <c r="P293" s="1014"/>
      <c r="Q293" s="796">
        <v>43100</v>
      </c>
      <c r="S293" s="899"/>
      <c r="T293" s="551"/>
      <c r="V293" s="1014">
        <f t="shared" si="130"/>
        <v>0</v>
      </c>
      <c r="W293" s="870"/>
      <c r="X293" s="870"/>
      <c r="Y293" s="900"/>
      <c r="Z293" s="1018">
        <f t="shared" si="135"/>
        <v>0</v>
      </c>
      <c r="AA293" s="1018"/>
      <c r="AB293" s="1022"/>
      <c r="AC293" s="900"/>
      <c r="AF293" s="870"/>
      <c r="AH293" s="870"/>
      <c r="AI293" s="870"/>
      <c r="AL293" s="605" t="b">
        <f t="shared" si="131"/>
        <v>0</v>
      </c>
      <c r="AM293" s="899">
        <f>'Estimate Summary'!$D$9</f>
        <v>1</v>
      </c>
      <c r="AN293" s="605" t="s">
        <v>1136</v>
      </c>
      <c r="AO293" s="899">
        <f t="shared" si="132"/>
        <v>0</v>
      </c>
      <c r="AP293" s="605">
        <f t="shared" si="127"/>
        <v>0</v>
      </c>
      <c r="AQ293" s="605" t="s">
        <v>1139</v>
      </c>
      <c r="AR293" s="605" t="s">
        <v>670</v>
      </c>
      <c r="AS293" s="605" t="s">
        <v>745</v>
      </c>
      <c r="AU293" s="610" t="b">
        <f>AL293</f>
        <v>0</v>
      </c>
      <c r="AV293" s="605" t="s">
        <v>1141</v>
      </c>
      <c r="AW293" s="2255">
        <f t="shared" si="134"/>
        <v>43100</v>
      </c>
    </row>
    <row r="294" spans="1:49" s="605" customFormat="1">
      <c r="A294" s="697"/>
      <c r="B294" s="1079" t="s">
        <v>1017</v>
      </c>
      <c r="C294" s="428" t="s">
        <v>1018</v>
      </c>
      <c r="D294" s="1832" t="s">
        <v>181</v>
      </c>
      <c r="E294" s="2530">
        <v>80</v>
      </c>
      <c r="F294" s="564">
        <v>224</v>
      </c>
      <c r="G294" s="2474">
        <f>E294*F294/1000</f>
        <v>17.920000000000002</v>
      </c>
      <c r="H294" s="1870">
        <f>G294</f>
        <v>17.920000000000002</v>
      </c>
      <c r="I294" s="1718">
        <f>IF('Estimate Summary'!$D$9&lt;2,0,$E294*F294/1000*0.1)</f>
        <v>0</v>
      </c>
      <c r="J294" s="1718">
        <f>IF('Estimate Summary'!$D$9&lt;3,0,$E294*F294/1000*0.05)</f>
        <v>0</v>
      </c>
      <c r="K294" s="1718">
        <f>IF('Estimate Summary'!$D$9&lt;4,0,$E294*F294/1000*0.1)</f>
        <v>0</v>
      </c>
      <c r="L294" s="1718">
        <f>IF('Estimate Summary'!$D$9&lt;5,0,$E294*F294/1000*0.1)</f>
        <v>0</v>
      </c>
      <c r="M294" s="1718">
        <f>IF('Estimate Summary'!$D$9&lt;6,0,$E294*F294/1000*0.1)</f>
        <v>0</v>
      </c>
      <c r="N294" s="637"/>
      <c r="P294" s="1014"/>
      <c r="Q294" s="796">
        <v>43100</v>
      </c>
      <c r="S294" s="899"/>
      <c r="T294" s="899"/>
      <c r="U294" s="605" t="s">
        <v>677</v>
      </c>
      <c r="V294" s="1014" t="str">
        <f t="shared" si="130"/>
        <v>CNY</v>
      </c>
      <c r="W294" s="870"/>
      <c r="X294" s="870"/>
      <c r="Y294" s="900"/>
      <c r="Z294" s="1018">
        <f t="shared" si="135"/>
        <v>0</v>
      </c>
      <c r="AA294" s="1018"/>
      <c r="AB294" s="1022"/>
      <c r="AC294" s="900"/>
      <c r="AF294" s="870"/>
      <c r="AH294" s="870"/>
      <c r="AI294" s="870"/>
      <c r="AJ294" s="605" t="s">
        <v>693</v>
      </c>
      <c r="AK294" s="605" t="s">
        <v>1129</v>
      </c>
      <c r="AL294" s="605" t="str">
        <f t="shared" si="131"/>
        <v>CN</v>
      </c>
      <c r="AM294" s="899">
        <f>'Estimate Summary'!$D$9</f>
        <v>1</v>
      </c>
      <c r="AN294" s="605" t="s">
        <v>1136</v>
      </c>
      <c r="AO294" s="899">
        <f t="shared" si="132"/>
        <v>17.920000000000002</v>
      </c>
      <c r="AP294" s="605" t="str">
        <f t="shared" si="127"/>
        <v>CNY</v>
      </c>
      <c r="AQ294" s="605" t="s">
        <v>1139</v>
      </c>
      <c r="AR294" s="605" t="s">
        <v>670</v>
      </c>
      <c r="AS294" s="605" t="s">
        <v>745</v>
      </c>
      <c r="AU294" s="610" t="str">
        <f t="shared" si="133"/>
        <v>CN</v>
      </c>
      <c r="AV294" s="605" t="s">
        <v>1141</v>
      </c>
      <c r="AW294" s="2255">
        <f t="shared" si="134"/>
        <v>43100</v>
      </c>
    </row>
    <row r="295" spans="1:49" s="605" customFormat="1" outlineLevel="1">
      <c r="A295" s="697"/>
      <c r="B295" s="1079" t="s">
        <v>1020</v>
      </c>
      <c r="C295" s="1730" t="s">
        <v>1019</v>
      </c>
      <c r="D295" s="1832"/>
      <c r="E295" s="2531"/>
      <c r="F295" s="564">
        <v>224</v>
      </c>
      <c r="G295" s="2474">
        <f t="shared" ref="G295:G299" si="145">E295*F295/1000</f>
        <v>0</v>
      </c>
      <c r="H295" s="1870">
        <f t="shared" ref="H295:H302" si="146">G295</f>
        <v>0</v>
      </c>
      <c r="I295" s="1718">
        <f>IF('Estimate Summary'!$D$9&lt;2,0,$E295*F295/1000*0.1)</f>
        <v>0</v>
      </c>
      <c r="J295" s="1718">
        <f>IF('Estimate Summary'!$D$9&lt;3,0,$E295*F295/1000*0.1)</f>
        <v>0</v>
      </c>
      <c r="K295" s="1718">
        <f>IF('Estimate Summary'!$D$9&lt;4,0,$E295*F295/1000*0.1)</f>
        <v>0</v>
      </c>
      <c r="L295" s="1718">
        <f>IF('Estimate Summary'!$D$9&lt;5,0,$E295*F295/1000*0.1)</f>
        <v>0</v>
      </c>
      <c r="M295" s="1718">
        <f>IF('Estimate Summary'!$D$9&lt;6,0,$E295*F295/1000*0.1)</f>
        <v>0</v>
      </c>
      <c r="N295" s="637"/>
      <c r="P295" s="1014"/>
      <c r="Q295" s="796">
        <v>43100</v>
      </c>
      <c r="S295" s="899"/>
      <c r="T295" s="899"/>
      <c r="U295" s="605" t="s">
        <v>677</v>
      </c>
      <c r="V295" s="1014">
        <f t="shared" si="130"/>
        <v>0</v>
      </c>
      <c r="W295" s="870"/>
      <c r="X295" s="870"/>
      <c r="Y295" s="900"/>
      <c r="Z295" s="1018">
        <f t="shared" si="135"/>
        <v>0</v>
      </c>
      <c r="AA295" s="1018"/>
      <c r="AB295" s="1022"/>
      <c r="AC295" s="900"/>
      <c r="AF295" s="870"/>
      <c r="AH295" s="870"/>
      <c r="AI295" s="870"/>
      <c r="AJ295" s="605" t="s">
        <v>693</v>
      </c>
      <c r="AK295" s="605" t="s">
        <v>1129</v>
      </c>
      <c r="AL295" s="605" t="b">
        <f t="shared" si="131"/>
        <v>0</v>
      </c>
      <c r="AM295" s="899">
        <f>'Estimate Summary'!$D$9</f>
        <v>1</v>
      </c>
      <c r="AN295" s="605" t="s">
        <v>1136</v>
      </c>
      <c r="AO295" s="899">
        <f t="shared" si="132"/>
        <v>0</v>
      </c>
      <c r="AP295" s="605">
        <f t="shared" si="127"/>
        <v>0</v>
      </c>
      <c r="AQ295" s="605" t="s">
        <v>1139</v>
      </c>
      <c r="AR295" s="605" t="s">
        <v>670</v>
      </c>
      <c r="AS295" s="605" t="s">
        <v>745</v>
      </c>
      <c r="AU295" s="610" t="b">
        <f t="shared" si="133"/>
        <v>0</v>
      </c>
      <c r="AV295" s="605" t="s">
        <v>1141</v>
      </c>
      <c r="AW295" s="2255">
        <f t="shared" si="134"/>
        <v>43100</v>
      </c>
    </row>
    <row r="296" spans="1:49" s="605" customFormat="1" outlineLevel="1">
      <c r="A296" s="697"/>
      <c r="B296" s="1079" t="s">
        <v>1022</v>
      </c>
      <c r="C296" s="1730" t="s">
        <v>1021</v>
      </c>
      <c r="D296" s="1832" t="s">
        <v>181</v>
      </c>
      <c r="E296" s="2531"/>
      <c r="F296" s="564">
        <v>114</v>
      </c>
      <c r="G296" s="2474">
        <f>E296*F296/1000</f>
        <v>0</v>
      </c>
      <c r="H296" s="1870">
        <f t="shared" si="146"/>
        <v>0</v>
      </c>
      <c r="I296" s="1718">
        <f>IF('Estimate Summary'!$D$9&lt;2,0,$E296*F296/1000*0)</f>
        <v>0</v>
      </c>
      <c r="J296" s="1718">
        <f>IF('Estimate Summary'!$D$9&lt;3,0,$E296*F296/1000*0)</f>
        <v>0</v>
      </c>
      <c r="K296" s="1718">
        <f>IF('Estimate Summary'!$D$9&lt;4,0,$E296*F296/1000*0.1)</f>
        <v>0</v>
      </c>
      <c r="L296" s="1718">
        <f>IF('Estimate Summary'!$D$9&lt;5,0,$E296*F296/1000*0.1)</f>
        <v>0</v>
      </c>
      <c r="M296" s="1718">
        <f>IF('Estimate Summary'!$D$9&lt;6,0,$E296*F296/1000*0.1)</f>
        <v>0</v>
      </c>
      <c r="N296" s="637"/>
      <c r="P296" s="1014"/>
      <c r="Q296" s="796">
        <v>43100</v>
      </c>
      <c r="S296" s="899"/>
      <c r="T296" s="899"/>
      <c r="U296" s="605" t="s">
        <v>677</v>
      </c>
      <c r="V296" s="1014" t="str">
        <f t="shared" si="130"/>
        <v>CNY</v>
      </c>
      <c r="W296" s="870"/>
      <c r="X296" s="870"/>
      <c r="Y296" s="900"/>
      <c r="Z296" s="1018">
        <f t="shared" si="135"/>
        <v>0</v>
      </c>
      <c r="AA296" s="1018"/>
      <c r="AB296" s="1022"/>
      <c r="AC296" s="900"/>
      <c r="AF296" s="870"/>
      <c r="AH296" s="870"/>
      <c r="AI296" s="870"/>
      <c r="AJ296" s="605" t="s">
        <v>693</v>
      </c>
      <c r="AK296" s="605" t="s">
        <v>1129</v>
      </c>
      <c r="AL296" s="605" t="str">
        <f t="shared" si="131"/>
        <v>CN</v>
      </c>
      <c r="AM296" s="899">
        <f>'Estimate Summary'!$D$9</f>
        <v>1</v>
      </c>
      <c r="AN296" s="605" t="s">
        <v>1136</v>
      </c>
      <c r="AO296" s="899">
        <f t="shared" si="132"/>
        <v>0</v>
      </c>
      <c r="AP296" s="605" t="str">
        <f t="shared" si="127"/>
        <v>CNY</v>
      </c>
      <c r="AQ296" s="605" t="s">
        <v>1139</v>
      </c>
      <c r="AR296" s="605" t="s">
        <v>670</v>
      </c>
      <c r="AS296" s="605" t="s">
        <v>745</v>
      </c>
      <c r="AU296" s="610" t="str">
        <f t="shared" si="133"/>
        <v>CN</v>
      </c>
      <c r="AV296" s="605" t="s">
        <v>1141</v>
      </c>
      <c r="AW296" s="2255">
        <f t="shared" si="134"/>
        <v>43100</v>
      </c>
    </row>
    <row r="297" spans="1:49" s="605" customFormat="1" outlineLevel="1">
      <c r="A297" s="697"/>
      <c r="B297" s="1079" t="s">
        <v>694</v>
      </c>
      <c r="C297" s="1031" t="s">
        <v>1652</v>
      </c>
      <c r="D297" s="1832"/>
      <c r="E297" s="2530"/>
      <c r="F297" s="564"/>
      <c r="G297" s="2474">
        <f t="shared" si="145"/>
        <v>0</v>
      </c>
      <c r="H297" s="1870">
        <f t="shared" si="146"/>
        <v>0</v>
      </c>
      <c r="I297" s="1718">
        <f>IF('Estimate Summary'!$D$9&lt;2,0,$E297*F297/1000*0.1)</f>
        <v>0</v>
      </c>
      <c r="J297" s="1718">
        <f>IF('Estimate Summary'!$D$9&lt;3,0,$E297*F297/1000*0.1)</f>
        <v>0</v>
      </c>
      <c r="K297" s="1718">
        <f>IF('Estimate Summary'!$D$9&lt;4,0,$E297*F297/1000*0.1)</f>
        <v>0</v>
      </c>
      <c r="L297" s="1718">
        <f>IF('Estimate Summary'!$D$9&lt;5,0,$E297*F297/1000*0.1)</f>
        <v>0</v>
      </c>
      <c r="M297" s="1718">
        <f>IF('Estimate Summary'!$D$9&lt;6,0,$E297*F297/1000*0.1)</f>
        <v>0</v>
      </c>
      <c r="N297" s="595"/>
      <c r="P297" s="1014"/>
      <c r="Q297" s="796">
        <v>43100</v>
      </c>
      <c r="S297" s="899"/>
      <c r="T297" s="899"/>
      <c r="U297" s="605" t="s">
        <v>677</v>
      </c>
      <c r="V297" s="1014">
        <f t="shared" si="130"/>
        <v>0</v>
      </c>
      <c r="W297" s="870"/>
      <c r="X297" s="870"/>
      <c r="Y297" s="900"/>
      <c r="Z297" s="1018">
        <f t="shared" si="135"/>
        <v>0</v>
      </c>
      <c r="AA297" s="1018"/>
      <c r="AB297" s="1022"/>
      <c r="AC297" s="900"/>
      <c r="AF297" s="870"/>
      <c r="AH297" s="870"/>
      <c r="AI297" s="870"/>
      <c r="AJ297" s="605" t="s">
        <v>693</v>
      </c>
      <c r="AK297" s="605" t="s">
        <v>1129</v>
      </c>
      <c r="AL297" s="605" t="b">
        <f t="shared" si="131"/>
        <v>0</v>
      </c>
      <c r="AM297" s="899">
        <f>'Estimate Summary'!$D$9</f>
        <v>1</v>
      </c>
      <c r="AN297" s="605" t="s">
        <v>1136</v>
      </c>
      <c r="AO297" s="899">
        <f t="shared" si="132"/>
        <v>0</v>
      </c>
      <c r="AP297" s="605">
        <f t="shared" si="127"/>
        <v>0</v>
      </c>
      <c r="AQ297" s="605" t="s">
        <v>1139</v>
      </c>
      <c r="AR297" s="605" t="s">
        <v>670</v>
      </c>
      <c r="AS297" s="605" t="s">
        <v>745</v>
      </c>
      <c r="AU297" s="610" t="b">
        <f t="shared" si="133"/>
        <v>0</v>
      </c>
      <c r="AV297" s="605" t="s">
        <v>1141</v>
      </c>
      <c r="AW297" s="2255">
        <f t="shared" si="134"/>
        <v>43100</v>
      </c>
    </row>
    <row r="298" spans="1:49" s="605" customFormat="1" outlineLevel="1">
      <c r="A298" s="697"/>
      <c r="B298" s="1079" t="s">
        <v>696</v>
      </c>
      <c r="C298" s="1757" t="s">
        <v>1026</v>
      </c>
      <c r="D298" s="1832"/>
      <c r="E298" s="2531"/>
      <c r="F298" s="564"/>
      <c r="G298" s="2474">
        <f t="shared" si="145"/>
        <v>0</v>
      </c>
      <c r="H298" s="1870">
        <f t="shared" si="146"/>
        <v>0</v>
      </c>
      <c r="I298" s="1718">
        <f>IF('Estimate Summary'!$D$9&lt;2,0,$E298*F298/1000*0.1)</f>
        <v>0</v>
      </c>
      <c r="J298" s="1718">
        <f>IF('Estimate Summary'!$D$9&lt;3,0,$E298*F298/1000*0.1)</f>
        <v>0</v>
      </c>
      <c r="K298" s="1718">
        <f>IF('Estimate Summary'!$D$9&lt;4,0,$E298*F298/1000*0.1)</f>
        <v>0</v>
      </c>
      <c r="L298" s="1718">
        <f>IF('Estimate Summary'!$D$9&lt;5,0,$E298*F298/1000*0.1)</f>
        <v>0</v>
      </c>
      <c r="M298" s="1718">
        <f>IF('Estimate Summary'!$D$9&lt;6,0,$E298*F298/1000*0.1)</f>
        <v>0</v>
      </c>
      <c r="N298" s="595"/>
      <c r="P298" s="1014"/>
      <c r="Q298" s="796">
        <v>43100</v>
      </c>
      <c r="S298" s="899"/>
      <c r="T298" s="899"/>
      <c r="U298" s="605" t="s">
        <v>677</v>
      </c>
      <c r="V298" s="1014">
        <f t="shared" si="130"/>
        <v>0</v>
      </c>
      <c r="W298" s="870"/>
      <c r="X298" s="870"/>
      <c r="Y298" s="900"/>
      <c r="Z298" s="1018">
        <f t="shared" si="135"/>
        <v>0</v>
      </c>
      <c r="AA298" s="1018"/>
      <c r="AB298" s="1022"/>
      <c r="AC298" s="900"/>
      <c r="AF298" s="870"/>
      <c r="AH298" s="870"/>
      <c r="AI298" s="870"/>
      <c r="AJ298" s="605" t="s">
        <v>693</v>
      </c>
      <c r="AK298" s="605" t="s">
        <v>1129</v>
      </c>
      <c r="AL298" s="605" t="b">
        <f t="shared" si="131"/>
        <v>0</v>
      </c>
      <c r="AM298" s="899">
        <f>'Estimate Summary'!$D$9</f>
        <v>1</v>
      </c>
      <c r="AN298" s="605" t="s">
        <v>1136</v>
      </c>
      <c r="AO298" s="899">
        <f t="shared" si="132"/>
        <v>0</v>
      </c>
      <c r="AP298" s="605">
        <f t="shared" si="127"/>
        <v>0</v>
      </c>
      <c r="AQ298" s="605" t="s">
        <v>1139</v>
      </c>
      <c r="AR298" s="605" t="s">
        <v>670</v>
      </c>
      <c r="AS298" s="605" t="s">
        <v>745</v>
      </c>
      <c r="AU298" s="610" t="b">
        <f t="shared" si="133"/>
        <v>0</v>
      </c>
      <c r="AV298" s="605" t="s">
        <v>1141</v>
      </c>
      <c r="AW298" s="2255">
        <f t="shared" si="134"/>
        <v>43100</v>
      </c>
    </row>
    <row r="299" spans="1:49" s="605" customFormat="1" outlineLevel="1">
      <c r="A299" s="697"/>
      <c r="B299" s="1079" t="s">
        <v>1025</v>
      </c>
      <c r="C299" s="1757" t="s">
        <v>1029</v>
      </c>
      <c r="D299" s="1832"/>
      <c r="E299" s="2531"/>
      <c r="F299" s="564"/>
      <c r="G299" s="2474">
        <f t="shared" si="145"/>
        <v>0</v>
      </c>
      <c r="H299" s="1870">
        <f t="shared" si="146"/>
        <v>0</v>
      </c>
      <c r="I299" s="1718">
        <f>IF('Estimate Summary'!$D$9&lt;2,0,$E299*F299/1000*0.1)</f>
        <v>0</v>
      </c>
      <c r="J299" s="1718">
        <f>IF('Estimate Summary'!$D$9&lt;3,0,$E299*F299/1000*0.1)</f>
        <v>0</v>
      </c>
      <c r="K299" s="1718">
        <f>IF('Estimate Summary'!$D$9&lt;4,0,$E299*F299/1000*0.1)</f>
        <v>0</v>
      </c>
      <c r="L299" s="1718">
        <f>IF('Estimate Summary'!$D$9&lt;5,0,$E299*F299/1000*0.1)</f>
        <v>0</v>
      </c>
      <c r="M299" s="1718">
        <f>IF('Estimate Summary'!$D$9&lt;6,0,$E299*F299/1000*0.1)</f>
        <v>0</v>
      </c>
      <c r="N299" s="595"/>
      <c r="P299" s="1014"/>
      <c r="Q299" s="796">
        <v>43100</v>
      </c>
      <c r="S299" s="899"/>
      <c r="T299" s="899"/>
      <c r="U299" s="605" t="s">
        <v>677</v>
      </c>
      <c r="V299" s="1014">
        <f t="shared" si="130"/>
        <v>0</v>
      </c>
      <c r="W299" s="870"/>
      <c r="X299" s="870"/>
      <c r="Y299" s="900"/>
      <c r="Z299" s="1018">
        <f t="shared" si="135"/>
        <v>0</v>
      </c>
      <c r="AA299" s="1018"/>
      <c r="AB299" s="1022"/>
      <c r="AC299" s="900"/>
      <c r="AF299" s="870"/>
      <c r="AH299" s="870"/>
      <c r="AI299" s="870"/>
      <c r="AJ299" s="605" t="s">
        <v>693</v>
      </c>
      <c r="AK299" s="605" t="s">
        <v>1129</v>
      </c>
      <c r="AL299" s="605" t="b">
        <f t="shared" si="131"/>
        <v>0</v>
      </c>
      <c r="AM299" s="899">
        <f>'Estimate Summary'!$D$9</f>
        <v>1</v>
      </c>
      <c r="AN299" s="605" t="s">
        <v>1136</v>
      </c>
      <c r="AO299" s="899">
        <f t="shared" si="132"/>
        <v>0</v>
      </c>
      <c r="AP299" s="605">
        <f t="shared" si="127"/>
        <v>0</v>
      </c>
      <c r="AQ299" s="605" t="s">
        <v>1139</v>
      </c>
      <c r="AR299" s="605" t="s">
        <v>670</v>
      </c>
      <c r="AS299" s="605" t="s">
        <v>745</v>
      </c>
      <c r="AU299" s="610" t="b">
        <f t="shared" si="133"/>
        <v>0</v>
      </c>
      <c r="AV299" s="605" t="s">
        <v>1141</v>
      </c>
      <c r="AW299" s="2255">
        <f t="shared" si="134"/>
        <v>43100</v>
      </c>
    </row>
    <row r="300" spans="1:49" s="605" customFormat="1">
      <c r="A300" s="697"/>
      <c r="B300" s="1079" t="s">
        <v>696</v>
      </c>
      <c r="C300" s="428" t="s">
        <v>1169</v>
      </c>
      <c r="D300" s="1832" t="s">
        <v>181</v>
      </c>
      <c r="E300" s="2530">
        <f>75+60</f>
        <v>135</v>
      </c>
      <c r="F300" s="564">
        <v>161</v>
      </c>
      <c r="G300" s="2474">
        <f>E300*F300/1000</f>
        <v>21.734999999999999</v>
      </c>
      <c r="H300" s="1870">
        <f t="shared" si="146"/>
        <v>21.734999999999999</v>
      </c>
      <c r="I300" s="1718">
        <f>IF('Estimate Summary'!$D$9&lt;2,0,$E300*F300/1000*0.1)</f>
        <v>0</v>
      </c>
      <c r="J300" s="1718">
        <f>IF('Estimate Summary'!$D$9&lt;3,0,$E300*F300/1000*0.1)</f>
        <v>0</v>
      </c>
      <c r="K300" s="1718">
        <f>IF('Estimate Summary'!$D$9&lt;4,0,$E300*F300/1000*0.1)</f>
        <v>0</v>
      </c>
      <c r="L300" s="1718">
        <f>IF('Estimate Summary'!$D$9&lt;5,0,$E300*F300/1000*0.1)</f>
        <v>0</v>
      </c>
      <c r="M300" s="1718">
        <f>IF('Estimate Summary'!$D$9&lt;6,0,$E300*F300/1000*0.1)</f>
        <v>0</v>
      </c>
      <c r="N300" s="595"/>
      <c r="P300" s="1014"/>
      <c r="Q300" s="796">
        <v>43100</v>
      </c>
      <c r="S300" s="899"/>
      <c r="T300" s="899"/>
      <c r="U300" s="605" t="s">
        <v>677</v>
      </c>
      <c r="V300" s="1014" t="str">
        <f t="shared" si="130"/>
        <v>CNY</v>
      </c>
      <c r="W300" s="870"/>
      <c r="X300" s="870"/>
      <c r="Y300" s="900"/>
      <c r="Z300" s="1018">
        <f t="shared" si="135"/>
        <v>0</v>
      </c>
      <c r="AA300" s="1018"/>
      <c r="AB300" s="1022"/>
      <c r="AC300" s="900"/>
      <c r="AF300" s="870"/>
      <c r="AH300" s="870"/>
      <c r="AI300" s="870"/>
      <c r="AJ300" s="605" t="s">
        <v>693</v>
      </c>
      <c r="AK300" s="605" t="s">
        <v>1129</v>
      </c>
      <c r="AL300" s="605" t="str">
        <f t="shared" si="131"/>
        <v>CN</v>
      </c>
      <c r="AM300" s="899">
        <f>'Estimate Summary'!$D$9</f>
        <v>1</v>
      </c>
      <c r="AN300" s="605" t="s">
        <v>1136</v>
      </c>
      <c r="AO300" s="899">
        <f t="shared" si="132"/>
        <v>21.734999999999999</v>
      </c>
      <c r="AP300" s="605" t="str">
        <f t="shared" si="127"/>
        <v>CNY</v>
      </c>
      <c r="AQ300" s="605" t="s">
        <v>700</v>
      </c>
      <c r="AR300" s="605" t="s">
        <v>670</v>
      </c>
      <c r="AS300" s="605" t="s">
        <v>745</v>
      </c>
      <c r="AU300" s="610" t="str">
        <f t="shared" si="133"/>
        <v>CN</v>
      </c>
      <c r="AV300" s="605" t="s">
        <v>1141</v>
      </c>
      <c r="AW300" s="2255">
        <f t="shared" si="134"/>
        <v>43100</v>
      </c>
    </row>
    <row r="301" spans="1:49" s="605" customFormat="1">
      <c r="A301" s="697"/>
      <c r="B301" s="1079" t="s">
        <v>696</v>
      </c>
      <c r="C301" s="428" t="s">
        <v>1643</v>
      </c>
      <c r="D301" s="1832"/>
      <c r="E301" s="584"/>
      <c r="F301" s="564"/>
      <c r="G301" s="2474">
        <f>E301*F301/1000/'Estimate Summary'!D9</f>
        <v>0</v>
      </c>
      <c r="H301" s="1741">
        <f t="shared" ref="H301" si="147">G301</f>
        <v>0</v>
      </c>
      <c r="I301" s="1718">
        <f>IF('Estimate Summary'!$D$9&lt;2,0,$E301*F301/1000/'Estimate Summary'!D8)</f>
        <v>0</v>
      </c>
      <c r="J301" s="1718">
        <f>IF('Estimate Summary'!$D$9&lt;3,0,$E301*F301/1000/'Estimate Summary'!D8)</f>
        <v>0</v>
      </c>
      <c r="K301" s="1718">
        <f>IF('Estimate Summary'!$D$9&lt;4,0,$E301*F301/1000*0.1)</f>
        <v>0</v>
      </c>
      <c r="L301" s="1718">
        <f>IF('Estimate Summary'!$D$9&lt;5,0,$E301*F301/1000*0.1)</f>
        <v>0</v>
      </c>
      <c r="M301" s="1718">
        <f>IF('Estimate Summary'!$D$9&lt;6,0,$E301*F301/1000*0.1)</f>
        <v>0</v>
      </c>
      <c r="N301" s="595"/>
      <c r="P301" s="1014"/>
      <c r="Q301" s="796">
        <v>43100</v>
      </c>
      <c r="S301" s="899"/>
      <c r="T301" s="899"/>
      <c r="U301" s="605" t="s">
        <v>677</v>
      </c>
      <c r="V301" s="1014">
        <f t="shared" ref="V301" si="148">D301</f>
        <v>0</v>
      </c>
      <c r="W301" s="870"/>
      <c r="X301" s="870"/>
      <c r="Y301" s="900"/>
      <c r="Z301" s="1018">
        <f t="shared" ref="Z301" si="149">Y301+$Z$78</f>
        <v>0</v>
      </c>
      <c r="AA301" s="1018"/>
      <c r="AB301" s="1022"/>
      <c r="AC301" s="900"/>
      <c r="AF301" s="870"/>
      <c r="AH301" s="870"/>
      <c r="AI301" s="870"/>
      <c r="AJ301" s="605" t="s">
        <v>693</v>
      </c>
      <c r="AK301" s="605" t="s">
        <v>1129</v>
      </c>
      <c r="AL301" s="605" t="b">
        <f t="shared" ref="AL301" si="150">IF(D301="CNY","CN",IF(D301="EUR","DE",IF(D301="USD","US",IF(D301="JPY","JP",IF(D301="INR","IN")))))</f>
        <v>0</v>
      </c>
      <c r="AM301" s="899">
        <f>'Estimate Summary'!$D$9</f>
        <v>1</v>
      </c>
      <c r="AN301" s="605" t="s">
        <v>1136</v>
      </c>
      <c r="AO301" s="899">
        <f t="shared" ref="AO301" si="151">G301</f>
        <v>0</v>
      </c>
      <c r="AP301" s="605">
        <f t="shared" ref="AP301" si="152">D301</f>
        <v>0</v>
      </c>
      <c r="AQ301" s="605" t="s">
        <v>1139</v>
      </c>
      <c r="AR301" s="605" t="s">
        <v>670</v>
      </c>
      <c r="AS301" s="605" t="s">
        <v>745</v>
      </c>
      <c r="AU301" s="610" t="b">
        <f t="shared" ref="AU301" si="153">AL301</f>
        <v>0</v>
      </c>
      <c r="AV301" s="605" t="s">
        <v>1141</v>
      </c>
      <c r="AW301" s="2255">
        <f t="shared" ref="AW301" si="154">Q301</f>
        <v>43100</v>
      </c>
    </row>
    <row r="302" spans="1:49" s="605" customFormat="1" hidden="1" outlineLevel="1">
      <c r="A302" s="697"/>
      <c r="B302" s="1079" t="s">
        <v>695</v>
      </c>
      <c r="C302" s="428" t="s">
        <v>1326</v>
      </c>
      <c r="D302" s="1832" t="s">
        <v>181</v>
      </c>
      <c r="E302" s="584"/>
      <c r="F302" s="564"/>
      <c r="G302" s="2474">
        <f>E302*F302/1000/'Estimate Summary'!D9</f>
        <v>0</v>
      </c>
      <c r="H302" s="1741">
        <f t="shared" si="146"/>
        <v>0</v>
      </c>
      <c r="I302" s="1718">
        <f>IF('Estimate Summary'!$D$9&lt;2,0,$E302*F302/1000/'Estimate Summary'!D9)</f>
        <v>0</v>
      </c>
      <c r="J302" s="1718">
        <f>IF('Estimate Summary'!$D$9&lt;3,0,$E302*F302/1000/'Estimate Summary'!D9)</f>
        <v>0</v>
      </c>
      <c r="K302" s="1718">
        <f>IF('Estimate Summary'!$D$9&lt;4,0,$E302*F302/1000*0.1)</f>
        <v>0</v>
      </c>
      <c r="L302" s="1718">
        <f>IF('Estimate Summary'!$D$9&lt;5,0,$E302*F302/1000*0.1)</f>
        <v>0</v>
      </c>
      <c r="M302" s="1718">
        <f>IF('Estimate Summary'!$D$9&lt;6,0,$E302*F302/1000*0.1)</f>
        <v>0</v>
      </c>
      <c r="N302" s="595"/>
      <c r="P302" s="1014"/>
      <c r="Q302" s="796">
        <v>43100</v>
      </c>
      <c r="S302" s="899"/>
      <c r="T302" s="899"/>
      <c r="U302" s="605" t="s">
        <v>677</v>
      </c>
      <c r="V302" s="1014" t="str">
        <f t="shared" si="130"/>
        <v>CNY</v>
      </c>
      <c r="W302" s="870"/>
      <c r="X302" s="870"/>
      <c r="Y302" s="900"/>
      <c r="Z302" s="1018">
        <f t="shared" si="135"/>
        <v>0</v>
      </c>
      <c r="AA302" s="1018"/>
      <c r="AB302" s="1022"/>
      <c r="AC302" s="900"/>
      <c r="AF302" s="870"/>
      <c r="AH302" s="870"/>
      <c r="AI302" s="870"/>
      <c r="AJ302" s="605" t="s">
        <v>693</v>
      </c>
      <c r="AK302" s="605" t="s">
        <v>1129</v>
      </c>
      <c r="AL302" s="605" t="str">
        <f t="shared" si="131"/>
        <v>CN</v>
      </c>
      <c r="AM302" s="899">
        <f>'Estimate Summary'!$D$9</f>
        <v>1</v>
      </c>
      <c r="AN302" s="605" t="s">
        <v>1136</v>
      </c>
      <c r="AO302" s="899">
        <f t="shared" si="132"/>
        <v>0</v>
      </c>
      <c r="AP302" s="605" t="str">
        <f t="shared" si="127"/>
        <v>CNY</v>
      </c>
      <c r="AQ302" s="605" t="s">
        <v>1139</v>
      </c>
      <c r="AR302" s="605" t="s">
        <v>670</v>
      </c>
      <c r="AS302" s="605" t="s">
        <v>745</v>
      </c>
      <c r="AU302" s="610" t="str">
        <f t="shared" si="133"/>
        <v>CN</v>
      </c>
      <c r="AV302" s="605" t="s">
        <v>1141</v>
      </c>
      <c r="AW302" s="2255">
        <f t="shared" si="134"/>
        <v>43100</v>
      </c>
    </row>
    <row r="303" spans="1:49" s="605" customFormat="1" ht="25.5" collapsed="1">
      <c r="A303" s="383"/>
      <c r="B303" s="1079"/>
      <c r="C303" s="615" t="s">
        <v>177</v>
      </c>
      <c r="D303" s="2324"/>
      <c r="E303" s="589"/>
      <c r="F303" s="571"/>
      <c r="G303" s="1617"/>
      <c r="H303" s="1870">
        <f t="shared" ref="H303:M303" si="155">SUM(H304:H313)</f>
        <v>0</v>
      </c>
      <c r="I303" s="1718">
        <f t="shared" si="155"/>
        <v>0</v>
      </c>
      <c r="J303" s="1718">
        <f t="shared" si="155"/>
        <v>0</v>
      </c>
      <c r="K303" s="1718">
        <f t="shared" si="155"/>
        <v>0</v>
      </c>
      <c r="L303" s="1718">
        <f t="shared" si="155"/>
        <v>0</v>
      </c>
      <c r="M303" s="1718">
        <f t="shared" si="155"/>
        <v>0</v>
      </c>
      <c r="N303" s="595"/>
      <c r="P303" s="2279"/>
      <c r="Q303" s="2318">
        <v>43100</v>
      </c>
      <c r="R303" s="476"/>
      <c r="S303" s="485"/>
      <c r="T303" s="2281"/>
      <c r="U303" s="1925"/>
      <c r="V303" s="1926">
        <f t="shared" si="130"/>
        <v>0</v>
      </c>
      <c r="W303" s="875"/>
      <c r="X303" s="875"/>
      <c r="Y303" s="878"/>
      <c r="Z303" s="891">
        <f t="shared" si="135"/>
        <v>0</v>
      </c>
      <c r="AA303" s="485"/>
      <c r="AB303" s="1927"/>
      <c r="AC303" s="1927"/>
      <c r="AD303" s="476"/>
      <c r="AE303" s="476"/>
      <c r="AF303" s="2282"/>
      <c r="AG303" s="1925"/>
      <c r="AH303" s="875"/>
      <c r="AI303" s="875"/>
      <c r="AJ303" s="605" t="s">
        <v>693</v>
      </c>
      <c r="AK303" s="605" t="s">
        <v>1129</v>
      </c>
      <c r="AL303" s="605" t="b">
        <f t="shared" si="131"/>
        <v>0</v>
      </c>
      <c r="AM303" s="899">
        <f>'Estimate Summary'!$D$9</f>
        <v>1</v>
      </c>
      <c r="AN303" s="605" t="s">
        <v>1136</v>
      </c>
      <c r="AO303" s="899">
        <f t="shared" si="132"/>
        <v>0</v>
      </c>
      <c r="AP303" s="605">
        <f t="shared" si="127"/>
        <v>0</v>
      </c>
      <c r="AQ303" s="605" t="s">
        <v>1139</v>
      </c>
      <c r="AR303" s="605" t="s">
        <v>670</v>
      </c>
      <c r="AS303" s="605" t="s">
        <v>745</v>
      </c>
      <c r="AU303" s="610" t="b">
        <f t="shared" si="133"/>
        <v>0</v>
      </c>
      <c r="AV303" s="605" t="s">
        <v>1141</v>
      </c>
      <c r="AW303" s="2255">
        <f t="shared" si="134"/>
        <v>43100</v>
      </c>
    </row>
    <row r="304" spans="1:49" s="356" customFormat="1" hidden="1" outlineLevel="1">
      <c r="A304" s="383"/>
      <c r="B304" s="1079" t="s">
        <v>692</v>
      </c>
      <c r="C304" s="2094" t="s">
        <v>247</v>
      </c>
      <c r="D304" s="1831"/>
      <c r="E304" s="421"/>
      <c r="F304" s="380"/>
      <c r="G304" s="1738"/>
      <c r="H304" s="1738">
        <f>G304</f>
        <v>0</v>
      </c>
      <c r="I304" s="469">
        <f>IF('Estimate Summary'!$D$9&lt;2,0,$H304)</f>
        <v>0</v>
      </c>
      <c r="J304" s="469">
        <f>IF('Estimate Summary'!$D$9&lt;3,0,$H304)</f>
        <v>0</v>
      </c>
      <c r="K304" s="469">
        <f>IF('Estimate Summary'!$D$9&lt;4,0,$H304)</f>
        <v>0</v>
      </c>
      <c r="L304" s="469">
        <f>IF('Estimate Summary'!$D$9&lt;5,0,$H304)</f>
        <v>0</v>
      </c>
      <c r="M304" s="469">
        <f>IF('Estimate Summary'!$D$9&lt;6,0,$H304)</f>
        <v>0</v>
      </c>
      <c r="N304" s="416" t="s">
        <v>438</v>
      </c>
      <c r="P304" s="486"/>
      <c r="Q304" s="796">
        <v>43100</v>
      </c>
      <c r="R304" s="697"/>
      <c r="S304" s="475"/>
      <c r="T304" s="484"/>
      <c r="U304" s="697" t="s">
        <v>677</v>
      </c>
      <c r="V304" s="486">
        <f t="shared" si="130"/>
        <v>0</v>
      </c>
      <c r="W304" s="861"/>
      <c r="X304" s="861"/>
      <c r="Y304" s="880"/>
      <c r="Z304" s="893">
        <f t="shared" si="135"/>
        <v>0</v>
      </c>
      <c r="AA304" s="893"/>
      <c r="AB304" s="1905"/>
      <c r="AC304" s="886"/>
      <c r="AF304" s="872"/>
      <c r="AH304" s="872"/>
      <c r="AI304" s="872"/>
      <c r="AJ304" s="605" t="s">
        <v>693</v>
      </c>
      <c r="AK304" s="605" t="s">
        <v>1129</v>
      </c>
      <c r="AL304" s="697" t="b">
        <f t="shared" si="131"/>
        <v>0</v>
      </c>
      <c r="AM304" s="475">
        <f>'Estimate Summary'!$D$9</f>
        <v>1</v>
      </c>
      <c r="AN304" s="697" t="s">
        <v>1136</v>
      </c>
      <c r="AO304" s="2008">
        <f t="shared" si="132"/>
        <v>0</v>
      </c>
      <c r="AP304" s="356">
        <f t="shared" si="127"/>
        <v>0</v>
      </c>
      <c r="AQ304" s="356" t="s">
        <v>1139</v>
      </c>
      <c r="AR304" s="356" t="s">
        <v>670</v>
      </c>
      <c r="AS304" s="356" t="s">
        <v>745</v>
      </c>
      <c r="AU304" s="610" t="b">
        <f t="shared" si="133"/>
        <v>0</v>
      </c>
      <c r="AV304" s="605" t="s">
        <v>1141</v>
      </c>
      <c r="AW304" s="2255">
        <f t="shared" si="134"/>
        <v>43100</v>
      </c>
    </row>
    <row r="305" spans="1:49" s="356" customFormat="1" hidden="1" outlineLevel="1">
      <c r="A305" s="383"/>
      <c r="B305" s="1079" t="s">
        <v>692</v>
      </c>
      <c r="C305" s="2094" t="s">
        <v>1205</v>
      </c>
      <c r="D305" s="1831" t="s">
        <v>181</v>
      </c>
      <c r="E305" s="421"/>
      <c r="F305" s="380"/>
      <c r="G305" s="421">
        <f>AA305</f>
        <v>0</v>
      </c>
      <c r="H305" s="1738">
        <f>AB305</f>
        <v>0</v>
      </c>
      <c r="I305" s="469">
        <f>IF('Estimate Summary'!$D$9&lt;2,0,$H305)</f>
        <v>0</v>
      </c>
      <c r="J305" s="469">
        <f>IF('Estimate Summary'!$D$9&lt;3,0,$H305)</f>
        <v>0</v>
      </c>
      <c r="K305" s="469">
        <f>IF('Estimate Summary'!$D$9&lt;4,0,$H305)</f>
        <v>0</v>
      </c>
      <c r="L305" s="469">
        <f>IF('Estimate Summary'!$D$9&lt;5,0,$H305)</f>
        <v>0</v>
      </c>
      <c r="M305" s="469">
        <f>IF('Estimate Summary'!$D$9&lt;6,0,$H305)</f>
        <v>0</v>
      </c>
      <c r="N305" s="416" t="s">
        <v>438</v>
      </c>
      <c r="P305" s="486"/>
      <c r="Q305" s="796">
        <v>43100</v>
      </c>
      <c r="R305" s="697"/>
      <c r="S305" s="475"/>
      <c r="T305" s="484"/>
      <c r="U305" s="697" t="s">
        <v>677</v>
      </c>
      <c r="V305" s="2317" t="str">
        <f t="shared" si="130"/>
        <v>CNY</v>
      </c>
      <c r="W305" s="547"/>
      <c r="X305" s="863">
        <f>IF(V305="CNY",W305/1000,W305/1000)</f>
        <v>0</v>
      </c>
      <c r="Y305" s="920"/>
      <c r="Z305" s="890">
        <f t="shared" si="135"/>
        <v>0</v>
      </c>
      <c r="AA305" s="484">
        <f>X305*(1-Z305)</f>
        <v>0</v>
      </c>
      <c r="AB305" s="484">
        <f>IF(V305="CNY",X305*(1-Z305),IF(V305="EUR",X305*(1-Z305)*$T$5,IF(V305="JPY",X305*(1-Z305)*$T$6,IF(V305="USD",X305*(1-Z305)*$T$7))))</f>
        <v>0</v>
      </c>
      <c r="AC305" s="885"/>
      <c r="AD305" s="802">
        <f>IF(V305&lt;&gt;"CNY",(AB305+#REF!)*AC305,0)</f>
        <v>0</v>
      </c>
      <c r="AE305" s="802"/>
      <c r="AF305" s="871">
        <f>IF(V305&lt;&gt;"CNY",(AB305+#REF!)*#REF!,0)</f>
        <v>0</v>
      </c>
      <c r="AG305" s="802">
        <f>IF(V305&lt;&gt;"CNY",E305*#REF!/1000,0)</f>
        <v>0</v>
      </c>
      <c r="AH305" s="871">
        <f>SUM(AD305:AG305)</f>
        <v>0</v>
      </c>
      <c r="AI305" s="484">
        <f>AB305+AH305</f>
        <v>0</v>
      </c>
      <c r="AJ305" s="605" t="s">
        <v>693</v>
      </c>
      <c r="AK305" s="605" t="s">
        <v>1129</v>
      </c>
      <c r="AL305" s="697" t="str">
        <f t="shared" si="131"/>
        <v>CN</v>
      </c>
      <c r="AM305" s="475">
        <f>'Estimate Summary'!$D$9</f>
        <v>1</v>
      </c>
      <c r="AN305" s="697" t="s">
        <v>1136</v>
      </c>
      <c r="AO305" s="2008">
        <f t="shared" si="132"/>
        <v>0</v>
      </c>
      <c r="AP305" s="356" t="str">
        <f t="shared" si="127"/>
        <v>CNY</v>
      </c>
      <c r="AQ305" s="356" t="s">
        <v>1139</v>
      </c>
      <c r="AR305" s="356" t="s">
        <v>670</v>
      </c>
      <c r="AS305" s="356" t="s">
        <v>745</v>
      </c>
      <c r="AU305" s="610" t="str">
        <f t="shared" si="133"/>
        <v>CN</v>
      </c>
      <c r="AV305" s="605" t="s">
        <v>1141</v>
      </c>
      <c r="AW305" s="2255">
        <f t="shared" si="134"/>
        <v>43100</v>
      </c>
    </row>
    <row r="306" spans="1:49" s="356" customFormat="1" hidden="1" outlineLevel="1">
      <c r="A306" s="383"/>
      <c r="B306" s="1079" t="s">
        <v>692</v>
      </c>
      <c r="C306" s="2095" t="s">
        <v>588</v>
      </c>
      <c r="D306" s="1831" t="s">
        <v>181</v>
      </c>
      <c r="E306" s="421"/>
      <c r="F306" s="380"/>
      <c r="G306" s="1738"/>
      <c r="H306" s="1738">
        <f t="shared" ref="H306:H313" si="156">G306</f>
        <v>0</v>
      </c>
      <c r="I306" s="469">
        <f>IF('Estimate Summary'!$D$9&lt;2,0,$H306)</f>
        <v>0</v>
      </c>
      <c r="J306" s="469">
        <f>IF('Estimate Summary'!$D$9&lt;3,0,$H306)</f>
        <v>0</v>
      </c>
      <c r="K306" s="469">
        <f>IF('Estimate Summary'!$D$9&lt;4,0,$H306)</f>
        <v>0</v>
      </c>
      <c r="L306" s="469">
        <f>IF('Estimate Summary'!$D$9&lt;5,0,$H306)</f>
        <v>0</v>
      </c>
      <c r="M306" s="469">
        <f>IF('Estimate Summary'!$D$9&lt;6,0,$H306)</f>
        <v>0</v>
      </c>
      <c r="N306" s="416"/>
      <c r="P306" s="486"/>
      <c r="Q306" s="796">
        <v>43100</v>
      </c>
      <c r="R306" s="697"/>
      <c r="S306" s="475"/>
      <c r="T306" s="484"/>
      <c r="U306" s="697" t="s">
        <v>677</v>
      </c>
      <c r="V306" s="486" t="str">
        <f t="shared" si="130"/>
        <v>CNY</v>
      </c>
      <c r="W306" s="861"/>
      <c r="X306" s="861"/>
      <c r="Y306" s="880"/>
      <c r="Z306" s="893">
        <f t="shared" si="135"/>
        <v>0</v>
      </c>
      <c r="AA306" s="893"/>
      <c r="AB306" s="1905"/>
      <c r="AC306" s="886"/>
      <c r="AF306" s="872"/>
      <c r="AH306" s="872"/>
      <c r="AI306" s="872"/>
      <c r="AJ306" s="605" t="s">
        <v>693</v>
      </c>
      <c r="AK306" s="605" t="s">
        <v>1129</v>
      </c>
      <c r="AL306" s="697" t="str">
        <f t="shared" si="131"/>
        <v>CN</v>
      </c>
      <c r="AM306" s="475">
        <f>'Estimate Summary'!$D$9</f>
        <v>1</v>
      </c>
      <c r="AN306" s="697" t="s">
        <v>1136</v>
      </c>
      <c r="AO306" s="2008">
        <f t="shared" si="132"/>
        <v>0</v>
      </c>
      <c r="AP306" s="356" t="str">
        <f t="shared" si="127"/>
        <v>CNY</v>
      </c>
      <c r="AQ306" s="356" t="s">
        <v>1139</v>
      </c>
      <c r="AR306" s="356" t="s">
        <v>670</v>
      </c>
      <c r="AS306" s="356" t="s">
        <v>745</v>
      </c>
      <c r="AU306" s="610" t="str">
        <f t="shared" si="133"/>
        <v>CN</v>
      </c>
      <c r="AV306" s="605" t="s">
        <v>1141</v>
      </c>
      <c r="AW306" s="2255">
        <f t="shared" si="134"/>
        <v>43100</v>
      </c>
    </row>
    <row r="307" spans="1:49" s="356" customFormat="1" hidden="1" outlineLevel="1">
      <c r="A307" s="383"/>
      <c r="B307" s="1079" t="s">
        <v>692</v>
      </c>
      <c r="C307" s="2095" t="s">
        <v>421</v>
      </c>
      <c r="D307" s="1830" t="s">
        <v>181</v>
      </c>
      <c r="E307" s="380"/>
      <c r="F307" s="380"/>
      <c r="G307" s="1607"/>
      <c r="H307" s="1738">
        <f t="shared" si="156"/>
        <v>0</v>
      </c>
      <c r="I307" s="469">
        <f>IF('Estimate Summary'!$D$9&lt;2,0,$H307)</f>
        <v>0</v>
      </c>
      <c r="J307" s="469">
        <f>IF('Estimate Summary'!$D$9&lt;3,0,$H307)</f>
        <v>0</v>
      </c>
      <c r="K307" s="469">
        <f>IF('Estimate Summary'!$D$9&lt;4,0,$H307)</f>
        <v>0</v>
      </c>
      <c r="L307" s="469">
        <f>IF('Estimate Summary'!$D$9&lt;5,0,$H307)</f>
        <v>0</v>
      </c>
      <c r="M307" s="469">
        <f>IF('Estimate Summary'!$D$9&lt;6,0,$H307)</f>
        <v>0</v>
      </c>
      <c r="N307" s="416" t="s">
        <v>438</v>
      </c>
      <c r="P307" s="486"/>
      <c r="Q307" s="796">
        <v>43100</v>
      </c>
      <c r="R307" s="697"/>
      <c r="S307" s="475"/>
      <c r="T307" s="484"/>
      <c r="U307" s="697" t="s">
        <v>677</v>
      </c>
      <c r="V307" s="486" t="str">
        <f t="shared" si="130"/>
        <v>CNY</v>
      </c>
      <c r="W307" s="861"/>
      <c r="X307" s="861"/>
      <c r="Y307" s="880"/>
      <c r="Z307" s="893">
        <f t="shared" si="135"/>
        <v>0</v>
      </c>
      <c r="AA307" s="893"/>
      <c r="AB307" s="1905"/>
      <c r="AC307" s="886"/>
      <c r="AF307" s="872"/>
      <c r="AH307" s="872"/>
      <c r="AI307" s="872"/>
      <c r="AJ307" s="605" t="s">
        <v>693</v>
      </c>
      <c r="AK307" s="605" t="s">
        <v>1129</v>
      </c>
      <c r="AL307" s="697" t="str">
        <f t="shared" si="131"/>
        <v>CN</v>
      </c>
      <c r="AM307" s="475">
        <f>'Estimate Summary'!$D$9</f>
        <v>1</v>
      </c>
      <c r="AN307" s="697" t="s">
        <v>1136</v>
      </c>
      <c r="AO307" s="2008">
        <f t="shared" si="132"/>
        <v>0</v>
      </c>
      <c r="AP307" s="356" t="str">
        <f t="shared" si="127"/>
        <v>CNY</v>
      </c>
      <c r="AQ307" s="356" t="s">
        <v>1139</v>
      </c>
      <c r="AR307" s="356" t="s">
        <v>670</v>
      </c>
      <c r="AS307" s="356" t="s">
        <v>745</v>
      </c>
      <c r="AU307" s="610" t="str">
        <f t="shared" si="133"/>
        <v>CN</v>
      </c>
      <c r="AV307" s="605" t="s">
        <v>1141</v>
      </c>
      <c r="AW307" s="2255">
        <f t="shared" si="134"/>
        <v>43100</v>
      </c>
    </row>
    <row r="308" spans="1:49" s="356" customFormat="1" hidden="1" outlineLevel="1">
      <c r="A308" s="383"/>
      <c r="B308" s="1079" t="s">
        <v>692</v>
      </c>
      <c r="C308" s="2095" t="s">
        <v>302</v>
      </c>
      <c r="D308" s="1830" t="s">
        <v>181</v>
      </c>
      <c r="E308" s="421"/>
      <c r="F308" s="380"/>
      <c r="G308" s="1738"/>
      <c r="H308" s="1738">
        <f t="shared" si="156"/>
        <v>0</v>
      </c>
      <c r="I308" s="469">
        <f>IF('Estimate Summary'!$D$9&lt;2,0,$H308)</f>
        <v>0</v>
      </c>
      <c r="J308" s="469">
        <f>IF('Estimate Summary'!$D$9&lt;3,0,$H308)</f>
        <v>0</v>
      </c>
      <c r="K308" s="469">
        <f>IF('Estimate Summary'!$D$9&lt;4,0,$H308)</f>
        <v>0</v>
      </c>
      <c r="L308" s="469">
        <f>IF('Estimate Summary'!$D$9&lt;5,0,$H308)</f>
        <v>0</v>
      </c>
      <c r="M308" s="469">
        <f>IF('Estimate Summary'!$D$9&lt;6,0,$H308)</f>
        <v>0</v>
      </c>
      <c r="N308" s="387"/>
      <c r="P308" s="486"/>
      <c r="Q308" s="796">
        <v>43100</v>
      </c>
      <c r="R308" s="697"/>
      <c r="S308" s="475"/>
      <c r="T308" s="484"/>
      <c r="U308" s="697" t="s">
        <v>677</v>
      </c>
      <c r="V308" s="486" t="str">
        <f t="shared" si="130"/>
        <v>CNY</v>
      </c>
      <c r="W308" s="861"/>
      <c r="X308" s="861"/>
      <c r="Y308" s="880"/>
      <c r="Z308" s="893">
        <f t="shared" si="135"/>
        <v>0</v>
      </c>
      <c r="AA308" s="893"/>
      <c r="AB308" s="1905"/>
      <c r="AC308" s="886"/>
      <c r="AF308" s="872"/>
      <c r="AH308" s="872"/>
      <c r="AI308" s="872"/>
      <c r="AJ308" s="605" t="s">
        <v>693</v>
      </c>
      <c r="AK308" s="605" t="s">
        <v>1129</v>
      </c>
      <c r="AL308" s="697" t="str">
        <f t="shared" si="131"/>
        <v>CN</v>
      </c>
      <c r="AM308" s="475">
        <f>'Estimate Summary'!$D$9</f>
        <v>1</v>
      </c>
      <c r="AN308" s="697" t="s">
        <v>1136</v>
      </c>
      <c r="AO308" s="2008">
        <f t="shared" si="132"/>
        <v>0</v>
      </c>
      <c r="AP308" s="356" t="str">
        <f t="shared" si="127"/>
        <v>CNY</v>
      </c>
      <c r="AQ308" s="356" t="s">
        <v>700</v>
      </c>
      <c r="AR308" s="356" t="s">
        <v>670</v>
      </c>
      <c r="AS308" s="356" t="s">
        <v>745</v>
      </c>
      <c r="AU308" s="610" t="str">
        <f t="shared" si="133"/>
        <v>CN</v>
      </c>
      <c r="AV308" s="605" t="s">
        <v>1141</v>
      </c>
      <c r="AW308" s="2255">
        <f t="shared" si="134"/>
        <v>43100</v>
      </c>
    </row>
    <row r="309" spans="1:49" s="356" customFormat="1" hidden="1" outlineLevel="1">
      <c r="A309" s="383"/>
      <c r="B309" s="1079" t="s">
        <v>692</v>
      </c>
      <c r="C309" s="2096" t="s">
        <v>1644</v>
      </c>
      <c r="D309" s="1830" t="s">
        <v>181</v>
      </c>
      <c r="E309" s="421"/>
      <c r="F309" s="380"/>
      <c r="G309" s="1607"/>
      <c r="H309" s="1738">
        <f t="shared" si="156"/>
        <v>0</v>
      </c>
      <c r="I309" s="469">
        <f>IF('Estimate Summary'!$D$9&lt;2,0,$H309)</f>
        <v>0</v>
      </c>
      <c r="J309" s="469">
        <f>IF('Estimate Summary'!$D$9&lt;3,0,$H309)</f>
        <v>0</v>
      </c>
      <c r="K309" s="469">
        <f>IF('Estimate Summary'!$D$9&lt;4,0,$H309)</f>
        <v>0</v>
      </c>
      <c r="L309" s="469">
        <f>IF('Estimate Summary'!$D$9&lt;5,0,$H309)</f>
        <v>0</v>
      </c>
      <c r="M309" s="469">
        <f>IF('Estimate Summary'!$D$9&lt;6,0,$H309)</f>
        <v>0</v>
      </c>
      <c r="N309" s="387"/>
      <c r="P309" s="486"/>
      <c r="Q309" s="796">
        <v>43100</v>
      </c>
      <c r="R309" s="697"/>
      <c r="S309" s="475"/>
      <c r="T309" s="484"/>
      <c r="U309" s="697" t="s">
        <v>677</v>
      </c>
      <c r="V309" s="486" t="str">
        <f t="shared" si="130"/>
        <v>CNY</v>
      </c>
      <c r="W309" s="861"/>
      <c r="X309" s="861"/>
      <c r="Y309" s="880"/>
      <c r="Z309" s="893">
        <f t="shared" si="135"/>
        <v>0</v>
      </c>
      <c r="AA309" s="893"/>
      <c r="AB309" s="1905"/>
      <c r="AC309" s="886"/>
      <c r="AF309" s="872"/>
      <c r="AH309" s="872"/>
      <c r="AI309" s="872"/>
      <c r="AJ309" s="605" t="s">
        <v>693</v>
      </c>
      <c r="AK309" s="605" t="s">
        <v>1129</v>
      </c>
      <c r="AL309" s="697" t="str">
        <f t="shared" si="131"/>
        <v>CN</v>
      </c>
      <c r="AM309" s="475">
        <f>'Estimate Summary'!$D$9</f>
        <v>1</v>
      </c>
      <c r="AN309" s="697" t="s">
        <v>1136</v>
      </c>
      <c r="AO309" s="2008">
        <f t="shared" si="132"/>
        <v>0</v>
      </c>
      <c r="AP309" s="356" t="str">
        <f t="shared" si="127"/>
        <v>CNY</v>
      </c>
      <c r="AQ309" s="356" t="s">
        <v>1139</v>
      </c>
      <c r="AR309" s="356" t="s">
        <v>670</v>
      </c>
      <c r="AS309" s="356" t="s">
        <v>745</v>
      </c>
      <c r="AU309" s="610" t="str">
        <f t="shared" si="133"/>
        <v>CN</v>
      </c>
      <c r="AV309" s="605" t="s">
        <v>1141</v>
      </c>
      <c r="AW309" s="2255">
        <f t="shared" si="134"/>
        <v>43100</v>
      </c>
    </row>
    <row r="310" spans="1:49" s="356" customFormat="1" hidden="1" outlineLevel="1">
      <c r="A310" s="383"/>
      <c r="B310" s="1079" t="s">
        <v>692</v>
      </c>
      <c r="C310" s="2094" t="s">
        <v>182</v>
      </c>
      <c r="D310" s="1830" t="s">
        <v>181</v>
      </c>
      <c r="E310" s="421"/>
      <c r="F310" s="380"/>
      <c r="G310" s="1738">
        <f>30000/1000*0</f>
        <v>0</v>
      </c>
      <c r="H310" s="1738">
        <f t="shared" si="156"/>
        <v>0</v>
      </c>
      <c r="I310" s="469">
        <f>IF('Estimate Summary'!$D$9&lt;2,0,$H310)</f>
        <v>0</v>
      </c>
      <c r="J310" s="469">
        <f>IF('Estimate Summary'!$D$9&lt;3,0,$H310)</f>
        <v>0</v>
      </c>
      <c r="K310" s="469">
        <f>IF('Estimate Summary'!$D$9&lt;4,0,$H310)</f>
        <v>0</v>
      </c>
      <c r="L310" s="469">
        <f>IF('Estimate Summary'!$D$9&lt;5,0,$H310)</f>
        <v>0</v>
      </c>
      <c r="M310" s="469">
        <f>IF('Estimate Summary'!$D$9&lt;6,0,$H310)</f>
        <v>0</v>
      </c>
      <c r="N310" s="387"/>
      <c r="P310" s="486"/>
      <c r="Q310" s="796">
        <v>43100</v>
      </c>
      <c r="R310" s="697"/>
      <c r="S310" s="475"/>
      <c r="T310" s="484"/>
      <c r="U310" s="697" t="s">
        <v>677</v>
      </c>
      <c r="V310" s="486" t="str">
        <f t="shared" si="130"/>
        <v>CNY</v>
      </c>
      <c r="W310" s="861"/>
      <c r="X310" s="861"/>
      <c r="Y310" s="880"/>
      <c r="Z310" s="893">
        <f t="shared" si="135"/>
        <v>0</v>
      </c>
      <c r="AA310" s="893"/>
      <c r="AB310" s="1905"/>
      <c r="AC310" s="886"/>
      <c r="AF310" s="872"/>
      <c r="AH310" s="872"/>
      <c r="AI310" s="872"/>
      <c r="AJ310" s="605" t="s">
        <v>693</v>
      </c>
      <c r="AK310" s="605" t="s">
        <v>1129</v>
      </c>
      <c r="AL310" s="697" t="str">
        <f t="shared" si="131"/>
        <v>CN</v>
      </c>
      <c r="AM310" s="475">
        <f>'Estimate Summary'!$D$9</f>
        <v>1</v>
      </c>
      <c r="AN310" s="697" t="s">
        <v>1136</v>
      </c>
      <c r="AO310" s="2008">
        <f t="shared" si="132"/>
        <v>0</v>
      </c>
      <c r="AP310" s="356" t="str">
        <f t="shared" si="127"/>
        <v>CNY</v>
      </c>
      <c r="AQ310" s="356" t="s">
        <v>700</v>
      </c>
      <c r="AR310" s="356" t="s">
        <v>670</v>
      </c>
      <c r="AS310" s="356" t="s">
        <v>745</v>
      </c>
      <c r="AU310" s="610" t="str">
        <f t="shared" si="133"/>
        <v>CN</v>
      </c>
      <c r="AV310" s="605" t="s">
        <v>1141</v>
      </c>
      <c r="AW310" s="2255">
        <f t="shared" si="134"/>
        <v>43100</v>
      </c>
    </row>
    <row r="311" spans="1:49" s="356" customFormat="1" hidden="1" outlineLevel="1">
      <c r="A311" s="383"/>
      <c r="B311" s="1079" t="s">
        <v>692</v>
      </c>
      <c r="C311" s="2094" t="s">
        <v>80</v>
      </c>
      <c r="D311" s="1830" t="s">
        <v>181</v>
      </c>
      <c r="E311" s="421"/>
      <c r="F311" s="380"/>
      <c r="G311" s="1738"/>
      <c r="H311" s="1738">
        <f t="shared" si="156"/>
        <v>0</v>
      </c>
      <c r="I311" s="469">
        <f>IF('Estimate Summary'!$D$9&lt;2,0,$H311)</f>
        <v>0</v>
      </c>
      <c r="J311" s="469">
        <f>IF('Estimate Summary'!$D$9&lt;3,0,$H311)</f>
        <v>0</v>
      </c>
      <c r="K311" s="469">
        <f>IF('Estimate Summary'!$D$9&lt;4,0,$H311)</f>
        <v>0</v>
      </c>
      <c r="L311" s="469">
        <f>IF('Estimate Summary'!$D$9&lt;5,0,$H311)</f>
        <v>0</v>
      </c>
      <c r="M311" s="469">
        <f>IF('Estimate Summary'!$D$9&lt;6,0,$H311)</f>
        <v>0</v>
      </c>
      <c r="N311" s="387" t="s">
        <v>438</v>
      </c>
      <c r="P311" s="486"/>
      <c r="Q311" s="796">
        <v>43100</v>
      </c>
      <c r="R311" s="697"/>
      <c r="S311" s="475"/>
      <c r="T311" s="484"/>
      <c r="U311" s="697" t="s">
        <v>677</v>
      </c>
      <c r="V311" s="486" t="str">
        <f t="shared" si="130"/>
        <v>CNY</v>
      </c>
      <c r="W311" s="861"/>
      <c r="X311" s="861"/>
      <c r="Y311" s="880"/>
      <c r="Z311" s="893">
        <f t="shared" si="135"/>
        <v>0</v>
      </c>
      <c r="AA311" s="893"/>
      <c r="AB311" s="1905"/>
      <c r="AC311" s="886"/>
      <c r="AF311" s="872"/>
      <c r="AH311" s="872"/>
      <c r="AI311" s="872"/>
      <c r="AJ311" s="605" t="s">
        <v>693</v>
      </c>
      <c r="AK311" s="605" t="s">
        <v>1129</v>
      </c>
      <c r="AL311" s="697" t="str">
        <f t="shared" si="131"/>
        <v>CN</v>
      </c>
      <c r="AM311" s="475">
        <f>'Estimate Summary'!$D$9</f>
        <v>1</v>
      </c>
      <c r="AN311" s="697" t="s">
        <v>1136</v>
      </c>
      <c r="AO311" s="2008">
        <f t="shared" si="132"/>
        <v>0</v>
      </c>
      <c r="AP311" s="356" t="str">
        <f t="shared" si="127"/>
        <v>CNY</v>
      </c>
      <c r="AQ311" s="356" t="s">
        <v>1139</v>
      </c>
      <c r="AR311" s="356" t="s">
        <v>670</v>
      </c>
      <c r="AS311" s="356" t="s">
        <v>745</v>
      </c>
      <c r="AU311" s="610" t="str">
        <f t="shared" si="133"/>
        <v>CN</v>
      </c>
      <c r="AV311" s="605" t="s">
        <v>1141</v>
      </c>
      <c r="AW311" s="2255">
        <f t="shared" si="134"/>
        <v>43100</v>
      </c>
    </row>
    <row r="312" spans="1:49" s="356" customFormat="1" hidden="1" outlineLevel="1">
      <c r="A312" s="383"/>
      <c r="B312" s="1079" t="s">
        <v>692</v>
      </c>
      <c r="C312" s="2095" t="s">
        <v>1623</v>
      </c>
      <c r="D312" s="1830" t="s">
        <v>181</v>
      </c>
      <c r="E312" s="421"/>
      <c r="F312" s="380"/>
      <c r="G312" s="1738"/>
      <c r="H312" s="1738">
        <f t="shared" si="156"/>
        <v>0</v>
      </c>
      <c r="I312" s="469">
        <f>IF('Estimate Summary'!$D$9&lt;2,0,$H312*0)</f>
        <v>0</v>
      </c>
      <c r="J312" s="469">
        <f>IF('Estimate Summary'!$D$9&lt;3,0,$H312*0)</f>
        <v>0</v>
      </c>
      <c r="K312" s="469">
        <f>IF('Estimate Summary'!$D$9&lt;4,0,$H312)</f>
        <v>0</v>
      </c>
      <c r="L312" s="469">
        <f>IF('Estimate Summary'!$D$9&lt;5,0,$H312)</f>
        <v>0</v>
      </c>
      <c r="M312" s="469">
        <f>IF('Estimate Summary'!$D$9&lt;6,0,$H312)</f>
        <v>0</v>
      </c>
      <c r="N312" s="387"/>
      <c r="P312" s="486"/>
      <c r="Q312" s="796">
        <v>43100</v>
      </c>
      <c r="R312" s="697"/>
      <c r="S312" s="475"/>
      <c r="T312" s="484"/>
      <c r="U312" s="697" t="s">
        <v>677</v>
      </c>
      <c r="V312" s="486" t="str">
        <f t="shared" si="130"/>
        <v>CNY</v>
      </c>
      <c r="W312" s="861"/>
      <c r="X312" s="861"/>
      <c r="Y312" s="880"/>
      <c r="Z312" s="893">
        <f t="shared" si="135"/>
        <v>0</v>
      </c>
      <c r="AA312" s="893"/>
      <c r="AB312" s="1905"/>
      <c r="AC312" s="886"/>
      <c r="AF312" s="872"/>
      <c r="AH312" s="872"/>
      <c r="AI312" s="872"/>
      <c r="AJ312" s="605" t="s">
        <v>693</v>
      </c>
      <c r="AK312" s="605" t="s">
        <v>1129</v>
      </c>
      <c r="AL312" s="697" t="str">
        <f t="shared" si="131"/>
        <v>CN</v>
      </c>
      <c r="AM312" s="475">
        <f>'Estimate Summary'!$D$9</f>
        <v>1</v>
      </c>
      <c r="AN312" s="697" t="s">
        <v>1136</v>
      </c>
      <c r="AO312" s="2008">
        <f t="shared" si="132"/>
        <v>0</v>
      </c>
      <c r="AP312" s="356" t="str">
        <f t="shared" si="127"/>
        <v>CNY</v>
      </c>
      <c r="AQ312" s="356" t="s">
        <v>1139</v>
      </c>
      <c r="AR312" s="356" t="s">
        <v>670</v>
      </c>
      <c r="AS312" s="356" t="s">
        <v>745</v>
      </c>
      <c r="AU312" s="610" t="str">
        <f t="shared" si="133"/>
        <v>CN</v>
      </c>
      <c r="AV312" s="605" t="s">
        <v>1141</v>
      </c>
      <c r="AW312" s="2255">
        <f t="shared" si="134"/>
        <v>43100</v>
      </c>
    </row>
    <row r="313" spans="1:49" s="356" customFormat="1" hidden="1" outlineLevel="1">
      <c r="B313" s="1079" t="s">
        <v>1030</v>
      </c>
      <c r="C313" s="2097" t="s">
        <v>1031</v>
      </c>
      <c r="D313" s="1830" t="s">
        <v>181</v>
      </c>
      <c r="E313" s="421"/>
      <c r="F313" s="380"/>
      <c r="G313" s="2520"/>
      <c r="H313" s="1738">
        <f t="shared" si="156"/>
        <v>0</v>
      </c>
      <c r="I313" s="572">
        <f>IF('Estimate Summary'!$D$9&lt;2,0,$H313)</f>
        <v>0</v>
      </c>
      <c r="J313" s="1745">
        <f>IF('Estimate Summary'!$D$9&lt;3,0,$H313)</f>
        <v>0</v>
      </c>
      <c r="K313" s="1745">
        <f>IF('Estimate Summary'!$D$9&lt;4,0,$H313)</f>
        <v>0</v>
      </c>
      <c r="L313" s="469">
        <f>IF('Estimate Summary'!$D$9&lt;5,0,$H313)</f>
        <v>0</v>
      </c>
      <c r="M313" s="469">
        <f>IF('Estimate Summary'!$D$9&lt;6,0,$H313)</f>
        <v>0</v>
      </c>
      <c r="N313" s="387"/>
      <c r="P313" s="486"/>
      <c r="Q313" s="796">
        <v>43100</v>
      </c>
      <c r="R313" s="697"/>
      <c r="S313" s="475"/>
      <c r="T313" s="484"/>
      <c r="U313" s="697" t="s">
        <v>677</v>
      </c>
      <c r="V313" s="486" t="str">
        <f t="shared" si="130"/>
        <v>CNY</v>
      </c>
      <c r="W313" s="861"/>
      <c r="X313" s="861"/>
      <c r="Y313" s="880"/>
      <c r="Z313" s="893">
        <f t="shared" si="135"/>
        <v>0</v>
      </c>
      <c r="AA313" s="893"/>
      <c r="AB313" s="1905"/>
      <c r="AC313" s="886"/>
      <c r="AF313" s="872"/>
      <c r="AH313" s="872"/>
      <c r="AI313" s="872"/>
      <c r="AJ313" s="605" t="s">
        <v>693</v>
      </c>
      <c r="AK313" s="605" t="s">
        <v>1129</v>
      </c>
      <c r="AL313" s="697" t="str">
        <f t="shared" si="131"/>
        <v>CN</v>
      </c>
      <c r="AM313" s="475">
        <f>'Estimate Summary'!$D$9</f>
        <v>1</v>
      </c>
      <c r="AN313" s="697" t="s">
        <v>1136</v>
      </c>
      <c r="AO313" s="2008">
        <f t="shared" si="132"/>
        <v>0</v>
      </c>
      <c r="AP313" s="356" t="str">
        <f t="shared" si="127"/>
        <v>CNY</v>
      </c>
      <c r="AQ313" s="356" t="s">
        <v>700</v>
      </c>
      <c r="AR313" s="356" t="s">
        <v>670</v>
      </c>
      <c r="AS313" s="356" t="s">
        <v>745</v>
      </c>
      <c r="AU313" s="610" t="str">
        <f t="shared" si="133"/>
        <v>CN</v>
      </c>
      <c r="AV313" s="605" t="s">
        <v>1141</v>
      </c>
      <c r="AW313" s="2255">
        <f t="shared" si="134"/>
        <v>43100</v>
      </c>
    </row>
    <row r="314" spans="1:49" s="605" customFormat="1" ht="13.5" collapsed="1" thickBot="1">
      <c r="B314" s="2316"/>
      <c r="C314" s="358" t="s">
        <v>246</v>
      </c>
      <c r="D314" s="1841"/>
      <c r="E314" s="2325"/>
      <c r="F314" s="380"/>
      <c r="G314" s="1615"/>
      <c r="H314" s="1712">
        <f t="shared" ref="H314:M314" si="157">SUM(H294:H303)</f>
        <v>39.655000000000001</v>
      </c>
      <c r="I314" s="104">
        <f t="shared" si="157"/>
        <v>0</v>
      </c>
      <c r="J314" s="104">
        <f t="shared" si="157"/>
        <v>0</v>
      </c>
      <c r="K314" s="104">
        <f t="shared" si="157"/>
        <v>0</v>
      </c>
      <c r="L314" s="104">
        <f t="shared" si="157"/>
        <v>0</v>
      </c>
      <c r="M314" s="104">
        <f t="shared" si="157"/>
        <v>0</v>
      </c>
      <c r="N314" s="637"/>
      <c r="P314" s="1014"/>
      <c r="Q314" s="796">
        <v>43100</v>
      </c>
      <c r="S314" s="899"/>
      <c r="T314" s="551"/>
      <c r="V314" s="1014">
        <f t="shared" si="130"/>
        <v>0</v>
      </c>
      <c r="W314" s="870"/>
      <c r="X314" s="870"/>
      <c r="Y314" s="900"/>
      <c r="Z314" s="1018">
        <f t="shared" si="135"/>
        <v>0</v>
      </c>
      <c r="AA314" s="1018"/>
      <c r="AB314" s="1022"/>
      <c r="AC314" s="900"/>
      <c r="AF314" s="870"/>
      <c r="AH314" s="870"/>
      <c r="AI314" s="870"/>
      <c r="AJ314" s="605" t="s">
        <v>693</v>
      </c>
      <c r="AK314" s="605" t="s">
        <v>1129</v>
      </c>
      <c r="AL314" s="605" t="b">
        <f t="shared" si="131"/>
        <v>0</v>
      </c>
      <c r="AM314" s="899">
        <f>'Estimate Summary'!$D$9</f>
        <v>1</v>
      </c>
      <c r="AN314" s="605" t="s">
        <v>1136</v>
      </c>
      <c r="AO314" s="899">
        <f t="shared" si="132"/>
        <v>0</v>
      </c>
      <c r="AP314" s="605">
        <f t="shared" si="127"/>
        <v>0</v>
      </c>
      <c r="AQ314" s="605" t="s">
        <v>1139</v>
      </c>
      <c r="AR314" s="605" t="s">
        <v>670</v>
      </c>
      <c r="AS314" s="605" t="s">
        <v>745</v>
      </c>
      <c r="AU314" s="610" t="b">
        <f t="shared" si="133"/>
        <v>0</v>
      </c>
      <c r="AV314" s="605" t="s">
        <v>1141</v>
      </c>
      <c r="AW314" s="2255">
        <f t="shared" si="134"/>
        <v>43100</v>
      </c>
    </row>
    <row r="315" spans="1:49" s="605" customFormat="1" hidden="1" outlineLevel="1">
      <c r="B315" s="1079" t="s">
        <v>1017</v>
      </c>
      <c r="C315" s="1761" t="s">
        <v>1094</v>
      </c>
      <c r="D315" s="1912"/>
      <c r="E315" s="1759"/>
      <c r="F315" s="968"/>
      <c r="G315" s="584">
        <f>AA315</f>
        <v>0</v>
      </c>
      <c r="H315" s="1870">
        <f>AB315</f>
        <v>0</v>
      </c>
      <c r="I315" s="1718"/>
      <c r="J315" s="1718"/>
      <c r="K315" s="1718"/>
      <c r="L315" s="1718"/>
      <c r="M315" s="1718"/>
      <c r="N315" s="1760"/>
      <c r="P315" s="1875">
        <f>IF(Q315=0,0,(YEAR(R315)-YEAR(Q315))*12+(MONTH(R315)-MONTH(Q315)))</f>
        <v>-1415</v>
      </c>
      <c r="Q315" s="796">
        <v>43100</v>
      </c>
      <c r="R315" s="796"/>
      <c r="S315" s="899"/>
      <c r="T315" s="551"/>
      <c r="U315" s="1913" t="s">
        <v>1135</v>
      </c>
      <c r="V315" s="603" t="s">
        <v>257</v>
      </c>
      <c r="W315" s="932"/>
      <c r="X315" s="1907">
        <f>IF(V315="CNY",W315/1.17/1000,W315/1000)</f>
        <v>0</v>
      </c>
      <c r="Y315" s="1877"/>
      <c r="Z315" s="1874">
        <f t="shared" si="135"/>
        <v>0</v>
      </c>
      <c r="AA315" s="551">
        <f>X315*(1-Z315)</f>
        <v>0</v>
      </c>
      <c r="AB315" s="870">
        <f>IF(V315="CNY",X315*(1-Z315),IF(V315="EUR",X315*(1-Z315)*$T$5,IF(V315="JPY",X315*(1-Z315)*$T$6,IF(V315="USD",X315*(1-Z315)*$T$7,IF(V315="INR",X315*(1-Z315)*$T$8)))))</f>
        <v>0</v>
      </c>
      <c r="AC315" s="900"/>
      <c r="AF315" s="870"/>
      <c r="AH315" s="870">
        <f>SUM(AD315:AG315)</f>
        <v>0</v>
      </c>
      <c r="AI315" s="870">
        <f>AB315+AH315</f>
        <v>0</v>
      </c>
      <c r="AJ315" s="605" t="s">
        <v>693</v>
      </c>
      <c r="AK315" s="605" t="s">
        <v>1129</v>
      </c>
      <c r="AL315" s="605" t="b">
        <f t="shared" si="131"/>
        <v>0</v>
      </c>
      <c r="AM315" s="899">
        <f>'Estimate Summary'!$D$9</f>
        <v>1</v>
      </c>
      <c r="AN315" s="605" t="s">
        <v>1136</v>
      </c>
      <c r="AO315" s="899">
        <f t="shared" si="132"/>
        <v>0</v>
      </c>
      <c r="AP315" s="605">
        <f t="shared" si="127"/>
        <v>0</v>
      </c>
      <c r="AQ315" s="605" t="s">
        <v>1139</v>
      </c>
      <c r="AR315" s="605" t="s">
        <v>670</v>
      </c>
      <c r="AS315" s="605" t="s">
        <v>745</v>
      </c>
      <c r="AU315" s="610" t="b">
        <f t="shared" si="133"/>
        <v>0</v>
      </c>
      <c r="AV315" s="605" t="s">
        <v>1141</v>
      </c>
      <c r="AW315" s="2255">
        <f t="shared" si="134"/>
        <v>43100</v>
      </c>
    </row>
    <row r="316" spans="1:49" s="605" customFormat="1" hidden="1" outlineLevel="1">
      <c r="B316" s="2316"/>
      <c r="C316" s="1761" t="s">
        <v>1032</v>
      </c>
      <c r="D316" s="1912"/>
      <c r="E316" s="1759"/>
      <c r="F316" s="1733"/>
      <c r="G316" s="1766"/>
      <c r="H316" s="1809">
        <f>SUM(H317:H318)</f>
        <v>0</v>
      </c>
      <c r="I316" s="1864">
        <f t="shared" ref="I316:M316" si="158">SUM(I317:I318)</f>
        <v>0</v>
      </c>
      <c r="J316" s="1864">
        <f t="shared" si="158"/>
        <v>0</v>
      </c>
      <c r="K316" s="1864">
        <f t="shared" si="158"/>
        <v>0</v>
      </c>
      <c r="L316" s="1864">
        <f t="shared" si="158"/>
        <v>0</v>
      </c>
      <c r="M316" s="1864">
        <f t="shared" si="158"/>
        <v>0</v>
      </c>
      <c r="N316" s="1760"/>
      <c r="P316" s="1014"/>
      <c r="Q316" s="796">
        <v>43100</v>
      </c>
      <c r="S316" s="899"/>
      <c r="T316" s="551"/>
      <c r="V316" s="1014">
        <f t="shared" si="130"/>
        <v>0</v>
      </c>
      <c r="W316" s="870"/>
      <c r="X316" s="870"/>
      <c r="Y316" s="900"/>
      <c r="Z316" s="1018">
        <f t="shared" si="135"/>
        <v>0</v>
      </c>
      <c r="AA316" s="1018"/>
      <c r="AB316" s="1022"/>
      <c r="AC316" s="900"/>
      <c r="AF316" s="870"/>
      <c r="AH316" s="870"/>
      <c r="AI316" s="870"/>
      <c r="AJ316" s="605" t="s">
        <v>693</v>
      </c>
      <c r="AK316" s="605" t="s">
        <v>1129</v>
      </c>
      <c r="AL316" s="605" t="b">
        <f t="shared" si="131"/>
        <v>0</v>
      </c>
      <c r="AM316" s="899">
        <f>'Estimate Summary'!$D$9</f>
        <v>1</v>
      </c>
      <c r="AN316" s="605" t="s">
        <v>1136</v>
      </c>
      <c r="AO316" s="899">
        <f t="shared" si="132"/>
        <v>0</v>
      </c>
      <c r="AP316" s="605">
        <f t="shared" si="127"/>
        <v>0</v>
      </c>
      <c r="AQ316" s="605" t="s">
        <v>1139</v>
      </c>
      <c r="AR316" s="605" t="s">
        <v>670</v>
      </c>
      <c r="AS316" s="605" t="s">
        <v>745</v>
      </c>
      <c r="AU316" s="610" t="b">
        <f t="shared" si="133"/>
        <v>0</v>
      </c>
      <c r="AV316" s="605" t="s">
        <v>1141</v>
      </c>
      <c r="AW316" s="2255">
        <f t="shared" si="134"/>
        <v>43100</v>
      </c>
    </row>
    <row r="317" spans="1:49" s="605" customFormat="1" hidden="1" outlineLevel="1">
      <c r="B317" s="1079" t="s">
        <v>1034</v>
      </c>
      <c r="C317" s="1761" t="s">
        <v>1032</v>
      </c>
      <c r="D317" s="1912"/>
      <c r="E317" s="1759"/>
      <c r="F317" s="968"/>
      <c r="G317" s="1870">
        <f>AA317</f>
        <v>0</v>
      </c>
      <c r="H317" s="1870">
        <f>AB317</f>
        <v>0</v>
      </c>
      <c r="I317" s="1718">
        <f>IF('Estimate Summary'!$D$9&lt;2,0,$H317)</f>
        <v>0</v>
      </c>
      <c r="J317" s="1718">
        <f>IF('Estimate Summary'!$D$9&lt;3,0,$H317)</f>
        <v>0</v>
      </c>
      <c r="K317" s="1718">
        <f>IF('Estimate Summary'!$D$9&lt;4,0,$H317)</f>
        <v>0</v>
      </c>
      <c r="L317" s="1718">
        <f>IF('Estimate Summary'!$D$9&lt;5,0,$H317)</f>
        <v>0</v>
      </c>
      <c r="M317" s="1718">
        <f>IF('Estimate Summary'!$D$9&lt;6,0,$H317)</f>
        <v>0</v>
      </c>
      <c r="N317" s="1760"/>
      <c r="P317" s="1875">
        <f>IF(Q317=0,0,(YEAR(R317)-YEAR(Q317))*12+(MONTH(R317)-MONTH(Q317)))</f>
        <v>-1415</v>
      </c>
      <c r="Q317" s="796">
        <v>43100</v>
      </c>
      <c r="R317" s="796"/>
      <c r="S317" s="899"/>
      <c r="T317" s="551"/>
      <c r="U317" s="1913" t="s">
        <v>747</v>
      </c>
      <c r="V317" s="603">
        <f t="shared" si="130"/>
        <v>0</v>
      </c>
      <c r="W317" s="932"/>
      <c r="X317" s="1907">
        <f>IF(V317="CNY",W317/1.17/1000,W317/1000)</f>
        <v>0</v>
      </c>
      <c r="Y317" s="1877"/>
      <c r="Z317" s="1874">
        <f t="shared" si="135"/>
        <v>0</v>
      </c>
      <c r="AA317" s="551">
        <f>X317*(1-Z317)</f>
        <v>0</v>
      </c>
      <c r="AB317" s="870"/>
      <c r="AC317" s="900"/>
      <c r="AF317" s="870"/>
      <c r="AH317" s="870">
        <f>SUM(AD317:AG317)</f>
        <v>0</v>
      </c>
      <c r="AI317" s="870">
        <f>AB317+AH317</f>
        <v>0</v>
      </c>
      <c r="AJ317" s="605" t="s">
        <v>693</v>
      </c>
      <c r="AK317" s="605" t="s">
        <v>1129</v>
      </c>
      <c r="AL317" s="605" t="b">
        <f t="shared" si="131"/>
        <v>0</v>
      </c>
      <c r="AM317" s="899">
        <f>'Estimate Summary'!$D$9</f>
        <v>1</v>
      </c>
      <c r="AN317" s="605" t="s">
        <v>1136</v>
      </c>
      <c r="AO317" s="899">
        <f t="shared" si="132"/>
        <v>0</v>
      </c>
      <c r="AP317" s="605">
        <f t="shared" si="127"/>
        <v>0</v>
      </c>
      <c r="AQ317" s="605" t="s">
        <v>1139</v>
      </c>
      <c r="AR317" s="605" t="s">
        <v>670</v>
      </c>
      <c r="AS317" s="605" t="s">
        <v>745</v>
      </c>
      <c r="AU317" s="610" t="b">
        <f t="shared" si="133"/>
        <v>0</v>
      </c>
      <c r="AV317" s="605" t="s">
        <v>1141</v>
      </c>
      <c r="AW317" s="2255">
        <f t="shared" si="134"/>
        <v>43100</v>
      </c>
    </row>
    <row r="318" spans="1:49" s="605" customFormat="1" hidden="1" outlineLevel="1">
      <c r="B318" s="1079" t="s">
        <v>1034</v>
      </c>
      <c r="C318" s="1761" t="s">
        <v>1032</v>
      </c>
      <c r="D318" s="1912"/>
      <c r="E318" s="1759"/>
      <c r="F318" s="968"/>
      <c r="G318" s="1870">
        <f>AA318</f>
        <v>0</v>
      </c>
      <c r="H318" s="1870">
        <f>AB318</f>
        <v>0</v>
      </c>
      <c r="I318" s="1718">
        <f>IF('Estimate Summary'!$D$9&lt;2,0,$H318)</f>
        <v>0</v>
      </c>
      <c r="J318" s="1718">
        <f>IF('Estimate Summary'!$D$9&lt;3,0,$H318)</f>
        <v>0</v>
      </c>
      <c r="K318" s="1718">
        <f>IF('Estimate Summary'!$D$9&lt;4,0,$H318)</f>
        <v>0</v>
      </c>
      <c r="L318" s="1718">
        <f>IF('Estimate Summary'!$D$9&lt;5,0,$H318)</f>
        <v>0</v>
      </c>
      <c r="M318" s="1718">
        <f>IF('Estimate Summary'!$D$9&lt;6,0,$H318)</f>
        <v>0</v>
      </c>
      <c r="N318" s="1760"/>
      <c r="P318" s="1875">
        <f>IF(Q318=0,0,(YEAR(R318)-YEAR(Q318))*12+(MONTH(R318)-MONTH(Q318)))</f>
        <v>-1415</v>
      </c>
      <c r="Q318" s="796">
        <v>43100</v>
      </c>
      <c r="R318" s="796"/>
      <c r="S318" s="899"/>
      <c r="T318" s="551"/>
      <c r="U318" s="1913" t="s">
        <v>747</v>
      </c>
      <c r="V318" s="603">
        <f t="shared" si="130"/>
        <v>0</v>
      </c>
      <c r="W318" s="932"/>
      <c r="X318" s="1907">
        <f>IF(V318="CNY",W318/1.17/1000,W318/1000)</f>
        <v>0</v>
      </c>
      <c r="Y318" s="1877"/>
      <c r="Z318" s="1874">
        <f t="shared" si="135"/>
        <v>0</v>
      </c>
      <c r="AA318" s="551">
        <f>X318*(1-Z318)</f>
        <v>0</v>
      </c>
      <c r="AB318" s="870"/>
      <c r="AC318" s="900"/>
      <c r="AF318" s="870"/>
      <c r="AH318" s="870">
        <f>SUM(AD318:AG318)</f>
        <v>0</v>
      </c>
      <c r="AI318" s="870">
        <f>AB318+AH318</f>
        <v>0</v>
      </c>
      <c r="AJ318" s="605" t="s">
        <v>693</v>
      </c>
      <c r="AK318" s="605" t="s">
        <v>1129</v>
      </c>
      <c r="AL318" s="605" t="b">
        <f t="shared" si="131"/>
        <v>0</v>
      </c>
      <c r="AM318" s="899">
        <f>'Estimate Summary'!$D$9</f>
        <v>1</v>
      </c>
      <c r="AN318" s="605" t="s">
        <v>1136</v>
      </c>
      <c r="AO318" s="899">
        <f t="shared" si="132"/>
        <v>0</v>
      </c>
      <c r="AP318" s="605">
        <f t="shared" si="127"/>
        <v>0</v>
      </c>
      <c r="AQ318" s="605" t="s">
        <v>1139</v>
      </c>
      <c r="AR318" s="605" t="s">
        <v>670</v>
      </c>
      <c r="AS318" s="605" t="s">
        <v>745</v>
      </c>
      <c r="AU318" s="610" t="b">
        <f t="shared" si="133"/>
        <v>0</v>
      </c>
      <c r="AV318" s="605" t="s">
        <v>1141</v>
      </c>
      <c r="AW318" s="2255">
        <f t="shared" si="134"/>
        <v>43100</v>
      </c>
    </row>
    <row r="319" spans="1:49" s="605" customFormat="1" ht="13.5" hidden="1" outlineLevel="1" collapsed="1" thickBot="1">
      <c r="B319" s="2326"/>
      <c r="C319" s="1762" t="s">
        <v>1033</v>
      </c>
      <c r="D319" s="1843"/>
      <c r="E319" s="2327"/>
      <c r="F319" s="1763"/>
      <c r="G319" s="1728"/>
      <c r="H319" s="1687">
        <f t="shared" ref="H319:M319" si="159">H316</f>
        <v>0</v>
      </c>
      <c r="I319" s="1764">
        <f t="shared" si="159"/>
        <v>0</v>
      </c>
      <c r="J319" s="1764">
        <f t="shared" si="159"/>
        <v>0</v>
      </c>
      <c r="K319" s="1764">
        <f t="shared" si="159"/>
        <v>0</v>
      </c>
      <c r="L319" s="1764">
        <f t="shared" si="159"/>
        <v>0</v>
      </c>
      <c r="M319" s="1764">
        <f t="shared" si="159"/>
        <v>0</v>
      </c>
      <c r="N319" s="2328"/>
      <c r="P319" s="1014"/>
      <c r="S319" s="899"/>
      <c r="T319" s="551"/>
      <c r="V319" s="1014">
        <f t="shared" si="130"/>
        <v>0</v>
      </c>
      <c r="W319" s="870"/>
      <c r="X319" s="870"/>
      <c r="Y319" s="900"/>
      <c r="Z319" s="1018">
        <f t="shared" si="135"/>
        <v>0</v>
      </c>
      <c r="AA319" s="1018"/>
      <c r="AB319" s="1022"/>
      <c r="AC319" s="900"/>
      <c r="AF319" s="870"/>
      <c r="AH319" s="870"/>
      <c r="AI319" s="870"/>
      <c r="AL319" s="605" t="b">
        <f t="shared" si="131"/>
        <v>0</v>
      </c>
      <c r="AM319" s="899">
        <f>'Estimate Summary'!$D$9</f>
        <v>1</v>
      </c>
      <c r="AN319" s="605" t="s">
        <v>1136</v>
      </c>
      <c r="AO319" s="899">
        <f t="shared" si="132"/>
        <v>0</v>
      </c>
      <c r="AP319" s="605">
        <f t="shared" si="127"/>
        <v>0</v>
      </c>
      <c r="AQ319" s="605" t="s">
        <v>1139</v>
      </c>
      <c r="AR319" s="605" t="s">
        <v>670</v>
      </c>
      <c r="AS319" s="605" t="s">
        <v>745</v>
      </c>
      <c r="AU319" s="610" t="b">
        <f t="shared" si="133"/>
        <v>0</v>
      </c>
      <c r="AV319" s="605" t="s">
        <v>1141</v>
      </c>
      <c r="AW319" s="2255">
        <f t="shared" si="134"/>
        <v>0</v>
      </c>
    </row>
    <row r="320" spans="1:49" s="605" customFormat="1" ht="26.25" collapsed="1" thickTop="1">
      <c r="B320" s="1641" t="s">
        <v>1035</v>
      </c>
      <c r="C320" s="1644"/>
      <c r="D320" s="1833"/>
      <c r="E320" s="1722" t="s">
        <v>55</v>
      </c>
      <c r="F320" s="1723" t="s">
        <v>73</v>
      </c>
      <c r="G320" s="1724"/>
      <c r="H320" s="2272"/>
      <c r="I320" s="2253"/>
      <c r="J320" s="2253"/>
      <c r="K320" s="2253"/>
      <c r="L320" s="2253"/>
      <c r="M320" s="2253"/>
      <c r="N320" s="2273"/>
      <c r="P320" s="1014"/>
      <c r="Q320" s="796"/>
      <c r="R320" s="796"/>
      <c r="S320" s="899"/>
      <c r="T320" s="551"/>
      <c r="V320" s="1014">
        <f t="shared" si="130"/>
        <v>0</v>
      </c>
      <c r="W320" s="870"/>
      <c r="X320" s="870"/>
      <c r="Y320" s="888"/>
      <c r="Z320" s="1018">
        <f t="shared" si="135"/>
        <v>0</v>
      </c>
      <c r="AA320" s="1018"/>
      <c r="AB320" s="1022"/>
      <c r="AC320" s="900"/>
      <c r="AF320" s="870"/>
      <c r="AH320" s="870"/>
      <c r="AI320" s="870"/>
      <c r="AL320" s="605" t="b">
        <f t="shared" si="131"/>
        <v>0</v>
      </c>
      <c r="AM320" s="899">
        <f>'Estimate Summary'!$D$9</f>
        <v>1</v>
      </c>
      <c r="AN320" s="605" t="s">
        <v>1136</v>
      </c>
      <c r="AO320" s="899">
        <f t="shared" si="132"/>
        <v>0</v>
      </c>
      <c r="AP320" s="605">
        <f t="shared" si="127"/>
        <v>0</v>
      </c>
      <c r="AQ320" s="605" t="s">
        <v>1139</v>
      </c>
      <c r="AR320" s="605" t="s">
        <v>670</v>
      </c>
      <c r="AS320" s="605" t="s">
        <v>745</v>
      </c>
      <c r="AU320" s="610" t="b">
        <f t="shared" si="133"/>
        <v>0</v>
      </c>
      <c r="AV320" s="605" t="s">
        <v>1140</v>
      </c>
      <c r="AW320" s="2255">
        <f t="shared" si="134"/>
        <v>0</v>
      </c>
    </row>
    <row r="321" spans="1:49" s="605" customFormat="1">
      <c r="B321" s="2316"/>
      <c r="C321" s="585" t="s">
        <v>1007</v>
      </c>
      <c r="D321" s="1829"/>
      <c r="E321" s="584">
        <f>SUM(E322:E324)</f>
        <v>3713.2425885530283</v>
      </c>
      <c r="F321" s="1886">
        <f>IF(E321=0,0,H321/E321/1100*10^6)*0</f>
        <v>0</v>
      </c>
      <c r="G321" s="1869"/>
      <c r="H321" s="1870">
        <f t="shared" ref="H321:M321" si="160">SUM(H322:H330)</f>
        <v>28</v>
      </c>
      <c r="I321" s="1718">
        <f t="shared" si="160"/>
        <v>0</v>
      </c>
      <c r="J321" s="1718">
        <f t="shared" si="160"/>
        <v>0</v>
      </c>
      <c r="K321" s="1718">
        <f t="shared" si="160"/>
        <v>0</v>
      </c>
      <c r="L321" s="1718">
        <f t="shared" si="160"/>
        <v>0</v>
      </c>
      <c r="M321" s="1718">
        <f t="shared" si="160"/>
        <v>0</v>
      </c>
      <c r="N321" s="1725" t="s">
        <v>965</v>
      </c>
      <c r="P321" s="2279"/>
      <c r="Q321" s="476"/>
      <c r="R321" s="476"/>
      <c r="S321" s="485"/>
      <c r="T321" s="2281"/>
      <c r="U321" s="1925"/>
      <c r="V321" s="1926">
        <f t="shared" si="130"/>
        <v>0</v>
      </c>
      <c r="W321" s="875"/>
      <c r="X321" s="875"/>
      <c r="Y321" s="878"/>
      <c r="Z321" s="891">
        <f t="shared" si="135"/>
        <v>0</v>
      </c>
      <c r="AA321" s="485"/>
      <c r="AB321" s="1927"/>
      <c r="AC321" s="1927"/>
      <c r="AD321" s="476"/>
      <c r="AE321" s="476"/>
      <c r="AF321" s="2282"/>
      <c r="AG321" s="1925"/>
      <c r="AH321" s="875"/>
      <c r="AI321" s="875"/>
      <c r="AL321" s="605" t="b">
        <f t="shared" si="131"/>
        <v>0</v>
      </c>
      <c r="AM321" s="899">
        <f>'Estimate Summary'!$D$9</f>
        <v>1</v>
      </c>
      <c r="AN321" s="605" t="s">
        <v>1136</v>
      </c>
      <c r="AO321" s="899">
        <f t="shared" si="132"/>
        <v>0</v>
      </c>
      <c r="AP321" s="605">
        <f t="shared" si="127"/>
        <v>0</v>
      </c>
      <c r="AQ321" s="605" t="s">
        <v>1139</v>
      </c>
      <c r="AR321" s="605" t="s">
        <v>670</v>
      </c>
      <c r="AS321" s="605" t="s">
        <v>745</v>
      </c>
      <c r="AT321" s="605" t="s">
        <v>701</v>
      </c>
      <c r="AU321" s="610" t="b">
        <f t="shared" si="133"/>
        <v>0</v>
      </c>
      <c r="AV321" s="605" t="s">
        <v>1140</v>
      </c>
      <c r="AW321" s="2255">
        <f t="shared" si="134"/>
        <v>0</v>
      </c>
    </row>
    <row r="322" spans="1:49" s="605" customFormat="1" outlineLevel="1">
      <c r="A322" s="383"/>
      <c r="B322" s="1079" t="s">
        <v>698</v>
      </c>
      <c r="C322" s="2099" t="s">
        <v>1327</v>
      </c>
      <c r="D322" s="1830" t="s">
        <v>181</v>
      </c>
      <c r="E322" s="1020">
        <f>E48+E52</f>
        <v>3713.2425885530283</v>
      </c>
      <c r="F322" s="390">
        <f>G322/E322*1000</f>
        <v>1.6158384099375722</v>
      </c>
      <c r="G322" s="421">
        <v>6</v>
      </c>
      <c r="H322" s="1738">
        <f>G322</f>
        <v>6</v>
      </c>
      <c r="I322" s="469">
        <f>IF('Estimate Summary'!$D$9&lt;2,0,$H322)</f>
        <v>0</v>
      </c>
      <c r="J322" s="469">
        <f>IF('Estimate Summary'!$D$9&lt;3,0,$H322)</f>
        <v>0</v>
      </c>
      <c r="K322" s="469">
        <f>IF('Estimate Summary'!$D$9&lt;4,0,$H322)</f>
        <v>0</v>
      </c>
      <c r="L322" s="469">
        <f>IF('Estimate Summary'!$D$9&lt;5,0,$H322)</f>
        <v>0</v>
      </c>
      <c r="M322" s="469">
        <f>IF('Estimate Summary'!$D$9&lt;6,0,$H322)</f>
        <v>0</v>
      </c>
      <c r="N322" s="847"/>
      <c r="P322" s="1010">
        <f>IF(Q322=0,0,(YEAR(R322)-YEAR(Q322))*12+(MONTH(R322)-MONTH(Q322)))-3</f>
        <v>21</v>
      </c>
      <c r="Q322" s="799">
        <v>43132</v>
      </c>
      <c r="R322" s="795">
        <f>$R$2+30.42*'Offshore CF'!CR13</f>
        <v>43864.78</v>
      </c>
      <c r="S322" s="475" t="s">
        <v>127</v>
      </c>
      <c r="T322" s="475" t="s">
        <v>180</v>
      </c>
      <c r="U322" s="602" t="s">
        <v>676</v>
      </c>
      <c r="V322" s="486" t="str">
        <f t="shared" si="130"/>
        <v>CNY</v>
      </c>
      <c r="W322" s="2387"/>
      <c r="X322" s="1021">
        <f>W322/1000</f>
        <v>0</v>
      </c>
      <c r="Y322" s="933"/>
      <c r="Z322" s="893">
        <f t="shared" si="135"/>
        <v>0</v>
      </c>
      <c r="AA322" s="484">
        <f t="shared" ref="AA322:AA329" si="161">X322*(1-Z322)</f>
        <v>0</v>
      </c>
      <c r="AB322" s="484">
        <f>IF(V322="CNY",X322*(1-Z322),IF(V322="EUR",X322*(1-Z322)*$T$5,IF(V322="JPY",X322*(1-Z322)*$T$6,IF(V322="USD",X322*(1-Z322)*$T$7))))</f>
        <v>0</v>
      </c>
      <c r="AC322" s="880"/>
      <c r="AD322" s="697">
        <f>IF(V322&lt;&gt;"CNY",(AB322+#REF!)*AC322,0)</f>
        <v>0</v>
      </c>
      <c r="AE322" s="697"/>
      <c r="AF322" s="861">
        <f>IF(V322&lt;&gt;"CNY",(AB322+#REF!)*#REF!,0)</f>
        <v>0</v>
      </c>
      <c r="AG322" s="697">
        <f>IF(V322&lt;&gt;"CNY",E322*#REF!/1000,0)</f>
        <v>0</v>
      </c>
      <c r="AH322" s="861">
        <f>SUM(AD322:AG322)</f>
        <v>0</v>
      </c>
      <c r="AI322" s="861">
        <f t="shared" ref="AI322:AI330" si="162">AB322+AH322</f>
        <v>0</v>
      </c>
      <c r="AJ322" s="605" t="s">
        <v>699</v>
      </c>
      <c r="AK322" s="605" t="s">
        <v>1128</v>
      </c>
      <c r="AL322" s="605" t="str">
        <f t="shared" si="131"/>
        <v>CN</v>
      </c>
      <c r="AM322" s="899">
        <f>'Estimate Summary'!$D$9</f>
        <v>1</v>
      </c>
      <c r="AN322" s="605" t="s">
        <v>1136</v>
      </c>
      <c r="AO322" s="899">
        <f t="shared" si="132"/>
        <v>6</v>
      </c>
      <c r="AP322" s="605" t="str">
        <f t="shared" si="127"/>
        <v>CNY</v>
      </c>
      <c r="AQ322" s="605" t="s">
        <v>1139</v>
      </c>
      <c r="AR322" s="605" t="s">
        <v>670</v>
      </c>
      <c r="AS322" s="605" t="s">
        <v>745</v>
      </c>
      <c r="AT322" s="605" t="s">
        <v>701</v>
      </c>
      <c r="AU322" s="610" t="str">
        <f t="shared" si="133"/>
        <v>CN</v>
      </c>
      <c r="AV322" s="605" t="s">
        <v>1140</v>
      </c>
      <c r="AW322" s="2255">
        <f t="shared" si="134"/>
        <v>43132</v>
      </c>
    </row>
    <row r="323" spans="1:49" s="605" customFormat="1" ht="12.75" customHeight="1" outlineLevel="1">
      <c r="A323" s="697"/>
      <c r="B323" s="1079" t="s">
        <v>698</v>
      </c>
      <c r="C323" s="2099" t="s">
        <v>1152</v>
      </c>
      <c r="D323" s="1830"/>
      <c r="E323" s="1020"/>
      <c r="F323" s="1886">
        <f>IF(E323=0,0,H323/E323/1050*10^6)</f>
        <v>0</v>
      </c>
      <c r="G323" s="421">
        <f t="shared" ref="G323:G328" si="163">X323</f>
        <v>0</v>
      </c>
      <c r="H323" s="1738">
        <f t="shared" ref="H323:H330" si="164">AB323</f>
        <v>0</v>
      </c>
      <c r="I323" s="469">
        <f>IF('Estimate Summary'!$D$9&lt;2,0,$H323)</f>
        <v>0</v>
      </c>
      <c r="J323" s="469">
        <f>IF('Estimate Summary'!$D$9&lt;3,0,$H323)</f>
        <v>0</v>
      </c>
      <c r="K323" s="469">
        <f>IF('Estimate Summary'!$D$9&lt;4,0,$H323)</f>
        <v>0</v>
      </c>
      <c r="L323" s="469">
        <f>IF('Estimate Summary'!$D$9&lt;5,0,$H323)</f>
        <v>0</v>
      </c>
      <c r="M323" s="469">
        <f>IF('Estimate Summary'!$D$9&lt;6,0,$H323)</f>
        <v>0</v>
      </c>
      <c r="N323" s="996"/>
      <c r="P323" s="1010">
        <f t="shared" ref="P323:P330" si="165">IF(Q323=0,0,(YEAR(R323)-YEAR(Q323))*12+(MONTH(R323)-MONTH(Q323)))-3</f>
        <v>21</v>
      </c>
      <c r="Q323" s="799">
        <v>43132</v>
      </c>
      <c r="R323" s="795">
        <f>$R$2+30.42*'Offshore CF'!CR13</f>
        <v>43864.78</v>
      </c>
      <c r="S323" s="475" t="s">
        <v>127</v>
      </c>
      <c r="T323" s="475" t="s">
        <v>180</v>
      </c>
      <c r="U323" s="602" t="s">
        <v>676</v>
      </c>
      <c r="V323" s="486">
        <f t="shared" si="130"/>
        <v>0</v>
      </c>
      <c r="W323" s="2387"/>
      <c r="X323" s="1021">
        <f>W323/1000</f>
        <v>0</v>
      </c>
      <c r="Y323" s="933"/>
      <c r="Z323" s="893">
        <f t="shared" si="135"/>
        <v>0</v>
      </c>
      <c r="AA323" s="484">
        <f t="shared" si="161"/>
        <v>0</v>
      </c>
      <c r="AB323" s="484"/>
      <c r="AC323" s="880"/>
      <c r="AD323" s="697"/>
      <c r="AE323" s="697"/>
      <c r="AF323" s="861"/>
      <c r="AG323" s="697"/>
      <c r="AH323" s="861">
        <f>SUM(AD323:AG323)</f>
        <v>0</v>
      </c>
      <c r="AI323" s="861">
        <f t="shared" si="162"/>
        <v>0</v>
      </c>
      <c r="AJ323" s="605" t="s">
        <v>699</v>
      </c>
      <c r="AK323" s="605" t="s">
        <v>1128</v>
      </c>
      <c r="AL323" s="605" t="b">
        <f t="shared" si="131"/>
        <v>0</v>
      </c>
      <c r="AM323" s="899">
        <f>'Estimate Summary'!$D$9</f>
        <v>1</v>
      </c>
      <c r="AN323" s="605" t="s">
        <v>1136</v>
      </c>
      <c r="AO323" s="899">
        <f t="shared" si="132"/>
        <v>0</v>
      </c>
      <c r="AP323" s="605">
        <f t="shared" si="127"/>
        <v>0</v>
      </c>
      <c r="AQ323" s="605" t="s">
        <v>1139</v>
      </c>
      <c r="AR323" s="605" t="s">
        <v>670</v>
      </c>
      <c r="AS323" s="605" t="s">
        <v>745</v>
      </c>
      <c r="AT323" s="605" t="s">
        <v>701</v>
      </c>
      <c r="AU323" s="610" t="b">
        <f t="shared" si="133"/>
        <v>0</v>
      </c>
      <c r="AV323" s="605" t="s">
        <v>1140</v>
      </c>
      <c r="AW323" s="2255">
        <f t="shared" si="134"/>
        <v>43132</v>
      </c>
    </row>
    <row r="324" spans="1:49" s="605" customFormat="1" outlineLevel="1">
      <c r="A324" s="697"/>
      <c r="B324" s="1079" t="s">
        <v>698</v>
      </c>
      <c r="C324" s="2094" t="s">
        <v>1153</v>
      </c>
      <c r="D324" s="1830"/>
      <c r="E324" s="1020"/>
      <c r="F324" s="390">
        <f>IF(E324=0,0,H324/E324/3000*10^6)</f>
        <v>0</v>
      </c>
      <c r="G324" s="421">
        <f t="shared" si="163"/>
        <v>0</v>
      </c>
      <c r="H324" s="1738">
        <f t="shared" si="164"/>
        <v>0</v>
      </c>
      <c r="I324" s="469">
        <f>IF('Estimate Summary'!$D$9&lt;2,0,$H324)</f>
        <v>0</v>
      </c>
      <c r="J324" s="469">
        <f>IF('Estimate Summary'!$D$9&lt;3,0,$H324)</f>
        <v>0</v>
      </c>
      <c r="K324" s="469">
        <f>IF('Estimate Summary'!$D$9&lt;4,0,$H324)</f>
        <v>0</v>
      </c>
      <c r="L324" s="469">
        <f>IF('Estimate Summary'!$D$9&lt;5,0,$H324)</f>
        <v>0</v>
      </c>
      <c r="M324" s="469">
        <f>IF('Estimate Summary'!$D$9&lt;6,0,$H324)</f>
        <v>0</v>
      </c>
      <c r="N324" s="996"/>
      <c r="P324" s="1010">
        <f t="shared" si="165"/>
        <v>21</v>
      </c>
      <c r="Q324" s="799">
        <v>43132</v>
      </c>
      <c r="R324" s="795">
        <f>$R$2+30.42*'Offshore CF'!CR13</f>
        <v>43864.78</v>
      </c>
      <c r="S324" s="475" t="s">
        <v>127</v>
      </c>
      <c r="T324" s="475" t="s">
        <v>180</v>
      </c>
      <c r="U324" s="605" t="s">
        <v>676</v>
      </c>
      <c r="V324" s="486">
        <f t="shared" si="130"/>
        <v>0</v>
      </c>
      <c r="W324" s="2387"/>
      <c r="X324" s="1021">
        <f t="shared" ref="X324:X330" si="166">W324/1000</f>
        <v>0</v>
      </c>
      <c r="Y324" s="1023"/>
      <c r="Z324" s="893">
        <f t="shared" si="135"/>
        <v>0</v>
      </c>
      <c r="AA324" s="484">
        <f t="shared" si="161"/>
        <v>0</v>
      </c>
      <c r="AB324" s="484"/>
      <c r="AC324" s="900"/>
      <c r="AF324" s="870"/>
      <c r="AH324" s="870">
        <f>SUM(AD324:AG324)</f>
        <v>0</v>
      </c>
      <c r="AI324" s="861">
        <f t="shared" si="162"/>
        <v>0</v>
      </c>
      <c r="AJ324" s="605" t="s">
        <v>699</v>
      </c>
      <c r="AK324" s="605" t="s">
        <v>1128</v>
      </c>
      <c r="AL324" s="605" t="b">
        <f t="shared" si="131"/>
        <v>0</v>
      </c>
      <c r="AM324" s="899">
        <f>'Estimate Summary'!$D$9</f>
        <v>1</v>
      </c>
      <c r="AN324" s="605" t="s">
        <v>1136</v>
      </c>
      <c r="AO324" s="899">
        <f t="shared" si="132"/>
        <v>0</v>
      </c>
      <c r="AP324" s="605">
        <f t="shared" si="127"/>
        <v>0</v>
      </c>
      <c r="AQ324" s="605" t="s">
        <v>1139</v>
      </c>
      <c r="AR324" s="605" t="s">
        <v>670</v>
      </c>
      <c r="AS324" s="605" t="s">
        <v>745</v>
      </c>
      <c r="AT324" s="605" t="s">
        <v>701</v>
      </c>
      <c r="AU324" s="610" t="b">
        <f t="shared" si="133"/>
        <v>0</v>
      </c>
      <c r="AV324" s="605" t="s">
        <v>1140</v>
      </c>
      <c r="AW324" s="2255">
        <f t="shared" si="134"/>
        <v>43132</v>
      </c>
    </row>
    <row r="325" spans="1:49" s="605" customFormat="1" outlineLevel="1">
      <c r="A325" s="697"/>
      <c r="B325" s="1079" t="s">
        <v>698</v>
      </c>
      <c r="C325" s="2094" t="s">
        <v>1143</v>
      </c>
      <c r="D325" s="1830" t="s">
        <v>181</v>
      </c>
      <c r="E325" s="1024"/>
      <c r="F325" s="390"/>
      <c r="G325" s="421">
        <v>7</v>
      </c>
      <c r="H325" s="1738">
        <f>G325</f>
        <v>7</v>
      </c>
      <c r="I325" s="469">
        <f>IF('Estimate Summary'!$D$9&lt;2,0,$H325)</f>
        <v>0</v>
      </c>
      <c r="J325" s="469">
        <f>IF('Estimate Summary'!$D$9&lt;3,0,$H325)</f>
        <v>0</v>
      </c>
      <c r="K325" s="469">
        <f>IF('Estimate Summary'!$D$9&lt;4,0,$H325)</f>
        <v>0</v>
      </c>
      <c r="L325" s="469">
        <f>IF('Estimate Summary'!$D$9&lt;5,0,$H325)</f>
        <v>0</v>
      </c>
      <c r="M325" s="469">
        <f>IF('Estimate Summary'!$D$9&lt;6,0,$H325)</f>
        <v>0</v>
      </c>
      <c r="N325" s="996"/>
      <c r="P325" s="1010">
        <f t="shared" si="165"/>
        <v>21</v>
      </c>
      <c r="Q325" s="799">
        <v>43132</v>
      </c>
      <c r="R325" s="795">
        <f>$R$2+30.42*'Offshore CF'!CR13</f>
        <v>43864.78</v>
      </c>
      <c r="S325" s="475" t="s">
        <v>127</v>
      </c>
      <c r="T325" s="475" t="s">
        <v>180</v>
      </c>
      <c r="U325" s="605" t="s">
        <v>676</v>
      </c>
      <c r="V325" s="486" t="str">
        <f t="shared" si="130"/>
        <v>CNY</v>
      </c>
      <c r="W325" s="2387"/>
      <c r="X325" s="1021">
        <f t="shared" si="166"/>
        <v>0</v>
      </c>
      <c r="Y325" s="1023"/>
      <c r="Z325" s="893">
        <f t="shared" si="135"/>
        <v>0</v>
      </c>
      <c r="AA325" s="484">
        <f t="shared" si="161"/>
        <v>0</v>
      </c>
      <c r="AB325" s="484">
        <f>IF(V325="CNY",X325*(1-Z325),IF(V325="EUR",X325*(1-Z325)*$T$5,IF(V325="JPY",X325*(1-Z325)*$T$6,IF(V325="USD",X325*(1-Z325)*$T$7))))</f>
        <v>0</v>
      </c>
      <c r="AC325" s="900"/>
      <c r="AF325" s="870"/>
      <c r="AH325" s="870"/>
      <c r="AI325" s="861">
        <f t="shared" si="162"/>
        <v>0</v>
      </c>
      <c r="AJ325" s="605" t="s">
        <v>699</v>
      </c>
      <c r="AK325" s="605" t="s">
        <v>1128</v>
      </c>
      <c r="AL325" s="605" t="str">
        <f t="shared" si="131"/>
        <v>CN</v>
      </c>
      <c r="AM325" s="899">
        <f>'Estimate Summary'!$D$9</f>
        <v>1</v>
      </c>
      <c r="AN325" s="605" t="s">
        <v>1136</v>
      </c>
      <c r="AO325" s="899">
        <f t="shared" si="132"/>
        <v>7</v>
      </c>
      <c r="AP325" s="605" t="str">
        <f t="shared" si="127"/>
        <v>CNY</v>
      </c>
      <c r="AQ325" s="605" t="s">
        <v>1139</v>
      </c>
      <c r="AR325" s="605" t="s">
        <v>670</v>
      </c>
      <c r="AS325" s="605" t="s">
        <v>745</v>
      </c>
      <c r="AT325" s="605" t="s">
        <v>701</v>
      </c>
      <c r="AU325" s="610" t="str">
        <f t="shared" si="133"/>
        <v>CN</v>
      </c>
      <c r="AV325" s="605" t="s">
        <v>1140</v>
      </c>
      <c r="AW325" s="2255">
        <f t="shared" si="134"/>
        <v>43132</v>
      </c>
    </row>
    <row r="326" spans="1:49" s="605" customFormat="1" outlineLevel="1">
      <c r="A326" s="697"/>
      <c r="B326" s="1079" t="s">
        <v>698</v>
      </c>
      <c r="C326" s="2094" t="s">
        <v>1673</v>
      </c>
      <c r="D326" s="1830" t="s">
        <v>181</v>
      </c>
      <c r="E326" s="1024"/>
      <c r="F326" s="390"/>
      <c r="G326" s="421">
        <v>15</v>
      </c>
      <c r="H326" s="1738">
        <f>G326</f>
        <v>15</v>
      </c>
      <c r="I326" s="469">
        <f>IF('Estimate Summary'!$D$9&lt;2,0,$H326)</f>
        <v>0</v>
      </c>
      <c r="J326" s="469">
        <f>IF('Estimate Summary'!$D$9&lt;3,0,$H326)</f>
        <v>0</v>
      </c>
      <c r="K326" s="469">
        <f>IF('Estimate Summary'!$D$9&lt;4,0,$H326)</f>
        <v>0</v>
      </c>
      <c r="L326" s="469">
        <f>IF('Estimate Summary'!$D$9&lt;5,0,$H326)</f>
        <v>0</v>
      </c>
      <c r="M326" s="469">
        <f>IF('Estimate Summary'!$D$9&lt;6,0,$H326)</f>
        <v>0</v>
      </c>
      <c r="N326" s="996" t="s">
        <v>1675</v>
      </c>
      <c r="P326" s="1010">
        <f t="shared" ref="P326" si="167">IF(Q326=0,0,(YEAR(R326)-YEAR(Q326))*12+(MONTH(R326)-MONTH(Q326)))-3</f>
        <v>28</v>
      </c>
      <c r="Q326" s="799">
        <v>43132</v>
      </c>
      <c r="R326" s="795">
        <f>$R$2+30.42*'Offshore CF'!CR14</f>
        <v>44077.72</v>
      </c>
      <c r="S326" s="475" t="s">
        <v>127</v>
      </c>
      <c r="T326" s="475" t="s">
        <v>180</v>
      </c>
      <c r="U326" s="605" t="s">
        <v>676</v>
      </c>
      <c r="V326" s="486" t="str">
        <f t="shared" ref="V326" si="168">D326</f>
        <v>CNY</v>
      </c>
      <c r="W326" s="2387"/>
      <c r="X326" s="1021">
        <f t="shared" ref="X326" si="169">W326/1000</f>
        <v>0</v>
      </c>
      <c r="Y326" s="1023"/>
      <c r="Z326" s="893">
        <f t="shared" ref="Z326" si="170">Y326+$Z$78</f>
        <v>0</v>
      </c>
      <c r="AA326" s="484">
        <f t="shared" ref="AA326" si="171">X326*(1-Z326)</f>
        <v>0</v>
      </c>
      <c r="AB326" s="484">
        <f>IF(V326="CNY",X326*(1-Z326),IF(V326="EUR",X326*(1-Z326)*$T$5,IF(V326="JPY",X326*(1-Z326)*$T$6,IF(V326="USD",X326*(1-Z326)*$T$7))))</f>
        <v>0</v>
      </c>
      <c r="AC326" s="900"/>
      <c r="AF326" s="870"/>
      <c r="AH326" s="870"/>
      <c r="AI326" s="861">
        <f t="shared" ref="AI326" si="172">AB326+AH326</f>
        <v>0</v>
      </c>
      <c r="AJ326" s="605" t="s">
        <v>699</v>
      </c>
      <c r="AK326" s="605" t="s">
        <v>1128</v>
      </c>
      <c r="AL326" s="605" t="str">
        <f t="shared" ref="AL326" si="173">IF(D326="CNY","CN",IF(D326="EUR","DE",IF(D326="USD","US",IF(D326="JPY","JP",IF(D326="INR","IN")))))</f>
        <v>CN</v>
      </c>
      <c r="AM326" s="899">
        <f>'Estimate Summary'!$D$9</f>
        <v>1</v>
      </c>
      <c r="AN326" s="605" t="s">
        <v>1136</v>
      </c>
      <c r="AO326" s="899">
        <f t="shared" ref="AO326" si="174">G326</f>
        <v>15</v>
      </c>
      <c r="AP326" s="605" t="str">
        <f t="shared" ref="AP326" si="175">D326</f>
        <v>CNY</v>
      </c>
      <c r="AQ326" s="605" t="s">
        <v>1139</v>
      </c>
      <c r="AR326" s="605" t="s">
        <v>670</v>
      </c>
      <c r="AS326" s="605" t="s">
        <v>745</v>
      </c>
      <c r="AT326" s="605" t="s">
        <v>701</v>
      </c>
      <c r="AU326" s="610" t="str">
        <f t="shared" ref="AU326" si="176">AL326</f>
        <v>CN</v>
      </c>
      <c r="AV326" s="605" t="s">
        <v>1140</v>
      </c>
      <c r="AW326" s="2255">
        <f t="shared" ref="AW326" si="177">Q326</f>
        <v>43132</v>
      </c>
    </row>
    <row r="327" spans="1:49" s="605" customFormat="1" outlineLevel="1">
      <c r="A327" s="697"/>
      <c r="B327" s="1079" t="s">
        <v>698</v>
      </c>
      <c r="C327" s="2096" t="s">
        <v>1144</v>
      </c>
      <c r="D327" s="1830" t="s">
        <v>181</v>
      </c>
      <c r="E327" s="1720">
        <f>GETPIVOTDATA("Purchase Wgt (kg) ",Logistics!$E$3)*1.1</f>
        <v>0</v>
      </c>
      <c r="F327" s="390">
        <f>IF(E327=0,0,H327/E327/1050*10^6)</f>
        <v>0</v>
      </c>
      <c r="G327" s="421"/>
      <c r="H327" s="1738">
        <f>G327</f>
        <v>0</v>
      </c>
      <c r="I327" s="469">
        <f>IF('Estimate Summary'!$D$9&lt;2,0,$H327)</f>
        <v>0</v>
      </c>
      <c r="J327" s="469">
        <f>IF('Estimate Summary'!$D$9&lt;3,0,$H327)</f>
        <v>0</v>
      </c>
      <c r="K327" s="469">
        <f>IF('Estimate Summary'!$D$9&lt;4,0,$H327)</f>
        <v>0</v>
      </c>
      <c r="L327" s="469">
        <f>IF('Estimate Summary'!$D$9&lt;5,0,$H327)</f>
        <v>0</v>
      </c>
      <c r="M327" s="469">
        <f>IF('Estimate Summary'!$D$9&lt;6,0,$H327)</f>
        <v>0</v>
      </c>
      <c r="N327" s="996"/>
      <c r="P327" s="1010">
        <f t="shared" si="165"/>
        <v>21</v>
      </c>
      <c r="Q327" s="799">
        <v>43132</v>
      </c>
      <c r="R327" s="795">
        <f>$R$2+30.42*'Offshore CF'!CR13</f>
        <v>43864.78</v>
      </c>
      <c r="S327" s="475" t="s">
        <v>127</v>
      </c>
      <c r="T327" s="475" t="s">
        <v>180</v>
      </c>
      <c r="U327" s="605" t="s">
        <v>676</v>
      </c>
      <c r="V327" s="486" t="str">
        <f t="shared" si="130"/>
        <v>CNY</v>
      </c>
      <c r="W327" s="2386"/>
      <c r="X327" s="1021">
        <f t="shared" si="166"/>
        <v>0</v>
      </c>
      <c r="Y327" s="1023"/>
      <c r="Z327" s="893">
        <f t="shared" si="135"/>
        <v>0</v>
      </c>
      <c r="AA327" s="484">
        <f t="shared" si="161"/>
        <v>0</v>
      </c>
      <c r="AB327" s="484">
        <f>IF(V327="CNY",X327*(1-Z327),IF(V327="EUR",X327*(1-Z327)*$T$5,IF(V327="JPY",X327*(1-Z327)*$T$6,IF(V327="USD",X327*(1-Z327)*$T$7))))</f>
        <v>0</v>
      </c>
      <c r="AC327" s="900"/>
      <c r="AF327" s="870"/>
      <c r="AH327" s="870"/>
      <c r="AI327" s="861">
        <f t="shared" si="162"/>
        <v>0</v>
      </c>
      <c r="AJ327" s="605" t="s">
        <v>699</v>
      </c>
      <c r="AK327" s="605" t="s">
        <v>1128</v>
      </c>
      <c r="AL327" s="605" t="str">
        <f t="shared" si="131"/>
        <v>CN</v>
      </c>
      <c r="AM327" s="899">
        <f>'Estimate Summary'!$D$9</f>
        <v>1</v>
      </c>
      <c r="AN327" s="605" t="s">
        <v>1136</v>
      </c>
      <c r="AO327" s="899">
        <f t="shared" si="132"/>
        <v>0</v>
      </c>
      <c r="AP327" s="605" t="str">
        <f t="shared" si="127"/>
        <v>CNY</v>
      </c>
      <c r="AQ327" s="605" t="s">
        <v>1139</v>
      </c>
      <c r="AR327" s="605" t="s">
        <v>670</v>
      </c>
      <c r="AS327" s="605" t="s">
        <v>745</v>
      </c>
      <c r="AT327" s="605" t="s">
        <v>701</v>
      </c>
      <c r="AU327" s="610" t="str">
        <f t="shared" si="133"/>
        <v>CN</v>
      </c>
      <c r="AV327" s="605" t="s">
        <v>1140</v>
      </c>
      <c r="AW327" s="2255">
        <f t="shared" si="134"/>
        <v>43132</v>
      </c>
    </row>
    <row r="328" spans="1:49" s="605" customFormat="1" ht="25.5" outlineLevel="1">
      <c r="A328" s="697"/>
      <c r="B328" s="1079" t="s">
        <v>698</v>
      </c>
      <c r="C328" s="2100" t="s">
        <v>1145</v>
      </c>
      <c r="D328" s="1830" t="s">
        <v>181</v>
      </c>
      <c r="E328" s="1720"/>
      <c r="F328" s="1868"/>
      <c r="G328" s="421">
        <f t="shared" si="163"/>
        <v>0</v>
      </c>
      <c r="H328" s="1738">
        <f>G328</f>
        <v>0</v>
      </c>
      <c r="I328" s="469">
        <f>IF('Estimate Summary'!$D$9&lt;2,0,$H328)</f>
        <v>0</v>
      </c>
      <c r="J328" s="469">
        <f>IF('Estimate Summary'!$D$9&lt;3,0,$H328)</f>
        <v>0</v>
      </c>
      <c r="K328" s="469">
        <f>IF('Estimate Summary'!$D$9&lt;4,0,$H328)</f>
        <v>0</v>
      </c>
      <c r="L328" s="469">
        <f>IF('Estimate Summary'!$D$9&lt;5,0,$H328)</f>
        <v>0</v>
      </c>
      <c r="M328" s="469">
        <f>IF('Estimate Summary'!$D$9&lt;6,0,$H328)</f>
        <v>0</v>
      </c>
      <c r="N328" s="996"/>
      <c r="P328" s="1010">
        <f>IF(Q328=0,0,(YEAR(R328)-YEAR(Q328))*12+(MONTH(R328)-MONTH(Q328)))-3</f>
        <v>21</v>
      </c>
      <c r="Q328" s="799">
        <v>43132</v>
      </c>
      <c r="R328" s="795">
        <f>$R$2+30.42*'Offshore CF'!CR13</f>
        <v>43864.78</v>
      </c>
      <c r="S328" s="475" t="s">
        <v>127</v>
      </c>
      <c r="T328" s="475" t="s">
        <v>180</v>
      </c>
      <c r="U328" s="605" t="s">
        <v>676</v>
      </c>
      <c r="V328" s="486" t="str">
        <f t="shared" si="130"/>
        <v>CNY</v>
      </c>
      <c r="W328" s="2386"/>
      <c r="X328" s="1021">
        <f>W328/1000</f>
        <v>0</v>
      </c>
      <c r="Y328" s="1023"/>
      <c r="Z328" s="893">
        <f t="shared" si="135"/>
        <v>0</v>
      </c>
      <c r="AA328" s="484">
        <f t="shared" si="161"/>
        <v>0</v>
      </c>
      <c r="AB328" s="484">
        <f>IF(V328="CNY",X328*(1-Z328),IF(V328="EUR",X328*(1-Z328)*$T$5,IF(V328="JPY",X328*(1-Z328)*$T$6,IF(V328="USD",X328*(1-Z328)*$T$7))))</f>
        <v>0</v>
      </c>
      <c r="AC328" s="900"/>
      <c r="AF328" s="870"/>
      <c r="AH328" s="870"/>
      <c r="AI328" s="861">
        <f t="shared" si="162"/>
        <v>0</v>
      </c>
      <c r="AJ328" s="605" t="s">
        <v>699</v>
      </c>
      <c r="AK328" s="605" t="s">
        <v>1128</v>
      </c>
      <c r="AL328" s="605" t="str">
        <f t="shared" si="131"/>
        <v>CN</v>
      </c>
      <c r="AM328" s="899">
        <f>'Estimate Summary'!$D$9</f>
        <v>1</v>
      </c>
      <c r="AN328" s="605" t="s">
        <v>1136</v>
      </c>
      <c r="AO328" s="899">
        <f t="shared" si="132"/>
        <v>0</v>
      </c>
      <c r="AP328" s="605" t="str">
        <f t="shared" si="127"/>
        <v>CNY</v>
      </c>
      <c r="AQ328" s="605" t="s">
        <v>1139</v>
      </c>
      <c r="AR328" s="605" t="s">
        <v>670</v>
      </c>
      <c r="AS328" s="605" t="s">
        <v>745</v>
      </c>
      <c r="AT328" s="605" t="s">
        <v>701</v>
      </c>
      <c r="AU328" s="610" t="str">
        <f t="shared" si="133"/>
        <v>CN</v>
      </c>
      <c r="AV328" s="605" t="s">
        <v>1140</v>
      </c>
      <c r="AW328" s="2255">
        <f t="shared" si="134"/>
        <v>43132</v>
      </c>
    </row>
    <row r="329" spans="1:49" s="605" customFormat="1" outlineLevel="1">
      <c r="A329" s="697"/>
      <c r="B329" s="1079" t="s">
        <v>698</v>
      </c>
      <c r="C329" s="2101" t="s">
        <v>1146</v>
      </c>
      <c r="D329" s="1830" t="s">
        <v>181</v>
      </c>
      <c r="E329" s="1720"/>
      <c r="F329" s="1868"/>
      <c r="G329" s="421">
        <f t="shared" ref="G329:G330" si="178">AA329</f>
        <v>0</v>
      </c>
      <c r="H329" s="1738">
        <f t="shared" si="164"/>
        <v>0</v>
      </c>
      <c r="I329" s="469">
        <f>IF('Estimate Summary'!$D$9&lt;2,0,$H329)</f>
        <v>0</v>
      </c>
      <c r="J329" s="469">
        <f>IF('Estimate Summary'!$D$9&lt;3,0,$H329)</f>
        <v>0</v>
      </c>
      <c r="K329" s="469">
        <f>IF('Estimate Summary'!$D$9&lt;4,0,$H329)</f>
        <v>0</v>
      </c>
      <c r="L329" s="469">
        <f>IF('Estimate Summary'!$D$9&lt;5,0,$H329)</f>
        <v>0</v>
      </c>
      <c r="M329" s="469">
        <f>IF('Estimate Summary'!$D$9&lt;6,0,$H329)</f>
        <v>0</v>
      </c>
      <c r="N329" s="996"/>
      <c r="P329" s="1010">
        <f>IF(Q329=0,0,(YEAR(R329)-YEAR(Q329))*12+(MONTH(R329)-MONTH(Q329)))-3</f>
        <v>21</v>
      </c>
      <c r="Q329" s="799">
        <v>43132</v>
      </c>
      <c r="R329" s="795">
        <f>$R$2+30.42*'Offshore CF'!CR13</f>
        <v>43864.78</v>
      </c>
      <c r="S329" s="475" t="s">
        <v>127</v>
      </c>
      <c r="T329" s="475" t="s">
        <v>180</v>
      </c>
      <c r="U329" s="605" t="s">
        <v>676</v>
      </c>
      <c r="V329" s="486" t="str">
        <f t="shared" si="130"/>
        <v>CNY</v>
      </c>
      <c r="W329" s="2386">
        <f>'WBC Mfg Matl'!L8</f>
        <v>0</v>
      </c>
      <c r="X329" s="1021">
        <f>W329/1000</f>
        <v>0</v>
      </c>
      <c r="Y329" s="1023"/>
      <c r="Z329" s="893">
        <f t="shared" si="135"/>
        <v>0</v>
      </c>
      <c r="AA329" s="484">
        <f t="shared" si="161"/>
        <v>0</v>
      </c>
      <c r="AB329" s="484">
        <f>IF(V329="CNY",X329*(1-Z329),IF(V329="EUR",X329*(1-Z329)*$T$5,IF(V329="JPY",X329*(1-Z329)*$T$6,IF(V329="USD",X329*(1-Z329)*$T$7))))</f>
        <v>0</v>
      </c>
      <c r="AC329" s="900"/>
      <c r="AF329" s="870"/>
      <c r="AH329" s="870"/>
      <c r="AI329" s="861">
        <f t="shared" si="162"/>
        <v>0</v>
      </c>
      <c r="AJ329" s="605" t="s">
        <v>699</v>
      </c>
      <c r="AK329" s="605" t="s">
        <v>1128</v>
      </c>
      <c r="AL329" s="605" t="str">
        <f t="shared" si="131"/>
        <v>CN</v>
      </c>
      <c r="AM329" s="899">
        <f>'Estimate Summary'!$D$9</f>
        <v>1</v>
      </c>
      <c r="AN329" s="605" t="s">
        <v>1136</v>
      </c>
      <c r="AO329" s="899">
        <f t="shared" si="132"/>
        <v>0</v>
      </c>
      <c r="AP329" s="605" t="str">
        <f t="shared" si="127"/>
        <v>CNY</v>
      </c>
      <c r="AQ329" s="605" t="s">
        <v>1139</v>
      </c>
      <c r="AR329" s="605" t="s">
        <v>670</v>
      </c>
      <c r="AS329" s="605" t="s">
        <v>745</v>
      </c>
      <c r="AT329" s="605" t="s">
        <v>701</v>
      </c>
      <c r="AU329" s="610" t="str">
        <f t="shared" si="133"/>
        <v>CN</v>
      </c>
      <c r="AV329" s="605" t="s">
        <v>1140</v>
      </c>
      <c r="AW329" s="2255">
        <f t="shared" si="134"/>
        <v>43132</v>
      </c>
    </row>
    <row r="330" spans="1:49" s="605" customFormat="1" outlineLevel="1">
      <c r="A330" s="697"/>
      <c r="B330" s="1079" t="s">
        <v>698</v>
      </c>
      <c r="C330" s="2096" t="s">
        <v>1147</v>
      </c>
      <c r="D330" s="1830"/>
      <c r="E330" s="1020"/>
      <c r="F330" s="390"/>
      <c r="G330" s="421">
        <f t="shared" si="178"/>
        <v>0</v>
      </c>
      <c r="H330" s="1738">
        <f t="shared" si="164"/>
        <v>0</v>
      </c>
      <c r="I330" s="469">
        <f>IF('Estimate Summary'!$D$9&lt;2,0,$H330)</f>
        <v>0</v>
      </c>
      <c r="J330" s="469">
        <f>IF('Estimate Summary'!$D$9&lt;3,0,$H330)</f>
        <v>0</v>
      </c>
      <c r="K330" s="469">
        <f>IF('Estimate Summary'!$D$9&lt;4,0,$H330)</f>
        <v>0</v>
      </c>
      <c r="L330" s="469">
        <f>IF('Estimate Summary'!$D$9&lt;5,0,$H330)</f>
        <v>0</v>
      </c>
      <c r="M330" s="469">
        <f>IF('Estimate Summary'!$D$9&lt;6,0,$H330)</f>
        <v>0</v>
      </c>
      <c r="N330" s="1726"/>
      <c r="P330" s="1010">
        <f t="shared" si="165"/>
        <v>21</v>
      </c>
      <c r="Q330" s="799">
        <v>43132</v>
      </c>
      <c r="R330" s="795">
        <f>$R$2+30.42*'Offshore CF'!CR13</f>
        <v>43864.78</v>
      </c>
      <c r="S330" s="475" t="s">
        <v>127</v>
      </c>
      <c r="T330" s="475" t="s">
        <v>180</v>
      </c>
      <c r="U330" s="605" t="s">
        <v>676</v>
      </c>
      <c r="V330" s="486">
        <f t="shared" si="130"/>
        <v>0</v>
      </c>
      <c r="W330" s="1021"/>
      <c r="X330" s="1021">
        <f t="shared" si="166"/>
        <v>0</v>
      </c>
      <c r="Y330" s="933"/>
      <c r="Z330" s="893">
        <f t="shared" si="135"/>
        <v>0</v>
      </c>
      <c r="AA330" s="893"/>
      <c r="AB330" s="484"/>
      <c r="AC330" s="900"/>
      <c r="AF330" s="870"/>
      <c r="AH330" s="870">
        <f>SUM(AD330:AG330)</f>
        <v>0</v>
      </c>
      <c r="AI330" s="861">
        <f t="shared" si="162"/>
        <v>0</v>
      </c>
      <c r="AJ330" s="605" t="s">
        <v>699</v>
      </c>
      <c r="AK330" s="605" t="s">
        <v>1128</v>
      </c>
      <c r="AL330" s="605" t="b">
        <f t="shared" si="131"/>
        <v>0</v>
      </c>
      <c r="AM330" s="899">
        <f>'Estimate Summary'!$D$9</f>
        <v>1</v>
      </c>
      <c r="AN330" s="605" t="s">
        <v>1136</v>
      </c>
      <c r="AO330" s="899">
        <f t="shared" si="132"/>
        <v>0</v>
      </c>
      <c r="AP330" s="605">
        <f t="shared" si="127"/>
        <v>0</v>
      </c>
      <c r="AQ330" s="605" t="s">
        <v>1139</v>
      </c>
      <c r="AR330" s="605" t="s">
        <v>670</v>
      </c>
      <c r="AS330" s="605" t="s">
        <v>745</v>
      </c>
      <c r="AT330" s="605" t="s">
        <v>701</v>
      </c>
      <c r="AU330" s="610" t="b">
        <f t="shared" si="133"/>
        <v>0</v>
      </c>
      <c r="AV330" s="605" t="s">
        <v>1140</v>
      </c>
      <c r="AW330" s="2255">
        <f t="shared" si="134"/>
        <v>43132</v>
      </c>
    </row>
    <row r="331" spans="1:49" s="605" customFormat="1">
      <c r="B331" s="2316"/>
      <c r="C331" s="106" t="s">
        <v>1039</v>
      </c>
      <c r="D331" s="1829"/>
      <c r="E331" s="592">
        <f>SUM(E322:E323)</f>
        <v>3713.2425885530283</v>
      </c>
      <c r="F331" s="1886"/>
      <c r="G331" s="2536">
        <f t="shared" ref="G331:M331" si="179">SUM(G322:G330)</f>
        <v>28</v>
      </c>
      <c r="H331" s="1712">
        <f t="shared" si="179"/>
        <v>28</v>
      </c>
      <c r="I331" s="104">
        <f t="shared" si="179"/>
        <v>0</v>
      </c>
      <c r="J331" s="104">
        <f t="shared" si="179"/>
        <v>0</v>
      </c>
      <c r="K331" s="104">
        <f t="shared" si="179"/>
        <v>0</v>
      </c>
      <c r="L331" s="104">
        <f t="shared" si="179"/>
        <v>0</v>
      </c>
      <c r="M331" s="104">
        <f t="shared" si="179"/>
        <v>0</v>
      </c>
      <c r="N331" s="637"/>
      <c r="P331" s="2329"/>
      <c r="Q331" s="799">
        <v>43132</v>
      </c>
      <c r="R331" s="697"/>
      <c r="S331" s="475"/>
      <c r="T331" s="2330"/>
      <c r="U331" s="605" t="s">
        <v>676</v>
      </c>
      <c r="V331" s="1014">
        <f t="shared" si="130"/>
        <v>0</v>
      </c>
      <c r="W331" s="870"/>
      <c r="X331" s="870"/>
      <c r="Y331" s="888"/>
      <c r="Z331" s="893">
        <f t="shared" si="135"/>
        <v>0</v>
      </c>
      <c r="AA331" s="893"/>
      <c r="AB331" s="484"/>
      <c r="AC331" s="900"/>
      <c r="AF331" s="870"/>
      <c r="AH331" s="870"/>
      <c r="AI331" s="870"/>
      <c r="AJ331" s="605" t="s">
        <v>699</v>
      </c>
      <c r="AK331" s="605" t="s">
        <v>1128</v>
      </c>
      <c r="AL331" s="605" t="b">
        <f t="shared" si="131"/>
        <v>0</v>
      </c>
      <c r="AM331" s="899">
        <f>'Estimate Summary'!$D$9</f>
        <v>1</v>
      </c>
      <c r="AN331" s="605" t="s">
        <v>1136</v>
      </c>
      <c r="AO331" s="899">
        <f t="shared" si="132"/>
        <v>28</v>
      </c>
      <c r="AP331" s="605">
        <f t="shared" si="127"/>
        <v>0</v>
      </c>
      <c r="AQ331" s="605" t="s">
        <v>1139</v>
      </c>
      <c r="AR331" s="605" t="s">
        <v>670</v>
      </c>
      <c r="AS331" s="605" t="s">
        <v>745</v>
      </c>
      <c r="AT331" s="605" t="s">
        <v>701</v>
      </c>
      <c r="AU331" s="610" t="b">
        <f t="shared" si="133"/>
        <v>0</v>
      </c>
      <c r="AV331" s="605" t="s">
        <v>1140</v>
      </c>
      <c r="AW331" s="2255">
        <f t="shared" si="134"/>
        <v>43132</v>
      </c>
    </row>
    <row r="332" spans="1:49" s="605" customFormat="1">
      <c r="B332" s="2316"/>
      <c r="C332" s="1730" t="s">
        <v>1150</v>
      </c>
      <c r="D332" s="1829"/>
      <c r="E332" s="1932"/>
      <c r="F332" s="1868"/>
      <c r="G332" s="1869"/>
      <c r="H332" s="1870">
        <f t="shared" ref="H332:M332" si="180">SUM(H333:H334)</f>
        <v>0</v>
      </c>
      <c r="I332" s="1718">
        <f t="shared" si="180"/>
        <v>0</v>
      </c>
      <c r="J332" s="1718">
        <f t="shared" si="180"/>
        <v>0</v>
      </c>
      <c r="K332" s="1718">
        <f t="shared" si="180"/>
        <v>0</v>
      </c>
      <c r="L332" s="1718">
        <f t="shared" si="180"/>
        <v>0</v>
      </c>
      <c r="M332" s="1718">
        <f t="shared" si="180"/>
        <v>0</v>
      </c>
      <c r="N332" s="637"/>
      <c r="P332" s="2279"/>
      <c r="Q332" s="2011">
        <v>43121</v>
      </c>
      <c r="R332" s="476"/>
      <c r="S332" s="485"/>
      <c r="T332" s="2281"/>
      <c r="U332" s="1925" t="s">
        <v>676</v>
      </c>
      <c r="V332" s="1926">
        <f t="shared" si="130"/>
        <v>0</v>
      </c>
      <c r="W332" s="875"/>
      <c r="X332" s="875"/>
      <c r="Y332" s="878"/>
      <c r="Z332" s="891">
        <f t="shared" si="135"/>
        <v>0</v>
      </c>
      <c r="AA332" s="485"/>
      <c r="AB332" s="1927"/>
      <c r="AC332" s="1927"/>
      <c r="AD332" s="476"/>
      <c r="AE332" s="476"/>
      <c r="AF332" s="2282"/>
      <c r="AG332" s="1925"/>
      <c r="AH332" s="875"/>
      <c r="AI332" s="875"/>
      <c r="AJ332" s="605" t="s">
        <v>699</v>
      </c>
      <c r="AK332" s="605" t="s">
        <v>1128</v>
      </c>
      <c r="AL332" s="605" t="b">
        <f t="shared" si="131"/>
        <v>0</v>
      </c>
      <c r="AM332" s="899">
        <f>'Estimate Summary'!$D$9</f>
        <v>1</v>
      </c>
      <c r="AN332" s="605" t="s">
        <v>1136</v>
      </c>
      <c r="AO332" s="899">
        <f t="shared" si="132"/>
        <v>0</v>
      </c>
      <c r="AP332" s="605">
        <f t="shared" si="127"/>
        <v>0</v>
      </c>
      <c r="AQ332" s="605" t="s">
        <v>1139</v>
      </c>
      <c r="AR332" s="605" t="s">
        <v>670</v>
      </c>
      <c r="AS332" s="605" t="s">
        <v>745</v>
      </c>
      <c r="AT332" s="605" t="s">
        <v>701</v>
      </c>
      <c r="AU332" s="610" t="b">
        <f t="shared" si="133"/>
        <v>0</v>
      </c>
      <c r="AV332" s="605" t="s">
        <v>1140</v>
      </c>
      <c r="AW332" s="2255">
        <f t="shared" si="134"/>
        <v>43121</v>
      </c>
    </row>
    <row r="333" spans="1:49" s="605" customFormat="1" outlineLevel="1">
      <c r="B333" s="1079" t="s">
        <v>698</v>
      </c>
      <c r="C333" s="2098" t="s">
        <v>1148</v>
      </c>
      <c r="D333" s="1830" t="s">
        <v>181</v>
      </c>
      <c r="E333" s="1020"/>
      <c r="F333" s="390"/>
      <c r="G333" s="421">
        <f>AA333</f>
        <v>0</v>
      </c>
      <c r="H333" s="1738">
        <f>AB333</f>
        <v>0</v>
      </c>
      <c r="I333" s="469">
        <f>IF('Estimate Summary'!$D$9&lt;2,0,$H333)</f>
        <v>0</v>
      </c>
      <c r="J333" s="469">
        <f>IF('Estimate Summary'!$D$9&lt;3,0,$H333)</f>
        <v>0</v>
      </c>
      <c r="K333" s="469">
        <f>IF('Estimate Summary'!$D$9&lt;4,0,$H333)</f>
        <v>0</v>
      </c>
      <c r="L333" s="469">
        <f>IF('Estimate Summary'!$D$9&lt;5,0,$H333)</f>
        <v>0</v>
      </c>
      <c r="M333" s="469">
        <f>IF('Estimate Summary'!$D$9&lt;6,0,$H333)</f>
        <v>0</v>
      </c>
      <c r="N333" s="1726"/>
      <c r="P333" s="1010">
        <f>IF(Q333=0,0,(YEAR(R333)-YEAR(Q333))*12+(MONTH(R333)-MONTH(Q333)))-3</f>
        <v>22</v>
      </c>
      <c r="Q333" s="799">
        <v>43121</v>
      </c>
      <c r="R333" s="795">
        <f>$R$2+30.42*'Offshore CF'!CR13</f>
        <v>43864.78</v>
      </c>
      <c r="S333" s="475" t="s">
        <v>127</v>
      </c>
      <c r="T333" s="475" t="s">
        <v>180</v>
      </c>
      <c r="U333" s="605" t="s">
        <v>676</v>
      </c>
      <c r="V333" s="486" t="str">
        <f t="shared" si="130"/>
        <v>CNY</v>
      </c>
      <c r="W333" s="1021">
        <f>SUM(AH79:AH253)*1000</f>
        <v>0</v>
      </c>
      <c r="X333" s="1021">
        <f>W333/1000</f>
        <v>0</v>
      </c>
      <c r="Y333" s="933"/>
      <c r="Z333" s="893">
        <f t="shared" si="135"/>
        <v>0</v>
      </c>
      <c r="AA333" s="484">
        <f>X333*(1-Z333)</f>
        <v>0</v>
      </c>
      <c r="AB333" s="484">
        <f>IF(V333="CNY",X333*(1-Z333),IF(V333="EUR",X333*(1-Z333)*$T$5,IF(V333="JPY",X333*(1-Z333)*$T$6,IF(V333="USD",X333*(1-Z333)*$T$7))))</f>
        <v>0</v>
      </c>
      <c r="AC333" s="900"/>
      <c r="AD333" s="605">
        <f>IF(V333&lt;&gt;"CNY",(AB333+#REF!)*AC333,0)</f>
        <v>0</v>
      </c>
      <c r="AF333" s="870">
        <f>IF(V333&lt;&gt;"CNY",(AB333+#REF!)*#REF!,0)</f>
        <v>0</v>
      </c>
      <c r="AG333" s="605">
        <f>IF(V333&lt;&gt;"CNY",E333*#REF!/1000,0)</f>
        <v>0</v>
      </c>
      <c r="AH333" s="870">
        <f>SUM(AD333:AG333)</f>
        <v>0</v>
      </c>
      <c r="AI333" s="861">
        <f>AB333+AH333</f>
        <v>0</v>
      </c>
      <c r="AJ333" s="605" t="s">
        <v>699</v>
      </c>
      <c r="AK333" s="605" t="s">
        <v>1128</v>
      </c>
      <c r="AL333" s="605" t="str">
        <f t="shared" si="131"/>
        <v>CN</v>
      </c>
      <c r="AM333" s="899">
        <f>'Estimate Summary'!$D$9</f>
        <v>1</v>
      </c>
      <c r="AN333" s="605" t="s">
        <v>1136</v>
      </c>
      <c r="AO333" s="899">
        <f t="shared" si="132"/>
        <v>0</v>
      </c>
      <c r="AP333" s="605" t="str">
        <f t="shared" si="127"/>
        <v>CNY</v>
      </c>
      <c r="AQ333" s="605" t="s">
        <v>1139</v>
      </c>
      <c r="AR333" s="605" t="s">
        <v>670</v>
      </c>
      <c r="AS333" s="605" t="s">
        <v>745</v>
      </c>
      <c r="AT333" s="605" t="s">
        <v>701</v>
      </c>
      <c r="AU333" s="610" t="str">
        <f t="shared" si="133"/>
        <v>CN</v>
      </c>
      <c r="AV333" s="605" t="s">
        <v>1140</v>
      </c>
      <c r="AW333" s="2255">
        <f t="shared" si="134"/>
        <v>43121</v>
      </c>
    </row>
    <row r="334" spans="1:49" s="605" customFormat="1" outlineLevel="1">
      <c r="B334" s="1079" t="s">
        <v>698</v>
      </c>
      <c r="C334" s="2098" t="s">
        <v>1149</v>
      </c>
      <c r="D334" s="1830" t="s">
        <v>181</v>
      </c>
      <c r="E334" s="1020"/>
      <c r="F334" s="390"/>
      <c r="G334" s="421">
        <f>AA334</f>
        <v>0</v>
      </c>
      <c r="H334" s="1738">
        <f>AB334</f>
        <v>0</v>
      </c>
      <c r="I334" s="469">
        <f>IF('Estimate Summary'!$D$9&lt;2,0,$H334)</f>
        <v>0</v>
      </c>
      <c r="J334" s="469">
        <f>IF('Estimate Summary'!$D$9&lt;3,0,$H334)</f>
        <v>0</v>
      </c>
      <c r="K334" s="469">
        <f>IF('Estimate Summary'!$D$9&lt;4,0,$H334)</f>
        <v>0</v>
      </c>
      <c r="L334" s="469">
        <f>IF('Estimate Summary'!$D$9&lt;5,0,$H334)</f>
        <v>0</v>
      </c>
      <c r="M334" s="469">
        <f>IF('Estimate Summary'!$D$9&lt;6,0,$H334)</f>
        <v>0</v>
      </c>
      <c r="N334" s="1726"/>
      <c r="P334" s="1010">
        <f>IF(Q334=0,0,(YEAR(R334)-YEAR(Q334))*12+(MONTH(R334)-MONTH(Q334)))-3</f>
        <v>22</v>
      </c>
      <c r="Q334" s="799">
        <v>43121</v>
      </c>
      <c r="R334" s="795">
        <f>$R$2+30.42*'Offshore CF'!CR13</f>
        <v>43864.78</v>
      </c>
      <c r="S334" s="475" t="s">
        <v>127</v>
      </c>
      <c r="T334" s="475" t="s">
        <v>180</v>
      </c>
      <c r="U334" s="605" t="s">
        <v>676</v>
      </c>
      <c r="V334" s="486" t="str">
        <f t="shared" si="130"/>
        <v>CNY</v>
      </c>
      <c r="W334" s="1021">
        <f>'WBC Mfg Matl'!K21</f>
        <v>0</v>
      </c>
      <c r="X334" s="1021">
        <f>W334/1000</f>
        <v>0</v>
      </c>
      <c r="Y334" s="933"/>
      <c r="Z334" s="893">
        <f t="shared" si="135"/>
        <v>0</v>
      </c>
      <c r="AA334" s="484">
        <f>X334*(1-Z334)</f>
        <v>0</v>
      </c>
      <c r="AB334" s="484">
        <f>IF(V334="CNY",X334*(1-Z334),IF(V334="EUR",X334*(1-Z334)*$T$5,IF(V334="JPY",X334*(1-Z334)*$T$6,IF(V334="USD",X334*(1-Z334)*$T$7))))</f>
        <v>0</v>
      </c>
      <c r="AC334" s="900"/>
      <c r="AD334" s="605">
        <f>IF(V334&lt;&gt;"CNY",(AB334+#REF!)*AC334,0)</f>
        <v>0</v>
      </c>
      <c r="AF334" s="870">
        <f>IF(V334&lt;&gt;"CNY",(AB334+#REF!)*#REF!,0)</f>
        <v>0</v>
      </c>
      <c r="AG334" s="605">
        <f>IF(V334&lt;&gt;"CNY",E334*#REF!/1000,0)</f>
        <v>0</v>
      </c>
      <c r="AH334" s="870">
        <f>SUM(AD334:AG334)</f>
        <v>0</v>
      </c>
      <c r="AI334" s="861">
        <f>AB334+AH334</f>
        <v>0</v>
      </c>
      <c r="AJ334" s="605" t="s">
        <v>699</v>
      </c>
      <c r="AK334" s="605" t="s">
        <v>1128</v>
      </c>
      <c r="AL334" s="605" t="str">
        <f t="shared" si="131"/>
        <v>CN</v>
      </c>
      <c r="AM334" s="899">
        <f>'Estimate Summary'!$D$9</f>
        <v>1</v>
      </c>
      <c r="AN334" s="605" t="s">
        <v>1136</v>
      </c>
      <c r="AO334" s="899">
        <f t="shared" si="132"/>
        <v>0</v>
      </c>
      <c r="AP334" s="605" t="str">
        <f t="shared" si="127"/>
        <v>CNY</v>
      </c>
      <c r="AQ334" s="605" t="s">
        <v>1139</v>
      </c>
      <c r="AR334" s="605" t="s">
        <v>670</v>
      </c>
      <c r="AS334" s="605" t="s">
        <v>745</v>
      </c>
      <c r="AT334" s="605" t="s">
        <v>701</v>
      </c>
      <c r="AU334" s="610" t="str">
        <f t="shared" si="133"/>
        <v>CN</v>
      </c>
      <c r="AV334" s="605" t="s">
        <v>1140</v>
      </c>
      <c r="AW334" s="2255">
        <f t="shared" si="134"/>
        <v>43121</v>
      </c>
    </row>
    <row r="335" spans="1:49" s="605" customFormat="1" ht="13.5" thickBot="1">
      <c r="B335" s="2265"/>
      <c r="C335" s="105" t="s">
        <v>1036</v>
      </c>
      <c r="D335" s="1844"/>
      <c r="E335" s="588"/>
      <c r="F335" s="390"/>
      <c r="G335" s="1608"/>
      <c r="H335" s="1712">
        <f t="shared" ref="H335:M335" si="181">H332</f>
        <v>0</v>
      </c>
      <c r="I335" s="104">
        <f t="shared" si="181"/>
        <v>0</v>
      </c>
      <c r="J335" s="104">
        <f t="shared" si="181"/>
        <v>0</v>
      </c>
      <c r="K335" s="104">
        <f t="shared" si="181"/>
        <v>0</v>
      </c>
      <c r="L335" s="104">
        <f t="shared" si="181"/>
        <v>0</v>
      </c>
      <c r="M335" s="104">
        <f t="shared" si="181"/>
        <v>0</v>
      </c>
      <c r="N335" s="1882"/>
      <c r="P335" s="603"/>
      <c r="Q335" s="799">
        <v>43121</v>
      </c>
      <c r="R335" s="610"/>
      <c r="S335" s="551"/>
      <c r="T335" s="551"/>
      <c r="U335" s="610" t="s">
        <v>676</v>
      </c>
      <c r="V335" s="603">
        <f t="shared" si="130"/>
        <v>0</v>
      </c>
      <c r="W335" s="874"/>
      <c r="X335" s="874"/>
      <c r="Y335" s="1671"/>
      <c r="Z335" s="1874"/>
      <c r="AA335" s="1874"/>
      <c r="AB335" s="1022"/>
      <c r="AC335" s="900"/>
      <c r="AF335" s="870"/>
      <c r="AH335" s="870"/>
      <c r="AI335" s="870"/>
      <c r="AJ335" s="605" t="s">
        <v>699</v>
      </c>
      <c r="AK335" s="605" t="s">
        <v>1128</v>
      </c>
      <c r="AL335" s="605" t="b">
        <f t="shared" si="131"/>
        <v>0</v>
      </c>
      <c r="AM335" s="899">
        <f>'Estimate Summary'!$D$9</f>
        <v>1</v>
      </c>
      <c r="AN335" s="605" t="s">
        <v>1136</v>
      </c>
      <c r="AO335" s="899">
        <f t="shared" si="132"/>
        <v>0</v>
      </c>
      <c r="AP335" s="605">
        <f t="shared" si="127"/>
        <v>0</v>
      </c>
      <c r="AQ335" s="605" t="s">
        <v>1139</v>
      </c>
      <c r="AR335" s="605" t="s">
        <v>670</v>
      </c>
      <c r="AS335" s="605" t="s">
        <v>745</v>
      </c>
      <c r="AT335" s="605" t="s">
        <v>701</v>
      </c>
      <c r="AU335" s="610" t="b">
        <f t="shared" si="133"/>
        <v>0</v>
      </c>
      <c r="AV335" s="605" t="s">
        <v>1140</v>
      </c>
      <c r="AW335" s="2255">
        <f t="shared" si="134"/>
        <v>43121</v>
      </c>
    </row>
    <row r="336" spans="1:49" s="605" customFormat="1" hidden="1" outlineLevel="1">
      <c r="B336" s="2265"/>
      <c r="C336" s="2331" t="s">
        <v>1037</v>
      </c>
      <c r="D336" s="2332"/>
      <c r="E336" s="2333"/>
      <c r="F336" s="1770"/>
      <c r="G336" s="1771"/>
      <c r="H336" s="1870">
        <f t="shared" ref="H336:M336" si="182">SUM(H337:H338)</f>
        <v>0</v>
      </c>
      <c r="I336" s="1718">
        <f t="shared" si="182"/>
        <v>0</v>
      </c>
      <c r="J336" s="1718">
        <f t="shared" si="182"/>
        <v>0</v>
      </c>
      <c r="K336" s="1718">
        <f t="shared" si="182"/>
        <v>0</v>
      </c>
      <c r="L336" s="1718">
        <f t="shared" si="182"/>
        <v>0</v>
      </c>
      <c r="M336" s="1718">
        <f t="shared" si="182"/>
        <v>0</v>
      </c>
      <c r="N336" s="1914"/>
      <c r="P336" s="2279"/>
      <c r="Q336" s="2011">
        <v>42683</v>
      </c>
      <c r="R336" s="476"/>
      <c r="S336" s="485"/>
      <c r="T336" s="2281"/>
      <c r="U336" s="1925" t="s">
        <v>676</v>
      </c>
      <c r="V336" s="1926">
        <f t="shared" si="130"/>
        <v>0</v>
      </c>
      <c r="W336" s="875"/>
      <c r="X336" s="875"/>
      <c r="Y336" s="878"/>
      <c r="Z336" s="891"/>
      <c r="AA336" s="485"/>
      <c r="AB336" s="1927"/>
      <c r="AC336" s="1927"/>
      <c r="AD336" s="476"/>
      <c r="AE336" s="476"/>
      <c r="AF336" s="2282"/>
      <c r="AG336" s="1925"/>
      <c r="AH336" s="875"/>
      <c r="AI336" s="875"/>
      <c r="AJ336" s="605" t="s">
        <v>699</v>
      </c>
      <c r="AK336" s="605" t="s">
        <v>1128</v>
      </c>
      <c r="AL336" s="605" t="b">
        <f t="shared" si="131"/>
        <v>0</v>
      </c>
      <c r="AM336" s="899">
        <f>'Estimate Summary'!$D$9</f>
        <v>1</v>
      </c>
      <c r="AN336" s="605" t="s">
        <v>1136</v>
      </c>
      <c r="AO336" s="899">
        <f t="shared" si="132"/>
        <v>0</v>
      </c>
      <c r="AP336" s="605">
        <f t="shared" si="127"/>
        <v>0</v>
      </c>
      <c r="AQ336" s="605" t="s">
        <v>1139</v>
      </c>
      <c r="AR336" s="605" t="s">
        <v>670</v>
      </c>
      <c r="AS336" s="605" t="s">
        <v>745</v>
      </c>
      <c r="AT336" s="605" t="s">
        <v>701</v>
      </c>
      <c r="AU336" s="610" t="b">
        <f t="shared" si="133"/>
        <v>0</v>
      </c>
      <c r="AV336" s="605" t="s">
        <v>1140</v>
      </c>
      <c r="AW336" s="2255">
        <f t="shared" si="134"/>
        <v>42683</v>
      </c>
    </row>
    <row r="337" spans="2:49" s="605" customFormat="1" hidden="1" outlineLevel="1">
      <c r="B337" s="1079" t="s">
        <v>1038</v>
      </c>
      <c r="C337" s="2098" t="s">
        <v>1037</v>
      </c>
      <c r="D337" s="1830" t="s">
        <v>181</v>
      </c>
      <c r="E337" s="1020"/>
      <c r="F337" s="390"/>
      <c r="G337" s="421">
        <f>AA337</f>
        <v>0</v>
      </c>
      <c r="H337" s="1738">
        <f>AB337</f>
        <v>0</v>
      </c>
      <c r="I337" s="469">
        <f>IF('Estimate Summary'!$D$9&lt;2,0,$H337)</f>
        <v>0</v>
      </c>
      <c r="J337" s="469">
        <f>IF('Estimate Summary'!$D$9&lt;3,0,$H337)</f>
        <v>0</v>
      </c>
      <c r="K337" s="469">
        <f>IF('Estimate Summary'!$D$9&lt;4,0,$H337)</f>
        <v>0</v>
      </c>
      <c r="L337" s="469">
        <f>IF('Estimate Summary'!$D$9&lt;5,0,$H337)</f>
        <v>0</v>
      </c>
      <c r="M337" s="469">
        <f>IF('Estimate Summary'!$D$9&lt;6,0,$H337)</f>
        <v>0</v>
      </c>
      <c r="N337" s="1726"/>
      <c r="P337" s="1010">
        <f>IF(Q337=0,0,(YEAR(R337)-YEAR(Q337))*12+(MONTH(R337)-MONTH(Q337)))-3</f>
        <v>36</v>
      </c>
      <c r="Q337" s="799">
        <v>42683</v>
      </c>
      <c r="R337" s="795">
        <f>$R$2+30.42*'Offshore CF'!CR13</f>
        <v>43864.78</v>
      </c>
      <c r="S337" s="475" t="s">
        <v>127</v>
      </c>
      <c r="T337" s="475" t="s">
        <v>180</v>
      </c>
      <c r="U337" s="605" t="s">
        <v>676</v>
      </c>
      <c r="V337" s="486" t="str">
        <f t="shared" si="130"/>
        <v>CNY</v>
      </c>
      <c r="W337" s="1021"/>
      <c r="X337" s="1021">
        <f>W337/1000</f>
        <v>0</v>
      </c>
      <c r="Y337" s="933"/>
      <c r="Z337" s="893">
        <f>Y337+$Z$76</f>
        <v>0</v>
      </c>
      <c r="AA337" s="484">
        <f>X337*(1-Z337)</f>
        <v>0</v>
      </c>
      <c r="AB337" s="484">
        <f>IF(V337="CNY",X337*(1-Z337),IF(V337="EUR",X337*(1-Z337)*$T$5,IF(V337="JPY",X337*(1-Z337)*$T$6,IF(V337="USD",X337*(1-Z337)*$T$7))))</f>
        <v>0</v>
      </c>
      <c r="AC337" s="900"/>
      <c r="AD337" s="605">
        <f>IF(V337&lt;&gt;"CNY",(AB337+#REF!)*AC337,0)</f>
        <v>0</v>
      </c>
      <c r="AF337" s="870">
        <f>IF(V337&lt;&gt;"CNY",(AB337+#REF!)*#REF!,0)</f>
        <v>0</v>
      </c>
      <c r="AG337" s="605">
        <f>IF(V337&lt;&gt;"CNY",E337*#REF!/1000,0)</f>
        <v>0</v>
      </c>
      <c r="AH337" s="870">
        <f>SUM(AD337:AG337)</f>
        <v>0</v>
      </c>
      <c r="AI337" s="861">
        <f>AB337+AH337</f>
        <v>0</v>
      </c>
      <c r="AJ337" s="605" t="s">
        <v>699</v>
      </c>
      <c r="AK337" s="605" t="s">
        <v>1128</v>
      </c>
      <c r="AL337" s="605" t="str">
        <f t="shared" si="131"/>
        <v>CN</v>
      </c>
      <c r="AM337" s="899">
        <f>'Estimate Summary'!$D$9</f>
        <v>1</v>
      </c>
      <c r="AN337" s="605" t="s">
        <v>1136</v>
      </c>
      <c r="AO337" s="899">
        <f t="shared" si="132"/>
        <v>0</v>
      </c>
      <c r="AP337" s="605" t="str">
        <f t="shared" ref="AP337:AP373" si="183">D337</f>
        <v>CNY</v>
      </c>
      <c r="AQ337" s="605" t="s">
        <v>1139</v>
      </c>
      <c r="AR337" s="605" t="s">
        <v>670</v>
      </c>
      <c r="AS337" s="605" t="s">
        <v>745</v>
      </c>
      <c r="AT337" s="605" t="s">
        <v>701</v>
      </c>
      <c r="AU337" s="610" t="str">
        <f t="shared" si="133"/>
        <v>CN</v>
      </c>
      <c r="AV337" s="605" t="s">
        <v>1140</v>
      </c>
      <c r="AW337" s="2255">
        <f t="shared" si="134"/>
        <v>42683</v>
      </c>
    </row>
    <row r="338" spans="2:49" s="605" customFormat="1" hidden="1" outlineLevel="1">
      <c r="B338" s="1079" t="s">
        <v>1038</v>
      </c>
      <c r="C338" s="2098" t="s">
        <v>1037</v>
      </c>
      <c r="D338" s="1830" t="s">
        <v>179</v>
      </c>
      <c r="E338" s="1020"/>
      <c r="F338" s="390"/>
      <c r="G338" s="421">
        <f>AA338</f>
        <v>0</v>
      </c>
      <c r="H338" s="1738">
        <f>AB338</f>
        <v>0</v>
      </c>
      <c r="I338" s="469">
        <f>IF('Estimate Summary'!$D$9&lt;2,0,$H338)</f>
        <v>0</v>
      </c>
      <c r="J338" s="469">
        <f>IF('Estimate Summary'!$D$9&lt;3,0,$H338)</f>
        <v>0</v>
      </c>
      <c r="K338" s="469">
        <f>IF('Estimate Summary'!$D$9&lt;4,0,$H338)</f>
        <v>0</v>
      </c>
      <c r="L338" s="469">
        <f>IF('Estimate Summary'!$D$9&lt;5,0,$H338)</f>
        <v>0</v>
      </c>
      <c r="M338" s="469">
        <f>IF('Estimate Summary'!$D$9&lt;6,0,$H338)</f>
        <v>0</v>
      </c>
      <c r="N338" s="1949"/>
      <c r="P338" s="1010">
        <f>IF(Q338=0,0,(YEAR(R338)-YEAR(Q338))*12+(MONTH(R338)-MONTH(Q338)))-3</f>
        <v>36</v>
      </c>
      <c r="Q338" s="799">
        <v>42683</v>
      </c>
      <c r="R338" s="795">
        <f>$R$2+30.42*'Offshore CF'!CR13</f>
        <v>43864.78</v>
      </c>
      <c r="S338" s="475" t="s">
        <v>127</v>
      </c>
      <c r="T338" s="475" t="s">
        <v>180</v>
      </c>
      <c r="U338" s="605" t="s">
        <v>676</v>
      </c>
      <c r="V338" s="486" t="str">
        <f t="shared" si="130"/>
        <v>EUR</v>
      </c>
      <c r="W338" s="1021"/>
      <c r="X338" s="1021">
        <f>W338/1000</f>
        <v>0</v>
      </c>
      <c r="Y338" s="933"/>
      <c r="Z338" s="893">
        <f>Y338+$Z$76</f>
        <v>0</v>
      </c>
      <c r="AA338" s="484">
        <f>X338*(1-Z338)</f>
        <v>0</v>
      </c>
      <c r="AB338" s="484">
        <f>IF(V338="CNY",X338*(1-Z338),IF(V338="EUR",X338*(1-Z338)*$T$5,IF(V338="JPY",X338*(1-Z338)*$T$6,IF(V338="USD",X338*(1-Z338)*$T$7))))</f>
        <v>0</v>
      </c>
      <c r="AC338" s="900"/>
      <c r="AF338" s="870"/>
      <c r="AH338" s="870"/>
      <c r="AI338" s="861">
        <f>AB338+AH338</f>
        <v>0</v>
      </c>
      <c r="AJ338" s="605" t="s">
        <v>699</v>
      </c>
      <c r="AK338" s="605" t="s">
        <v>1128</v>
      </c>
      <c r="AL338" s="605" t="str">
        <f t="shared" si="131"/>
        <v>DE</v>
      </c>
      <c r="AM338" s="899">
        <f>'Estimate Summary'!$D$9</f>
        <v>1</v>
      </c>
      <c r="AN338" s="605" t="s">
        <v>1136</v>
      </c>
      <c r="AO338" s="899">
        <f t="shared" si="132"/>
        <v>0</v>
      </c>
      <c r="AP338" s="605" t="str">
        <f t="shared" si="183"/>
        <v>EUR</v>
      </c>
      <c r="AQ338" s="605" t="s">
        <v>1139</v>
      </c>
      <c r="AR338" s="605" t="s">
        <v>670</v>
      </c>
      <c r="AS338" s="605" t="s">
        <v>745</v>
      </c>
      <c r="AT338" s="605" t="s">
        <v>701</v>
      </c>
      <c r="AU338" s="610" t="str">
        <f t="shared" si="133"/>
        <v>DE</v>
      </c>
      <c r="AV338" s="605" t="s">
        <v>1140</v>
      </c>
      <c r="AW338" s="2255">
        <f t="shared" si="134"/>
        <v>42683</v>
      </c>
    </row>
    <row r="339" spans="2:49" s="1674" customFormat="1" ht="13.5" hidden="1" outlineLevel="1" thickBot="1">
      <c r="B339" s="1940"/>
      <c r="C339" s="1941" t="s">
        <v>1082</v>
      </c>
      <c r="D339" s="1942"/>
      <c r="E339" s="1665"/>
      <c r="F339" s="1943"/>
      <c r="G339" s="1686"/>
      <c r="H339" s="1686">
        <f t="shared" ref="H339:M339" si="184">H336</f>
        <v>0</v>
      </c>
      <c r="I339" s="1748">
        <f t="shared" si="184"/>
        <v>0</v>
      </c>
      <c r="J339" s="1748">
        <f t="shared" si="184"/>
        <v>0</v>
      </c>
      <c r="K339" s="1748">
        <f t="shared" si="184"/>
        <v>0</v>
      </c>
      <c r="L339" s="1748">
        <f t="shared" si="184"/>
        <v>0</v>
      </c>
      <c r="M339" s="1748">
        <f t="shared" si="184"/>
        <v>0</v>
      </c>
      <c r="N339" s="1944"/>
      <c r="P339" s="1945"/>
      <c r="Q339" s="1946"/>
      <c r="R339" s="1691"/>
      <c r="S339" s="1692"/>
      <c r="T339" s="1692"/>
      <c r="V339" s="1690">
        <f t="shared" si="130"/>
        <v>0</v>
      </c>
      <c r="W339" s="1947"/>
      <c r="X339" s="1947"/>
      <c r="Y339" s="1948"/>
      <c r="Z339" s="1769"/>
      <c r="AA339" s="1684"/>
      <c r="AB339" s="1684"/>
      <c r="AC339" s="1683"/>
      <c r="AF339" s="1684"/>
      <c r="AH339" s="1684"/>
      <c r="AI339" s="1684"/>
      <c r="AL339" s="605" t="b">
        <f t="shared" si="131"/>
        <v>0</v>
      </c>
      <c r="AM339" s="1692">
        <f>'Estimate Summary'!$D$9</f>
        <v>1</v>
      </c>
      <c r="AN339" s="1674" t="s">
        <v>1136</v>
      </c>
      <c r="AO339" s="1692">
        <f t="shared" si="132"/>
        <v>0</v>
      </c>
      <c r="AP339" s="1674">
        <f t="shared" si="183"/>
        <v>0</v>
      </c>
      <c r="AQ339" s="1674" t="s">
        <v>1139</v>
      </c>
      <c r="AR339" s="1674" t="s">
        <v>670</v>
      </c>
      <c r="AS339" s="1674" t="s">
        <v>745</v>
      </c>
      <c r="AT339" s="605" t="s">
        <v>701</v>
      </c>
      <c r="AU339" s="610" t="b">
        <f t="shared" si="133"/>
        <v>0</v>
      </c>
      <c r="AV339" s="1674" t="s">
        <v>1140</v>
      </c>
      <c r="AW339" s="2255">
        <f t="shared" si="134"/>
        <v>0</v>
      </c>
    </row>
    <row r="340" spans="2:49" s="605" customFormat="1" ht="13.5" hidden="1" customHeight="1" outlineLevel="1" thickTop="1">
      <c r="B340" s="1641" t="s">
        <v>1040</v>
      </c>
      <c r="C340" s="1644"/>
      <c r="D340" s="1833"/>
      <c r="E340" s="805" t="s">
        <v>244</v>
      </c>
      <c r="F340" s="805" t="s">
        <v>245</v>
      </c>
      <c r="G340" s="1614"/>
      <c r="H340" s="2272"/>
      <c r="I340" s="2253"/>
      <c r="J340" s="2253"/>
      <c r="K340" s="2253"/>
      <c r="L340" s="2253"/>
      <c r="M340" s="2253"/>
      <c r="N340" s="2273"/>
      <c r="P340" s="1014"/>
      <c r="S340" s="899"/>
      <c r="T340" s="551"/>
      <c r="V340" s="1014">
        <f t="shared" si="130"/>
        <v>0</v>
      </c>
      <c r="W340" s="870"/>
      <c r="X340" s="870"/>
      <c r="Y340" s="900"/>
      <c r="Z340" s="1018"/>
      <c r="AA340" s="1018"/>
      <c r="AB340" s="1022"/>
      <c r="AC340" s="900"/>
      <c r="AF340" s="870"/>
      <c r="AH340" s="870"/>
      <c r="AI340" s="870"/>
      <c r="AL340" s="605" t="b">
        <f t="shared" si="131"/>
        <v>0</v>
      </c>
      <c r="AM340" s="899">
        <f>'Estimate Summary'!$D$9</f>
        <v>1</v>
      </c>
      <c r="AN340" s="605" t="s">
        <v>1136</v>
      </c>
      <c r="AO340" s="899">
        <f t="shared" si="132"/>
        <v>0</v>
      </c>
      <c r="AP340" s="605">
        <f t="shared" si="183"/>
        <v>0</v>
      </c>
      <c r="AQ340" s="605" t="s">
        <v>1139</v>
      </c>
      <c r="AR340" s="605" t="s">
        <v>670</v>
      </c>
      <c r="AS340" s="605" t="s">
        <v>745</v>
      </c>
      <c r="AU340" s="610" t="b">
        <f t="shared" si="133"/>
        <v>0</v>
      </c>
      <c r="AV340" s="605" t="s">
        <v>1140</v>
      </c>
      <c r="AW340" s="2255">
        <f t="shared" si="134"/>
        <v>0</v>
      </c>
    </row>
    <row r="341" spans="2:49" s="605" customFormat="1" ht="12.75" hidden="1" customHeight="1" outlineLevel="1">
      <c r="B341" s="1079"/>
      <c r="C341" s="616" t="s">
        <v>1042</v>
      </c>
      <c r="D341" s="1832"/>
      <c r="E341" s="584">
        <f>153*22.5*8*0</f>
        <v>0</v>
      </c>
      <c r="F341" s="1030"/>
      <c r="G341" s="1616"/>
      <c r="H341" s="1870">
        <f>($E341*$F341)/1000*0.8</f>
        <v>0</v>
      </c>
      <c r="I341" s="1718">
        <f>IF('Estimate Summary'!$D$9&lt;2,0,E341*F341*0.2/1000)</f>
        <v>0</v>
      </c>
      <c r="J341" s="1718">
        <f>IF('Estimate Summary'!$D$9&lt;3,0,$H341)</f>
        <v>0</v>
      </c>
      <c r="K341" s="1718">
        <f>IF('Estimate Summary'!$D$9&lt;4,0,$H341)</f>
        <v>0</v>
      </c>
      <c r="L341" s="1718">
        <f>IF('Estimate Summary'!$D$9&lt;5,0,$H341)</f>
        <v>0</v>
      </c>
      <c r="M341" s="1718">
        <f>IF('Estimate Summary'!$D$9&lt;6,0,$H341)</f>
        <v>0</v>
      </c>
      <c r="N341" s="637"/>
      <c r="P341" s="1014"/>
      <c r="S341" s="899"/>
      <c r="T341" s="551"/>
      <c r="V341" s="2279">
        <f t="shared" si="130"/>
        <v>0</v>
      </c>
      <c r="W341" s="476"/>
      <c r="X341" s="476"/>
      <c r="Y341" s="485"/>
      <c r="Z341" s="2281"/>
      <c r="AA341" s="1925"/>
      <c r="AB341" s="1926"/>
      <c r="AC341" s="875"/>
      <c r="AD341" s="875"/>
      <c r="AE341" s="875"/>
      <c r="AF341" s="891"/>
      <c r="AG341" s="485"/>
      <c r="AH341" s="1927"/>
      <c r="AI341" s="1927"/>
      <c r="AL341" s="605" t="b">
        <f t="shared" si="131"/>
        <v>0</v>
      </c>
      <c r="AM341" s="899">
        <f>'Estimate Summary'!$D$9</f>
        <v>1</v>
      </c>
      <c r="AN341" s="605" t="s">
        <v>1136</v>
      </c>
      <c r="AO341" s="899">
        <f t="shared" si="132"/>
        <v>0</v>
      </c>
      <c r="AP341" s="605">
        <f t="shared" si="183"/>
        <v>0</v>
      </c>
      <c r="AQ341" s="605" t="s">
        <v>1139</v>
      </c>
      <c r="AR341" s="605" t="s">
        <v>670</v>
      </c>
      <c r="AS341" s="605" t="s">
        <v>745</v>
      </c>
      <c r="AU341" s="610" t="b">
        <f t="shared" si="133"/>
        <v>0</v>
      </c>
      <c r="AV341" s="605" t="s">
        <v>1141</v>
      </c>
      <c r="AW341" s="2255">
        <f t="shared" si="134"/>
        <v>0</v>
      </c>
    </row>
    <row r="342" spans="2:49" s="605" customFormat="1" ht="12.75" hidden="1" customHeight="1" outlineLevel="1">
      <c r="B342" s="1079" t="s">
        <v>1041</v>
      </c>
      <c r="C342" s="2101" t="s">
        <v>1107</v>
      </c>
      <c r="D342" s="1845"/>
      <c r="E342" s="1721">
        <f>153*22.5*8*0</f>
        <v>0</v>
      </c>
      <c r="F342" s="1721"/>
      <c r="G342" s="1721"/>
      <c r="H342" s="1774">
        <f>($E342*$F342)/1000*0.8</f>
        <v>0</v>
      </c>
      <c r="I342" s="1775">
        <f>IF('Estimate Summary'!$D$9&lt;2,0,E342*F342*0.2/1000)</f>
        <v>0</v>
      </c>
      <c r="J342" s="1775">
        <f>IF('Estimate Summary'!$D$9&lt;3,0,$H342)</f>
        <v>0</v>
      </c>
      <c r="K342" s="1775">
        <f>IF('Estimate Summary'!$D$9&lt;4,0,$H342)</f>
        <v>0</v>
      </c>
      <c r="L342" s="1775">
        <f>IF('Estimate Summary'!$D$9&lt;5,0,$H342)</f>
        <v>0</v>
      </c>
      <c r="M342" s="1775">
        <f>IF('Estimate Summary'!$D$9&lt;6,0,$H342)</f>
        <v>0</v>
      </c>
      <c r="N342" s="1775"/>
      <c r="P342" s="1014"/>
      <c r="S342" s="899"/>
      <c r="T342" s="551"/>
      <c r="V342" s="1014">
        <f t="shared" ref="V342:V367" si="185">D342</f>
        <v>0</v>
      </c>
      <c r="W342" s="870"/>
      <c r="X342" s="870"/>
      <c r="Y342" s="900"/>
      <c r="Z342" s="1018"/>
      <c r="AA342" s="1018"/>
      <c r="AB342" s="1022"/>
      <c r="AC342" s="900"/>
      <c r="AF342" s="870"/>
      <c r="AH342" s="870"/>
      <c r="AI342" s="870"/>
      <c r="AJ342" s="605" t="s">
        <v>1106</v>
      </c>
      <c r="AK342" s="605" t="s">
        <v>1129</v>
      </c>
      <c r="AL342" s="605" t="b">
        <f t="shared" ref="AL342:AL367" si="186">IF(D342="CNY","CN",IF(D342="EUR","DE",IF(D342="USD","US",IF(D342="JPY","JP",IF(D342="INR","IN")))))</f>
        <v>0</v>
      </c>
      <c r="AM342" s="899">
        <f>'Estimate Summary'!$D$9</f>
        <v>1</v>
      </c>
      <c r="AN342" s="605" t="s">
        <v>1136</v>
      </c>
      <c r="AO342" s="899">
        <f t="shared" ref="AO342:AO367" si="187">G342</f>
        <v>0</v>
      </c>
      <c r="AP342" s="605">
        <f t="shared" si="183"/>
        <v>0</v>
      </c>
      <c r="AQ342" s="605" t="s">
        <v>1139</v>
      </c>
      <c r="AR342" s="605" t="s">
        <v>670</v>
      </c>
      <c r="AS342" s="605" t="s">
        <v>745</v>
      </c>
      <c r="AU342" s="610" t="b">
        <f t="shared" ref="AU342:AU367" si="188">AL342</f>
        <v>0</v>
      </c>
      <c r="AV342" s="605" t="s">
        <v>1141</v>
      </c>
      <c r="AW342" s="2255">
        <f t="shared" ref="AW342:AW373" si="189">Q342</f>
        <v>0</v>
      </c>
    </row>
    <row r="343" spans="2:49" s="605" customFormat="1" ht="12.75" hidden="1" customHeight="1" outlineLevel="1">
      <c r="B343" s="1079" t="s">
        <v>1041</v>
      </c>
      <c r="C343" s="2101" t="s">
        <v>1108</v>
      </c>
      <c r="D343" s="1845"/>
      <c r="E343" s="1721"/>
      <c r="F343" s="1721"/>
      <c r="G343" s="1721"/>
      <c r="H343" s="1774"/>
      <c r="I343" s="1775"/>
      <c r="J343" s="1775"/>
      <c r="K343" s="1775"/>
      <c r="L343" s="1775"/>
      <c r="M343" s="1775"/>
      <c r="N343" s="1775"/>
      <c r="P343" s="1014"/>
      <c r="S343" s="899"/>
      <c r="T343" s="551"/>
      <c r="V343" s="1014">
        <f t="shared" si="185"/>
        <v>0</v>
      </c>
      <c r="W343" s="870"/>
      <c r="X343" s="870"/>
      <c r="Y343" s="900"/>
      <c r="Z343" s="1018"/>
      <c r="AA343" s="1018"/>
      <c r="AB343" s="1022"/>
      <c r="AC343" s="900"/>
      <c r="AF343" s="870"/>
      <c r="AH343" s="870"/>
      <c r="AI343" s="870"/>
      <c r="AJ343" s="605" t="s">
        <v>1106</v>
      </c>
      <c r="AK343" s="605" t="s">
        <v>1129</v>
      </c>
      <c r="AL343" s="605" t="b">
        <f t="shared" si="186"/>
        <v>0</v>
      </c>
      <c r="AM343" s="899">
        <f>'Estimate Summary'!$D$9</f>
        <v>1</v>
      </c>
      <c r="AN343" s="605" t="s">
        <v>1136</v>
      </c>
      <c r="AO343" s="899">
        <f t="shared" si="187"/>
        <v>0</v>
      </c>
      <c r="AP343" s="605">
        <f t="shared" si="183"/>
        <v>0</v>
      </c>
      <c r="AQ343" s="605" t="s">
        <v>1139</v>
      </c>
      <c r="AR343" s="605" t="s">
        <v>670</v>
      </c>
      <c r="AS343" s="605" t="s">
        <v>745</v>
      </c>
      <c r="AU343" s="610" t="b">
        <f t="shared" si="188"/>
        <v>0</v>
      </c>
      <c r="AV343" s="605" t="s">
        <v>1141</v>
      </c>
      <c r="AW343" s="2255">
        <f t="shared" si="189"/>
        <v>0</v>
      </c>
    </row>
    <row r="344" spans="2:49" s="605" customFormat="1" ht="12.75" hidden="1" customHeight="1" outlineLevel="1">
      <c r="B344" s="1079" t="s">
        <v>1041</v>
      </c>
      <c r="C344" s="2101" t="s">
        <v>1109</v>
      </c>
      <c r="D344" s="1845"/>
      <c r="E344" s="1721"/>
      <c r="F344" s="1721"/>
      <c r="G344" s="1721"/>
      <c r="H344" s="1774"/>
      <c r="I344" s="1775"/>
      <c r="J344" s="1775"/>
      <c r="K344" s="1775"/>
      <c r="L344" s="1775"/>
      <c r="M344" s="1775"/>
      <c r="N344" s="1775"/>
      <c r="P344" s="1014"/>
      <c r="S344" s="899"/>
      <c r="T344" s="551"/>
      <c r="V344" s="1014">
        <f t="shared" si="185"/>
        <v>0</v>
      </c>
      <c r="W344" s="870"/>
      <c r="X344" s="870"/>
      <c r="Y344" s="900"/>
      <c r="Z344" s="1018"/>
      <c r="AA344" s="1018"/>
      <c r="AB344" s="1022"/>
      <c r="AC344" s="900"/>
      <c r="AF344" s="870"/>
      <c r="AH344" s="870"/>
      <c r="AI344" s="870"/>
      <c r="AJ344" s="605" t="s">
        <v>1106</v>
      </c>
      <c r="AK344" s="605" t="s">
        <v>1129</v>
      </c>
      <c r="AL344" s="605" t="b">
        <f t="shared" si="186"/>
        <v>0</v>
      </c>
      <c r="AM344" s="899">
        <f>'Estimate Summary'!$D$9</f>
        <v>1</v>
      </c>
      <c r="AN344" s="605" t="s">
        <v>1136</v>
      </c>
      <c r="AO344" s="899">
        <f t="shared" si="187"/>
        <v>0</v>
      </c>
      <c r="AP344" s="605">
        <f t="shared" si="183"/>
        <v>0</v>
      </c>
      <c r="AQ344" s="605" t="s">
        <v>1139</v>
      </c>
      <c r="AR344" s="605" t="s">
        <v>670</v>
      </c>
      <c r="AS344" s="605" t="s">
        <v>745</v>
      </c>
      <c r="AU344" s="610" t="b">
        <f t="shared" si="188"/>
        <v>0</v>
      </c>
      <c r="AV344" s="605" t="s">
        <v>1141</v>
      </c>
      <c r="AW344" s="2255">
        <f t="shared" si="189"/>
        <v>0</v>
      </c>
    </row>
    <row r="345" spans="2:49" s="605" customFormat="1" ht="12.75" hidden="1" customHeight="1" outlineLevel="1">
      <c r="B345" s="1079" t="s">
        <v>1041</v>
      </c>
      <c r="C345" s="2101" t="s">
        <v>1110</v>
      </c>
      <c r="D345" s="1845"/>
      <c r="E345" s="1721"/>
      <c r="F345" s="1721"/>
      <c r="G345" s="1721"/>
      <c r="H345" s="1774">
        <f>H341/4*F345</f>
        <v>0</v>
      </c>
      <c r="I345" s="1775">
        <f>IF('Estimate Summary'!$D$9&lt;2,0,I341/4*F345)</f>
        <v>0</v>
      </c>
      <c r="J345" s="1775">
        <f>IF('Estimate Summary'!$D$9&lt;3,0,$H345)</f>
        <v>0</v>
      </c>
      <c r="K345" s="1775">
        <f>IF('Estimate Summary'!$D$9&lt;4,0,$H345)</f>
        <v>0</v>
      </c>
      <c r="L345" s="1775">
        <f>IF('Estimate Summary'!$D$9&lt;5,0,$H345)</f>
        <v>0</v>
      </c>
      <c r="M345" s="1775">
        <f>IF('Estimate Summary'!$D$9&lt;6,0,$H345)</f>
        <v>0</v>
      </c>
      <c r="N345" s="1775"/>
      <c r="P345" s="1014"/>
      <c r="S345" s="899"/>
      <c r="T345" s="551"/>
      <c r="V345" s="1014">
        <f t="shared" si="185"/>
        <v>0</v>
      </c>
      <c r="W345" s="870"/>
      <c r="X345" s="870"/>
      <c r="Y345" s="900"/>
      <c r="Z345" s="1018"/>
      <c r="AA345" s="1018"/>
      <c r="AB345" s="1022"/>
      <c r="AC345" s="900"/>
      <c r="AF345" s="870"/>
      <c r="AH345" s="870"/>
      <c r="AI345" s="870"/>
      <c r="AJ345" s="605" t="s">
        <v>1106</v>
      </c>
      <c r="AK345" s="605" t="s">
        <v>1129</v>
      </c>
      <c r="AL345" s="605" t="b">
        <f t="shared" si="186"/>
        <v>0</v>
      </c>
      <c r="AM345" s="899">
        <f>'Estimate Summary'!$D$9</f>
        <v>1</v>
      </c>
      <c r="AN345" s="605" t="s">
        <v>1136</v>
      </c>
      <c r="AO345" s="899">
        <f t="shared" si="187"/>
        <v>0</v>
      </c>
      <c r="AP345" s="605">
        <f t="shared" si="183"/>
        <v>0</v>
      </c>
      <c r="AQ345" s="605" t="s">
        <v>1139</v>
      </c>
      <c r="AR345" s="605" t="s">
        <v>670</v>
      </c>
      <c r="AS345" s="605" t="s">
        <v>745</v>
      </c>
      <c r="AU345" s="610" t="b">
        <f t="shared" si="188"/>
        <v>0</v>
      </c>
      <c r="AV345" s="605" t="s">
        <v>1141</v>
      </c>
      <c r="AW345" s="2255">
        <f t="shared" si="189"/>
        <v>0</v>
      </c>
    </row>
    <row r="346" spans="2:49" s="605" customFormat="1" ht="12.75" hidden="1" customHeight="1" outlineLevel="1">
      <c r="B346" s="1079" t="s">
        <v>1041</v>
      </c>
      <c r="C346" s="2101" t="s">
        <v>1111</v>
      </c>
      <c r="D346" s="1845"/>
      <c r="E346" s="1721"/>
      <c r="F346" s="1721"/>
      <c r="G346" s="1721"/>
      <c r="H346" s="1774"/>
      <c r="I346" s="1775"/>
      <c r="J346" s="1775"/>
      <c r="K346" s="1775"/>
      <c r="L346" s="1775"/>
      <c r="M346" s="1775"/>
      <c r="N346" s="1775"/>
      <c r="P346" s="1014"/>
      <c r="S346" s="899"/>
      <c r="T346" s="551"/>
      <c r="V346" s="1014">
        <f t="shared" si="185"/>
        <v>0</v>
      </c>
      <c r="W346" s="870"/>
      <c r="X346" s="870"/>
      <c r="Y346" s="900"/>
      <c r="Z346" s="1018"/>
      <c r="AA346" s="1018"/>
      <c r="AB346" s="1022"/>
      <c r="AC346" s="900"/>
      <c r="AF346" s="870"/>
      <c r="AH346" s="870"/>
      <c r="AI346" s="870"/>
      <c r="AJ346" s="605" t="s">
        <v>1106</v>
      </c>
      <c r="AK346" s="605" t="s">
        <v>1129</v>
      </c>
      <c r="AL346" s="605" t="b">
        <f t="shared" si="186"/>
        <v>0</v>
      </c>
      <c r="AM346" s="899">
        <f>'Estimate Summary'!$D$9</f>
        <v>1</v>
      </c>
      <c r="AN346" s="605" t="s">
        <v>1136</v>
      </c>
      <c r="AO346" s="899">
        <f t="shared" si="187"/>
        <v>0</v>
      </c>
      <c r="AP346" s="605">
        <f t="shared" si="183"/>
        <v>0</v>
      </c>
      <c r="AQ346" s="605" t="s">
        <v>1139</v>
      </c>
      <c r="AR346" s="605" t="s">
        <v>670</v>
      </c>
      <c r="AS346" s="605" t="s">
        <v>745</v>
      </c>
      <c r="AU346" s="610" t="b">
        <f t="shared" si="188"/>
        <v>0</v>
      </c>
      <c r="AV346" s="605" t="s">
        <v>1141</v>
      </c>
      <c r="AW346" s="2255">
        <f t="shared" si="189"/>
        <v>0</v>
      </c>
    </row>
    <row r="347" spans="2:49" s="605" customFormat="1" ht="12.75" hidden="1" customHeight="1" outlineLevel="1">
      <c r="B347" s="1079" t="s">
        <v>1041</v>
      </c>
      <c r="C347" s="2101" t="s">
        <v>1112</v>
      </c>
      <c r="D347" s="1845"/>
      <c r="E347" s="1721"/>
      <c r="F347" s="1721"/>
      <c r="G347" s="1721"/>
      <c r="H347" s="1774"/>
      <c r="I347" s="1775"/>
      <c r="J347" s="1775"/>
      <c r="K347" s="1775"/>
      <c r="L347" s="1775"/>
      <c r="M347" s="1775"/>
      <c r="N347" s="1775"/>
      <c r="P347" s="1014"/>
      <c r="S347" s="899"/>
      <c r="T347" s="551"/>
      <c r="V347" s="1014">
        <f t="shared" si="185"/>
        <v>0</v>
      </c>
      <c r="W347" s="870"/>
      <c r="X347" s="870"/>
      <c r="Y347" s="900"/>
      <c r="Z347" s="1018"/>
      <c r="AA347" s="1018"/>
      <c r="AB347" s="1022"/>
      <c r="AC347" s="900"/>
      <c r="AF347" s="870"/>
      <c r="AH347" s="870"/>
      <c r="AI347" s="870"/>
      <c r="AJ347" s="605" t="s">
        <v>1106</v>
      </c>
      <c r="AK347" s="605" t="s">
        <v>1129</v>
      </c>
      <c r="AL347" s="605" t="b">
        <f t="shared" si="186"/>
        <v>0</v>
      </c>
      <c r="AM347" s="899">
        <f>'Estimate Summary'!$D$9</f>
        <v>1</v>
      </c>
      <c r="AN347" s="605" t="s">
        <v>1136</v>
      </c>
      <c r="AO347" s="899">
        <f t="shared" si="187"/>
        <v>0</v>
      </c>
      <c r="AP347" s="605">
        <f t="shared" si="183"/>
        <v>0</v>
      </c>
      <c r="AQ347" s="605" t="s">
        <v>1139</v>
      </c>
      <c r="AR347" s="605" t="s">
        <v>670</v>
      </c>
      <c r="AS347" s="605" t="s">
        <v>745</v>
      </c>
      <c r="AU347" s="610" t="b">
        <f t="shared" si="188"/>
        <v>0</v>
      </c>
      <c r="AV347" s="605" t="s">
        <v>1141</v>
      </c>
      <c r="AW347" s="2255">
        <f t="shared" si="189"/>
        <v>0</v>
      </c>
    </row>
    <row r="348" spans="2:49" s="605" customFormat="1" ht="12.75" hidden="1" customHeight="1" outlineLevel="1">
      <c r="B348" s="1079" t="s">
        <v>1041</v>
      </c>
      <c r="C348" s="2101" t="s">
        <v>1113</v>
      </c>
      <c r="D348" s="1845"/>
      <c r="E348" s="1721"/>
      <c r="F348" s="1721"/>
      <c r="G348" s="1721"/>
      <c r="H348" s="1774">
        <f>35*T5*(6-0.42)*0</f>
        <v>0</v>
      </c>
      <c r="I348" s="1775">
        <f>35*T5*0.42*0</f>
        <v>0</v>
      </c>
      <c r="J348" s="1775"/>
      <c r="K348" s="1775"/>
      <c r="L348" s="1775"/>
      <c r="M348" s="1775"/>
      <c r="N348" s="1775"/>
      <c r="P348" s="1291"/>
      <c r="S348" s="899"/>
      <c r="T348" s="551"/>
      <c r="V348" s="1014">
        <f t="shared" si="185"/>
        <v>0</v>
      </c>
      <c r="W348" s="870"/>
      <c r="X348" s="870"/>
      <c r="Y348" s="900"/>
      <c r="Z348" s="1018"/>
      <c r="AA348" s="1018"/>
      <c r="AB348" s="1022"/>
      <c r="AC348" s="900"/>
      <c r="AF348" s="870"/>
      <c r="AH348" s="870"/>
      <c r="AI348" s="870"/>
      <c r="AJ348" s="605" t="s">
        <v>1106</v>
      </c>
      <c r="AK348" s="605" t="s">
        <v>1129</v>
      </c>
      <c r="AL348" s="605" t="b">
        <f t="shared" si="186"/>
        <v>0</v>
      </c>
      <c r="AM348" s="899">
        <f>'Estimate Summary'!$D$9</f>
        <v>1</v>
      </c>
      <c r="AN348" s="605" t="s">
        <v>1136</v>
      </c>
      <c r="AO348" s="899">
        <f t="shared" si="187"/>
        <v>0</v>
      </c>
      <c r="AP348" s="605">
        <f t="shared" si="183"/>
        <v>0</v>
      </c>
      <c r="AQ348" s="605" t="s">
        <v>1139</v>
      </c>
      <c r="AR348" s="605" t="s">
        <v>670</v>
      </c>
      <c r="AS348" s="605" t="s">
        <v>745</v>
      </c>
      <c r="AU348" s="610" t="b">
        <f t="shared" si="188"/>
        <v>0</v>
      </c>
      <c r="AV348" s="605" t="s">
        <v>1141</v>
      </c>
      <c r="AW348" s="2255">
        <f t="shared" si="189"/>
        <v>0</v>
      </c>
    </row>
    <row r="349" spans="2:49" s="605" customFormat="1" ht="12.75" hidden="1" customHeight="1" outlineLevel="1">
      <c r="B349" s="1079" t="s">
        <v>1041</v>
      </c>
      <c r="C349" s="2101" t="s">
        <v>1114</v>
      </c>
      <c r="D349" s="1845"/>
      <c r="E349" s="1721"/>
      <c r="F349" s="1721"/>
      <c r="G349" s="1721"/>
      <c r="H349" s="1774"/>
      <c r="I349" s="1775"/>
      <c r="J349" s="1775"/>
      <c r="K349" s="1775"/>
      <c r="L349" s="1775"/>
      <c r="M349" s="1775"/>
      <c r="N349" s="1775"/>
      <c r="P349" s="1291"/>
      <c r="S349" s="899"/>
      <c r="T349" s="551"/>
      <c r="V349" s="1014">
        <f t="shared" si="185"/>
        <v>0</v>
      </c>
      <c r="W349" s="870"/>
      <c r="X349" s="870"/>
      <c r="Y349" s="900"/>
      <c r="Z349" s="1018"/>
      <c r="AA349" s="1018"/>
      <c r="AB349" s="1022"/>
      <c r="AC349" s="900"/>
      <c r="AF349" s="870"/>
      <c r="AH349" s="870"/>
      <c r="AI349" s="870"/>
      <c r="AJ349" s="605" t="s">
        <v>1106</v>
      </c>
      <c r="AK349" s="605" t="s">
        <v>1129</v>
      </c>
      <c r="AL349" s="605" t="b">
        <f t="shared" si="186"/>
        <v>0</v>
      </c>
      <c r="AM349" s="899">
        <f>'Estimate Summary'!$D$9</f>
        <v>1</v>
      </c>
      <c r="AN349" s="605" t="s">
        <v>1136</v>
      </c>
      <c r="AO349" s="899">
        <f t="shared" si="187"/>
        <v>0</v>
      </c>
      <c r="AP349" s="605">
        <f t="shared" si="183"/>
        <v>0</v>
      </c>
      <c r="AQ349" s="605" t="s">
        <v>1139</v>
      </c>
      <c r="AR349" s="605" t="s">
        <v>670</v>
      </c>
      <c r="AS349" s="605" t="s">
        <v>745</v>
      </c>
      <c r="AU349" s="610" t="b">
        <f t="shared" si="188"/>
        <v>0</v>
      </c>
      <c r="AV349" s="605" t="s">
        <v>1141</v>
      </c>
      <c r="AW349" s="2255">
        <f t="shared" si="189"/>
        <v>0</v>
      </c>
    </row>
    <row r="350" spans="2:49" s="605" customFormat="1" ht="12.75" hidden="1" customHeight="1" outlineLevel="1">
      <c r="B350" s="1079" t="s">
        <v>1041</v>
      </c>
      <c r="C350" s="2101" t="s">
        <v>1115</v>
      </c>
      <c r="D350" s="1845"/>
      <c r="E350" s="1721"/>
      <c r="F350" s="1721"/>
      <c r="G350" s="1721"/>
      <c r="H350" s="1774"/>
      <c r="I350" s="1775"/>
      <c r="J350" s="1775"/>
      <c r="K350" s="1775"/>
      <c r="L350" s="1775"/>
      <c r="M350" s="1775"/>
      <c r="N350" s="1775"/>
      <c r="P350" s="1291"/>
      <c r="S350" s="899"/>
      <c r="T350" s="551"/>
      <c r="V350" s="1014">
        <f t="shared" si="185"/>
        <v>0</v>
      </c>
      <c r="W350" s="870"/>
      <c r="X350" s="870"/>
      <c r="Y350" s="900"/>
      <c r="Z350" s="1018"/>
      <c r="AA350" s="1018"/>
      <c r="AB350" s="1022"/>
      <c r="AC350" s="900"/>
      <c r="AF350" s="870"/>
      <c r="AH350" s="870"/>
      <c r="AI350" s="870"/>
      <c r="AJ350" s="605" t="s">
        <v>1106</v>
      </c>
      <c r="AK350" s="605" t="s">
        <v>1129</v>
      </c>
      <c r="AL350" s="605" t="b">
        <f t="shared" si="186"/>
        <v>0</v>
      </c>
      <c r="AM350" s="899">
        <f>'Estimate Summary'!$D$9</f>
        <v>1</v>
      </c>
      <c r="AN350" s="605" t="s">
        <v>1136</v>
      </c>
      <c r="AO350" s="899">
        <f t="shared" si="187"/>
        <v>0</v>
      </c>
      <c r="AP350" s="605">
        <f t="shared" si="183"/>
        <v>0</v>
      </c>
      <c r="AQ350" s="605" t="s">
        <v>1139</v>
      </c>
      <c r="AR350" s="605" t="s">
        <v>670</v>
      </c>
      <c r="AS350" s="605" t="s">
        <v>745</v>
      </c>
      <c r="AU350" s="610" t="b">
        <f t="shared" si="188"/>
        <v>0</v>
      </c>
      <c r="AV350" s="605" t="s">
        <v>1141</v>
      </c>
      <c r="AW350" s="2255">
        <f t="shared" si="189"/>
        <v>0</v>
      </c>
    </row>
    <row r="351" spans="2:49" s="605" customFormat="1" ht="12.75" hidden="1" customHeight="1" outlineLevel="1">
      <c r="B351" s="1079" t="s">
        <v>1044</v>
      </c>
      <c r="C351" s="2101" t="s">
        <v>1116</v>
      </c>
      <c r="D351" s="1845"/>
      <c r="E351" s="1721"/>
      <c r="F351" s="1721">
        <f>6%*0</f>
        <v>0</v>
      </c>
      <c r="G351" s="1721"/>
      <c r="H351" s="1774">
        <f ca="1">F351*'Estimate Summary'!AD68</f>
        <v>0</v>
      </c>
      <c r="I351" s="1775">
        <f>F351*'Estimate Summary'!AE68</f>
        <v>0</v>
      </c>
      <c r="J351" s="1775"/>
      <c r="K351" s="1775"/>
      <c r="L351" s="1775"/>
      <c r="M351" s="1775"/>
      <c r="N351" s="1775"/>
      <c r="P351" s="1014"/>
      <c r="S351" s="899"/>
      <c r="T351" s="551"/>
      <c r="V351" s="1014">
        <f t="shared" si="185"/>
        <v>0</v>
      </c>
      <c r="W351" s="870"/>
      <c r="X351" s="870"/>
      <c r="Y351" s="900"/>
      <c r="Z351" s="1018"/>
      <c r="AA351" s="1018"/>
      <c r="AB351" s="1022"/>
      <c r="AC351" s="900"/>
      <c r="AF351" s="870"/>
      <c r="AH351" s="870"/>
      <c r="AI351" s="870"/>
      <c r="AJ351" s="605" t="s">
        <v>1106</v>
      </c>
      <c r="AK351" s="605" t="s">
        <v>1129</v>
      </c>
      <c r="AL351" s="605" t="b">
        <f t="shared" si="186"/>
        <v>0</v>
      </c>
      <c r="AM351" s="899">
        <f>'Estimate Summary'!$D$9</f>
        <v>1</v>
      </c>
      <c r="AN351" s="605" t="s">
        <v>1136</v>
      </c>
      <c r="AO351" s="899">
        <f t="shared" si="187"/>
        <v>0</v>
      </c>
      <c r="AP351" s="605">
        <f t="shared" si="183"/>
        <v>0</v>
      </c>
      <c r="AQ351" s="605" t="s">
        <v>1139</v>
      </c>
      <c r="AR351" s="605" t="s">
        <v>670</v>
      </c>
      <c r="AS351" s="605" t="s">
        <v>745</v>
      </c>
      <c r="AU351" s="610" t="b">
        <f t="shared" si="188"/>
        <v>0</v>
      </c>
      <c r="AV351" s="605" t="s">
        <v>1141</v>
      </c>
      <c r="AW351" s="2255">
        <f t="shared" si="189"/>
        <v>0</v>
      </c>
    </row>
    <row r="352" spans="2:49" s="605" customFormat="1" ht="12.75" hidden="1" customHeight="1" outlineLevel="1">
      <c r="B352" s="1079" t="s">
        <v>1041</v>
      </c>
      <c r="C352" s="2101" t="s">
        <v>1117</v>
      </c>
      <c r="D352" s="1845"/>
      <c r="E352" s="1721"/>
      <c r="F352" s="1721"/>
      <c r="G352" s="1721"/>
      <c r="H352" s="1774"/>
      <c r="I352" s="1775">
        <f>IF('Estimate Summary'!$D$9&lt;2,0,$H352)</f>
        <v>0</v>
      </c>
      <c r="J352" s="1775">
        <f>IF('Estimate Summary'!$D$9&lt;3,0,$H352)</f>
        <v>0</v>
      </c>
      <c r="K352" s="1775">
        <f>IF('Estimate Summary'!$D$9&lt;4,0,$H352)</f>
        <v>0</v>
      </c>
      <c r="L352" s="1775">
        <f>IF('Estimate Summary'!$D$9&lt;5,0,$H352)</f>
        <v>0</v>
      </c>
      <c r="M352" s="1775">
        <f>IF('Estimate Summary'!$D$9&lt;6,0,$H352)</f>
        <v>0</v>
      </c>
      <c r="N352" s="1775"/>
      <c r="P352" s="1014"/>
      <c r="S352" s="899"/>
      <c r="T352" s="551"/>
      <c r="V352" s="1014">
        <f t="shared" si="185"/>
        <v>0</v>
      </c>
      <c r="W352" s="870"/>
      <c r="X352" s="870"/>
      <c r="Y352" s="900"/>
      <c r="Z352" s="1018"/>
      <c r="AA352" s="1018"/>
      <c r="AB352" s="1022"/>
      <c r="AC352" s="900"/>
      <c r="AF352" s="870"/>
      <c r="AH352" s="870"/>
      <c r="AI352" s="870"/>
      <c r="AJ352" s="605" t="s">
        <v>1106</v>
      </c>
      <c r="AK352" s="605" t="s">
        <v>1129</v>
      </c>
      <c r="AL352" s="605" t="b">
        <f t="shared" si="186"/>
        <v>0</v>
      </c>
      <c r="AM352" s="899">
        <f>'Estimate Summary'!$D$9</f>
        <v>1</v>
      </c>
      <c r="AN352" s="605" t="s">
        <v>1136</v>
      </c>
      <c r="AO352" s="899">
        <f t="shared" si="187"/>
        <v>0</v>
      </c>
      <c r="AP352" s="605">
        <f t="shared" si="183"/>
        <v>0</v>
      </c>
      <c r="AQ352" s="605" t="s">
        <v>1139</v>
      </c>
      <c r="AR352" s="605" t="s">
        <v>670</v>
      </c>
      <c r="AS352" s="605" t="s">
        <v>745</v>
      </c>
      <c r="AU352" s="610" t="b">
        <f t="shared" si="188"/>
        <v>0</v>
      </c>
      <c r="AV352" s="605" t="s">
        <v>1141</v>
      </c>
      <c r="AW352" s="2255">
        <f t="shared" si="189"/>
        <v>0</v>
      </c>
    </row>
    <row r="353" spans="2:49" s="605" customFormat="1" ht="12.75" hidden="1" customHeight="1" outlineLevel="1">
      <c r="B353" s="1079" t="s">
        <v>1043</v>
      </c>
      <c r="C353" s="2101" t="s">
        <v>1118</v>
      </c>
      <c r="D353" s="1845"/>
      <c r="E353" s="1721"/>
      <c r="F353" s="1721"/>
      <c r="G353" s="1721"/>
      <c r="H353" s="1774">
        <f>(611550/2/1000+(32*7*8*75*6.14191658571368+32*1500*6.14191658571368)/1000/2)*0</f>
        <v>0</v>
      </c>
      <c r="I353" s="1775">
        <f>IF('Estimate Summary'!$D$9&lt;2,0,$H353)</f>
        <v>0</v>
      </c>
      <c r="J353" s="1775">
        <f>IF('Estimate Summary'!$D$9&lt;3,0,$H353)</f>
        <v>0</v>
      </c>
      <c r="K353" s="1775">
        <f>IF('Estimate Summary'!$D$9&lt;4,0,$H353)</f>
        <v>0</v>
      </c>
      <c r="L353" s="1775">
        <f>IF('Estimate Summary'!$D$9&lt;5,0,$H353)</f>
        <v>0</v>
      </c>
      <c r="M353" s="1775">
        <f>IF('Estimate Summary'!$D$9&lt;6,0,$H353)</f>
        <v>0</v>
      </c>
      <c r="N353" s="1775"/>
      <c r="P353" s="1014"/>
      <c r="S353" s="899"/>
      <c r="T353" s="551"/>
      <c r="V353" s="1014">
        <f t="shared" si="185"/>
        <v>0</v>
      </c>
      <c r="W353" s="870"/>
      <c r="X353" s="870"/>
      <c r="Y353" s="900"/>
      <c r="Z353" s="1018"/>
      <c r="AA353" s="1018"/>
      <c r="AB353" s="1022"/>
      <c r="AC353" s="900"/>
      <c r="AF353" s="870"/>
      <c r="AH353" s="870"/>
      <c r="AI353" s="870"/>
      <c r="AJ353" s="605" t="s">
        <v>1106</v>
      </c>
      <c r="AK353" s="605" t="s">
        <v>1129</v>
      </c>
      <c r="AL353" s="605" t="b">
        <f t="shared" si="186"/>
        <v>0</v>
      </c>
      <c r="AM353" s="899">
        <f>'Estimate Summary'!$D$9</f>
        <v>1</v>
      </c>
      <c r="AN353" s="605" t="s">
        <v>1136</v>
      </c>
      <c r="AO353" s="899">
        <f t="shared" si="187"/>
        <v>0</v>
      </c>
      <c r="AP353" s="605">
        <f t="shared" si="183"/>
        <v>0</v>
      </c>
      <c r="AQ353" s="605" t="s">
        <v>1139</v>
      </c>
      <c r="AR353" s="605" t="s">
        <v>670</v>
      </c>
      <c r="AS353" s="605" t="s">
        <v>745</v>
      </c>
      <c r="AU353" s="610" t="b">
        <f t="shared" si="188"/>
        <v>0</v>
      </c>
      <c r="AV353" s="605" t="s">
        <v>1141</v>
      </c>
      <c r="AW353" s="2255">
        <f t="shared" si="189"/>
        <v>0</v>
      </c>
    </row>
    <row r="354" spans="2:49" s="605" customFormat="1" ht="12.75" hidden="1" customHeight="1" outlineLevel="1">
      <c r="B354" s="1079" t="s">
        <v>1043</v>
      </c>
      <c r="C354" s="2101" t="s">
        <v>1119</v>
      </c>
      <c r="D354" s="1845"/>
      <c r="E354" s="1721"/>
      <c r="F354" s="1721"/>
      <c r="G354" s="1774"/>
      <c r="H354" s="1774"/>
      <c r="I354" s="1775"/>
      <c r="J354" s="1775"/>
      <c r="K354" s="1775"/>
      <c r="L354" s="1775"/>
      <c r="M354" s="1775"/>
      <c r="N354" s="1775"/>
      <c r="P354" s="1014"/>
      <c r="S354" s="899"/>
      <c r="T354" s="551"/>
      <c r="V354" s="1014">
        <f t="shared" si="185"/>
        <v>0</v>
      </c>
      <c r="W354" s="870"/>
      <c r="X354" s="870"/>
      <c r="Y354" s="900"/>
      <c r="Z354" s="1018"/>
      <c r="AA354" s="1018"/>
      <c r="AB354" s="1022"/>
      <c r="AC354" s="900"/>
      <c r="AF354" s="870"/>
      <c r="AH354" s="870"/>
      <c r="AI354" s="870"/>
      <c r="AJ354" s="605" t="s">
        <v>1106</v>
      </c>
      <c r="AK354" s="605" t="s">
        <v>1129</v>
      </c>
      <c r="AL354" s="605" t="b">
        <f t="shared" si="186"/>
        <v>0</v>
      </c>
      <c r="AM354" s="899">
        <f>'Estimate Summary'!$D$9</f>
        <v>1</v>
      </c>
      <c r="AN354" s="605" t="s">
        <v>1136</v>
      </c>
      <c r="AO354" s="899">
        <f t="shared" si="187"/>
        <v>0</v>
      </c>
      <c r="AP354" s="605">
        <f t="shared" si="183"/>
        <v>0</v>
      </c>
      <c r="AQ354" s="605" t="s">
        <v>1139</v>
      </c>
      <c r="AR354" s="605" t="s">
        <v>670</v>
      </c>
      <c r="AS354" s="605" t="s">
        <v>745</v>
      </c>
      <c r="AU354" s="610" t="b">
        <f t="shared" si="188"/>
        <v>0</v>
      </c>
      <c r="AV354" s="605" t="s">
        <v>1141</v>
      </c>
      <c r="AW354" s="2255">
        <f t="shared" si="189"/>
        <v>0</v>
      </c>
    </row>
    <row r="355" spans="2:49" s="605" customFormat="1" ht="12.75" hidden="1" customHeight="1" outlineLevel="1">
      <c r="B355" s="1079" t="s">
        <v>1043</v>
      </c>
      <c r="C355" s="2101" t="s">
        <v>1120</v>
      </c>
      <c r="D355" s="1845"/>
      <c r="E355" s="1721"/>
      <c r="F355" s="1721"/>
      <c r="G355" s="1774"/>
      <c r="H355" s="1774"/>
      <c r="I355" s="1775"/>
      <c r="J355" s="1775"/>
      <c r="K355" s="1775"/>
      <c r="L355" s="1775"/>
      <c r="M355" s="1775"/>
      <c r="N355" s="1775"/>
      <c r="P355" s="1014"/>
      <c r="S355" s="899"/>
      <c r="T355" s="551"/>
      <c r="V355" s="1014">
        <f t="shared" si="185"/>
        <v>0</v>
      </c>
      <c r="W355" s="870"/>
      <c r="X355" s="870"/>
      <c r="Y355" s="900"/>
      <c r="Z355" s="1018"/>
      <c r="AA355" s="1018"/>
      <c r="AB355" s="1022"/>
      <c r="AC355" s="900"/>
      <c r="AF355" s="870"/>
      <c r="AH355" s="870"/>
      <c r="AI355" s="870"/>
      <c r="AJ355" s="605" t="s">
        <v>1106</v>
      </c>
      <c r="AK355" s="605" t="s">
        <v>1129</v>
      </c>
      <c r="AL355" s="605" t="b">
        <f t="shared" si="186"/>
        <v>0</v>
      </c>
      <c r="AM355" s="899">
        <f>'Estimate Summary'!$D$9</f>
        <v>1</v>
      </c>
      <c r="AN355" s="605" t="s">
        <v>1136</v>
      </c>
      <c r="AO355" s="899">
        <f t="shared" si="187"/>
        <v>0</v>
      </c>
      <c r="AP355" s="605">
        <f t="shared" si="183"/>
        <v>0</v>
      </c>
      <c r="AQ355" s="605" t="s">
        <v>1139</v>
      </c>
      <c r="AR355" s="605" t="s">
        <v>670</v>
      </c>
      <c r="AS355" s="605" t="s">
        <v>745</v>
      </c>
      <c r="AU355" s="610" t="b">
        <f t="shared" si="188"/>
        <v>0</v>
      </c>
      <c r="AV355" s="605" t="s">
        <v>1141</v>
      </c>
      <c r="AW355" s="2255">
        <f t="shared" si="189"/>
        <v>0</v>
      </c>
    </row>
    <row r="356" spans="2:49" s="605" customFormat="1" ht="12.75" hidden="1" customHeight="1" outlineLevel="1">
      <c r="B356" s="1079" t="s">
        <v>1045</v>
      </c>
      <c r="C356" s="2101" t="s">
        <v>1121</v>
      </c>
      <c r="D356" s="1845"/>
      <c r="E356" s="1721"/>
      <c r="F356" s="1721"/>
      <c r="G356" s="1774"/>
      <c r="H356" s="1774"/>
      <c r="I356" s="1775"/>
      <c r="J356" s="1775"/>
      <c r="K356" s="1775"/>
      <c r="L356" s="1775"/>
      <c r="M356" s="1775"/>
      <c r="N356" s="1775"/>
      <c r="P356" s="1014"/>
      <c r="S356" s="899"/>
      <c r="T356" s="551"/>
      <c r="V356" s="1014">
        <f t="shared" si="185"/>
        <v>0</v>
      </c>
      <c r="W356" s="870"/>
      <c r="X356" s="870"/>
      <c r="Y356" s="900"/>
      <c r="Z356" s="1018"/>
      <c r="AA356" s="1018"/>
      <c r="AB356" s="1022"/>
      <c r="AC356" s="900"/>
      <c r="AF356" s="870"/>
      <c r="AH356" s="870"/>
      <c r="AI356" s="870"/>
      <c r="AJ356" s="605" t="s">
        <v>1106</v>
      </c>
      <c r="AK356" s="605" t="s">
        <v>1129</v>
      </c>
      <c r="AL356" s="605" t="b">
        <f t="shared" si="186"/>
        <v>0</v>
      </c>
      <c r="AM356" s="899">
        <f>'Estimate Summary'!$D$9</f>
        <v>1</v>
      </c>
      <c r="AN356" s="605" t="s">
        <v>1136</v>
      </c>
      <c r="AO356" s="899">
        <f t="shared" si="187"/>
        <v>0</v>
      </c>
      <c r="AP356" s="605">
        <f t="shared" si="183"/>
        <v>0</v>
      </c>
      <c r="AQ356" s="605" t="s">
        <v>1139</v>
      </c>
      <c r="AR356" s="605" t="s">
        <v>670</v>
      </c>
      <c r="AS356" s="605" t="s">
        <v>745</v>
      </c>
      <c r="AU356" s="610" t="b">
        <f t="shared" si="188"/>
        <v>0</v>
      </c>
      <c r="AV356" s="605" t="s">
        <v>1141</v>
      </c>
      <c r="AW356" s="2255">
        <f t="shared" si="189"/>
        <v>0</v>
      </c>
    </row>
    <row r="357" spans="2:49" s="1674" customFormat="1" ht="12.75" hidden="1" customHeight="1" outlineLevel="1">
      <c r="B357" s="1672"/>
      <c r="C357" s="1776" t="s">
        <v>1046</v>
      </c>
      <c r="D357" s="1824"/>
      <c r="E357" s="588"/>
      <c r="F357" s="1777"/>
      <c r="G357" s="1778"/>
      <c r="H357" s="1712"/>
      <c r="I357" s="104"/>
      <c r="J357" s="104"/>
      <c r="K357" s="104"/>
      <c r="L357" s="104"/>
      <c r="M357" s="104"/>
      <c r="N357" s="1779"/>
      <c r="P357" s="1690"/>
      <c r="S357" s="1692"/>
      <c r="T357" s="1678"/>
      <c r="V357" s="1690">
        <f t="shared" si="185"/>
        <v>0</v>
      </c>
      <c r="W357" s="1684"/>
      <c r="X357" s="1684"/>
      <c r="Y357" s="1683"/>
      <c r="Z357" s="1769"/>
      <c r="AA357" s="1769"/>
      <c r="AB357" s="1904"/>
      <c r="AC357" s="1683"/>
      <c r="AF357" s="1684"/>
      <c r="AH357" s="1684"/>
      <c r="AI357" s="1684"/>
      <c r="AJ357" s="605" t="s">
        <v>1106</v>
      </c>
      <c r="AK357" s="605" t="s">
        <v>1129</v>
      </c>
      <c r="AL357" s="605" t="b">
        <f t="shared" si="186"/>
        <v>0</v>
      </c>
      <c r="AM357" s="1692">
        <f>'Estimate Summary'!$D$9</f>
        <v>1</v>
      </c>
      <c r="AN357" s="1674" t="s">
        <v>1136</v>
      </c>
      <c r="AO357" s="1692">
        <f t="shared" si="187"/>
        <v>0</v>
      </c>
      <c r="AP357" s="1674">
        <f t="shared" si="183"/>
        <v>0</v>
      </c>
      <c r="AQ357" s="1674" t="s">
        <v>1139</v>
      </c>
      <c r="AR357" s="1674" t="s">
        <v>670</v>
      </c>
      <c r="AS357" s="1674" t="s">
        <v>745</v>
      </c>
      <c r="AU357" s="610" t="b">
        <f t="shared" si="188"/>
        <v>0</v>
      </c>
      <c r="AV357" s="605" t="s">
        <v>1141</v>
      </c>
      <c r="AW357" s="2255">
        <f t="shared" si="189"/>
        <v>0</v>
      </c>
    </row>
    <row r="358" spans="2:49" s="1674" customFormat="1" ht="12.75" hidden="1" customHeight="1" outlineLevel="1">
      <c r="B358" s="1672"/>
      <c r="C358" s="1780" t="s">
        <v>1047</v>
      </c>
      <c r="D358" s="1824"/>
      <c r="E358" s="1668"/>
      <c r="F358" s="1781"/>
      <c r="G358" s="1782"/>
      <c r="H358" s="1767"/>
      <c r="I358" s="1460"/>
      <c r="J358" s="1460"/>
      <c r="K358" s="1460"/>
      <c r="L358" s="1460"/>
      <c r="M358" s="1460"/>
      <c r="N358" s="1768"/>
      <c r="P358" s="2279"/>
      <c r="Q358" s="476"/>
      <c r="R358" s="476"/>
      <c r="S358" s="485"/>
      <c r="T358" s="2281"/>
      <c r="U358" s="1925"/>
      <c r="V358" s="1926">
        <f t="shared" si="185"/>
        <v>0</v>
      </c>
      <c r="W358" s="875"/>
      <c r="X358" s="875"/>
      <c r="Y358" s="878"/>
      <c r="Z358" s="891"/>
      <c r="AA358" s="485"/>
      <c r="AB358" s="1927"/>
      <c r="AC358" s="1927"/>
      <c r="AD358" s="2279"/>
      <c r="AE358" s="2279"/>
      <c r="AF358" s="476"/>
      <c r="AG358" s="485"/>
      <c r="AH358" s="2281"/>
      <c r="AI358" s="1925"/>
      <c r="AJ358" s="605" t="s">
        <v>1106</v>
      </c>
      <c r="AK358" s="605" t="s">
        <v>1129</v>
      </c>
      <c r="AL358" s="605" t="b">
        <f t="shared" si="186"/>
        <v>0</v>
      </c>
      <c r="AM358" s="1692">
        <f>'Estimate Summary'!$D$9</f>
        <v>1</v>
      </c>
      <c r="AN358" s="1674" t="s">
        <v>1136</v>
      </c>
      <c r="AO358" s="1692">
        <f t="shared" si="187"/>
        <v>0</v>
      </c>
      <c r="AP358" s="1674">
        <f t="shared" si="183"/>
        <v>0</v>
      </c>
      <c r="AQ358" s="1674" t="s">
        <v>1139</v>
      </c>
      <c r="AR358" s="1674" t="s">
        <v>670</v>
      </c>
      <c r="AS358" s="1674" t="s">
        <v>745</v>
      </c>
      <c r="AU358" s="610" t="b">
        <f t="shared" si="188"/>
        <v>0</v>
      </c>
      <c r="AV358" s="605" t="s">
        <v>1141</v>
      </c>
      <c r="AW358" s="2255">
        <f t="shared" si="189"/>
        <v>0</v>
      </c>
    </row>
    <row r="359" spans="2:49" s="1674" customFormat="1" ht="12.75" hidden="1" customHeight="1" outlineLevel="1">
      <c r="B359" s="1079" t="s">
        <v>1041</v>
      </c>
      <c r="C359" s="2101" t="s">
        <v>1122</v>
      </c>
      <c r="D359" s="1845"/>
      <c r="E359" s="1721"/>
      <c r="F359" s="1721"/>
      <c r="G359" s="1721"/>
      <c r="H359" s="1774"/>
      <c r="I359" s="1775"/>
      <c r="J359" s="1775"/>
      <c r="K359" s="1775"/>
      <c r="L359" s="1775"/>
      <c r="M359" s="1775"/>
      <c r="N359" s="1775"/>
      <c r="P359" s="1690"/>
      <c r="S359" s="1692"/>
      <c r="T359" s="1678"/>
      <c r="V359" s="1690">
        <f t="shared" si="185"/>
        <v>0</v>
      </c>
      <c r="W359" s="1684"/>
      <c r="X359" s="1684"/>
      <c r="Y359" s="1683"/>
      <c r="Z359" s="1769"/>
      <c r="AA359" s="1769"/>
      <c r="AB359" s="1904"/>
      <c r="AC359" s="1683"/>
      <c r="AF359" s="1684"/>
      <c r="AH359" s="1684"/>
      <c r="AI359" s="1684"/>
      <c r="AJ359" s="605" t="s">
        <v>1106</v>
      </c>
      <c r="AK359" s="605" t="s">
        <v>1129</v>
      </c>
      <c r="AL359" s="605" t="b">
        <f t="shared" si="186"/>
        <v>0</v>
      </c>
      <c r="AM359" s="1692">
        <f>'Estimate Summary'!$D$9</f>
        <v>1</v>
      </c>
      <c r="AN359" s="1674" t="s">
        <v>1136</v>
      </c>
      <c r="AO359" s="1692">
        <f t="shared" si="187"/>
        <v>0</v>
      </c>
      <c r="AP359" s="1674">
        <f t="shared" si="183"/>
        <v>0</v>
      </c>
      <c r="AQ359" s="1674" t="s">
        <v>1139</v>
      </c>
      <c r="AR359" s="1674" t="s">
        <v>670</v>
      </c>
      <c r="AS359" s="1674" t="s">
        <v>745</v>
      </c>
      <c r="AU359" s="610" t="b">
        <f t="shared" si="188"/>
        <v>0</v>
      </c>
      <c r="AV359" s="605" t="s">
        <v>1141</v>
      </c>
      <c r="AW359" s="2255">
        <f t="shared" si="189"/>
        <v>0</v>
      </c>
    </row>
    <row r="360" spans="2:49" s="1674" customFormat="1" ht="12.75" hidden="1" customHeight="1" outlineLevel="1">
      <c r="B360" s="1079" t="s">
        <v>1041</v>
      </c>
      <c r="C360" s="2101" t="s">
        <v>1123</v>
      </c>
      <c r="D360" s="1845"/>
      <c r="E360" s="1721"/>
      <c r="F360" s="1721"/>
      <c r="G360" s="1721"/>
      <c r="H360" s="1774"/>
      <c r="I360" s="1775"/>
      <c r="J360" s="1775"/>
      <c r="K360" s="1775"/>
      <c r="L360" s="1775"/>
      <c r="M360" s="1775"/>
      <c r="N360" s="1775"/>
      <c r="P360" s="1690"/>
      <c r="S360" s="1692"/>
      <c r="T360" s="1678"/>
      <c r="V360" s="1690">
        <f t="shared" si="185"/>
        <v>0</v>
      </c>
      <c r="W360" s="1684"/>
      <c r="X360" s="1684"/>
      <c r="Y360" s="1683"/>
      <c r="Z360" s="1769"/>
      <c r="AA360" s="1769"/>
      <c r="AB360" s="1904"/>
      <c r="AC360" s="1683"/>
      <c r="AF360" s="1684"/>
      <c r="AH360" s="1684"/>
      <c r="AI360" s="1684"/>
      <c r="AJ360" s="605" t="s">
        <v>1106</v>
      </c>
      <c r="AK360" s="605" t="s">
        <v>1129</v>
      </c>
      <c r="AL360" s="605" t="b">
        <f t="shared" si="186"/>
        <v>0</v>
      </c>
      <c r="AM360" s="1692">
        <f>'Estimate Summary'!$D$9</f>
        <v>1</v>
      </c>
      <c r="AN360" s="1674" t="s">
        <v>1136</v>
      </c>
      <c r="AO360" s="1692">
        <f t="shared" si="187"/>
        <v>0</v>
      </c>
      <c r="AP360" s="1674">
        <f t="shared" si="183"/>
        <v>0</v>
      </c>
      <c r="AQ360" s="1674" t="s">
        <v>1139</v>
      </c>
      <c r="AR360" s="1674" t="s">
        <v>670</v>
      </c>
      <c r="AS360" s="1674" t="s">
        <v>745</v>
      </c>
      <c r="AU360" s="610" t="b">
        <f t="shared" si="188"/>
        <v>0</v>
      </c>
      <c r="AV360" s="605" t="s">
        <v>1141</v>
      </c>
      <c r="AW360" s="2255">
        <f t="shared" si="189"/>
        <v>0</v>
      </c>
    </row>
    <row r="361" spans="2:49" s="1674" customFormat="1" ht="12.75" hidden="1" customHeight="1" outlineLevel="1">
      <c r="B361" s="1079" t="s">
        <v>1043</v>
      </c>
      <c r="C361" s="2101" t="s">
        <v>1124</v>
      </c>
      <c r="D361" s="1845"/>
      <c r="E361" s="1721"/>
      <c r="F361" s="1721"/>
      <c r="G361" s="1721"/>
      <c r="H361" s="1774"/>
      <c r="I361" s="1775"/>
      <c r="J361" s="1775"/>
      <c r="K361" s="1775"/>
      <c r="L361" s="1775"/>
      <c r="M361" s="1775"/>
      <c r="N361" s="1775"/>
      <c r="P361" s="1690"/>
      <c r="S361" s="1692"/>
      <c r="T361" s="1678"/>
      <c r="V361" s="1690">
        <f t="shared" si="185"/>
        <v>0</v>
      </c>
      <c r="W361" s="1684"/>
      <c r="X361" s="1684"/>
      <c r="Y361" s="1683"/>
      <c r="Z361" s="1769"/>
      <c r="AA361" s="1769"/>
      <c r="AB361" s="1904"/>
      <c r="AC361" s="1683"/>
      <c r="AF361" s="1684"/>
      <c r="AH361" s="1684"/>
      <c r="AI361" s="1684"/>
      <c r="AJ361" s="605" t="s">
        <v>1106</v>
      </c>
      <c r="AK361" s="605" t="s">
        <v>1129</v>
      </c>
      <c r="AL361" s="605" t="b">
        <f t="shared" si="186"/>
        <v>0</v>
      </c>
      <c r="AM361" s="1692">
        <f>'Estimate Summary'!$D$9</f>
        <v>1</v>
      </c>
      <c r="AN361" s="1674" t="s">
        <v>1136</v>
      </c>
      <c r="AO361" s="1692">
        <f t="shared" si="187"/>
        <v>0</v>
      </c>
      <c r="AP361" s="1674">
        <f t="shared" si="183"/>
        <v>0</v>
      </c>
      <c r="AQ361" s="1674" t="s">
        <v>1139</v>
      </c>
      <c r="AR361" s="1674" t="s">
        <v>670</v>
      </c>
      <c r="AS361" s="1674" t="s">
        <v>745</v>
      </c>
      <c r="AU361" s="610" t="b">
        <f t="shared" si="188"/>
        <v>0</v>
      </c>
      <c r="AV361" s="605" t="s">
        <v>1141</v>
      </c>
      <c r="AW361" s="2255">
        <f t="shared" si="189"/>
        <v>0</v>
      </c>
    </row>
    <row r="362" spans="2:49" s="1674" customFormat="1" ht="12.75" hidden="1" customHeight="1" outlineLevel="1">
      <c r="B362" s="1079" t="s">
        <v>1043</v>
      </c>
      <c r="C362" s="2101" t="s">
        <v>1125</v>
      </c>
      <c r="D362" s="1845"/>
      <c r="E362" s="1721"/>
      <c r="F362" s="1721"/>
      <c r="G362" s="1721"/>
      <c r="H362" s="1774"/>
      <c r="I362" s="1775"/>
      <c r="J362" s="1775"/>
      <c r="K362" s="1775"/>
      <c r="L362" s="1775"/>
      <c r="M362" s="1775"/>
      <c r="N362" s="1775"/>
      <c r="P362" s="1690"/>
      <c r="S362" s="1692"/>
      <c r="T362" s="1678"/>
      <c r="V362" s="1690">
        <f t="shared" si="185"/>
        <v>0</v>
      </c>
      <c r="W362" s="1684"/>
      <c r="X362" s="1684"/>
      <c r="Y362" s="1683"/>
      <c r="Z362" s="1769"/>
      <c r="AA362" s="1769"/>
      <c r="AB362" s="1904"/>
      <c r="AC362" s="1683"/>
      <c r="AF362" s="1684"/>
      <c r="AH362" s="1684"/>
      <c r="AI362" s="1684"/>
      <c r="AJ362" s="605" t="s">
        <v>1106</v>
      </c>
      <c r="AK362" s="605" t="s">
        <v>1129</v>
      </c>
      <c r="AL362" s="605" t="b">
        <f t="shared" si="186"/>
        <v>0</v>
      </c>
      <c r="AM362" s="1692">
        <f>'Estimate Summary'!$D$9</f>
        <v>1</v>
      </c>
      <c r="AN362" s="1674" t="s">
        <v>1136</v>
      </c>
      <c r="AO362" s="1692">
        <f t="shared" si="187"/>
        <v>0</v>
      </c>
      <c r="AP362" s="1674">
        <f t="shared" si="183"/>
        <v>0</v>
      </c>
      <c r="AQ362" s="1674" t="s">
        <v>1139</v>
      </c>
      <c r="AR362" s="1674" t="s">
        <v>670</v>
      </c>
      <c r="AS362" s="1674" t="s">
        <v>745</v>
      </c>
      <c r="AU362" s="610" t="b">
        <f t="shared" si="188"/>
        <v>0</v>
      </c>
      <c r="AV362" s="605" t="s">
        <v>1141</v>
      </c>
      <c r="AW362" s="2255">
        <f t="shared" si="189"/>
        <v>0</v>
      </c>
    </row>
    <row r="363" spans="2:49" s="1674" customFormat="1" ht="12.75" hidden="1" customHeight="1" outlineLevel="1">
      <c r="B363" s="1079" t="s">
        <v>1043</v>
      </c>
      <c r="C363" s="2101" t="s">
        <v>1126</v>
      </c>
      <c r="D363" s="1845"/>
      <c r="E363" s="1721"/>
      <c r="F363" s="1721"/>
      <c r="G363" s="1721"/>
      <c r="H363" s="1774"/>
      <c r="I363" s="1775"/>
      <c r="J363" s="1775"/>
      <c r="K363" s="1775"/>
      <c r="L363" s="1775"/>
      <c r="M363" s="1775"/>
      <c r="N363" s="1775"/>
      <c r="P363" s="1690"/>
      <c r="S363" s="1692"/>
      <c r="T363" s="1678"/>
      <c r="V363" s="1690">
        <f t="shared" si="185"/>
        <v>0</v>
      </c>
      <c r="W363" s="1684"/>
      <c r="X363" s="1684"/>
      <c r="Y363" s="1683"/>
      <c r="Z363" s="1769"/>
      <c r="AA363" s="1769"/>
      <c r="AB363" s="1904"/>
      <c r="AC363" s="1683"/>
      <c r="AF363" s="1684"/>
      <c r="AH363" s="1684"/>
      <c r="AI363" s="1684"/>
      <c r="AJ363" s="605" t="s">
        <v>1106</v>
      </c>
      <c r="AK363" s="605" t="s">
        <v>1129</v>
      </c>
      <c r="AL363" s="605" t="b">
        <f t="shared" si="186"/>
        <v>0</v>
      </c>
      <c r="AM363" s="1692">
        <f>'Estimate Summary'!$D$9</f>
        <v>1</v>
      </c>
      <c r="AN363" s="1674" t="s">
        <v>1136</v>
      </c>
      <c r="AO363" s="1692">
        <f t="shared" si="187"/>
        <v>0</v>
      </c>
      <c r="AP363" s="1674">
        <f t="shared" si="183"/>
        <v>0</v>
      </c>
      <c r="AQ363" s="1674" t="s">
        <v>1139</v>
      </c>
      <c r="AR363" s="1674" t="s">
        <v>670</v>
      </c>
      <c r="AS363" s="1674" t="s">
        <v>745</v>
      </c>
      <c r="AU363" s="610" t="b">
        <f t="shared" si="188"/>
        <v>0</v>
      </c>
      <c r="AV363" s="605" t="s">
        <v>1141</v>
      </c>
      <c r="AW363" s="2255">
        <f t="shared" si="189"/>
        <v>0</v>
      </c>
    </row>
    <row r="364" spans="2:49" s="605" customFormat="1" ht="12.75" hidden="1" customHeight="1" outlineLevel="1">
      <c r="B364" s="1079" t="s">
        <v>1043</v>
      </c>
      <c r="C364" s="2101" t="s">
        <v>1127</v>
      </c>
      <c r="D364" s="1845"/>
      <c r="E364" s="1721"/>
      <c r="F364" s="1721">
        <f>1%*0</f>
        <v>0</v>
      </c>
      <c r="G364" s="1721"/>
      <c r="H364" s="1774">
        <f ca="1">F364*'Estimate Summary'!AD68</f>
        <v>0</v>
      </c>
      <c r="I364" s="1775">
        <f>F364*'Estimate Summary'!AE68</f>
        <v>0</v>
      </c>
      <c r="J364" s="1775"/>
      <c r="K364" s="1775"/>
      <c r="L364" s="1775"/>
      <c r="M364" s="1775"/>
      <c r="N364" s="1775"/>
      <c r="P364" s="1014"/>
      <c r="S364" s="899"/>
      <c r="T364" s="551"/>
      <c r="V364" s="1014">
        <f t="shared" si="185"/>
        <v>0</v>
      </c>
      <c r="W364" s="870"/>
      <c r="X364" s="870"/>
      <c r="Y364" s="900"/>
      <c r="Z364" s="1018"/>
      <c r="AA364" s="1018"/>
      <c r="AB364" s="1022"/>
      <c r="AC364" s="900"/>
      <c r="AF364" s="870"/>
      <c r="AH364" s="870"/>
      <c r="AI364" s="870"/>
      <c r="AJ364" s="605" t="s">
        <v>1106</v>
      </c>
      <c r="AK364" s="605" t="s">
        <v>1129</v>
      </c>
      <c r="AL364" s="605" t="b">
        <f t="shared" si="186"/>
        <v>0</v>
      </c>
      <c r="AM364" s="899">
        <f>'Estimate Summary'!$D$9</f>
        <v>1</v>
      </c>
      <c r="AN364" s="605" t="s">
        <v>1136</v>
      </c>
      <c r="AO364" s="899">
        <f t="shared" si="187"/>
        <v>0</v>
      </c>
      <c r="AP364" s="605">
        <f t="shared" si="183"/>
        <v>0</v>
      </c>
      <c r="AQ364" s="605" t="s">
        <v>1139</v>
      </c>
      <c r="AR364" s="605" t="s">
        <v>670</v>
      </c>
      <c r="AS364" s="605" t="s">
        <v>745</v>
      </c>
      <c r="AU364" s="610" t="b">
        <f t="shared" si="188"/>
        <v>0</v>
      </c>
      <c r="AV364" s="605" t="s">
        <v>1141</v>
      </c>
      <c r="AW364" s="2255">
        <f t="shared" si="189"/>
        <v>0</v>
      </c>
    </row>
    <row r="365" spans="2:49" s="605" customFormat="1" ht="12.75" hidden="1" customHeight="1" outlineLevel="1">
      <c r="B365" s="1079" t="s">
        <v>1043</v>
      </c>
      <c r="C365" s="2101" t="s">
        <v>1126</v>
      </c>
      <c r="D365" s="1845"/>
      <c r="E365" s="1721"/>
      <c r="F365" s="1721">
        <f>32%*5%*0</f>
        <v>0</v>
      </c>
      <c r="G365" s="1721"/>
      <c r="H365" s="1774">
        <f ca="1">F365*'Estimate Summary'!AD68</f>
        <v>0</v>
      </c>
      <c r="I365" s="1775">
        <f>F365*'Estimate Summary'!AE68</f>
        <v>0</v>
      </c>
      <c r="J365" s="1775">
        <f>IF('Estimate Summary'!$D$9&lt;3,0,$H365)</f>
        <v>0</v>
      </c>
      <c r="K365" s="1775">
        <f>IF('Estimate Summary'!$D$9&lt;4,0,$H365)</f>
        <v>0</v>
      </c>
      <c r="L365" s="1775">
        <f>IF('Estimate Summary'!$D$9&lt;5,0,$H365)</f>
        <v>0</v>
      </c>
      <c r="M365" s="1775">
        <f>IF('Estimate Summary'!$D$9&lt;6,0,$H365)</f>
        <v>0</v>
      </c>
      <c r="N365" s="1775"/>
      <c r="P365" s="1014"/>
      <c r="S365" s="899"/>
      <c r="T365" s="551"/>
      <c r="V365" s="1014">
        <f t="shared" si="185"/>
        <v>0</v>
      </c>
      <c r="W365" s="870"/>
      <c r="X365" s="870"/>
      <c r="Y365" s="900"/>
      <c r="Z365" s="1018"/>
      <c r="AA365" s="1018"/>
      <c r="AB365" s="1022"/>
      <c r="AC365" s="900"/>
      <c r="AF365" s="870"/>
      <c r="AH365" s="870"/>
      <c r="AI365" s="870"/>
      <c r="AJ365" s="605" t="s">
        <v>1106</v>
      </c>
      <c r="AK365" s="605" t="s">
        <v>1129</v>
      </c>
      <c r="AL365" s="605" t="b">
        <f t="shared" si="186"/>
        <v>0</v>
      </c>
      <c r="AM365" s="899">
        <f>'Estimate Summary'!$D$9</f>
        <v>1</v>
      </c>
      <c r="AN365" s="605" t="s">
        <v>1136</v>
      </c>
      <c r="AO365" s="899">
        <f t="shared" si="187"/>
        <v>0</v>
      </c>
      <c r="AP365" s="605">
        <f t="shared" si="183"/>
        <v>0</v>
      </c>
      <c r="AQ365" s="605" t="s">
        <v>1139</v>
      </c>
      <c r="AR365" s="605" t="s">
        <v>670</v>
      </c>
      <c r="AS365" s="605" t="s">
        <v>745</v>
      </c>
      <c r="AU365" s="610" t="b">
        <f t="shared" si="188"/>
        <v>0</v>
      </c>
      <c r="AV365" s="605" t="s">
        <v>1141</v>
      </c>
      <c r="AW365" s="2255">
        <f t="shared" si="189"/>
        <v>0</v>
      </c>
    </row>
    <row r="366" spans="2:49" s="605" customFormat="1" ht="12.75" hidden="1" customHeight="1" outlineLevel="1">
      <c r="B366" s="2334"/>
      <c r="C366" s="1783" t="s">
        <v>1048</v>
      </c>
      <c r="D366" s="2335"/>
      <c r="E366" s="2336"/>
      <c r="F366" s="1784"/>
      <c r="G366" s="1785"/>
      <c r="H366" s="1772">
        <f t="shared" ref="H366:M366" ca="1" si="190">SUM(H341:H365)</f>
        <v>0</v>
      </c>
      <c r="I366" s="1773">
        <f t="shared" si="190"/>
        <v>0</v>
      </c>
      <c r="J366" s="1773">
        <f t="shared" si="190"/>
        <v>0</v>
      </c>
      <c r="K366" s="1773">
        <f t="shared" si="190"/>
        <v>0</v>
      </c>
      <c r="L366" s="1773">
        <f t="shared" si="190"/>
        <v>0</v>
      </c>
      <c r="M366" s="1773">
        <f t="shared" si="190"/>
        <v>0</v>
      </c>
      <c r="N366" s="1914"/>
      <c r="P366" s="1014"/>
      <c r="S366" s="899"/>
      <c r="T366" s="551"/>
      <c r="V366" s="1014">
        <f t="shared" si="185"/>
        <v>0</v>
      </c>
      <c r="W366" s="870"/>
      <c r="X366" s="870"/>
      <c r="Y366" s="900"/>
      <c r="Z366" s="1018"/>
      <c r="AA366" s="1018"/>
      <c r="AB366" s="1022"/>
      <c r="AC366" s="900"/>
      <c r="AF366" s="870"/>
      <c r="AH366" s="870"/>
      <c r="AI366" s="870"/>
      <c r="AJ366" s="605" t="s">
        <v>1106</v>
      </c>
      <c r="AK366" s="605" t="s">
        <v>1129</v>
      </c>
      <c r="AL366" s="605" t="b">
        <f t="shared" si="186"/>
        <v>0</v>
      </c>
      <c r="AM366" s="899">
        <f>'Estimate Summary'!$D$9</f>
        <v>1</v>
      </c>
      <c r="AN366" s="605" t="s">
        <v>1136</v>
      </c>
      <c r="AO366" s="899">
        <f t="shared" si="187"/>
        <v>0</v>
      </c>
      <c r="AP366" s="605">
        <f t="shared" si="183"/>
        <v>0</v>
      </c>
      <c r="AQ366" s="605" t="s">
        <v>1139</v>
      </c>
      <c r="AR366" s="605" t="s">
        <v>670</v>
      </c>
      <c r="AS366" s="605" t="s">
        <v>745</v>
      </c>
      <c r="AU366" s="610" t="b">
        <f t="shared" si="188"/>
        <v>0</v>
      </c>
      <c r="AV366" s="605" t="s">
        <v>1141</v>
      </c>
      <c r="AW366" s="2255">
        <f t="shared" si="189"/>
        <v>0</v>
      </c>
    </row>
    <row r="367" spans="2:49" s="605" customFormat="1" ht="12.75" hidden="1" customHeight="1" outlineLevel="1" thickBot="1">
      <c r="B367" s="1079" t="s">
        <v>1041</v>
      </c>
      <c r="C367" s="2337" t="s">
        <v>1049</v>
      </c>
      <c r="D367" s="2269"/>
      <c r="E367" s="1804"/>
      <c r="F367" s="1802"/>
      <c r="G367" s="1803"/>
      <c r="H367" s="2338"/>
      <c r="I367" s="2339"/>
      <c r="J367" s="2339"/>
      <c r="K367" s="2339"/>
      <c r="L367" s="2339"/>
      <c r="M367" s="2339"/>
      <c r="N367" s="1765"/>
      <c r="P367" s="1014"/>
      <c r="S367" s="899"/>
      <c r="T367" s="551"/>
      <c r="V367" s="1014">
        <f t="shared" si="185"/>
        <v>0</v>
      </c>
      <c r="W367" s="870"/>
      <c r="X367" s="870"/>
      <c r="Y367" s="900"/>
      <c r="Z367" s="1018"/>
      <c r="AA367" s="1018"/>
      <c r="AB367" s="1022"/>
      <c r="AC367" s="900"/>
      <c r="AF367" s="870"/>
      <c r="AH367" s="870"/>
      <c r="AI367" s="870"/>
      <c r="AJ367" s="605" t="s">
        <v>1106</v>
      </c>
      <c r="AK367" s="605" t="s">
        <v>1129</v>
      </c>
      <c r="AL367" s="605" t="b">
        <f t="shared" si="186"/>
        <v>0</v>
      </c>
      <c r="AM367" s="899">
        <f>'Estimate Summary'!$D$9</f>
        <v>1</v>
      </c>
      <c r="AN367" s="605" t="s">
        <v>1136</v>
      </c>
      <c r="AO367" s="899">
        <f t="shared" si="187"/>
        <v>0</v>
      </c>
      <c r="AP367" s="605">
        <f t="shared" si="183"/>
        <v>0</v>
      </c>
      <c r="AQ367" s="605" t="s">
        <v>1139</v>
      </c>
      <c r="AR367" s="605" t="s">
        <v>670</v>
      </c>
      <c r="AS367" s="605" t="s">
        <v>745</v>
      </c>
      <c r="AU367" s="610" t="b">
        <f t="shared" si="188"/>
        <v>0</v>
      </c>
      <c r="AV367" s="605" t="s">
        <v>1141</v>
      </c>
      <c r="AW367" s="2255">
        <f t="shared" si="189"/>
        <v>0</v>
      </c>
    </row>
    <row r="368" spans="2:49" s="605" customFormat="1" ht="13.5" hidden="1" customHeight="1" outlineLevel="1" thickTop="1">
      <c r="B368" s="1786" t="s">
        <v>146</v>
      </c>
      <c r="C368" s="1787"/>
      <c r="D368" s="1846"/>
      <c r="E368" s="1788"/>
      <c r="F368" s="1789"/>
      <c r="G368" s="1790"/>
      <c r="H368" s="1791"/>
      <c r="I368" s="2340"/>
      <c r="J368" s="2340"/>
      <c r="K368" s="2340"/>
      <c r="L368" s="2340"/>
      <c r="M368" s="2340"/>
      <c r="N368" s="2341"/>
      <c r="P368" s="1014"/>
      <c r="S368" s="899"/>
      <c r="T368" s="551"/>
      <c r="V368" s="1014"/>
      <c r="W368" s="870"/>
      <c r="X368" s="870"/>
      <c r="Y368" s="900"/>
      <c r="Z368" s="1018"/>
      <c r="AA368" s="1018"/>
      <c r="AB368" s="1022"/>
      <c r="AC368" s="900"/>
      <c r="AF368" s="870"/>
      <c r="AH368" s="870"/>
      <c r="AI368" s="870"/>
      <c r="AM368" s="899">
        <f>'Estimate Summary'!$D$9</f>
        <v>1</v>
      </c>
      <c r="AP368" s="605">
        <f t="shared" si="183"/>
        <v>0</v>
      </c>
      <c r="AV368" s="605" t="s">
        <v>1141</v>
      </c>
      <c r="AW368" s="2255">
        <f t="shared" si="189"/>
        <v>0</v>
      </c>
    </row>
    <row r="369" spans="2:49" s="605" customFormat="1" ht="12.75" hidden="1" customHeight="1" outlineLevel="1">
      <c r="B369" s="1792"/>
      <c r="C369" s="1794" t="s">
        <v>74</v>
      </c>
      <c r="D369" s="1829"/>
      <c r="E369" s="1664"/>
      <c r="F369" s="1796"/>
      <c r="G369" s="1797"/>
      <c r="H369" s="1809"/>
      <c r="I369" s="1864">
        <f>IF('Estimate Summary'!$D$9&lt;2,0,$H369)</f>
        <v>0</v>
      </c>
      <c r="J369" s="1864">
        <f>IF('Estimate Summary'!$D$9&lt;3,0,$H369)</f>
        <v>0</v>
      </c>
      <c r="K369" s="1864">
        <f>IF('Estimate Summary'!$D$9&lt;4,0,$H369)</f>
        <v>0</v>
      </c>
      <c r="L369" s="1864">
        <f>IF('Estimate Summary'!$D$9&lt;5,0,$H369)</f>
        <v>0</v>
      </c>
      <c r="M369" s="1864">
        <f>IF('Estimate Summary'!$D$9&lt;6,0,$H369)</f>
        <v>0</v>
      </c>
      <c r="N369" s="1760"/>
      <c r="P369" s="1014"/>
      <c r="S369" s="899"/>
      <c r="T369" s="551"/>
      <c r="V369" s="1014"/>
      <c r="W369" s="870"/>
      <c r="X369" s="870"/>
      <c r="Y369" s="900"/>
      <c r="Z369" s="1018"/>
      <c r="AA369" s="1018"/>
      <c r="AB369" s="1022"/>
      <c r="AC369" s="900"/>
      <c r="AF369" s="870"/>
      <c r="AH369" s="870"/>
      <c r="AI369" s="870"/>
      <c r="AM369" s="899">
        <f>'Estimate Summary'!$D$9</f>
        <v>1</v>
      </c>
      <c r="AP369" s="605">
        <f t="shared" si="183"/>
        <v>0</v>
      </c>
      <c r="AV369" s="605" t="s">
        <v>1141</v>
      </c>
      <c r="AW369" s="2255">
        <f t="shared" si="189"/>
        <v>0</v>
      </c>
    </row>
    <row r="370" spans="2:49" s="605" customFormat="1" ht="12.75" hidden="1" customHeight="1" outlineLevel="1" thickBot="1">
      <c r="B370" s="1792"/>
      <c r="C370" s="1795" t="s">
        <v>202</v>
      </c>
      <c r="D370" s="1829"/>
      <c r="E370" s="593"/>
      <c r="F370" s="573"/>
      <c r="G370" s="1618"/>
      <c r="H370" s="1742">
        <f t="shared" ref="H370:M370" si="191">SUM(H369)</f>
        <v>0</v>
      </c>
      <c r="I370" s="104">
        <f t="shared" si="191"/>
        <v>0</v>
      </c>
      <c r="J370" s="104">
        <f t="shared" si="191"/>
        <v>0</v>
      </c>
      <c r="K370" s="104">
        <f t="shared" si="191"/>
        <v>0</v>
      </c>
      <c r="L370" s="104">
        <f t="shared" si="191"/>
        <v>0</v>
      </c>
      <c r="M370" s="104">
        <f t="shared" si="191"/>
        <v>0</v>
      </c>
      <c r="N370" s="637"/>
      <c r="P370" s="1014"/>
      <c r="S370" s="899"/>
      <c r="T370" s="551"/>
      <c r="V370" s="1014"/>
      <c r="W370" s="870"/>
      <c r="X370" s="870"/>
      <c r="Y370" s="900"/>
      <c r="Z370" s="1018"/>
      <c r="AA370" s="1018"/>
      <c r="AB370" s="1022"/>
      <c r="AC370" s="900"/>
      <c r="AF370" s="870"/>
      <c r="AH370" s="870"/>
      <c r="AI370" s="870"/>
      <c r="AM370" s="899">
        <f>'Estimate Summary'!$D$9</f>
        <v>1</v>
      </c>
      <c r="AP370" s="605">
        <f t="shared" si="183"/>
        <v>0</v>
      </c>
      <c r="AV370" s="605" t="s">
        <v>1141</v>
      </c>
      <c r="AW370" s="2255">
        <f t="shared" si="189"/>
        <v>0</v>
      </c>
    </row>
    <row r="371" spans="2:49" s="605" customFormat="1" ht="13.5" hidden="1" customHeight="1" outlineLevel="1" thickTop="1">
      <c r="B371" s="359" t="s">
        <v>219</v>
      </c>
      <c r="C371" s="1793"/>
      <c r="D371" s="1847"/>
      <c r="E371" s="1798"/>
      <c r="F371" s="1799"/>
      <c r="G371" s="1800"/>
      <c r="H371" s="1801"/>
      <c r="I371" s="2253"/>
      <c r="J371" s="2253"/>
      <c r="K371" s="2253"/>
      <c r="L371" s="2253"/>
      <c r="M371" s="2253"/>
      <c r="N371" s="2273"/>
      <c r="P371" s="1014"/>
      <c r="S371" s="899"/>
      <c r="T371" s="551"/>
      <c r="V371" s="1014"/>
      <c r="W371" s="870"/>
      <c r="X371" s="870"/>
      <c r="Y371" s="900"/>
      <c r="Z371" s="1018"/>
      <c r="AA371" s="1018"/>
      <c r="AB371" s="1022"/>
      <c r="AC371" s="900"/>
      <c r="AF371" s="870"/>
      <c r="AH371" s="870"/>
      <c r="AI371" s="870"/>
      <c r="AM371" s="899">
        <f>'Estimate Summary'!$D$9</f>
        <v>1</v>
      </c>
      <c r="AP371" s="605">
        <f t="shared" si="183"/>
        <v>0</v>
      </c>
      <c r="AV371" s="605" t="s">
        <v>1141</v>
      </c>
      <c r="AW371" s="2255">
        <f t="shared" si="189"/>
        <v>0</v>
      </c>
    </row>
    <row r="372" spans="2:49" s="605" customFormat="1" ht="12.75" hidden="1" customHeight="1" outlineLevel="1">
      <c r="B372" s="107"/>
      <c r="C372" s="617" t="s">
        <v>240</v>
      </c>
      <c r="D372" s="1829"/>
      <c r="E372" s="584"/>
      <c r="F372" s="573"/>
      <c r="G372" s="1618"/>
      <c r="H372" s="1870"/>
      <c r="I372" s="1718">
        <f>IF('Estimate Summary'!$D$9&lt;2,0,$H372)</f>
        <v>0</v>
      </c>
      <c r="J372" s="1718">
        <f>IF('Estimate Summary'!$D$9&lt;3,0,$H372)</f>
        <v>0</v>
      </c>
      <c r="K372" s="1718">
        <f>IF('Estimate Summary'!$D$9&lt;4,0,$H372)</f>
        <v>0</v>
      </c>
      <c r="L372" s="1718">
        <f>IF('Estimate Summary'!$D$9&lt;5,0,$H372)</f>
        <v>0</v>
      </c>
      <c r="M372" s="1718">
        <f>IF('Estimate Summary'!$D$9&lt;6,0,$H372)</f>
        <v>0</v>
      </c>
      <c r="N372" s="637"/>
      <c r="P372" s="1014"/>
      <c r="S372" s="899"/>
      <c r="T372" s="551"/>
      <c r="V372" s="1014"/>
      <c r="W372" s="870"/>
      <c r="X372" s="870"/>
      <c r="Y372" s="900"/>
      <c r="Z372" s="1018"/>
      <c r="AA372" s="1018"/>
      <c r="AB372" s="1022"/>
      <c r="AC372" s="900"/>
      <c r="AF372" s="870"/>
      <c r="AH372" s="870"/>
      <c r="AI372" s="870"/>
      <c r="AM372" s="899">
        <f>'Estimate Summary'!$D$9</f>
        <v>1</v>
      </c>
      <c r="AP372" s="605">
        <f t="shared" si="183"/>
        <v>0</v>
      </c>
      <c r="AV372" s="605" t="s">
        <v>1141</v>
      </c>
      <c r="AW372" s="2255">
        <f t="shared" si="189"/>
        <v>0</v>
      </c>
    </row>
    <row r="373" spans="2:49" s="605" customFormat="1" ht="12.75" hidden="1" customHeight="1" outlineLevel="1" thickBot="1">
      <c r="B373" s="1935"/>
      <c r="C373" s="108" t="s">
        <v>203</v>
      </c>
      <c r="D373" s="1829"/>
      <c r="E373" s="593"/>
      <c r="F373" s="573"/>
      <c r="G373" s="1618"/>
      <c r="H373" s="1742">
        <f t="shared" ref="H373:M373" si="192">SUM(H372)</f>
        <v>0</v>
      </c>
      <c r="I373" s="104">
        <f t="shared" si="192"/>
        <v>0</v>
      </c>
      <c r="J373" s="104">
        <f t="shared" si="192"/>
        <v>0</v>
      </c>
      <c r="K373" s="104">
        <f t="shared" si="192"/>
        <v>0</v>
      </c>
      <c r="L373" s="104">
        <f t="shared" si="192"/>
        <v>0</v>
      </c>
      <c r="M373" s="104">
        <f t="shared" si="192"/>
        <v>0</v>
      </c>
      <c r="N373" s="637"/>
      <c r="P373" s="1014"/>
      <c r="S373" s="899"/>
      <c r="T373" s="551"/>
      <c r="V373" s="1014"/>
      <c r="W373" s="870"/>
      <c r="X373" s="870"/>
      <c r="Y373" s="900"/>
      <c r="Z373" s="1018"/>
      <c r="AA373" s="1018"/>
      <c r="AB373" s="1022"/>
      <c r="AC373" s="900"/>
      <c r="AF373" s="870"/>
      <c r="AH373" s="870"/>
      <c r="AI373" s="870"/>
      <c r="AM373" s="899">
        <f>'Estimate Summary'!$D$9</f>
        <v>1</v>
      </c>
      <c r="AP373" s="605">
        <f t="shared" si="183"/>
        <v>0</v>
      </c>
      <c r="AV373" s="605" t="s">
        <v>1141</v>
      </c>
      <c r="AW373" s="2255">
        <f t="shared" si="189"/>
        <v>0</v>
      </c>
    </row>
    <row r="374" spans="2:49" s="605" customFormat="1" ht="14.25" collapsed="1" thickTop="1" thickBot="1">
      <c r="B374" s="2342"/>
      <c r="C374" s="618"/>
      <c r="D374" s="2343"/>
      <c r="E374" s="2344"/>
      <c r="F374" s="574"/>
      <c r="G374" s="1619"/>
      <c r="H374" s="2345"/>
      <c r="I374" s="2346"/>
      <c r="J374" s="2346"/>
      <c r="K374" s="2346"/>
      <c r="L374" s="2346"/>
      <c r="M374" s="2346"/>
      <c r="N374" s="2347"/>
      <c r="P374" s="1014"/>
      <c r="S374" s="899"/>
      <c r="T374" s="551"/>
      <c r="V374" s="1014"/>
      <c r="W374" s="870"/>
      <c r="X374" s="870"/>
      <c r="Y374" s="900"/>
      <c r="Z374" s="1018"/>
      <c r="AA374" s="1018"/>
      <c r="AB374" s="1022"/>
      <c r="AC374" s="900"/>
      <c r="AF374" s="870"/>
      <c r="AH374" s="870"/>
      <c r="AI374" s="870"/>
    </row>
    <row r="375" spans="2:49" s="605" customFormat="1" ht="13.5" thickBot="1">
      <c r="B375" s="2348"/>
      <c r="C375" s="619"/>
      <c r="D375" s="2349"/>
      <c r="E375" s="2350"/>
      <c r="F375" s="575"/>
      <c r="G375" s="575"/>
      <c r="H375" s="2351"/>
      <c r="I375" s="2351"/>
      <c r="J375" s="2351"/>
      <c r="K375" s="2351"/>
      <c r="L375" s="2351"/>
      <c r="M375" s="2351"/>
      <c r="N375" s="2352"/>
      <c r="P375" s="1014"/>
      <c r="S375" s="899"/>
      <c r="T375" s="551"/>
      <c r="V375" s="1014"/>
      <c r="W375" s="870"/>
      <c r="X375" s="870"/>
      <c r="Y375" s="900"/>
      <c r="Z375" s="1018"/>
      <c r="AA375" s="1018"/>
      <c r="AB375" s="1022"/>
      <c r="AC375" s="900"/>
      <c r="AF375" s="870"/>
      <c r="AH375" s="870"/>
      <c r="AI375" s="870"/>
    </row>
    <row r="376" spans="2:49" s="605" customFormat="1">
      <c r="B376" s="487" t="s">
        <v>1083</v>
      </c>
      <c r="C376" s="488"/>
      <c r="D376" s="1848"/>
      <c r="E376" s="2353"/>
      <c r="F376" s="576"/>
      <c r="G376" s="1620"/>
      <c r="H376" s="2354"/>
      <c r="I376" s="2355"/>
      <c r="J376" s="2355"/>
      <c r="K376" s="2355"/>
      <c r="L376" s="2355"/>
      <c r="M376" s="2355"/>
      <c r="N376" s="2356"/>
      <c r="P376" s="1014"/>
      <c r="S376" s="899"/>
      <c r="T376" s="551"/>
      <c r="V376" s="1014"/>
      <c r="W376" s="870"/>
      <c r="X376" s="870"/>
      <c r="Y376" s="900"/>
      <c r="Z376" s="1018"/>
      <c r="AA376" s="1018"/>
      <c r="AB376" s="1022"/>
      <c r="AC376" s="900"/>
      <c r="AF376" s="870"/>
      <c r="AH376" s="870"/>
      <c r="AI376" s="870"/>
    </row>
    <row r="377" spans="2:49" s="605" customFormat="1">
      <c r="B377" s="2357">
        <v>1</v>
      </c>
      <c r="C377" s="1455" t="s">
        <v>204</v>
      </c>
      <c r="D377" s="1957" t="s">
        <v>181</v>
      </c>
      <c r="E377" s="2358"/>
      <c r="F377" s="1456"/>
      <c r="G377" s="1621"/>
      <c r="H377" s="2359">
        <f>(H48+H54+H58-SUM(H39:H41))</f>
        <v>3.5894678356012548</v>
      </c>
      <c r="I377" s="1864">
        <f t="shared" ref="I377:M377" si="193">(I48+I54+I58-SUM(I39:I41))</f>
        <v>0</v>
      </c>
      <c r="J377" s="1718">
        <f t="shared" si="193"/>
        <v>0</v>
      </c>
      <c r="K377" s="1718">
        <f t="shared" si="193"/>
        <v>0</v>
      </c>
      <c r="L377" s="1718">
        <f t="shared" si="193"/>
        <v>0</v>
      </c>
      <c r="M377" s="1718">
        <f t="shared" si="193"/>
        <v>0</v>
      </c>
      <c r="N377" s="595"/>
      <c r="P377" s="1014"/>
      <c r="S377" s="899"/>
      <c r="T377" s="551"/>
      <c r="V377" s="1014"/>
      <c r="W377" s="870"/>
      <c r="X377" s="870"/>
      <c r="Y377" s="900"/>
      <c r="Z377" s="1018"/>
      <c r="AA377" s="1018"/>
      <c r="AB377" s="1022"/>
      <c r="AC377" s="900"/>
      <c r="AF377" s="870"/>
      <c r="AH377" s="870"/>
      <c r="AI377" s="870"/>
    </row>
    <row r="378" spans="2:49" s="605" customFormat="1">
      <c r="B378" s="2360">
        <v>2</v>
      </c>
      <c r="C378" s="1457" t="s">
        <v>205</v>
      </c>
      <c r="D378" s="2361" t="s">
        <v>181</v>
      </c>
      <c r="E378" s="1458"/>
      <c r="F378" s="1456"/>
      <c r="G378" s="1621"/>
      <c r="H378" s="2359">
        <f t="shared" ref="H378:M378" si="194">SUM(H39:H41)</f>
        <v>93.6268400850239</v>
      </c>
      <c r="I378" s="1864">
        <f t="shared" si="194"/>
        <v>0</v>
      </c>
      <c r="J378" s="1718">
        <f t="shared" si="194"/>
        <v>0</v>
      </c>
      <c r="K378" s="1718">
        <f t="shared" si="194"/>
        <v>0</v>
      </c>
      <c r="L378" s="1718">
        <f t="shared" si="194"/>
        <v>0</v>
      </c>
      <c r="M378" s="1718">
        <f t="shared" si="194"/>
        <v>0</v>
      </c>
      <c r="N378" s="637"/>
      <c r="P378" s="1014"/>
      <c r="S378" s="899"/>
      <c r="T378" s="551"/>
      <c r="V378" s="1014"/>
      <c r="W378" s="870"/>
      <c r="X378" s="870"/>
      <c r="Y378" s="900"/>
      <c r="Z378" s="1018"/>
      <c r="AA378" s="1018"/>
      <c r="AB378" s="1022"/>
      <c r="AC378" s="900"/>
      <c r="AF378" s="870"/>
      <c r="AH378" s="870"/>
      <c r="AI378" s="870"/>
    </row>
    <row r="379" spans="2:49" s="605" customFormat="1">
      <c r="B379" s="2360">
        <v>3</v>
      </c>
      <c r="C379" s="1455" t="s">
        <v>206</v>
      </c>
      <c r="D379" s="1957" t="s">
        <v>181</v>
      </c>
      <c r="E379" s="2358"/>
      <c r="F379" s="1456"/>
      <c r="G379" s="1621"/>
      <c r="H379" s="2359">
        <f t="shared" ref="H379:M379" si="195">SUM(H91,H105,H109,H123,H129,H168,H173,H185,H188,H193,H200,H203,H210,H233,H241,H248,H253)</f>
        <v>0</v>
      </c>
      <c r="I379" s="1864">
        <f t="shared" si="195"/>
        <v>0</v>
      </c>
      <c r="J379" s="1718">
        <f t="shared" si="195"/>
        <v>0</v>
      </c>
      <c r="K379" s="1718">
        <f t="shared" si="195"/>
        <v>0</v>
      </c>
      <c r="L379" s="1718">
        <f t="shared" si="195"/>
        <v>0</v>
      </c>
      <c r="M379" s="1718">
        <f t="shared" si="195"/>
        <v>0</v>
      </c>
      <c r="N379" s="637"/>
      <c r="P379" s="1014"/>
      <c r="S379" s="899"/>
      <c r="T379" s="551"/>
      <c r="V379" s="1014"/>
      <c r="W379" s="870"/>
      <c r="X379" s="870"/>
      <c r="Y379" s="900"/>
      <c r="Z379" s="1018"/>
      <c r="AA379" s="1018"/>
      <c r="AB379" s="1022"/>
      <c r="AC379" s="900"/>
      <c r="AF379" s="870"/>
      <c r="AH379" s="870"/>
      <c r="AI379" s="870"/>
    </row>
    <row r="380" spans="2:49" s="605" customFormat="1" hidden="1" outlineLevel="1">
      <c r="B380" s="2362"/>
      <c r="C380" s="2101" t="s">
        <v>772</v>
      </c>
      <c r="D380" s="1845" t="s">
        <v>181</v>
      </c>
      <c r="E380" s="1953"/>
      <c r="F380" s="1953"/>
      <c r="G380" s="1953"/>
      <c r="H380" s="1954">
        <f t="shared" ref="H380:M380" si="196">H91</f>
        <v>0</v>
      </c>
      <c r="I380" s="1955">
        <f t="shared" si="196"/>
        <v>0</v>
      </c>
      <c r="J380" s="1955">
        <f t="shared" si="196"/>
        <v>0</v>
      </c>
      <c r="K380" s="1955">
        <f t="shared" si="196"/>
        <v>0</v>
      </c>
      <c r="L380" s="1955">
        <f t="shared" si="196"/>
        <v>0</v>
      </c>
      <c r="M380" s="1955">
        <f t="shared" si="196"/>
        <v>0</v>
      </c>
      <c r="N380" s="1760"/>
      <c r="P380" s="1014"/>
      <c r="S380" s="899"/>
      <c r="T380" s="551"/>
      <c r="V380" s="1014"/>
      <c r="W380" s="870"/>
      <c r="X380" s="870"/>
      <c r="Y380" s="900"/>
      <c r="Z380" s="1018"/>
      <c r="AA380" s="1018"/>
      <c r="AB380" s="1022"/>
      <c r="AC380" s="900"/>
      <c r="AF380" s="870"/>
      <c r="AH380" s="870"/>
      <c r="AI380" s="870"/>
    </row>
    <row r="381" spans="2:49" s="605" customFormat="1" hidden="1" outlineLevel="1">
      <c r="B381" s="2362"/>
      <c r="C381" s="2101" t="s">
        <v>773</v>
      </c>
      <c r="D381" s="1845" t="s">
        <v>181</v>
      </c>
      <c r="E381" s="1953"/>
      <c r="F381" s="1953"/>
      <c r="G381" s="1953"/>
      <c r="H381" s="1954">
        <f t="shared" ref="H381:M381" si="197">H185</f>
        <v>0</v>
      </c>
      <c r="I381" s="1955">
        <f t="shared" si="197"/>
        <v>0</v>
      </c>
      <c r="J381" s="1955">
        <f t="shared" si="197"/>
        <v>0</v>
      </c>
      <c r="K381" s="1955">
        <f t="shared" si="197"/>
        <v>0</v>
      </c>
      <c r="L381" s="1955">
        <f t="shared" si="197"/>
        <v>0</v>
      </c>
      <c r="M381" s="1955">
        <f t="shared" si="197"/>
        <v>0</v>
      </c>
      <c r="N381" s="1760"/>
      <c r="P381" s="1014"/>
      <c r="S381" s="899"/>
      <c r="T381" s="551"/>
      <c r="V381" s="1014"/>
      <c r="W381" s="870"/>
      <c r="X381" s="870"/>
      <c r="Y381" s="900"/>
      <c r="Z381" s="1018"/>
      <c r="AA381" s="1018"/>
      <c r="AB381" s="1022"/>
      <c r="AC381" s="900"/>
      <c r="AF381" s="870"/>
      <c r="AH381" s="870"/>
      <c r="AI381" s="870"/>
    </row>
    <row r="382" spans="2:49" s="605" customFormat="1" hidden="1" outlineLevel="1">
      <c r="B382" s="2362"/>
      <c r="C382" s="2101" t="s">
        <v>420</v>
      </c>
      <c r="D382" s="1845" t="s">
        <v>181</v>
      </c>
      <c r="E382" s="1953"/>
      <c r="F382" s="1953"/>
      <c r="G382" s="1953"/>
      <c r="H382" s="1954">
        <f t="shared" ref="H382:M382" si="198">H188</f>
        <v>0</v>
      </c>
      <c r="I382" s="1955">
        <f t="shared" si="198"/>
        <v>0</v>
      </c>
      <c r="J382" s="1955">
        <f t="shared" si="198"/>
        <v>0</v>
      </c>
      <c r="K382" s="1955">
        <f t="shared" si="198"/>
        <v>0</v>
      </c>
      <c r="L382" s="1955">
        <f t="shared" si="198"/>
        <v>0</v>
      </c>
      <c r="M382" s="1955">
        <f t="shared" si="198"/>
        <v>0</v>
      </c>
      <c r="N382" s="1760"/>
      <c r="P382" s="1014"/>
      <c r="S382" s="899"/>
      <c r="T382" s="551"/>
      <c r="V382" s="1014"/>
      <c r="W382" s="870"/>
      <c r="X382" s="870"/>
      <c r="Y382" s="900"/>
      <c r="Z382" s="1018"/>
      <c r="AA382" s="1018"/>
      <c r="AB382" s="1022"/>
      <c r="AC382" s="900"/>
      <c r="AF382" s="870"/>
      <c r="AH382" s="870"/>
      <c r="AI382" s="870"/>
    </row>
    <row r="383" spans="2:49" s="605" customFormat="1" hidden="1" outlineLevel="1">
      <c r="B383" s="2362"/>
      <c r="C383" s="2101" t="s">
        <v>774</v>
      </c>
      <c r="D383" s="1845" t="s">
        <v>181</v>
      </c>
      <c r="E383" s="1953"/>
      <c r="F383" s="1953"/>
      <c r="G383" s="1953"/>
      <c r="H383" s="1954">
        <f t="shared" ref="H383:M383" si="199">H193</f>
        <v>0</v>
      </c>
      <c r="I383" s="1955">
        <f t="shared" si="199"/>
        <v>0</v>
      </c>
      <c r="J383" s="1955">
        <f t="shared" si="199"/>
        <v>0</v>
      </c>
      <c r="K383" s="1955">
        <f t="shared" si="199"/>
        <v>0</v>
      </c>
      <c r="L383" s="1955">
        <f t="shared" si="199"/>
        <v>0</v>
      </c>
      <c r="M383" s="1955">
        <f t="shared" si="199"/>
        <v>0</v>
      </c>
      <c r="N383" s="1760"/>
      <c r="P383" s="1014"/>
      <c r="S383" s="899"/>
      <c r="T383" s="551"/>
      <c r="V383" s="1014"/>
      <c r="W383" s="870"/>
      <c r="X383" s="870"/>
      <c r="Y383" s="900"/>
      <c r="Z383" s="1018"/>
      <c r="AA383" s="1018"/>
      <c r="AB383" s="1022"/>
      <c r="AC383" s="900"/>
      <c r="AF383" s="870"/>
      <c r="AH383" s="870"/>
      <c r="AI383" s="870"/>
    </row>
    <row r="384" spans="2:49" s="605" customFormat="1" hidden="1" outlineLevel="1">
      <c r="B384" s="2362"/>
      <c r="C384" s="2101" t="s">
        <v>300</v>
      </c>
      <c r="D384" s="1845" t="s">
        <v>181</v>
      </c>
      <c r="E384" s="1953"/>
      <c r="F384" s="1953"/>
      <c r="G384" s="1953"/>
      <c r="H384" s="1954">
        <f t="shared" ref="H384:M384" si="200">H111</f>
        <v>0</v>
      </c>
      <c r="I384" s="1955">
        <f t="shared" si="200"/>
        <v>0</v>
      </c>
      <c r="J384" s="1955">
        <f t="shared" si="200"/>
        <v>0</v>
      </c>
      <c r="K384" s="1955">
        <f t="shared" si="200"/>
        <v>0</v>
      </c>
      <c r="L384" s="1955">
        <f t="shared" si="200"/>
        <v>0</v>
      </c>
      <c r="M384" s="1955">
        <f t="shared" si="200"/>
        <v>0</v>
      </c>
      <c r="N384" s="1760"/>
      <c r="P384" s="1014"/>
      <c r="S384" s="899"/>
      <c r="T384" s="551"/>
      <c r="V384" s="1014"/>
      <c r="W384" s="870"/>
      <c r="X384" s="870"/>
      <c r="Y384" s="900"/>
      <c r="Z384" s="1018"/>
      <c r="AA384" s="1018"/>
      <c r="AB384" s="1022"/>
      <c r="AC384" s="900"/>
      <c r="AF384" s="870"/>
      <c r="AH384" s="870"/>
      <c r="AI384" s="870"/>
    </row>
    <row r="385" spans="2:35" s="605" customFormat="1" hidden="1" outlineLevel="1">
      <c r="B385" s="2362"/>
      <c r="C385" s="2101" t="s">
        <v>775</v>
      </c>
      <c r="D385" s="1845" t="s">
        <v>181</v>
      </c>
      <c r="E385" s="1953"/>
      <c r="F385" s="1953"/>
      <c r="G385" s="1953"/>
      <c r="H385" s="1954">
        <f t="shared" ref="H385:M385" si="201">H129</f>
        <v>0</v>
      </c>
      <c r="I385" s="1955">
        <f t="shared" si="201"/>
        <v>0</v>
      </c>
      <c r="J385" s="1955">
        <f t="shared" si="201"/>
        <v>0</v>
      </c>
      <c r="K385" s="1955">
        <f t="shared" si="201"/>
        <v>0</v>
      </c>
      <c r="L385" s="1955">
        <f t="shared" si="201"/>
        <v>0</v>
      </c>
      <c r="M385" s="1955">
        <f t="shared" si="201"/>
        <v>0</v>
      </c>
      <c r="N385" s="1760"/>
      <c r="P385" s="1014"/>
      <c r="S385" s="899"/>
      <c r="T385" s="551"/>
      <c r="V385" s="1014"/>
      <c r="W385" s="870"/>
      <c r="X385" s="870"/>
      <c r="Y385" s="900"/>
      <c r="Z385" s="1018"/>
      <c r="AA385" s="1018"/>
      <c r="AB385" s="1022"/>
      <c r="AC385" s="900"/>
      <c r="AF385" s="870"/>
      <c r="AH385" s="870"/>
      <c r="AI385" s="870"/>
    </row>
    <row r="386" spans="2:35" s="605" customFormat="1" hidden="1" outlineLevel="1">
      <c r="B386" s="2362"/>
      <c r="C386" s="2101" t="s">
        <v>639</v>
      </c>
      <c r="D386" s="1845" t="s">
        <v>181</v>
      </c>
      <c r="E386" s="1953"/>
      <c r="F386" s="1953"/>
      <c r="G386" s="1953"/>
      <c r="H386" s="1954">
        <f t="shared" ref="H386:M386" si="202">H379-SUM(H380:H385)</f>
        <v>0</v>
      </c>
      <c r="I386" s="1955">
        <f t="shared" si="202"/>
        <v>0</v>
      </c>
      <c r="J386" s="1955">
        <f t="shared" si="202"/>
        <v>0</v>
      </c>
      <c r="K386" s="1955">
        <f t="shared" si="202"/>
        <v>0</v>
      </c>
      <c r="L386" s="1955">
        <f t="shared" si="202"/>
        <v>0</v>
      </c>
      <c r="M386" s="1955">
        <f t="shared" si="202"/>
        <v>0</v>
      </c>
      <c r="N386" s="1760"/>
      <c r="P386" s="1014"/>
      <c r="S386" s="899"/>
      <c r="T386" s="551"/>
      <c r="V386" s="1014"/>
      <c r="W386" s="870"/>
      <c r="X386" s="870"/>
      <c r="Y386" s="900"/>
      <c r="Z386" s="1018"/>
      <c r="AA386" s="1018"/>
      <c r="AB386" s="1022"/>
      <c r="AC386" s="900"/>
      <c r="AF386" s="870"/>
      <c r="AH386" s="870"/>
      <c r="AI386" s="870"/>
    </row>
    <row r="387" spans="2:35" s="605" customFormat="1" hidden="1" outlineLevel="1">
      <c r="B387" s="2362"/>
      <c r="C387" s="2101" t="s">
        <v>581</v>
      </c>
      <c r="D387" s="1845"/>
      <c r="E387" s="1757"/>
      <c r="F387" s="1757"/>
      <c r="G387" s="1757"/>
      <c r="H387" s="2359">
        <f t="shared" ref="H387:M387" si="203">H131</f>
        <v>0</v>
      </c>
      <c r="I387" s="2363">
        <f t="shared" si="203"/>
        <v>0</v>
      </c>
      <c r="J387" s="2363">
        <f t="shared" si="203"/>
        <v>0</v>
      </c>
      <c r="K387" s="2363">
        <f t="shared" si="203"/>
        <v>0</v>
      </c>
      <c r="L387" s="2363">
        <f t="shared" si="203"/>
        <v>0</v>
      </c>
      <c r="M387" s="2363">
        <f t="shared" si="203"/>
        <v>0</v>
      </c>
      <c r="N387" s="1760"/>
      <c r="P387" s="1014"/>
      <c r="S387" s="899"/>
      <c r="T387" s="551"/>
      <c r="V387" s="1014"/>
      <c r="W387" s="870"/>
      <c r="X387" s="870"/>
      <c r="Y387" s="900"/>
      <c r="Z387" s="1018"/>
      <c r="AA387" s="1018"/>
      <c r="AB387" s="870"/>
      <c r="AC387" s="900"/>
      <c r="AF387" s="870"/>
      <c r="AH387" s="870"/>
      <c r="AI387" s="870"/>
    </row>
    <row r="388" spans="2:35" s="605" customFormat="1" collapsed="1">
      <c r="B388" s="2360">
        <v>4</v>
      </c>
      <c r="C388" s="1455" t="s">
        <v>158</v>
      </c>
      <c r="D388" s="1957" t="s">
        <v>181</v>
      </c>
      <c r="E388" s="2364"/>
      <c r="F388" s="1459"/>
      <c r="G388" s="1615"/>
      <c r="H388" s="2359">
        <f t="shared" ref="H388:M388" si="204">H73+H75</f>
        <v>1.8142799999999999</v>
      </c>
      <c r="I388" s="1864">
        <f t="shared" si="204"/>
        <v>0</v>
      </c>
      <c r="J388" s="1718">
        <f t="shared" si="204"/>
        <v>0</v>
      </c>
      <c r="K388" s="1718">
        <f t="shared" si="204"/>
        <v>0</v>
      </c>
      <c r="L388" s="1718">
        <f t="shared" si="204"/>
        <v>0</v>
      </c>
      <c r="M388" s="1718">
        <f t="shared" si="204"/>
        <v>0</v>
      </c>
      <c r="N388" s="637"/>
      <c r="P388" s="1014"/>
      <c r="S388" s="899"/>
      <c r="T388" s="551"/>
      <c r="V388" s="1014"/>
      <c r="W388" s="870"/>
      <c r="X388" s="870"/>
      <c r="Y388" s="900"/>
      <c r="Z388" s="1018"/>
      <c r="AA388" s="1018"/>
      <c r="AB388" s="1022"/>
      <c r="AC388" s="900"/>
      <c r="AF388" s="870"/>
      <c r="AH388" s="870"/>
      <c r="AI388" s="870"/>
    </row>
    <row r="389" spans="2:35" s="605" customFormat="1">
      <c r="B389" s="2365">
        <v>5.0999999999999996</v>
      </c>
      <c r="C389" s="1455" t="s">
        <v>1084</v>
      </c>
      <c r="D389" s="1957" t="s">
        <v>181</v>
      </c>
      <c r="E389" s="2358"/>
      <c r="F389" s="1456"/>
      <c r="G389" s="1621"/>
      <c r="H389" s="2359">
        <f t="shared" ref="H389:M389" si="205">H272</f>
        <v>2.4</v>
      </c>
      <c r="I389" s="1864">
        <f t="shared" si="205"/>
        <v>0</v>
      </c>
      <c r="J389" s="1718">
        <f t="shared" si="205"/>
        <v>0</v>
      </c>
      <c r="K389" s="1718">
        <f t="shared" si="205"/>
        <v>0</v>
      </c>
      <c r="L389" s="1718">
        <f t="shared" si="205"/>
        <v>0</v>
      </c>
      <c r="M389" s="1718">
        <f t="shared" si="205"/>
        <v>0</v>
      </c>
      <c r="N389" s="637"/>
      <c r="P389" s="1014"/>
      <c r="S389" s="899"/>
      <c r="T389" s="551"/>
      <c r="V389" s="1014"/>
      <c r="W389" s="870"/>
      <c r="X389" s="870"/>
      <c r="Y389" s="900"/>
      <c r="Z389" s="1018"/>
      <c r="AA389" s="1018"/>
      <c r="AB389" s="1022"/>
      <c r="AC389" s="900"/>
      <c r="AF389" s="870"/>
      <c r="AH389" s="870"/>
      <c r="AI389" s="870"/>
    </row>
    <row r="390" spans="2:35" s="605" customFormat="1">
      <c r="B390" s="2365">
        <v>5.2</v>
      </c>
      <c r="C390" s="1455" t="s">
        <v>1009</v>
      </c>
      <c r="D390" s="2366" t="s">
        <v>181</v>
      </c>
      <c r="E390" s="2358"/>
      <c r="F390" s="1456"/>
      <c r="G390" s="1952"/>
      <c r="H390" s="2367">
        <f t="shared" ref="H390:M390" si="206">H277</f>
        <v>0</v>
      </c>
      <c r="I390" s="1864">
        <f t="shared" si="206"/>
        <v>0</v>
      </c>
      <c r="J390" s="2368">
        <f t="shared" si="206"/>
        <v>0</v>
      </c>
      <c r="K390" s="2368">
        <f t="shared" si="206"/>
        <v>0</v>
      </c>
      <c r="L390" s="2368">
        <f t="shared" si="206"/>
        <v>0</v>
      </c>
      <c r="M390" s="2368">
        <f t="shared" si="206"/>
        <v>0</v>
      </c>
      <c r="N390" s="1760"/>
      <c r="P390" s="1014"/>
      <c r="S390" s="899"/>
      <c r="T390" s="551"/>
      <c r="V390" s="1014"/>
      <c r="W390" s="870"/>
      <c r="X390" s="870"/>
      <c r="Y390" s="900"/>
      <c r="Z390" s="1018"/>
      <c r="AA390" s="1018"/>
      <c r="AB390" s="1022"/>
      <c r="AC390" s="900"/>
      <c r="AF390" s="870"/>
      <c r="AH390" s="870"/>
      <c r="AI390" s="870"/>
    </row>
    <row r="391" spans="2:35" s="605" customFormat="1">
      <c r="B391" s="2365">
        <v>5.3</v>
      </c>
      <c r="C391" s="1455" t="s">
        <v>1085</v>
      </c>
      <c r="D391" s="1957" t="s">
        <v>181</v>
      </c>
      <c r="E391" s="2358"/>
      <c r="F391" s="1456"/>
      <c r="G391" s="1621"/>
      <c r="H391" s="2359">
        <f t="shared" ref="H391:M391" si="207">H292</f>
        <v>0</v>
      </c>
      <c r="I391" s="1864">
        <f t="shared" si="207"/>
        <v>0</v>
      </c>
      <c r="J391" s="1718">
        <f t="shared" si="207"/>
        <v>0</v>
      </c>
      <c r="K391" s="1718">
        <f t="shared" si="207"/>
        <v>0</v>
      </c>
      <c r="L391" s="1718">
        <f t="shared" si="207"/>
        <v>0</v>
      </c>
      <c r="M391" s="1718">
        <f t="shared" si="207"/>
        <v>0</v>
      </c>
      <c r="N391" s="2369"/>
      <c r="P391" s="1014"/>
      <c r="S391" s="899"/>
      <c r="T391" s="551"/>
      <c r="V391" s="1014"/>
      <c r="W391" s="870"/>
      <c r="X391" s="870"/>
      <c r="Y391" s="900"/>
      <c r="Z391" s="1018"/>
      <c r="AA391" s="1018"/>
      <c r="AB391" s="1022"/>
      <c r="AC391" s="900"/>
      <c r="AF391" s="870"/>
      <c r="AH391" s="870"/>
      <c r="AI391" s="870"/>
    </row>
    <row r="392" spans="2:35" s="605" customFormat="1">
      <c r="B392" s="2365">
        <v>6.1</v>
      </c>
      <c r="C392" s="1455" t="s">
        <v>1086</v>
      </c>
      <c r="D392" s="1957" t="s">
        <v>181</v>
      </c>
      <c r="E392" s="2358"/>
      <c r="F392" s="1459"/>
      <c r="G392" s="1615"/>
      <c r="H392" s="2359">
        <f t="shared" ref="H392:M393" si="208">H314</f>
        <v>39.655000000000001</v>
      </c>
      <c r="I392" s="1864">
        <f t="shared" si="208"/>
        <v>0</v>
      </c>
      <c r="J392" s="1718">
        <f t="shared" si="208"/>
        <v>0</v>
      </c>
      <c r="K392" s="1718">
        <f t="shared" si="208"/>
        <v>0</v>
      </c>
      <c r="L392" s="1718">
        <f t="shared" si="208"/>
        <v>0</v>
      </c>
      <c r="M392" s="1718">
        <f t="shared" si="208"/>
        <v>0</v>
      </c>
      <c r="N392" s="637"/>
      <c r="P392" s="1014"/>
      <c r="S392" s="899"/>
      <c r="T392" s="551"/>
      <c r="V392" s="1014"/>
      <c r="W392" s="870"/>
      <c r="X392" s="870"/>
      <c r="Y392" s="900"/>
      <c r="Z392" s="1018"/>
      <c r="AA392" s="1018"/>
      <c r="AB392" s="1022"/>
      <c r="AC392" s="900"/>
      <c r="AF392" s="870"/>
      <c r="AH392" s="870"/>
      <c r="AI392" s="870"/>
    </row>
    <row r="393" spans="2:35" s="605" customFormat="1">
      <c r="B393" s="2365">
        <v>6.2</v>
      </c>
      <c r="C393" s="1455" t="s">
        <v>1094</v>
      </c>
      <c r="D393" s="2366" t="s">
        <v>181</v>
      </c>
      <c r="E393" s="2358"/>
      <c r="F393" s="1459"/>
      <c r="G393" s="1956"/>
      <c r="H393" s="2359">
        <f t="shared" si="208"/>
        <v>0</v>
      </c>
      <c r="I393" s="1864">
        <f t="shared" si="208"/>
        <v>0</v>
      </c>
      <c r="J393" s="1718">
        <f t="shared" si="208"/>
        <v>0</v>
      </c>
      <c r="K393" s="1718">
        <f t="shared" si="208"/>
        <v>0</v>
      </c>
      <c r="L393" s="1718">
        <f t="shared" si="208"/>
        <v>0</v>
      </c>
      <c r="M393" s="1718">
        <f t="shared" si="208"/>
        <v>0</v>
      </c>
      <c r="N393" s="1760"/>
      <c r="P393" s="1014"/>
      <c r="S393" s="899"/>
      <c r="T393" s="551"/>
      <c r="V393" s="1014"/>
      <c r="W393" s="870"/>
      <c r="X393" s="870"/>
      <c r="Y393" s="900"/>
      <c r="Z393" s="1018"/>
      <c r="AA393" s="1018"/>
      <c r="AB393" s="1022"/>
      <c r="AC393" s="900"/>
      <c r="AF393" s="870"/>
      <c r="AH393" s="870"/>
      <c r="AI393" s="870"/>
    </row>
    <row r="394" spans="2:35" s="605" customFormat="1">
      <c r="B394" s="2370">
        <v>6.4</v>
      </c>
      <c r="C394" s="1455" t="s">
        <v>1087</v>
      </c>
      <c r="D394" s="2366" t="s">
        <v>181</v>
      </c>
      <c r="E394" s="2358"/>
      <c r="F394" s="1459"/>
      <c r="G394" s="1956"/>
      <c r="H394" s="2367">
        <f t="shared" ref="H394:M394" si="209">H319</f>
        <v>0</v>
      </c>
      <c r="I394" s="1864">
        <f t="shared" si="209"/>
        <v>0</v>
      </c>
      <c r="J394" s="1864">
        <f t="shared" si="209"/>
        <v>0</v>
      </c>
      <c r="K394" s="1864">
        <f t="shared" si="209"/>
        <v>0</v>
      </c>
      <c r="L394" s="1864">
        <f t="shared" si="209"/>
        <v>0</v>
      </c>
      <c r="M394" s="1864">
        <f t="shared" si="209"/>
        <v>0</v>
      </c>
      <c r="N394" s="1760"/>
      <c r="P394" s="1014"/>
      <c r="S394" s="899"/>
      <c r="T394" s="551"/>
      <c r="V394" s="1014"/>
      <c r="W394" s="870"/>
      <c r="X394" s="870"/>
      <c r="Y394" s="900"/>
      <c r="Z394" s="1018"/>
      <c r="AA394" s="1018"/>
      <c r="AB394" s="1022"/>
      <c r="AC394" s="900"/>
      <c r="AF394" s="870"/>
      <c r="AH394" s="870"/>
      <c r="AI394" s="870"/>
    </row>
    <row r="395" spans="2:35" s="605" customFormat="1">
      <c r="B395" s="2370">
        <v>7.1</v>
      </c>
      <c r="C395" s="1455" t="s">
        <v>1088</v>
      </c>
      <c r="D395" s="2366" t="s">
        <v>181</v>
      </c>
      <c r="E395" s="2358"/>
      <c r="F395" s="1459"/>
      <c r="G395" s="1956"/>
      <c r="H395" s="2367">
        <f t="shared" ref="H395:M395" si="210">H331</f>
        <v>28</v>
      </c>
      <c r="I395" s="1864">
        <f t="shared" si="210"/>
        <v>0</v>
      </c>
      <c r="J395" s="1864">
        <f t="shared" si="210"/>
        <v>0</v>
      </c>
      <c r="K395" s="1864">
        <f t="shared" si="210"/>
        <v>0</v>
      </c>
      <c r="L395" s="1864">
        <f t="shared" si="210"/>
        <v>0</v>
      </c>
      <c r="M395" s="1864">
        <f t="shared" si="210"/>
        <v>0</v>
      </c>
      <c r="N395" s="1760"/>
      <c r="P395" s="1014"/>
      <c r="S395" s="899"/>
      <c r="T395" s="551"/>
      <c r="V395" s="1014"/>
      <c r="W395" s="870"/>
      <c r="X395" s="870"/>
      <c r="Y395" s="900"/>
      <c r="Z395" s="1018"/>
      <c r="AA395" s="1018"/>
      <c r="AB395" s="1022"/>
      <c r="AC395" s="900"/>
      <c r="AF395" s="870"/>
      <c r="AH395" s="870"/>
      <c r="AI395" s="870"/>
    </row>
    <row r="396" spans="2:35" s="605" customFormat="1">
      <c r="B396" s="2370">
        <v>7.2</v>
      </c>
      <c r="C396" s="1455" t="s">
        <v>1089</v>
      </c>
      <c r="D396" s="2366" t="s">
        <v>181</v>
      </c>
      <c r="E396" s="2358"/>
      <c r="F396" s="1459"/>
      <c r="G396" s="1956"/>
      <c r="H396" s="2367">
        <f t="shared" ref="H396:M396" si="211">H339</f>
        <v>0</v>
      </c>
      <c r="I396" s="1864">
        <f t="shared" si="211"/>
        <v>0</v>
      </c>
      <c r="J396" s="1864">
        <f t="shared" si="211"/>
        <v>0</v>
      </c>
      <c r="K396" s="1864">
        <f t="shared" si="211"/>
        <v>0</v>
      </c>
      <c r="L396" s="1864">
        <f t="shared" si="211"/>
        <v>0</v>
      </c>
      <c r="M396" s="1864">
        <f t="shared" si="211"/>
        <v>0</v>
      </c>
      <c r="N396" s="1760"/>
      <c r="P396" s="1014"/>
      <c r="S396" s="899"/>
      <c r="T396" s="551"/>
      <c r="V396" s="1014"/>
      <c r="W396" s="870"/>
      <c r="X396" s="870"/>
      <c r="Y396" s="900"/>
      <c r="Z396" s="1018"/>
      <c r="AA396" s="1018"/>
      <c r="AB396" s="1022"/>
      <c r="AC396" s="900"/>
      <c r="AF396" s="870"/>
      <c r="AH396" s="870"/>
      <c r="AI396" s="870"/>
    </row>
    <row r="397" spans="2:35" s="605" customFormat="1" ht="15">
      <c r="B397" s="2365">
        <v>8.1</v>
      </c>
      <c r="C397" s="1455" t="s">
        <v>1090</v>
      </c>
      <c r="D397" s="1957" t="s">
        <v>181</v>
      </c>
      <c r="E397" s="2371"/>
      <c r="F397" s="1456"/>
      <c r="G397" s="1621"/>
      <c r="H397" s="2359">
        <f t="shared" ref="H397:M398" si="212">H357</f>
        <v>0</v>
      </c>
      <c r="I397" s="1864">
        <f t="shared" si="212"/>
        <v>0</v>
      </c>
      <c r="J397" s="1718">
        <f t="shared" si="212"/>
        <v>0</v>
      </c>
      <c r="K397" s="1718">
        <f t="shared" si="212"/>
        <v>0</v>
      </c>
      <c r="L397" s="1718">
        <f t="shared" si="212"/>
        <v>0</v>
      </c>
      <c r="M397" s="1718">
        <f t="shared" si="212"/>
        <v>0</v>
      </c>
      <c r="N397" s="637"/>
      <c r="P397" s="102"/>
      <c r="S397" s="899"/>
      <c r="T397" s="551"/>
      <c r="V397" s="1014"/>
      <c r="W397" s="870"/>
      <c r="X397" s="870"/>
      <c r="Y397" s="900"/>
      <c r="Z397" s="1018"/>
      <c r="AA397" s="1018"/>
      <c r="AB397" s="1022"/>
      <c r="AC397" s="900"/>
      <c r="AF397" s="870"/>
      <c r="AH397" s="870"/>
      <c r="AI397" s="870"/>
    </row>
    <row r="398" spans="2:35" s="605" customFormat="1" ht="15">
      <c r="B398" s="2365">
        <v>8.1999999999999993</v>
      </c>
      <c r="C398" s="1455" t="s">
        <v>1091</v>
      </c>
      <c r="D398" s="2366" t="s">
        <v>181</v>
      </c>
      <c r="E398" s="2371"/>
      <c r="F398" s="1456"/>
      <c r="G398" s="1952"/>
      <c r="H398" s="2367">
        <f t="shared" si="212"/>
        <v>0</v>
      </c>
      <c r="I398" s="1864">
        <f t="shared" si="212"/>
        <v>0</v>
      </c>
      <c r="J398" s="1864">
        <f t="shared" si="212"/>
        <v>0</v>
      </c>
      <c r="K398" s="1864">
        <f t="shared" si="212"/>
        <v>0</v>
      </c>
      <c r="L398" s="1864">
        <f t="shared" si="212"/>
        <v>0</v>
      </c>
      <c r="M398" s="1864">
        <f t="shared" si="212"/>
        <v>0</v>
      </c>
      <c r="N398" s="1760"/>
      <c r="P398" s="102"/>
      <c r="S398" s="899"/>
      <c r="T398" s="551"/>
      <c r="V398" s="1014"/>
      <c r="W398" s="870"/>
      <c r="X398" s="870"/>
      <c r="Y398" s="900"/>
      <c r="Z398" s="1018"/>
      <c r="AA398" s="1018"/>
      <c r="AB398" s="1022"/>
      <c r="AC398" s="900"/>
      <c r="AF398" s="870"/>
      <c r="AH398" s="870"/>
      <c r="AI398" s="870"/>
    </row>
    <row r="399" spans="2:35" s="605" customFormat="1" ht="15">
      <c r="B399" s="2365">
        <v>8.3000000000000007</v>
      </c>
      <c r="C399" s="1455" t="s">
        <v>1092</v>
      </c>
      <c r="D399" s="2366" t="s">
        <v>181</v>
      </c>
      <c r="E399" s="2371"/>
      <c r="F399" s="1456"/>
      <c r="G399" s="1952"/>
      <c r="H399" s="2367">
        <f t="shared" ref="H399:M399" si="213">H367</f>
        <v>0</v>
      </c>
      <c r="I399" s="1864">
        <f t="shared" si="213"/>
        <v>0</v>
      </c>
      <c r="J399" s="1864">
        <f t="shared" si="213"/>
        <v>0</v>
      </c>
      <c r="K399" s="1864">
        <f t="shared" si="213"/>
        <v>0</v>
      </c>
      <c r="L399" s="1864">
        <f t="shared" si="213"/>
        <v>0</v>
      </c>
      <c r="M399" s="1864">
        <f t="shared" si="213"/>
        <v>0</v>
      </c>
      <c r="N399" s="1760"/>
      <c r="P399" s="102"/>
      <c r="S399" s="899"/>
      <c r="T399" s="551"/>
      <c r="V399" s="1014"/>
      <c r="W399" s="870"/>
      <c r="X399" s="870"/>
      <c r="Y399" s="900"/>
      <c r="Z399" s="1018"/>
      <c r="AA399" s="1018"/>
      <c r="AB399" s="1022"/>
      <c r="AC399" s="900"/>
      <c r="AF399" s="870"/>
      <c r="AH399" s="870"/>
      <c r="AI399" s="870"/>
    </row>
    <row r="400" spans="2:35" s="605" customFormat="1">
      <c r="B400" s="2360">
        <v>9</v>
      </c>
      <c r="C400" s="1455" t="s">
        <v>74</v>
      </c>
      <c r="D400" s="1957" t="s">
        <v>181</v>
      </c>
      <c r="E400" s="2371"/>
      <c r="F400" s="1456"/>
      <c r="G400" s="1621"/>
      <c r="H400" s="2359">
        <f t="shared" ref="H400:M400" si="214">H370</f>
        <v>0</v>
      </c>
      <c r="I400" s="1864">
        <f t="shared" si="214"/>
        <v>0</v>
      </c>
      <c r="J400" s="1718">
        <f t="shared" si="214"/>
        <v>0</v>
      </c>
      <c r="K400" s="1718">
        <f t="shared" si="214"/>
        <v>0</v>
      </c>
      <c r="L400" s="1718">
        <f t="shared" si="214"/>
        <v>0</v>
      </c>
      <c r="M400" s="1718">
        <f t="shared" si="214"/>
        <v>0</v>
      </c>
      <c r="N400" s="637"/>
      <c r="P400" s="1014"/>
      <c r="S400" s="899"/>
      <c r="T400" s="551"/>
      <c r="V400" s="1014"/>
      <c r="W400" s="870"/>
      <c r="X400" s="870"/>
      <c r="Y400" s="900"/>
      <c r="Z400" s="1018"/>
      <c r="AA400" s="1018"/>
      <c r="AB400" s="1022"/>
      <c r="AC400" s="900"/>
      <c r="AF400" s="870"/>
      <c r="AH400" s="870"/>
      <c r="AI400" s="870"/>
    </row>
    <row r="401" spans="2:35" s="605" customFormat="1">
      <c r="B401" s="2360">
        <v>10</v>
      </c>
      <c r="C401" s="1455" t="s">
        <v>240</v>
      </c>
      <c r="D401" s="1957" t="s">
        <v>181</v>
      </c>
      <c r="E401" s="2371"/>
      <c r="F401" s="1456"/>
      <c r="G401" s="1621"/>
      <c r="H401" s="2359">
        <f t="shared" ref="H401:M401" si="215">H373</f>
        <v>0</v>
      </c>
      <c r="I401" s="1864">
        <f t="shared" si="215"/>
        <v>0</v>
      </c>
      <c r="J401" s="1718">
        <f t="shared" si="215"/>
        <v>0</v>
      </c>
      <c r="K401" s="1718">
        <f t="shared" si="215"/>
        <v>0</v>
      </c>
      <c r="L401" s="1718">
        <f t="shared" si="215"/>
        <v>0</v>
      </c>
      <c r="M401" s="1718">
        <f t="shared" si="215"/>
        <v>0</v>
      </c>
      <c r="N401" s="637"/>
      <c r="P401" s="1014"/>
      <c r="S401" s="899"/>
      <c r="T401" s="551"/>
      <c r="V401" s="1014"/>
      <c r="W401" s="870"/>
      <c r="X401" s="870"/>
      <c r="Y401" s="900"/>
      <c r="Z401" s="1018"/>
      <c r="AA401" s="1018"/>
      <c r="AB401" s="1022"/>
      <c r="AC401" s="900"/>
      <c r="AF401" s="870"/>
      <c r="AH401" s="870"/>
      <c r="AI401" s="870"/>
    </row>
    <row r="402" spans="2:35">
      <c r="B402" s="2372">
        <v>11</v>
      </c>
      <c r="C402" s="1461" t="s">
        <v>1093</v>
      </c>
      <c r="D402" s="2373"/>
      <c r="E402" s="1906"/>
      <c r="F402" s="1459"/>
      <c r="G402" s="1615"/>
      <c r="H402" s="2359">
        <f t="shared" ref="H402:M402" si="216">H335</f>
        <v>0</v>
      </c>
      <c r="I402" s="1864">
        <f t="shared" si="216"/>
        <v>0</v>
      </c>
      <c r="J402" s="1718">
        <f t="shared" si="216"/>
        <v>0</v>
      </c>
      <c r="K402" s="1718">
        <f t="shared" si="216"/>
        <v>0</v>
      </c>
      <c r="L402" s="1718">
        <f t="shared" si="216"/>
        <v>0</v>
      </c>
      <c r="M402" s="1718">
        <f t="shared" si="216"/>
        <v>0</v>
      </c>
      <c r="N402" s="595"/>
      <c r="T402" s="551"/>
    </row>
    <row r="403" spans="2:35" ht="13.5" thickBot="1">
      <c r="B403" s="2374">
        <v>12</v>
      </c>
      <c r="C403" s="1025" t="s">
        <v>254</v>
      </c>
      <c r="D403" s="2375"/>
      <c r="E403" s="2376"/>
      <c r="F403" s="577"/>
      <c r="G403" s="1622"/>
      <c r="H403" s="2377"/>
      <c r="I403" s="2378">
        <f>IF('Estimate Summary'!$D$9&lt;2,0,$H403)</f>
        <v>0</v>
      </c>
      <c r="J403" s="2378">
        <f>IF('Estimate Summary'!$D$9&lt;3,0,$H403)</f>
        <v>0</v>
      </c>
      <c r="K403" s="2378">
        <f>IF('Estimate Summary'!$D$9&lt;4,0,$H403)</f>
        <v>0</v>
      </c>
      <c r="L403" s="2378">
        <f>IF('Estimate Summary'!$D$9&lt;5,0,$H403)</f>
        <v>0</v>
      </c>
      <c r="M403" s="2378">
        <f>IF('Estimate Summary'!$D$9&lt;6,0,$H403)</f>
        <v>0</v>
      </c>
      <c r="N403" s="2379"/>
      <c r="T403" s="551"/>
    </row>
    <row r="404" spans="2:35">
      <c r="B404" s="2380"/>
      <c r="C404" s="620"/>
      <c r="D404" s="2381"/>
      <c r="F404" s="578"/>
      <c r="G404" s="578"/>
      <c r="H404" s="2382"/>
      <c r="I404" s="2382"/>
      <c r="J404" s="2382"/>
      <c r="K404" s="2382"/>
      <c r="L404" s="2382"/>
      <c r="M404" s="2382"/>
    </row>
    <row r="405" spans="2:35">
      <c r="H405" s="2384"/>
    </row>
    <row r="409" spans="2:35">
      <c r="H409" s="2384"/>
    </row>
  </sheetData>
  <autoFilter ref="P11:AW367" xr:uid="{00000000-0009-0000-0000-000004000000}"/>
  <mergeCells count="1">
    <mergeCell ref="N9:N10"/>
  </mergeCells>
  <phoneticPr fontId="10" type="noConversion"/>
  <pageMargins left="0.31496062992125984" right="0.27559055118110237" top="0.59055118110236227" bottom="0.51181102362204722" header="0.39370078740157483" footer="0.31496062992125984"/>
  <pageSetup paperSize="9" scale="28" fitToHeight="6" orientation="portrait" r:id="rId1"/>
  <headerFooter alignWithMargins="0">
    <oddFooter>&amp;L&amp;F / &amp;A&amp;RPage&amp;P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/>
  <dimension ref="B3:Q67"/>
  <sheetViews>
    <sheetView showGridLines="0" showZeros="0" workbookViewId="0">
      <selection activeCell="L64" sqref="L64"/>
    </sheetView>
  </sheetViews>
  <sheetFormatPr defaultRowHeight="12.75" outlineLevelRow="1" outlineLevelCol="1"/>
  <cols>
    <col min="1" max="1" width="4.7109375" style="1037" customWidth="1"/>
    <col min="2" max="2" width="18.42578125" style="1037" bestFit="1" customWidth="1"/>
    <col min="3" max="3" width="26.140625" style="1037" bestFit="1" customWidth="1"/>
    <col min="4" max="4" width="9.5703125" style="1037" customWidth="1"/>
    <col min="5" max="5" width="14.7109375" style="1037" customWidth="1"/>
    <col min="6" max="6" width="11.140625" style="1074" customWidth="1"/>
    <col min="7" max="7" width="14.5703125" style="1074" customWidth="1"/>
    <col min="8" max="8" width="13.140625" style="1037" customWidth="1"/>
    <col min="9" max="9" width="12.7109375" style="1074" customWidth="1" outlineLevel="1"/>
    <col min="10" max="10" width="10.85546875" style="1037" customWidth="1" outlineLevel="1"/>
    <col min="11" max="11" width="9.140625" style="1037" customWidth="1" outlineLevel="1"/>
    <col min="12" max="12" width="16.7109375" style="1074" customWidth="1" outlineLevel="1"/>
    <col min="13" max="13" width="12.140625" style="1074" customWidth="1" outlineLevel="1"/>
    <col min="14" max="14" width="13.28515625" style="1074" bestFit="1" customWidth="1" outlineLevel="1"/>
    <col min="15" max="15" width="12" style="1037" customWidth="1"/>
    <col min="16" max="16" width="1.85546875" style="1037" customWidth="1"/>
    <col min="17" max="17" width="14" style="1333" bestFit="1" customWidth="1"/>
    <col min="18" max="16384" width="9.140625" style="1037"/>
  </cols>
  <sheetData>
    <row r="3" spans="2:17" s="1032" customFormat="1">
      <c r="F3" s="1033"/>
      <c r="G3" s="2692"/>
      <c r="H3" s="2693"/>
      <c r="I3" s="2693"/>
      <c r="J3" s="2693"/>
      <c r="K3" s="2693"/>
      <c r="L3" s="2693"/>
      <c r="M3" s="2693"/>
      <c r="N3" s="2694"/>
      <c r="O3" s="2695"/>
      <c r="Q3" s="1332"/>
    </row>
    <row r="4" spans="2:17">
      <c r="B4" s="1034" t="s">
        <v>443</v>
      </c>
      <c r="C4" s="1035"/>
      <c r="D4" s="1034"/>
      <c r="E4" s="1034"/>
      <c r="F4" s="1036"/>
      <c r="G4" s="2696" t="s">
        <v>444</v>
      </c>
      <c r="H4" s="2697"/>
      <c r="I4" s="2697"/>
      <c r="J4" s="2697"/>
      <c r="K4" s="2697"/>
      <c r="L4" s="2696" t="s">
        <v>445</v>
      </c>
      <c r="M4" s="2698"/>
      <c r="N4" s="2699"/>
      <c r="O4" s="2700"/>
    </row>
    <row r="5" spans="2:17" ht="25.5">
      <c r="B5" s="1038" t="s">
        <v>446</v>
      </c>
      <c r="C5" s="1039" t="s">
        <v>447</v>
      </c>
      <c r="D5" s="1038" t="s">
        <v>255</v>
      </c>
      <c r="E5" s="2621" t="s">
        <v>83</v>
      </c>
      <c r="F5" s="1040" t="s">
        <v>448</v>
      </c>
      <c r="G5" s="1041" t="s">
        <v>269</v>
      </c>
      <c r="H5" s="1042" t="s">
        <v>449</v>
      </c>
      <c r="I5" s="1040" t="s">
        <v>450</v>
      </c>
      <c r="J5" s="1038" t="s">
        <v>449</v>
      </c>
      <c r="K5" s="1038" t="s">
        <v>451</v>
      </c>
      <c r="L5" s="1043" t="s">
        <v>452</v>
      </c>
      <c r="M5" s="1043" t="s">
        <v>453</v>
      </c>
      <c r="N5" s="2411" t="s">
        <v>1607</v>
      </c>
      <c r="O5" s="1044" t="s">
        <v>454</v>
      </c>
    </row>
    <row r="6" spans="2:17">
      <c r="B6" s="1045" t="str">
        <f>'Material analysis'!A4</f>
        <v>Tubing-CS</v>
      </c>
      <c r="C6" s="1045" t="str">
        <f>'Material analysis'!B4</f>
        <v>SA-210MC</v>
      </c>
      <c r="D6" s="1045" t="str">
        <f>'Material analysis'!C4</f>
        <v>CNY</v>
      </c>
      <c r="E6" s="1045" t="str">
        <f>'Material analysis'!D4</f>
        <v>CCB</v>
      </c>
      <c r="F6" s="1045">
        <f>'Material analysis'!E4</f>
        <v>2844.3688237941901</v>
      </c>
      <c r="G6" s="1045">
        <f>IF(D6="CNY",'Material analysis'!I4,'Material analysis'!H4)</f>
        <v>18626.840085023905</v>
      </c>
      <c r="H6" s="1046">
        <f>G6/F6</f>
        <v>6.5486725663716836</v>
      </c>
      <c r="I6" s="1045">
        <f>IF(D6="CNY",'Material analysis'!G4,'Material analysis'!F4)</f>
        <v>18626.840085023905</v>
      </c>
      <c r="J6" s="1046">
        <f>I6/F6</f>
        <v>6.5486725663716836</v>
      </c>
      <c r="K6" s="2643">
        <f>(J6-H6)/H6</f>
        <v>0</v>
      </c>
      <c r="L6" s="1045">
        <f>'Material analysis'!J4</f>
        <v>18626.840085023905</v>
      </c>
      <c r="M6" s="2644">
        <f>L6/F6</f>
        <v>6.5486725663716836</v>
      </c>
      <c r="N6" s="2410"/>
      <c r="O6" s="1047" t="str">
        <f>IF(D6="CNY","DDP WBC","CIF SH")</f>
        <v>DDP WBC</v>
      </c>
    </row>
    <row r="7" spans="2:17" hidden="1" outlineLevel="1">
      <c r="B7" s="1045"/>
      <c r="C7" s="1045"/>
      <c r="D7" s="1045"/>
      <c r="E7" s="1045"/>
      <c r="F7" s="1045"/>
      <c r="G7" s="1045"/>
      <c r="H7" s="1046"/>
      <c r="I7" s="1045"/>
      <c r="J7" s="1046"/>
      <c r="K7" s="2643"/>
      <c r="L7" s="1045"/>
      <c r="M7" s="2644"/>
      <c r="N7" s="2410"/>
      <c r="O7" s="1047"/>
    </row>
    <row r="8" spans="2:17" hidden="1" outlineLevel="1">
      <c r="B8" s="1045"/>
      <c r="C8" s="1045"/>
      <c r="D8" s="1045"/>
      <c r="E8" s="1045"/>
      <c r="F8" s="1045"/>
      <c r="G8" s="1045"/>
      <c r="H8" s="1046"/>
      <c r="I8" s="1045"/>
      <c r="J8" s="1046"/>
      <c r="K8" s="2643"/>
      <c r="L8" s="1045"/>
      <c r="M8" s="2644"/>
      <c r="N8" s="2410"/>
      <c r="O8" s="1047"/>
    </row>
    <row r="9" spans="2:17" hidden="1" outlineLevel="1">
      <c r="B9" s="1045"/>
      <c r="C9" s="1045"/>
      <c r="D9" s="1045"/>
      <c r="E9" s="1045"/>
      <c r="F9" s="1045"/>
      <c r="G9" s="1045"/>
      <c r="H9" s="1046"/>
      <c r="I9" s="1045"/>
      <c r="J9" s="1046"/>
      <c r="K9" s="2643"/>
      <c r="L9" s="1045"/>
      <c r="M9" s="2644"/>
      <c r="N9" s="2410"/>
      <c r="O9" s="1047"/>
    </row>
    <row r="10" spans="2:17" hidden="1" outlineLevel="1">
      <c r="B10" s="1045"/>
      <c r="C10" s="1045"/>
      <c r="D10" s="1045"/>
      <c r="E10" s="1045"/>
      <c r="F10" s="1045"/>
      <c r="G10" s="1045"/>
      <c r="H10" s="1046"/>
      <c r="I10" s="1045"/>
      <c r="J10" s="1046"/>
      <c r="K10" s="2643"/>
      <c r="L10" s="1045"/>
      <c r="M10" s="2644"/>
      <c r="N10" s="2410"/>
      <c r="O10" s="1047"/>
    </row>
    <row r="11" spans="2:17" hidden="1" outlineLevel="1">
      <c r="B11" s="1045"/>
      <c r="C11" s="1045"/>
      <c r="D11" s="1045"/>
      <c r="E11" s="1045"/>
      <c r="F11" s="1045"/>
      <c r="G11" s="1045"/>
      <c r="H11" s="1046"/>
      <c r="I11" s="1045"/>
      <c r="J11" s="1046"/>
      <c r="K11" s="2643"/>
      <c r="L11" s="1045"/>
      <c r="M11" s="2644"/>
      <c r="N11" s="2410"/>
      <c r="O11" s="1047"/>
    </row>
    <row r="12" spans="2:17" hidden="1" outlineLevel="1">
      <c r="B12" s="1045"/>
      <c r="C12" s="1045"/>
      <c r="D12" s="1045"/>
      <c r="E12" s="1045"/>
      <c r="F12" s="1045"/>
      <c r="G12" s="1045"/>
      <c r="H12" s="1046"/>
      <c r="I12" s="1045"/>
      <c r="J12" s="1046"/>
      <c r="K12" s="2643"/>
      <c r="L12" s="1045"/>
      <c r="M12" s="2644"/>
      <c r="N12" s="2410"/>
      <c r="O12" s="1047"/>
    </row>
    <row r="13" spans="2:17" hidden="1" outlineLevel="1">
      <c r="B13" s="1045"/>
      <c r="C13" s="1045"/>
      <c r="D13" s="1045"/>
      <c r="E13" s="1045"/>
      <c r="F13" s="1045"/>
      <c r="G13" s="1045"/>
      <c r="H13" s="1046"/>
      <c r="I13" s="1045"/>
      <c r="J13" s="1046"/>
      <c r="K13" s="2643"/>
      <c r="L13" s="1045"/>
      <c r="M13" s="2644"/>
      <c r="N13" s="2410"/>
      <c r="O13" s="1047"/>
    </row>
    <row r="14" spans="2:17" hidden="1" outlineLevel="1">
      <c r="B14" s="1045"/>
      <c r="C14" s="1045"/>
      <c r="D14" s="1045"/>
      <c r="E14" s="1045"/>
      <c r="F14" s="1045"/>
      <c r="G14" s="1045"/>
      <c r="H14" s="1046"/>
      <c r="I14" s="1045"/>
      <c r="J14" s="1046"/>
      <c r="K14" s="1048"/>
      <c r="L14" s="1045"/>
      <c r="M14" s="1046"/>
      <c r="N14" s="2410"/>
      <c r="O14" s="1047"/>
    </row>
    <row r="15" spans="2:17" hidden="1" outlineLevel="1">
      <c r="B15" s="1045"/>
      <c r="C15" s="1045"/>
      <c r="D15" s="1045"/>
      <c r="E15" s="1045"/>
      <c r="F15" s="1045"/>
      <c r="G15" s="1045"/>
      <c r="H15" s="1046"/>
      <c r="I15" s="1045"/>
      <c r="J15" s="1046"/>
      <c r="K15" s="1048"/>
      <c r="L15" s="1045"/>
      <c r="M15" s="1046"/>
      <c r="N15" s="2410"/>
      <c r="O15" s="1047"/>
    </row>
    <row r="16" spans="2:17" hidden="1" outlineLevel="1">
      <c r="B16" s="1045"/>
      <c r="C16" s="1045"/>
      <c r="D16" s="1045"/>
      <c r="E16" s="1045"/>
      <c r="F16" s="1045"/>
      <c r="G16" s="1045"/>
      <c r="H16" s="1046"/>
      <c r="I16" s="1045"/>
      <c r="J16" s="1046"/>
      <c r="K16" s="1048"/>
      <c r="L16" s="1045"/>
      <c r="M16" s="1046"/>
      <c r="N16" s="2410"/>
      <c r="O16" s="1047"/>
    </row>
    <row r="17" spans="2:15" hidden="1" outlineLevel="1">
      <c r="B17" s="1045"/>
      <c r="C17" s="1045"/>
      <c r="D17" s="1045"/>
      <c r="E17" s="1045"/>
      <c r="F17" s="1045"/>
      <c r="G17" s="1045"/>
      <c r="H17" s="1046"/>
      <c r="I17" s="1045"/>
      <c r="J17" s="1046"/>
      <c r="K17" s="1048"/>
      <c r="L17" s="1045"/>
      <c r="M17" s="1046"/>
      <c r="N17" s="2410"/>
      <c r="O17" s="1047"/>
    </row>
    <row r="18" spans="2:15" hidden="1" outlineLevel="1">
      <c r="B18" s="1045"/>
      <c r="C18" s="1045"/>
      <c r="D18" s="1045"/>
      <c r="E18" s="1045"/>
      <c r="F18" s="1045"/>
      <c r="G18" s="1045"/>
      <c r="H18" s="1046"/>
      <c r="I18" s="1045"/>
      <c r="J18" s="1046"/>
      <c r="K18" s="1048"/>
      <c r="L18" s="1045"/>
      <c r="M18" s="1046"/>
      <c r="N18" s="2410"/>
      <c r="O18" s="1047"/>
    </row>
    <row r="19" spans="2:15" hidden="1" outlineLevel="1">
      <c r="B19" s="1045"/>
      <c r="C19" s="1045"/>
      <c r="D19" s="1045"/>
      <c r="E19" s="1045"/>
      <c r="F19" s="1045"/>
      <c r="G19" s="1045"/>
      <c r="H19" s="1046"/>
      <c r="I19" s="1045"/>
      <c r="J19" s="1046"/>
      <c r="K19" s="1048"/>
      <c r="L19" s="1045"/>
      <c r="M19" s="1046"/>
      <c r="N19" s="2410"/>
      <c r="O19" s="1047"/>
    </row>
    <row r="20" spans="2:15" hidden="1" outlineLevel="1">
      <c r="B20" s="1045"/>
      <c r="C20" s="1045"/>
      <c r="D20" s="1045"/>
      <c r="E20" s="1045"/>
      <c r="F20" s="1045"/>
      <c r="G20" s="1045"/>
      <c r="H20" s="1046"/>
      <c r="I20" s="1045"/>
      <c r="J20" s="1046"/>
      <c r="K20" s="1048"/>
      <c r="L20" s="1045"/>
      <c r="M20" s="1046"/>
      <c r="N20" s="2410"/>
      <c r="O20" s="1047"/>
    </row>
    <row r="21" spans="2:15" hidden="1" outlineLevel="1">
      <c r="B21" s="1045"/>
      <c r="C21" s="1045"/>
      <c r="D21" s="1045"/>
      <c r="E21" s="1045"/>
      <c r="F21" s="1045"/>
      <c r="G21" s="1045"/>
      <c r="H21" s="1046"/>
      <c r="I21" s="1045"/>
      <c r="J21" s="1046"/>
      <c r="K21" s="1048"/>
      <c r="L21" s="1045"/>
      <c r="M21" s="1046"/>
      <c r="N21" s="2410"/>
      <c r="O21" s="1047"/>
    </row>
    <row r="22" spans="2:15" hidden="1" outlineLevel="1">
      <c r="B22" s="1045"/>
      <c r="C22" s="1045"/>
      <c r="D22" s="1045"/>
      <c r="E22" s="1045"/>
      <c r="F22" s="1045"/>
      <c r="G22" s="1045"/>
      <c r="H22" s="1046"/>
      <c r="I22" s="1045"/>
      <c r="J22" s="1046"/>
      <c r="K22" s="1048"/>
      <c r="L22" s="1045"/>
      <c r="M22" s="1046"/>
      <c r="N22" s="2410"/>
      <c r="O22" s="1047"/>
    </row>
    <row r="23" spans="2:15" hidden="1" outlineLevel="1">
      <c r="B23" s="1045"/>
      <c r="C23" s="1045"/>
      <c r="D23" s="1045"/>
      <c r="E23" s="1045"/>
      <c r="F23" s="1045"/>
      <c r="G23" s="1045"/>
      <c r="H23" s="1046"/>
      <c r="I23" s="1045"/>
      <c r="J23" s="1046"/>
      <c r="K23" s="1048"/>
      <c r="L23" s="1045"/>
      <c r="M23" s="1046"/>
      <c r="N23" s="2410"/>
      <c r="O23" s="1047"/>
    </row>
    <row r="24" spans="2:15" hidden="1" outlineLevel="1">
      <c r="B24" s="1045"/>
      <c r="C24" s="1045"/>
      <c r="D24" s="1045"/>
      <c r="E24" s="1045"/>
      <c r="F24" s="1045"/>
      <c r="G24" s="1045"/>
      <c r="H24" s="1046"/>
      <c r="I24" s="1045"/>
      <c r="J24" s="1046"/>
      <c r="K24" s="1048"/>
      <c r="L24" s="1045"/>
      <c r="M24" s="1046"/>
      <c r="N24" s="2410"/>
      <c r="O24" s="1047"/>
    </row>
    <row r="25" spans="2:15" hidden="1" outlineLevel="1">
      <c r="B25" s="1045"/>
      <c r="C25" s="1045"/>
      <c r="D25" s="1045"/>
      <c r="E25" s="1045"/>
      <c r="F25" s="1045"/>
      <c r="G25" s="1045"/>
      <c r="H25" s="1046"/>
      <c r="I25" s="1045"/>
      <c r="J25" s="1046"/>
      <c r="K25" s="1048"/>
      <c r="L25" s="1045"/>
      <c r="M25" s="1046"/>
      <c r="N25" s="2410"/>
      <c r="O25" s="1047"/>
    </row>
    <row r="26" spans="2:15" hidden="1" outlineLevel="1">
      <c r="B26" s="1045"/>
      <c r="C26" s="1045"/>
      <c r="D26" s="1045"/>
      <c r="E26" s="1045"/>
      <c r="F26" s="1045"/>
      <c r="G26" s="1045"/>
      <c r="H26" s="1046"/>
      <c r="I26" s="1045"/>
      <c r="J26" s="1046"/>
      <c r="K26" s="1048"/>
      <c r="L26" s="1045"/>
      <c r="M26" s="1046"/>
      <c r="N26" s="2410"/>
      <c r="O26" s="1047"/>
    </row>
    <row r="27" spans="2:15" hidden="1" outlineLevel="1">
      <c r="B27" s="1045"/>
      <c r="C27" s="1045"/>
      <c r="D27" s="1045"/>
      <c r="E27" s="1045"/>
      <c r="F27" s="1045"/>
      <c r="G27" s="1045"/>
      <c r="H27" s="1046"/>
      <c r="I27" s="1045"/>
      <c r="J27" s="1046"/>
      <c r="K27" s="1048"/>
      <c r="L27" s="1045"/>
      <c r="M27" s="1046"/>
      <c r="N27" s="2410"/>
      <c r="O27" s="1047"/>
    </row>
    <row r="28" spans="2:15" hidden="1" outlineLevel="1">
      <c r="B28" s="1045"/>
      <c r="C28" s="1045"/>
      <c r="D28" s="1045"/>
      <c r="E28" s="1045"/>
      <c r="F28" s="1045"/>
      <c r="G28" s="1045"/>
      <c r="H28" s="1046"/>
      <c r="I28" s="1045"/>
      <c r="J28" s="1046"/>
      <c r="K28" s="1048"/>
      <c r="L28" s="1045"/>
      <c r="M28" s="1046"/>
      <c r="N28" s="2410"/>
      <c r="O28" s="1047"/>
    </row>
    <row r="29" spans="2:15" hidden="1" outlineLevel="1">
      <c r="B29" s="1045"/>
      <c r="C29" s="1045"/>
      <c r="D29" s="1045"/>
      <c r="E29" s="1045"/>
      <c r="F29" s="1045"/>
      <c r="G29" s="1045"/>
      <c r="H29" s="1046"/>
      <c r="I29" s="1045"/>
      <c r="J29" s="1046"/>
      <c r="K29" s="1048"/>
      <c r="L29" s="1045"/>
      <c r="M29" s="1046"/>
      <c r="N29" s="2410"/>
      <c r="O29" s="1047"/>
    </row>
    <row r="30" spans="2:15" hidden="1" outlineLevel="1">
      <c r="B30" s="1045"/>
      <c r="C30" s="1045"/>
      <c r="D30" s="1045"/>
      <c r="E30" s="1045"/>
      <c r="F30" s="1045"/>
      <c r="G30" s="1045"/>
      <c r="H30" s="1046"/>
      <c r="I30" s="1045"/>
      <c r="J30" s="1046"/>
      <c r="K30" s="1048"/>
      <c r="L30" s="1045"/>
      <c r="M30" s="1046"/>
      <c r="N30" s="2410"/>
      <c r="O30" s="1047"/>
    </row>
    <row r="31" spans="2:15" hidden="1" outlineLevel="1">
      <c r="B31" s="1045"/>
      <c r="C31" s="1045"/>
      <c r="D31" s="1045"/>
      <c r="E31" s="1045"/>
      <c r="F31" s="1045"/>
      <c r="G31" s="1045"/>
      <c r="H31" s="1046"/>
      <c r="I31" s="1045"/>
      <c r="J31" s="1046"/>
      <c r="K31" s="1048"/>
      <c r="L31" s="1045"/>
      <c r="M31" s="1046"/>
      <c r="N31" s="2410"/>
      <c r="O31" s="1047"/>
    </row>
    <row r="32" spans="2:15" hidden="1" outlineLevel="1">
      <c r="B32" s="1045"/>
      <c r="C32" s="1045"/>
      <c r="D32" s="1045"/>
      <c r="E32" s="1045"/>
      <c r="F32" s="1045"/>
      <c r="G32" s="1045"/>
      <c r="H32" s="1046"/>
      <c r="I32" s="1045"/>
      <c r="J32" s="1046"/>
      <c r="K32" s="1048"/>
      <c r="L32" s="1045"/>
      <c r="M32" s="1046"/>
      <c r="N32" s="2410"/>
      <c r="O32" s="1047"/>
    </row>
    <row r="33" spans="2:17" hidden="1" outlineLevel="1">
      <c r="B33" s="1045"/>
      <c r="C33" s="1045"/>
      <c r="D33" s="1045"/>
      <c r="E33" s="1045"/>
      <c r="F33" s="1045"/>
      <c r="G33" s="1045"/>
      <c r="H33" s="1046"/>
      <c r="I33" s="1045"/>
      <c r="J33" s="1046"/>
      <c r="K33" s="1048"/>
      <c r="L33" s="1045"/>
      <c r="M33" s="1046"/>
      <c r="N33" s="2410"/>
      <c r="O33" s="1047"/>
    </row>
    <row r="34" spans="2:17" hidden="1" outlineLevel="1">
      <c r="B34" s="1045"/>
      <c r="C34" s="1045"/>
      <c r="D34" s="1045"/>
      <c r="E34" s="1045"/>
      <c r="F34" s="1045"/>
      <c r="G34" s="1045"/>
      <c r="H34" s="1046"/>
      <c r="I34" s="1045"/>
      <c r="J34" s="1046"/>
      <c r="K34" s="1048"/>
      <c r="L34" s="1045"/>
      <c r="M34" s="1046"/>
      <c r="N34" s="2410"/>
      <c r="O34" s="1047"/>
    </row>
    <row r="35" spans="2:17" hidden="1" outlineLevel="1">
      <c r="B35" s="1045"/>
      <c r="C35" s="1045"/>
      <c r="D35" s="1045"/>
      <c r="E35" s="1045"/>
      <c r="F35" s="1045"/>
      <c r="G35" s="1045"/>
      <c r="H35" s="1046"/>
      <c r="I35" s="1045"/>
      <c r="J35" s="1046"/>
      <c r="K35" s="1048"/>
      <c r="L35" s="1045"/>
      <c r="M35" s="1046"/>
      <c r="N35" s="2410"/>
      <c r="O35" s="1047"/>
    </row>
    <row r="36" spans="2:17" hidden="1" outlineLevel="1">
      <c r="B36" s="1045"/>
      <c r="C36" s="1045"/>
      <c r="D36" s="1045"/>
      <c r="E36" s="1045"/>
      <c r="F36" s="1045"/>
      <c r="G36" s="1045"/>
      <c r="H36" s="1046"/>
      <c r="I36" s="1045"/>
      <c r="J36" s="1046"/>
      <c r="K36" s="1048"/>
      <c r="L36" s="1045"/>
      <c r="M36" s="1046"/>
      <c r="N36" s="2410"/>
      <c r="O36" s="1047"/>
    </row>
    <row r="37" spans="2:17" hidden="1" outlineLevel="1">
      <c r="B37" s="1045"/>
      <c r="C37" s="1045"/>
      <c r="D37" s="1045"/>
      <c r="E37" s="1045"/>
      <c r="F37" s="1045"/>
      <c r="G37" s="1045"/>
      <c r="H37" s="1046"/>
      <c r="I37" s="1045"/>
      <c r="J37" s="1046"/>
      <c r="K37" s="1048"/>
      <c r="L37" s="1045"/>
      <c r="M37" s="1046"/>
      <c r="N37" s="2410"/>
      <c r="O37" s="1047"/>
    </row>
    <row r="38" spans="2:17" hidden="1" outlineLevel="1">
      <c r="B38" s="1045"/>
      <c r="C38" s="1045"/>
      <c r="D38" s="1045"/>
      <c r="E38" s="1045"/>
      <c r="F38" s="1045"/>
      <c r="G38" s="1045"/>
      <c r="H38" s="1046"/>
      <c r="I38" s="1045"/>
      <c r="J38" s="1046"/>
      <c r="K38" s="1048"/>
      <c r="L38" s="1045"/>
      <c r="M38" s="1046"/>
      <c r="N38" s="2410"/>
      <c r="O38" s="1047"/>
    </row>
    <row r="39" spans="2:17" hidden="1" outlineLevel="1">
      <c r="B39" s="1045"/>
      <c r="C39" s="1045"/>
      <c r="D39" s="1045"/>
      <c r="E39" s="1045"/>
      <c r="F39" s="1045"/>
      <c r="G39" s="1045"/>
      <c r="H39" s="1046"/>
      <c r="I39" s="1045"/>
      <c r="J39" s="1046"/>
      <c r="K39" s="1048"/>
      <c r="L39" s="1045"/>
      <c r="M39" s="1046"/>
      <c r="N39" s="2410"/>
      <c r="O39" s="1047"/>
    </row>
    <row r="40" spans="2:17" hidden="1" outlineLevel="1">
      <c r="B40" s="1045"/>
      <c r="C40" s="1045"/>
      <c r="D40" s="1045"/>
      <c r="E40" s="1045"/>
      <c r="F40" s="1045"/>
      <c r="G40" s="1045"/>
      <c r="H40" s="1046"/>
      <c r="I40" s="1045"/>
      <c r="J40" s="1046"/>
      <c r="K40" s="1048"/>
      <c r="L40" s="1045"/>
      <c r="M40" s="1046"/>
      <c r="N40" s="2410"/>
      <c r="O40" s="1047"/>
    </row>
    <row r="41" spans="2:17" hidden="1" outlineLevel="1">
      <c r="B41" s="1045"/>
      <c r="C41" s="1045"/>
      <c r="D41" s="1045"/>
      <c r="E41" s="1045"/>
      <c r="F41" s="1045"/>
      <c r="G41" s="1045"/>
      <c r="H41" s="1046"/>
      <c r="I41" s="1045"/>
      <c r="J41" s="1046"/>
      <c r="K41" s="1048"/>
      <c r="L41" s="1045"/>
      <c r="M41" s="1046"/>
      <c r="N41" s="2410"/>
      <c r="O41" s="1047"/>
    </row>
    <row r="42" spans="2:17" hidden="1" outlineLevel="1">
      <c r="B42" s="1045"/>
      <c r="C42" s="1045"/>
      <c r="D42" s="1045"/>
      <c r="E42" s="1045"/>
      <c r="F42" s="1045"/>
      <c r="G42" s="1045"/>
      <c r="H42" s="1046"/>
      <c r="I42" s="1045"/>
      <c r="J42" s="1046"/>
      <c r="K42" s="1048"/>
      <c r="L42" s="1045"/>
      <c r="M42" s="1046"/>
      <c r="N42" s="2410"/>
      <c r="O42" s="1047"/>
    </row>
    <row r="43" spans="2:17" s="1056" customFormat="1" collapsed="1">
      <c r="B43" s="1049" t="s">
        <v>455</v>
      </c>
      <c r="C43" s="1050"/>
      <c r="D43" s="1051"/>
      <c r="E43" s="1051"/>
      <c r="F43" s="1052">
        <f>SUM(F6:F42)</f>
        <v>2844.3688237941901</v>
      </c>
      <c r="G43" s="1052"/>
      <c r="H43" s="1053"/>
      <c r="I43" s="1052"/>
      <c r="J43" s="1054"/>
      <c r="K43" s="1051"/>
      <c r="L43" s="1052">
        <f>SUM(L6:L42)</f>
        <v>18626.840085023905</v>
      </c>
      <c r="M43" s="1055"/>
      <c r="N43" s="2412"/>
      <c r="O43" s="1051"/>
      <c r="Q43" s="1334"/>
    </row>
    <row r="44" spans="2:17" s="1056" customFormat="1">
      <c r="B44" s="1057"/>
      <c r="C44" s="1058"/>
      <c r="D44" s="1059"/>
      <c r="E44" s="1059"/>
      <c r="F44" s="1060"/>
      <c r="G44" s="1060"/>
      <c r="H44" s="1061"/>
      <c r="I44" s="1060"/>
      <c r="J44" s="1062"/>
      <c r="K44" s="1059"/>
      <c r="L44" s="1060"/>
      <c r="M44" s="1063"/>
      <c r="N44" s="1063"/>
      <c r="O44" s="1059"/>
      <c r="Q44" s="1334"/>
    </row>
    <row r="45" spans="2:17">
      <c r="B45" s="1034"/>
      <c r="C45" s="1035"/>
      <c r="D45" s="1034"/>
      <c r="E45" s="1034"/>
      <c r="F45" s="1036"/>
      <c r="G45" s="1036"/>
      <c r="H45" s="1034"/>
      <c r="I45" s="1036"/>
      <c r="J45" s="1034"/>
      <c r="K45" s="1034"/>
      <c r="L45" s="1036"/>
      <c r="M45" s="1036"/>
      <c r="N45" s="1036"/>
      <c r="O45" s="1034"/>
    </row>
    <row r="46" spans="2:17" ht="25.5">
      <c r="B46" s="1038" t="s">
        <v>446</v>
      </c>
      <c r="C46" s="1039" t="s">
        <v>447</v>
      </c>
      <c r="D46" s="1038" t="s">
        <v>255</v>
      </c>
      <c r="E46" s="1038" t="s">
        <v>83</v>
      </c>
      <c r="F46" s="1040" t="s">
        <v>448</v>
      </c>
      <c r="G46" s="1041" t="s">
        <v>269</v>
      </c>
      <c r="H46" s="1042" t="s">
        <v>449</v>
      </c>
      <c r="I46" s="1040" t="s">
        <v>450</v>
      </c>
      <c r="J46" s="1038" t="s">
        <v>449</v>
      </c>
      <c r="K46" s="1038" t="s">
        <v>451</v>
      </c>
      <c r="L46" s="1043" t="s">
        <v>452</v>
      </c>
      <c r="M46" s="1043" t="s">
        <v>453</v>
      </c>
      <c r="N46" s="2411" t="s">
        <v>1607</v>
      </c>
      <c r="O46" s="1044" t="s">
        <v>454</v>
      </c>
    </row>
    <row r="47" spans="2:17">
      <c r="B47" s="1045" t="str">
        <f>'Material analysis'!A47</f>
        <v>Forgings</v>
      </c>
      <c r="C47" s="1045"/>
      <c r="D47" s="1045" t="str">
        <f>'Material analysis'!B47</f>
        <v>CNY</v>
      </c>
      <c r="E47" s="1045"/>
      <c r="F47" s="1045">
        <f>'Material analysis'!C47</f>
        <v>250</v>
      </c>
      <c r="G47" s="1045">
        <f>'Material analysis'!J47</f>
        <v>0</v>
      </c>
      <c r="H47" s="1046">
        <f>G47/F47</f>
        <v>0</v>
      </c>
      <c r="I47" s="1045">
        <f>G47</f>
        <v>0</v>
      </c>
      <c r="J47" s="1046">
        <f>I47/F47</f>
        <v>0</v>
      </c>
      <c r="K47" s="2529" t="e">
        <f>(J47-H47)/H47</f>
        <v>#DIV/0!</v>
      </c>
      <c r="L47" s="1045">
        <f>SUM('Material analysis'!H47)</f>
        <v>75000</v>
      </c>
      <c r="M47" s="1046">
        <f>L47/F47</f>
        <v>300</v>
      </c>
      <c r="N47" s="2414">
        <f>'Material analysis'!I47</f>
        <v>0</v>
      </c>
      <c r="O47" s="1047" t="str">
        <f>IF(D47="CNY","DDP WBC","CIF SH")</f>
        <v>DDP WBC</v>
      </c>
    </row>
    <row r="48" spans="2:17" hidden="1" outlineLevel="1">
      <c r="B48" s="1045"/>
      <c r="C48" s="1045"/>
      <c r="D48" s="1045"/>
      <c r="E48" s="1045"/>
      <c r="F48" s="1045"/>
      <c r="G48" s="1045"/>
      <c r="H48" s="1046"/>
      <c r="I48" s="1045"/>
      <c r="J48" s="1046"/>
      <c r="K48" s="2529"/>
      <c r="L48" s="1045"/>
      <c r="M48" s="1046"/>
      <c r="N48" s="2414"/>
      <c r="O48" s="1047"/>
    </row>
    <row r="49" spans="2:17" hidden="1" outlineLevel="1">
      <c r="B49" s="1045"/>
      <c r="C49" s="1045"/>
      <c r="D49" s="1045"/>
      <c r="E49" s="1045"/>
      <c r="F49" s="1045"/>
      <c r="G49" s="1045"/>
      <c r="H49" s="1046"/>
      <c r="I49" s="1045"/>
      <c r="J49" s="1046"/>
      <c r="K49" s="2529"/>
      <c r="L49" s="1045"/>
      <c r="M49" s="1046"/>
      <c r="N49" s="2414"/>
      <c r="O49" s="1047"/>
    </row>
    <row r="50" spans="2:17" hidden="1" outlineLevel="1">
      <c r="B50" s="1045"/>
      <c r="C50" s="1045"/>
      <c r="D50" s="1045"/>
      <c r="E50" s="1045"/>
      <c r="F50" s="1045"/>
      <c r="G50" s="1045"/>
      <c r="H50" s="1046"/>
      <c r="I50" s="1045"/>
      <c r="J50" s="1046"/>
      <c r="K50" s="2529"/>
      <c r="L50" s="1045"/>
      <c r="M50" s="1046"/>
      <c r="N50" s="2414"/>
      <c r="O50" s="1047"/>
    </row>
    <row r="51" spans="2:17" hidden="1" outlineLevel="1">
      <c r="B51" s="1045"/>
      <c r="C51" s="1045"/>
      <c r="D51" s="1045"/>
      <c r="E51" s="1045"/>
      <c r="F51" s="1045"/>
      <c r="G51" s="1045"/>
      <c r="H51" s="1046"/>
      <c r="I51" s="1045"/>
      <c r="J51" s="1046"/>
      <c r="K51" s="2529"/>
      <c r="L51" s="1045"/>
      <c r="M51" s="1046"/>
      <c r="N51" s="2414"/>
      <c r="O51" s="1047"/>
    </row>
    <row r="52" spans="2:17" hidden="1" outlineLevel="1">
      <c r="B52" s="1045"/>
      <c r="C52" s="1045"/>
      <c r="D52" s="1045"/>
      <c r="E52" s="1045"/>
      <c r="F52" s="1045"/>
      <c r="G52" s="1045"/>
      <c r="H52" s="1046"/>
      <c r="I52" s="1045"/>
      <c r="J52" s="1046"/>
      <c r="K52" s="2529"/>
      <c r="L52" s="1045"/>
      <c r="M52" s="1046"/>
      <c r="N52" s="2414"/>
      <c r="O52" s="1047"/>
    </row>
    <row r="53" spans="2:17" hidden="1" outlineLevel="1">
      <c r="B53" s="1045"/>
      <c r="C53" s="1045"/>
      <c r="D53" s="1045"/>
      <c r="E53" s="1045"/>
      <c r="F53" s="1045"/>
      <c r="G53" s="1045"/>
      <c r="H53" s="1046"/>
      <c r="I53" s="1045"/>
      <c r="J53" s="1046"/>
      <c r="K53" s="1048"/>
      <c r="L53" s="1045"/>
      <c r="M53" s="1046"/>
      <c r="N53" s="2414"/>
      <c r="O53" s="1047"/>
    </row>
    <row r="54" spans="2:17" hidden="1" outlineLevel="1">
      <c r="B54" s="1045"/>
      <c r="C54" s="1045"/>
      <c r="D54" s="1045"/>
      <c r="E54" s="1045"/>
      <c r="F54" s="1045"/>
      <c r="G54" s="1045"/>
      <c r="H54" s="1046"/>
      <c r="I54" s="1045"/>
      <c r="J54" s="1046"/>
      <c r="K54" s="1048"/>
      <c r="L54" s="1045"/>
      <c r="M54" s="1046"/>
      <c r="N54" s="2414"/>
      <c r="O54" s="1047"/>
    </row>
    <row r="55" spans="2:17" hidden="1" outlineLevel="1">
      <c r="B55" s="1045"/>
      <c r="C55" s="1045"/>
      <c r="D55" s="1045"/>
      <c r="E55" s="1045"/>
      <c r="F55" s="1045"/>
      <c r="G55" s="1045"/>
      <c r="H55" s="1046"/>
      <c r="I55" s="1045"/>
      <c r="J55" s="1046"/>
      <c r="K55" s="1048"/>
      <c r="L55" s="1045"/>
      <c r="M55" s="1046"/>
      <c r="N55" s="2414"/>
      <c r="O55" s="1047"/>
    </row>
    <row r="56" spans="2:17" hidden="1" outlineLevel="1">
      <c r="B56" s="1045"/>
      <c r="C56" s="1045"/>
      <c r="D56" s="1045"/>
      <c r="E56" s="1045"/>
      <c r="F56" s="1045"/>
      <c r="G56" s="1045"/>
      <c r="H56" s="1046"/>
      <c r="I56" s="1045"/>
      <c r="J56" s="1046"/>
      <c r="K56" s="1048"/>
      <c r="L56" s="1045"/>
      <c r="M56" s="1046"/>
      <c r="N56" s="2414"/>
      <c r="O56" s="1047"/>
    </row>
    <row r="57" spans="2:17" hidden="1" outlineLevel="1" collapsed="1">
      <c r="B57" s="1064"/>
      <c r="C57" s="1047"/>
      <c r="D57" s="1047"/>
      <c r="E57" s="1045"/>
      <c r="F57" s="1065"/>
      <c r="G57" s="1065"/>
      <c r="H57" s="1066"/>
      <c r="I57" s="1065"/>
      <c r="J57" s="1066"/>
      <c r="K57" s="1067"/>
      <c r="L57" s="1045"/>
      <c r="M57" s="1066"/>
      <c r="N57" s="2409"/>
      <c r="O57" s="1047"/>
    </row>
    <row r="58" spans="2:17" hidden="1" outlineLevel="1">
      <c r="B58" s="1064"/>
      <c r="C58" s="1047"/>
      <c r="D58" s="1047"/>
      <c r="E58" s="1045"/>
      <c r="F58" s="1065"/>
      <c r="G58" s="1065"/>
      <c r="H58" s="1066"/>
      <c r="I58" s="1065"/>
      <c r="J58" s="1066"/>
      <c r="K58" s="1067"/>
      <c r="L58" s="1045"/>
      <c r="M58" s="1066"/>
      <c r="N58" s="2409"/>
      <c r="O58" s="1047"/>
    </row>
    <row r="59" spans="2:17" collapsed="1">
      <c r="B59" s="1064" t="str">
        <f>'Estimate Detail'!C52</f>
        <v>Packaging</v>
      </c>
      <c r="C59" s="1047"/>
      <c r="D59" s="1047" t="str">
        <f>'Estimate Detail'!D52</f>
        <v>CNY</v>
      </c>
      <c r="E59" s="1045"/>
      <c r="F59" s="1065">
        <f>'Estimate Detail'!E52</f>
        <v>618.87376475883809</v>
      </c>
      <c r="G59" s="1065">
        <f>'Estimate Detail'!G52*1000</f>
        <v>3589.467835601261</v>
      </c>
      <c r="H59" s="1066">
        <f>G59/F59</f>
        <v>5.8</v>
      </c>
      <c r="I59" s="1065">
        <f t="shared" ref="I59:I60" si="0">G59</f>
        <v>3589.467835601261</v>
      </c>
      <c r="J59" s="1066">
        <f t="shared" ref="J59" si="1">I59/F59</f>
        <v>5.8</v>
      </c>
      <c r="K59" s="1067">
        <f t="shared" ref="K59" si="2">(J59-H59)/H59</f>
        <v>0</v>
      </c>
      <c r="L59" s="1045">
        <f t="shared" ref="L59:L60" si="3">I59</f>
        <v>3589.467835601261</v>
      </c>
      <c r="M59" s="1066">
        <f t="shared" ref="M59" si="4">L59/F59</f>
        <v>5.8</v>
      </c>
      <c r="N59" s="2409"/>
      <c r="O59" s="1047" t="str">
        <f t="shared" ref="O59:O60" si="5">IF(D59="CNY","DDP WBC","CIF SH")</f>
        <v>DDP WBC</v>
      </c>
    </row>
    <row r="60" spans="2:17">
      <c r="B60" s="1064" t="str">
        <f>'Estimate Detail'!C53</f>
        <v>Jig</v>
      </c>
      <c r="C60" s="1047"/>
      <c r="D60" s="1047" t="str">
        <f>'Estimate Detail'!D53</f>
        <v>CNY</v>
      </c>
      <c r="E60" s="1045"/>
      <c r="F60" s="1065">
        <f>'Estimate Detail'!E53</f>
        <v>0</v>
      </c>
      <c r="G60" s="1065">
        <f>'Estimate Detail'!G53*1000</f>
        <v>0</v>
      </c>
      <c r="H60" s="1066"/>
      <c r="I60" s="1065">
        <f t="shared" si="0"/>
        <v>0</v>
      </c>
      <c r="J60" s="1066"/>
      <c r="K60" s="1067"/>
      <c r="L60" s="1045">
        <f t="shared" si="3"/>
        <v>0</v>
      </c>
      <c r="M60" s="1066"/>
      <c r="N60" s="2409"/>
      <c r="O60" s="1047" t="str">
        <f t="shared" si="5"/>
        <v>DDP WBC</v>
      </c>
    </row>
    <row r="61" spans="2:17" s="1056" customFormat="1">
      <c r="B61" s="1049" t="s">
        <v>455</v>
      </c>
      <c r="C61" s="1050"/>
      <c r="D61" s="1051"/>
      <c r="E61" s="1051"/>
      <c r="F61" s="1068">
        <f>SUM(F47:F60)</f>
        <v>868.87376475883809</v>
      </c>
      <c r="G61" s="1052"/>
      <c r="H61" s="1053"/>
      <c r="I61" s="1052"/>
      <c r="J61" s="1054"/>
      <c r="K61" s="1051"/>
      <c r="L61" s="1052">
        <f>SUM(L47:L60)</f>
        <v>78589.467835601259</v>
      </c>
      <c r="M61" s="1069"/>
      <c r="N61" s="1052">
        <f>SUM(N47:N60)</f>
        <v>0</v>
      </c>
      <c r="O61" s="1047"/>
      <c r="Q61" s="1334"/>
    </row>
    <row r="62" spans="2:17">
      <c r="B62" s="1049" t="s">
        <v>456</v>
      </c>
      <c r="C62" s="1070"/>
      <c r="D62" s="1071"/>
      <c r="E62" s="1071"/>
      <c r="F62" s="1055">
        <f>F61+F43</f>
        <v>3713.2425885530283</v>
      </c>
      <c r="G62" s="1055"/>
      <c r="H62" s="1071"/>
      <c r="I62" s="1055"/>
      <c r="J62" s="1071"/>
      <c r="K62" s="1071"/>
      <c r="L62" s="1055">
        <f>L61+L43+N61</f>
        <v>97216.307920625171</v>
      </c>
      <c r="M62" s="1072"/>
      <c r="N62" s="2413"/>
      <c r="O62" s="1047"/>
    </row>
    <row r="63" spans="2:17">
      <c r="B63" s="1034"/>
      <c r="C63" s="1035"/>
      <c r="D63" s="1034"/>
      <c r="E63" s="1034"/>
      <c r="F63" s="1036"/>
      <c r="G63" s="1036"/>
      <c r="H63" s="1034"/>
      <c r="I63" s="1036"/>
      <c r="J63" s="1034"/>
      <c r="K63" s="1034"/>
      <c r="L63" s="1073"/>
      <c r="M63" s="1036"/>
      <c r="N63" s="1036"/>
      <c r="O63" s="1034"/>
    </row>
    <row r="64" spans="2:17">
      <c r="G64" s="1075"/>
      <c r="K64" s="1037" t="s">
        <v>1268</v>
      </c>
      <c r="L64" s="2527">
        <f>L62-'Estimate Summary'!F26*1000-'Estimate Summary'!F27*1000</f>
        <v>0</v>
      </c>
    </row>
    <row r="66" spans="6:6">
      <c r="F66" s="2390"/>
    </row>
    <row r="67" spans="6:6">
      <c r="F67" s="2390"/>
    </row>
  </sheetData>
  <autoFilter ref="B5:M33" xr:uid="{00000000-0009-0000-0000-000005000000}"/>
  <mergeCells count="3">
    <mergeCell ref="G3:O3"/>
    <mergeCell ref="G4:K4"/>
    <mergeCell ref="L4:O4"/>
  </mergeCells>
  <phoneticPr fontId="42" type="noConversion"/>
  <conditionalFormatting sqref="D14:O42 H6:L13 N6:O13">
    <cfRule type="expression" dxfId="63" priority="6">
      <formula>$O6="CIF SH"</formula>
    </cfRule>
  </conditionalFormatting>
  <conditionalFormatting sqref="O57:O60">
    <cfRule type="expression" dxfId="62" priority="4">
      <formula>$O57="CIF SH"</formula>
    </cfRule>
  </conditionalFormatting>
  <conditionalFormatting sqref="D47:O56">
    <cfRule type="expression" dxfId="61" priority="2">
      <formula>$O47="CIF SH"</formula>
    </cfRule>
  </conditionalFormatting>
  <conditionalFormatting sqref="M6:M13">
    <cfRule type="expression" dxfId="60" priority="1">
      <formula>$O6="CIF SH"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/>
  <dimension ref="A3:L392"/>
  <sheetViews>
    <sheetView zoomScaleNormal="100" workbookViewId="0">
      <selection activeCell="C14" sqref="C14"/>
    </sheetView>
  </sheetViews>
  <sheetFormatPr defaultRowHeight="12.75"/>
  <cols>
    <col min="1" max="1" width="23.85546875" customWidth="1"/>
    <col min="2" max="2" width="12.140625" customWidth="1"/>
    <col min="3" max="3" width="27.7109375" customWidth="1"/>
    <col min="4" max="4" width="21.42578125" bestFit="1" customWidth="1"/>
    <col min="5" max="5" width="21.42578125" style="793" bestFit="1" customWidth="1"/>
    <col min="6" max="7" width="31.140625" style="793" bestFit="1" customWidth="1"/>
    <col min="8" max="8" width="18.28515625" style="793" bestFit="1" customWidth="1"/>
    <col min="9" max="9" width="21.42578125" style="793" bestFit="1" customWidth="1"/>
    <col min="10" max="10" width="22.7109375" bestFit="1" customWidth="1"/>
    <col min="11" max="11" width="4.42578125" customWidth="1"/>
    <col min="12" max="12" width="13.28515625" customWidth="1"/>
  </cols>
  <sheetData>
    <row r="3" spans="1:12">
      <c r="A3" s="695" t="s">
        <v>1236</v>
      </c>
      <c r="B3" s="695" t="s">
        <v>63</v>
      </c>
      <c r="C3" s="695" t="s">
        <v>255</v>
      </c>
      <c r="D3" s="695" t="s">
        <v>83</v>
      </c>
      <c r="E3" s="793" t="s">
        <v>383</v>
      </c>
      <c r="F3" s="793" t="s">
        <v>354</v>
      </c>
      <c r="G3" s="793" t="s">
        <v>384</v>
      </c>
      <c r="H3" s="793" t="s">
        <v>398</v>
      </c>
      <c r="I3" s="793" t="s">
        <v>399</v>
      </c>
      <c r="J3" s="986" t="s">
        <v>433</v>
      </c>
    </row>
    <row r="4" spans="1:12">
      <c r="A4" s="2088" t="s">
        <v>401</v>
      </c>
      <c r="B4" s="2088" t="s">
        <v>1669</v>
      </c>
      <c r="C4" s="2088" t="s">
        <v>181</v>
      </c>
      <c r="D4" s="2088" t="s">
        <v>147</v>
      </c>
      <c r="E4" s="793">
        <v>2844.3688237941901</v>
      </c>
      <c r="F4" s="793">
        <v>0</v>
      </c>
      <c r="G4" s="793">
        <v>18626.840085023905</v>
      </c>
      <c r="H4" s="793">
        <v>0</v>
      </c>
      <c r="I4" s="793">
        <v>18626.840085023905</v>
      </c>
      <c r="J4" s="793">
        <v>18626.840085023905</v>
      </c>
      <c r="L4" s="489">
        <f>I4/E4</f>
        <v>6.5486725663716836</v>
      </c>
    </row>
    <row r="5" spans="1:12">
      <c r="A5" s="2088" t="s">
        <v>29</v>
      </c>
      <c r="E5" s="793">
        <v>2844.3688237941901</v>
      </c>
      <c r="F5" s="793">
        <v>0</v>
      </c>
      <c r="G5" s="793">
        <v>18626.840085023905</v>
      </c>
      <c r="H5" s="793">
        <v>0</v>
      </c>
      <c r="I5" s="793">
        <v>18626.840085023905</v>
      </c>
      <c r="J5" s="793">
        <v>18626.840085023905</v>
      </c>
      <c r="L5" s="489">
        <f t="shared" ref="L5:L31" si="0">I5/E5</f>
        <v>6.5486725663716836</v>
      </c>
    </row>
    <row r="6" spans="1:12">
      <c r="E6"/>
      <c r="F6"/>
      <c r="G6"/>
      <c r="H6"/>
      <c r="I6"/>
      <c r="L6" s="489" t="e">
        <f t="shared" si="0"/>
        <v>#DIV/0!</v>
      </c>
    </row>
    <row r="7" spans="1:12">
      <c r="E7"/>
      <c r="F7"/>
      <c r="G7"/>
      <c r="H7"/>
      <c r="I7"/>
      <c r="L7" s="489" t="e">
        <f t="shared" si="0"/>
        <v>#DIV/0!</v>
      </c>
    </row>
    <row r="8" spans="1:12">
      <c r="E8"/>
      <c r="F8"/>
      <c r="G8"/>
      <c r="H8"/>
      <c r="I8"/>
      <c r="L8" s="489" t="e">
        <f t="shared" si="0"/>
        <v>#DIV/0!</v>
      </c>
    </row>
    <row r="9" spans="1:12">
      <c r="E9"/>
      <c r="F9"/>
      <c r="G9"/>
      <c r="H9"/>
      <c r="I9"/>
      <c r="L9" s="489" t="e">
        <f t="shared" si="0"/>
        <v>#DIV/0!</v>
      </c>
    </row>
    <row r="10" spans="1:12">
      <c r="E10"/>
      <c r="F10"/>
      <c r="G10"/>
      <c r="H10"/>
      <c r="I10"/>
      <c r="L10" s="489" t="e">
        <f t="shared" si="0"/>
        <v>#DIV/0!</v>
      </c>
    </row>
    <row r="11" spans="1:12">
      <c r="E11"/>
      <c r="F11"/>
      <c r="G11"/>
      <c r="H11"/>
      <c r="I11"/>
      <c r="L11" s="489" t="e">
        <f t="shared" si="0"/>
        <v>#DIV/0!</v>
      </c>
    </row>
    <row r="12" spans="1:12">
      <c r="E12"/>
      <c r="F12"/>
      <c r="G12"/>
      <c r="H12"/>
      <c r="I12"/>
      <c r="L12" s="489" t="e">
        <f t="shared" si="0"/>
        <v>#DIV/0!</v>
      </c>
    </row>
    <row r="13" spans="1:12">
      <c r="E13"/>
      <c r="F13"/>
      <c r="G13"/>
      <c r="H13"/>
      <c r="I13"/>
      <c r="L13" s="489" t="e">
        <f t="shared" si="0"/>
        <v>#DIV/0!</v>
      </c>
    </row>
    <row r="14" spans="1:12">
      <c r="E14"/>
      <c r="F14"/>
      <c r="G14"/>
      <c r="H14"/>
      <c r="I14"/>
      <c r="L14" s="489" t="e">
        <f t="shared" si="0"/>
        <v>#DIV/0!</v>
      </c>
    </row>
    <row r="15" spans="1:12">
      <c r="E15"/>
      <c r="F15"/>
      <c r="G15"/>
      <c r="H15"/>
      <c r="I15"/>
      <c r="L15" s="489" t="e">
        <f t="shared" si="0"/>
        <v>#DIV/0!</v>
      </c>
    </row>
    <row r="16" spans="1:12">
      <c r="E16"/>
      <c r="F16"/>
      <c r="G16"/>
      <c r="H16"/>
      <c r="I16"/>
      <c r="L16" s="489" t="e">
        <f t="shared" si="0"/>
        <v>#DIV/0!</v>
      </c>
    </row>
    <row r="17" spans="1:12">
      <c r="E17"/>
      <c r="F17"/>
      <c r="G17"/>
      <c r="H17"/>
      <c r="I17"/>
      <c r="L17" s="489" t="e">
        <f t="shared" si="0"/>
        <v>#DIV/0!</v>
      </c>
    </row>
    <row r="18" spans="1:12">
      <c r="E18"/>
      <c r="F18"/>
      <c r="G18"/>
      <c r="H18"/>
      <c r="I18"/>
      <c r="L18" s="489" t="e">
        <f t="shared" si="0"/>
        <v>#DIV/0!</v>
      </c>
    </row>
    <row r="19" spans="1:12">
      <c r="E19"/>
      <c r="F19"/>
      <c r="G19"/>
      <c r="H19"/>
      <c r="I19"/>
      <c r="L19" s="489" t="e">
        <f t="shared" si="0"/>
        <v>#DIV/0!</v>
      </c>
    </row>
    <row r="20" spans="1:12">
      <c r="E20"/>
      <c r="F20"/>
      <c r="G20"/>
      <c r="H20"/>
      <c r="I20"/>
      <c r="L20" s="489" t="e">
        <f t="shared" si="0"/>
        <v>#DIV/0!</v>
      </c>
    </row>
    <row r="21" spans="1:12">
      <c r="E21"/>
      <c r="F21"/>
      <c r="G21"/>
      <c r="H21"/>
      <c r="I21"/>
      <c r="L21" s="489" t="e">
        <f t="shared" si="0"/>
        <v>#DIV/0!</v>
      </c>
    </row>
    <row r="22" spans="1:12">
      <c r="E22"/>
      <c r="F22"/>
      <c r="G22"/>
      <c r="H22"/>
      <c r="I22"/>
      <c r="L22" s="489" t="e">
        <f t="shared" si="0"/>
        <v>#DIV/0!</v>
      </c>
    </row>
    <row r="23" spans="1:12">
      <c r="E23"/>
      <c r="F23"/>
      <c r="G23"/>
      <c r="H23"/>
      <c r="I23"/>
      <c r="L23" s="489" t="e">
        <f t="shared" si="0"/>
        <v>#DIV/0!</v>
      </c>
    </row>
    <row r="24" spans="1:12" s="792" customFormat="1">
      <c r="A24"/>
      <c r="B24"/>
      <c r="C24"/>
      <c r="D24"/>
      <c r="E24"/>
      <c r="F24"/>
      <c r="G24"/>
      <c r="H24"/>
      <c r="I24"/>
      <c r="J24"/>
      <c r="L24" s="489" t="e">
        <f t="shared" si="0"/>
        <v>#DIV/0!</v>
      </c>
    </row>
    <row r="25" spans="1:12" s="792" customFormat="1">
      <c r="A25"/>
      <c r="B25"/>
      <c r="C25"/>
      <c r="D25"/>
      <c r="E25"/>
      <c r="F25"/>
      <c r="G25"/>
      <c r="H25"/>
      <c r="I25"/>
      <c r="J25"/>
      <c r="L25" s="489" t="e">
        <f t="shared" si="0"/>
        <v>#DIV/0!</v>
      </c>
    </row>
    <row r="26" spans="1:12" s="792" customFormat="1">
      <c r="A26"/>
      <c r="B26"/>
      <c r="C26"/>
      <c r="D26"/>
      <c r="E26"/>
      <c r="F26"/>
      <c r="G26"/>
      <c r="H26"/>
      <c r="I26"/>
      <c r="J26"/>
      <c r="L26" s="489" t="e">
        <f t="shared" si="0"/>
        <v>#DIV/0!</v>
      </c>
    </row>
    <row r="27" spans="1:12">
      <c r="E27"/>
      <c r="F27"/>
      <c r="G27"/>
      <c r="H27"/>
      <c r="I27"/>
      <c r="L27" s="489" t="e">
        <f t="shared" si="0"/>
        <v>#DIV/0!</v>
      </c>
    </row>
    <row r="28" spans="1:12">
      <c r="E28"/>
      <c r="F28"/>
      <c r="G28"/>
      <c r="H28"/>
      <c r="I28"/>
      <c r="L28" s="489" t="e">
        <f t="shared" si="0"/>
        <v>#DIV/0!</v>
      </c>
    </row>
    <row r="29" spans="1:12">
      <c r="E29"/>
      <c r="F29"/>
      <c r="G29"/>
      <c r="H29"/>
      <c r="I29"/>
      <c r="L29" s="489" t="e">
        <f t="shared" si="0"/>
        <v>#DIV/0!</v>
      </c>
    </row>
    <row r="30" spans="1:12">
      <c r="E30"/>
      <c r="F30"/>
      <c r="G30"/>
      <c r="H30"/>
      <c r="I30"/>
      <c r="L30" s="489" t="e">
        <f t="shared" si="0"/>
        <v>#DIV/0!</v>
      </c>
    </row>
    <row r="31" spans="1:12" s="902" customFormat="1">
      <c r="A31"/>
      <c r="B31"/>
      <c r="C31"/>
      <c r="D31"/>
      <c r="E31"/>
      <c r="F31"/>
      <c r="G31"/>
      <c r="H31"/>
      <c r="I31"/>
      <c r="J31"/>
      <c r="L31" s="489" t="e">
        <f t="shared" si="0"/>
        <v>#DIV/0!</v>
      </c>
    </row>
    <row r="32" spans="1:12" s="986" customFormat="1">
      <c r="A32"/>
      <c r="B32"/>
      <c r="C32"/>
      <c r="D32"/>
      <c r="E32"/>
      <c r="F32"/>
      <c r="G32"/>
      <c r="H32"/>
      <c r="I32"/>
      <c r="J32"/>
    </row>
    <row r="33" spans="1:10" s="986" customFormat="1">
      <c r="A33"/>
      <c r="B33"/>
      <c r="C33"/>
      <c r="D33"/>
      <c r="E33"/>
      <c r="F33"/>
      <c r="G33"/>
      <c r="H33"/>
      <c r="I33"/>
      <c r="J33"/>
    </row>
    <row r="34" spans="1:10" s="986" customFormat="1">
      <c r="A34"/>
      <c r="B34"/>
      <c r="C34"/>
      <c r="D34"/>
      <c r="E34"/>
      <c r="F34"/>
      <c r="G34"/>
      <c r="H34"/>
      <c r="I34"/>
      <c r="J34"/>
    </row>
    <row r="35" spans="1:10" s="986" customFormat="1">
      <c r="A35"/>
      <c r="B35"/>
      <c r="C35"/>
      <c r="D35"/>
      <c r="E35"/>
      <c r="F35"/>
      <c r="G35"/>
      <c r="H35"/>
      <c r="I35"/>
      <c r="J35"/>
    </row>
    <row r="36" spans="1:10" s="986" customFormat="1">
      <c r="A36"/>
      <c r="B36"/>
      <c r="C36"/>
      <c r="D36"/>
      <c r="E36"/>
      <c r="F36"/>
      <c r="G36"/>
      <c r="H36"/>
      <c r="I36"/>
      <c r="J36"/>
    </row>
    <row r="37" spans="1:10" s="986" customFormat="1">
      <c r="A37"/>
      <c r="B37"/>
      <c r="C37"/>
      <c r="D37"/>
      <c r="E37"/>
      <c r="F37"/>
      <c r="G37"/>
      <c r="H37"/>
      <c r="I37"/>
      <c r="J37"/>
    </row>
    <row r="38" spans="1:10" s="986" customFormat="1">
      <c r="A38"/>
      <c r="B38"/>
      <c r="C38"/>
      <c r="D38"/>
      <c r="E38"/>
      <c r="F38"/>
      <c r="G38"/>
      <c r="H38"/>
      <c r="I38"/>
      <c r="J38"/>
    </row>
    <row r="39" spans="1:10" s="986" customFormat="1">
      <c r="A39"/>
      <c r="B39"/>
      <c r="C39"/>
      <c r="D39"/>
      <c r="E39"/>
      <c r="F39"/>
      <c r="G39"/>
      <c r="H39"/>
      <c r="I39"/>
      <c r="J39"/>
    </row>
    <row r="40" spans="1:10" s="986" customFormat="1">
      <c r="A40"/>
      <c r="B40"/>
      <c r="C40"/>
      <c r="D40"/>
      <c r="E40"/>
      <c r="F40"/>
      <c r="G40"/>
      <c r="H40"/>
      <c r="I40"/>
      <c r="J40"/>
    </row>
    <row r="41" spans="1:10" s="986" customFormat="1">
      <c r="A41"/>
      <c r="B41"/>
      <c r="C41"/>
      <c r="D41"/>
      <c r="E41"/>
      <c r="F41"/>
      <c r="G41"/>
      <c r="H41"/>
      <c r="I41"/>
      <c r="J41"/>
    </row>
    <row r="42" spans="1:10" s="986" customFormat="1"/>
    <row r="43" spans="1:10" s="986" customFormat="1"/>
    <row r="44" spans="1:10" s="986" customFormat="1">
      <c r="A44"/>
      <c r="B44"/>
      <c r="C44"/>
      <c r="D44"/>
      <c r="E44"/>
      <c r="F44"/>
      <c r="G44"/>
      <c r="H44"/>
      <c r="I44"/>
      <c r="J44"/>
    </row>
    <row r="45" spans="1:10" s="986" customFormat="1">
      <c r="A45"/>
      <c r="B45"/>
      <c r="C45"/>
      <c r="D45"/>
      <c r="E45"/>
      <c r="F45"/>
      <c r="G45"/>
      <c r="H45"/>
      <c r="I45"/>
      <c r="J45"/>
    </row>
    <row r="46" spans="1:10">
      <c r="A46" s="695" t="s">
        <v>1236</v>
      </c>
      <c r="B46" s="695" t="s">
        <v>255</v>
      </c>
      <c r="C46" s="793" t="s">
        <v>383</v>
      </c>
      <c r="D46" s="793" t="s">
        <v>354</v>
      </c>
      <c r="E46" s="793" t="s">
        <v>384</v>
      </c>
      <c r="F46" s="793" t="s">
        <v>398</v>
      </c>
      <c r="G46" s="793" t="s">
        <v>399</v>
      </c>
      <c r="H46" s="986" t="s">
        <v>433</v>
      </c>
      <c r="I46" s="986" t="s">
        <v>459</v>
      </c>
      <c r="J46" s="986" t="s">
        <v>1660</v>
      </c>
    </row>
    <row r="47" spans="1:10">
      <c r="A47" s="2088" t="s">
        <v>165</v>
      </c>
      <c r="B47" s="2088" t="s">
        <v>181</v>
      </c>
      <c r="C47" s="793">
        <v>250</v>
      </c>
      <c r="D47" s="793">
        <v>0</v>
      </c>
      <c r="E47" s="793">
        <v>75000</v>
      </c>
      <c r="F47" s="793">
        <v>0</v>
      </c>
      <c r="G47" s="793">
        <v>75000</v>
      </c>
      <c r="H47" s="793">
        <v>75000</v>
      </c>
      <c r="I47" s="793">
        <v>0</v>
      </c>
      <c r="J47" s="793">
        <v>0</v>
      </c>
    </row>
    <row r="48" spans="1:10">
      <c r="A48" s="2088" t="s">
        <v>29</v>
      </c>
      <c r="C48" s="793">
        <v>250</v>
      </c>
      <c r="D48" s="793">
        <v>0</v>
      </c>
      <c r="E48" s="793">
        <v>75000</v>
      </c>
      <c r="F48" s="793">
        <v>0</v>
      </c>
      <c r="G48" s="793">
        <v>75000</v>
      </c>
      <c r="H48" s="793">
        <v>75000</v>
      </c>
      <c r="I48" s="793">
        <v>0</v>
      </c>
      <c r="J48" s="793">
        <v>0</v>
      </c>
    </row>
    <row r="49" spans="5:9">
      <c r="E49"/>
      <c r="F49"/>
      <c r="G49"/>
      <c r="H49"/>
      <c r="I49"/>
    </row>
    <row r="50" spans="5:9">
      <c r="E50"/>
      <c r="F50"/>
      <c r="G50"/>
      <c r="H50"/>
      <c r="I50"/>
    </row>
    <row r="51" spans="5:9">
      <c r="E51"/>
      <c r="F51"/>
      <c r="G51"/>
      <c r="H51"/>
      <c r="I51"/>
    </row>
    <row r="52" spans="5:9">
      <c r="E52"/>
      <c r="F52"/>
      <c r="G52"/>
      <c r="H52"/>
      <c r="I52"/>
    </row>
    <row r="53" spans="5:9">
      <c r="E53"/>
      <c r="F53"/>
      <c r="G53"/>
      <c r="H53"/>
      <c r="I53"/>
    </row>
    <row r="54" spans="5:9">
      <c r="E54"/>
      <c r="F54"/>
      <c r="G54"/>
      <c r="H54"/>
      <c r="I54"/>
    </row>
    <row r="55" spans="5:9">
      <c r="E55"/>
      <c r="F55"/>
      <c r="G55"/>
      <c r="H55"/>
      <c r="I55"/>
    </row>
    <row r="56" spans="5:9">
      <c r="E56"/>
      <c r="F56"/>
      <c r="G56"/>
      <c r="H56"/>
      <c r="I56"/>
    </row>
    <row r="57" spans="5:9">
      <c r="E57"/>
      <c r="F57"/>
      <c r="G57"/>
      <c r="H57"/>
      <c r="I57"/>
    </row>
    <row r="58" spans="5:9">
      <c r="E58"/>
      <c r="F58"/>
      <c r="G58"/>
      <c r="H58"/>
      <c r="I58"/>
    </row>
    <row r="59" spans="5:9">
      <c r="E59"/>
      <c r="F59"/>
      <c r="G59"/>
      <c r="H59"/>
      <c r="I59"/>
    </row>
    <row r="60" spans="5:9">
      <c r="E60"/>
      <c r="F60"/>
      <c r="G60"/>
      <c r="H60"/>
      <c r="I60"/>
    </row>
    <row r="61" spans="5:9">
      <c r="E61"/>
      <c r="F61"/>
      <c r="G61"/>
      <c r="H61"/>
      <c r="I61"/>
    </row>
    <row r="62" spans="5:9">
      <c r="E62"/>
      <c r="F62"/>
      <c r="G62"/>
      <c r="H62"/>
      <c r="I62"/>
    </row>
    <row r="63" spans="5:9">
      <c r="E63"/>
      <c r="F63"/>
      <c r="G63"/>
      <c r="H63"/>
      <c r="I63"/>
    </row>
    <row r="64" spans="5:9">
      <c r="E64"/>
      <c r="F64"/>
      <c r="G64"/>
      <c r="H64"/>
      <c r="I64"/>
    </row>
    <row r="65" spans="5:9">
      <c r="E65"/>
      <c r="F65"/>
      <c r="G65"/>
      <c r="H65"/>
      <c r="I65"/>
    </row>
    <row r="66" spans="5:9">
      <c r="E66"/>
      <c r="F66"/>
      <c r="G66"/>
      <c r="H66"/>
      <c r="I66"/>
    </row>
    <row r="67" spans="5:9">
      <c r="E67"/>
      <c r="F67"/>
      <c r="G67"/>
      <c r="H67"/>
      <c r="I67"/>
    </row>
    <row r="68" spans="5:9">
      <c r="E68"/>
      <c r="F68"/>
      <c r="G68"/>
      <c r="H68"/>
      <c r="I68"/>
    </row>
    <row r="69" spans="5:9">
      <c r="E69"/>
      <c r="F69"/>
      <c r="G69"/>
      <c r="H69"/>
      <c r="I69"/>
    </row>
    <row r="70" spans="5:9">
      <c r="E70"/>
      <c r="F70"/>
      <c r="G70"/>
      <c r="H70"/>
      <c r="I70"/>
    </row>
    <row r="71" spans="5:9">
      <c r="E71"/>
      <c r="F71"/>
      <c r="G71"/>
      <c r="H71"/>
      <c r="I71"/>
    </row>
    <row r="72" spans="5:9">
      <c r="E72"/>
      <c r="F72"/>
      <c r="G72"/>
      <c r="H72"/>
      <c r="I72"/>
    </row>
    <row r="73" spans="5:9">
      <c r="E73"/>
      <c r="F73"/>
      <c r="G73"/>
      <c r="H73"/>
      <c r="I73"/>
    </row>
    <row r="74" spans="5:9">
      <c r="E74"/>
      <c r="F74"/>
      <c r="G74"/>
      <c r="H74"/>
      <c r="I74"/>
    </row>
    <row r="75" spans="5:9">
      <c r="E75"/>
      <c r="F75"/>
      <c r="G75"/>
      <c r="H75"/>
      <c r="I75"/>
    </row>
    <row r="76" spans="5:9">
      <c r="E76"/>
      <c r="F76"/>
      <c r="G76"/>
      <c r="H76"/>
      <c r="I76"/>
    </row>
    <row r="77" spans="5:9">
      <c r="E77"/>
      <c r="F77"/>
      <c r="G77"/>
      <c r="H77"/>
      <c r="I77"/>
    </row>
    <row r="78" spans="5:9">
      <c r="E78"/>
      <c r="F78"/>
      <c r="G78"/>
      <c r="H78"/>
      <c r="I78"/>
    </row>
    <row r="79" spans="5:9">
      <c r="E79"/>
      <c r="F79"/>
      <c r="G79"/>
      <c r="H79"/>
      <c r="I79"/>
    </row>
    <row r="80" spans="5:9">
      <c r="E80"/>
      <c r="F80"/>
      <c r="G80"/>
      <c r="H80"/>
      <c r="I80"/>
    </row>
    <row r="81" spans="5:9">
      <c r="E81"/>
      <c r="F81"/>
      <c r="G81"/>
      <c r="H81"/>
      <c r="I81"/>
    </row>
    <row r="82" spans="5:9">
      <c r="E82"/>
      <c r="F82"/>
      <c r="G82"/>
      <c r="H82"/>
      <c r="I82"/>
    </row>
    <row r="83" spans="5:9">
      <c r="E83"/>
      <c r="F83"/>
      <c r="G83"/>
      <c r="H83"/>
      <c r="I83"/>
    </row>
    <row r="84" spans="5:9">
      <c r="E84"/>
      <c r="F84"/>
      <c r="G84"/>
      <c r="H84"/>
      <c r="I84"/>
    </row>
    <row r="85" spans="5:9">
      <c r="E85"/>
      <c r="F85"/>
      <c r="G85"/>
      <c r="H85"/>
      <c r="I85"/>
    </row>
    <row r="86" spans="5:9">
      <c r="E86"/>
      <c r="F86"/>
      <c r="G86"/>
      <c r="H86"/>
      <c r="I86"/>
    </row>
    <row r="87" spans="5:9">
      <c r="E87"/>
      <c r="F87"/>
      <c r="G87"/>
      <c r="H87"/>
      <c r="I87"/>
    </row>
    <row r="88" spans="5:9">
      <c r="E88"/>
      <c r="F88"/>
      <c r="G88"/>
      <c r="H88"/>
      <c r="I88"/>
    </row>
    <row r="89" spans="5:9">
      <c r="E89"/>
      <c r="F89"/>
      <c r="G89"/>
      <c r="H89"/>
      <c r="I89"/>
    </row>
    <row r="90" spans="5:9">
      <c r="E90"/>
      <c r="F90"/>
      <c r="G90"/>
      <c r="H90"/>
      <c r="I90"/>
    </row>
    <row r="91" spans="5:9">
      <c r="E91"/>
      <c r="F91"/>
      <c r="G91"/>
      <c r="H91"/>
      <c r="I91"/>
    </row>
    <row r="92" spans="5:9">
      <c r="E92"/>
      <c r="F92"/>
      <c r="G92"/>
      <c r="H92"/>
      <c r="I92"/>
    </row>
    <row r="93" spans="5:9">
      <c r="E93"/>
      <c r="F93"/>
      <c r="G93"/>
      <c r="H93"/>
      <c r="I93"/>
    </row>
    <row r="94" spans="5:9">
      <c r="E94"/>
      <c r="F94"/>
      <c r="G94"/>
      <c r="H94"/>
      <c r="I94"/>
    </row>
    <row r="95" spans="5:9">
      <c r="E95"/>
      <c r="F95"/>
      <c r="G95"/>
      <c r="H95"/>
      <c r="I95"/>
    </row>
    <row r="96" spans="5:9">
      <c r="E96"/>
      <c r="F96"/>
      <c r="G96"/>
      <c r="H96"/>
      <c r="I96"/>
    </row>
    <row r="97" spans="5:9">
      <c r="E97"/>
      <c r="F97"/>
      <c r="G97"/>
      <c r="H97"/>
      <c r="I97"/>
    </row>
    <row r="98" spans="5:9">
      <c r="E98"/>
      <c r="F98"/>
      <c r="G98"/>
      <c r="H98"/>
      <c r="I98"/>
    </row>
    <row r="99" spans="5:9">
      <c r="E99"/>
      <c r="F99"/>
      <c r="G99"/>
      <c r="H99"/>
      <c r="I99"/>
    </row>
    <row r="100" spans="5:9">
      <c r="E100"/>
      <c r="F100"/>
      <c r="G100"/>
      <c r="H100"/>
      <c r="I100"/>
    </row>
    <row r="101" spans="5:9">
      <c r="E101"/>
      <c r="F101"/>
      <c r="G101"/>
      <c r="H101"/>
      <c r="I101"/>
    </row>
    <row r="102" spans="5:9">
      <c r="E102"/>
      <c r="F102"/>
      <c r="G102"/>
      <c r="H102"/>
      <c r="I102"/>
    </row>
    <row r="103" spans="5:9">
      <c r="E103"/>
      <c r="F103"/>
      <c r="G103"/>
      <c r="H103"/>
      <c r="I103"/>
    </row>
    <row r="104" spans="5:9">
      <c r="E104"/>
      <c r="F104"/>
      <c r="G104"/>
      <c r="H104"/>
      <c r="I104"/>
    </row>
    <row r="105" spans="5:9">
      <c r="E105"/>
      <c r="F105"/>
      <c r="G105"/>
      <c r="H105"/>
      <c r="I105"/>
    </row>
    <row r="106" spans="5:9">
      <c r="E106"/>
      <c r="F106"/>
      <c r="G106"/>
      <c r="H106"/>
      <c r="I106"/>
    </row>
    <row r="107" spans="5:9">
      <c r="E107"/>
      <c r="F107"/>
      <c r="G107"/>
      <c r="H107"/>
      <c r="I107"/>
    </row>
    <row r="108" spans="5:9">
      <c r="E108"/>
      <c r="F108"/>
      <c r="G108"/>
      <c r="H108"/>
      <c r="I108"/>
    </row>
    <row r="109" spans="5:9">
      <c r="E109"/>
      <c r="F109"/>
      <c r="G109"/>
      <c r="H109"/>
      <c r="I109"/>
    </row>
    <row r="110" spans="5:9">
      <c r="E110"/>
      <c r="F110"/>
      <c r="G110"/>
      <c r="H110"/>
      <c r="I110"/>
    </row>
    <row r="111" spans="5:9">
      <c r="E111"/>
      <c r="F111"/>
      <c r="G111"/>
      <c r="H111"/>
      <c r="I111"/>
    </row>
    <row r="112" spans="5:9">
      <c r="E112"/>
      <c r="F112"/>
      <c r="G112"/>
      <c r="H112"/>
      <c r="I112"/>
    </row>
    <row r="113" spans="5:9">
      <c r="E113"/>
      <c r="F113"/>
      <c r="G113"/>
      <c r="H113"/>
      <c r="I113"/>
    </row>
    <row r="114" spans="5:9">
      <c r="E114"/>
      <c r="F114"/>
      <c r="G114"/>
      <c r="H114"/>
      <c r="I114"/>
    </row>
    <row r="115" spans="5:9">
      <c r="E115"/>
      <c r="F115"/>
      <c r="G115"/>
      <c r="H115"/>
      <c r="I115"/>
    </row>
    <row r="116" spans="5:9">
      <c r="E116"/>
      <c r="F116"/>
      <c r="G116"/>
      <c r="H116"/>
      <c r="I116"/>
    </row>
    <row r="117" spans="5:9">
      <c r="E117"/>
      <c r="F117"/>
      <c r="G117"/>
      <c r="H117"/>
      <c r="I117"/>
    </row>
    <row r="118" spans="5:9">
      <c r="E118"/>
      <c r="F118"/>
      <c r="G118"/>
      <c r="H118"/>
      <c r="I118"/>
    </row>
    <row r="119" spans="5:9">
      <c r="E119"/>
      <c r="F119"/>
      <c r="G119"/>
      <c r="H119"/>
      <c r="I119"/>
    </row>
    <row r="120" spans="5:9">
      <c r="E120"/>
      <c r="F120"/>
      <c r="G120"/>
      <c r="H120"/>
      <c r="I120"/>
    </row>
    <row r="121" spans="5:9">
      <c r="E121"/>
      <c r="F121"/>
      <c r="G121"/>
      <c r="H121"/>
      <c r="I121"/>
    </row>
    <row r="122" spans="5:9">
      <c r="E122"/>
      <c r="F122"/>
      <c r="G122"/>
      <c r="H122"/>
      <c r="I122"/>
    </row>
    <row r="123" spans="5:9">
      <c r="E123"/>
      <c r="F123"/>
      <c r="G123"/>
      <c r="H123"/>
      <c r="I123"/>
    </row>
    <row r="124" spans="5:9">
      <c r="E124"/>
      <c r="F124"/>
      <c r="G124"/>
      <c r="H124"/>
      <c r="I124"/>
    </row>
    <row r="125" spans="5:9">
      <c r="E125"/>
      <c r="F125"/>
      <c r="G125"/>
      <c r="H125"/>
      <c r="I125"/>
    </row>
    <row r="126" spans="5:9">
      <c r="E126"/>
      <c r="F126"/>
      <c r="G126"/>
      <c r="H126"/>
      <c r="I126"/>
    </row>
    <row r="127" spans="5:9">
      <c r="E127"/>
      <c r="F127"/>
      <c r="G127"/>
      <c r="H127"/>
      <c r="I127"/>
    </row>
    <row r="128" spans="5:9">
      <c r="E128"/>
      <c r="F128"/>
      <c r="G128"/>
      <c r="H128"/>
      <c r="I128"/>
    </row>
    <row r="129" spans="5:9">
      <c r="E129"/>
      <c r="F129"/>
      <c r="G129"/>
      <c r="H129"/>
      <c r="I129"/>
    </row>
    <row r="130" spans="5:9">
      <c r="E130"/>
      <c r="F130"/>
      <c r="G130"/>
      <c r="H130"/>
      <c r="I130"/>
    </row>
    <row r="131" spans="5:9">
      <c r="E131"/>
      <c r="F131"/>
      <c r="G131"/>
      <c r="H131"/>
      <c r="I131"/>
    </row>
    <row r="132" spans="5:9">
      <c r="E132"/>
      <c r="F132"/>
      <c r="G132"/>
      <c r="H132"/>
      <c r="I132"/>
    </row>
    <row r="133" spans="5:9">
      <c r="E133"/>
      <c r="F133"/>
      <c r="G133"/>
      <c r="H133"/>
      <c r="I133"/>
    </row>
    <row r="134" spans="5:9">
      <c r="E134"/>
      <c r="F134"/>
      <c r="G134"/>
      <c r="H134"/>
      <c r="I134"/>
    </row>
    <row r="135" spans="5:9">
      <c r="E135"/>
      <c r="F135"/>
      <c r="G135"/>
      <c r="H135"/>
      <c r="I135"/>
    </row>
    <row r="136" spans="5:9">
      <c r="E136"/>
      <c r="F136"/>
      <c r="G136"/>
      <c r="H136"/>
      <c r="I136"/>
    </row>
    <row r="137" spans="5:9">
      <c r="E137"/>
      <c r="F137"/>
      <c r="G137"/>
      <c r="H137"/>
      <c r="I137"/>
    </row>
    <row r="138" spans="5:9">
      <c r="E138"/>
      <c r="F138"/>
      <c r="G138"/>
      <c r="H138"/>
      <c r="I138"/>
    </row>
    <row r="139" spans="5:9">
      <c r="E139"/>
      <c r="F139"/>
      <c r="G139"/>
      <c r="H139"/>
      <c r="I139"/>
    </row>
    <row r="140" spans="5:9">
      <c r="E140"/>
      <c r="F140"/>
      <c r="G140"/>
      <c r="H140"/>
      <c r="I140"/>
    </row>
    <row r="141" spans="5:9">
      <c r="E141"/>
      <c r="F141"/>
      <c r="G141"/>
      <c r="H141"/>
      <c r="I141"/>
    </row>
    <row r="142" spans="5:9">
      <c r="E142"/>
      <c r="F142"/>
      <c r="G142"/>
      <c r="H142"/>
      <c r="I142"/>
    </row>
    <row r="143" spans="5:9">
      <c r="E143"/>
      <c r="F143"/>
      <c r="G143"/>
      <c r="H143"/>
      <c r="I143"/>
    </row>
    <row r="144" spans="5:9">
      <c r="E144"/>
      <c r="F144"/>
      <c r="G144"/>
      <c r="H144"/>
      <c r="I144"/>
    </row>
    <row r="145" spans="5:9">
      <c r="E145"/>
      <c r="F145"/>
      <c r="G145"/>
      <c r="H145"/>
      <c r="I145"/>
    </row>
    <row r="146" spans="5:9">
      <c r="E146"/>
      <c r="F146"/>
      <c r="G146"/>
      <c r="H146"/>
      <c r="I146"/>
    </row>
    <row r="147" spans="5:9">
      <c r="E147"/>
      <c r="F147"/>
      <c r="G147"/>
      <c r="H147"/>
      <c r="I147"/>
    </row>
    <row r="148" spans="5:9">
      <c r="E148"/>
      <c r="F148"/>
      <c r="G148"/>
      <c r="H148"/>
      <c r="I148"/>
    </row>
    <row r="149" spans="5:9">
      <c r="E149"/>
      <c r="F149"/>
      <c r="G149"/>
      <c r="H149"/>
      <c r="I149"/>
    </row>
    <row r="150" spans="5:9">
      <c r="E150"/>
      <c r="F150"/>
      <c r="G150"/>
      <c r="H150"/>
      <c r="I150"/>
    </row>
    <row r="151" spans="5:9">
      <c r="E151"/>
      <c r="F151"/>
      <c r="G151"/>
      <c r="H151"/>
      <c r="I151"/>
    </row>
    <row r="152" spans="5:9">
      <c r="E152"/>
      <c r="F152"/>
      <c r="G152"/>
      <c r="H152"/>
      <c r="I152"/>
    </row>
    <row r="153" spans="5:9">
      <c r="E153"/>
      <c r="F153"/>
      <c r="G153"/>
      <c r="H153"/>
      <c r="I153"/>
    </row>
    <row r="154" spans="5:9">
      <c r="E154"/>
      <c r="F154"/>
      <c r="G154"/>
      <c r="H154"/>
      <c r="I154"/>
    </row>
    <row r="155" spans="5:9">
      <c r="E155"/>
      <c r="F155"/>
      <c r="G155"/>
      <c r="H155"/>
      <c r="I155"/>
    </row>
    <row r="156" spans="5:9">
      <c r="E156"/>
      <c r="F156"/>
      <c r="G156"/>
      <c r="H156"/>
      <c r="I156"/>
    </row>
    <row r="157" spans="5:9">
      <c r="E157"/>
      <c r="F157"/>
      <c r="G157"/>
      <c r="H157"/>
      <c r="I157"/>
    </row>
    <row r="158" spans="5:9">
      <c r="E158"/>
      <c r="F158"/>
      <c r="G158"/>
      <c r="H158"/>
      <c r="I158"/>
    </row>
    <row r="159" spans="5:9">
      <c r="E159"/>
      <c r="F159"/>
      <c r="G159"/>
      <c r="H159"/>
      <c r="I159"/>
    </row>
    <row r="160" spans="5:9">
      <c r="E160"/>
      <c r="F160"/>
      <c r="G160"/>
      <c r="H160"/>
      <c r="I160"/>
    </row>
    <row r="161" spans="5:9">
      <c r="E161"/>
      <c r="F161"/>
      <c r="G161"/>
      <c r="H161"/>
      <c r="I161"/>
    </row>
    <row r="162" spans="5:9">
      <c r="E162"/>
      <c r="F162"/>
      <c r="G162"/>
      <c r="H162"/>
      <c r="I162"/>
    </row>
    <row r="163" spans="5:9">
      <c r="E163"/>
      <c r="F163"/>
      <c r="G163"/>
      <c r="H163"/>
      <c r="I163"/>
    </row>
    <row r="164" spans="5:9">
      <c r="E164"/>
      <c r="F164"/>
      <c r="G164"/>
      <c r="H164"/>
      <c r="I164"/>
    </row>
    <row r="165" spans="5:9">
      <c r="E165"/>
      <c r="F165"/>
      <c r="G165"/>
      <c r="H165"/>
      <c r="I165"/>
    </row>
    <row r="166" spans="5:9">
      <c r="E166"/>
      <c r="F166"/>
      <c r="G166"/>
      <c r="H166"/>
      <c r="I166"/>
    </row>
    <row r="167" spans="5:9">
      <c r="E167"/>
      <c r="F167"/>
      <c r="G167"/>
      <c r="H167"/>
      <c r="I167"/>
    </row>
    <row r="168" spans="5:9">
      <c r="E168"/>
      <c r="F168"/>
      <c r="G168"/>
      <c r="H168"/>
      <c r="I168"/>
    </row>
    <row r="169" spans="5:9">
      <c r="E169"/>
      <c r="F169"/>
      <c r="G169"/>
      <c r="H169"/>
      <c r="I169"/>
    </row>
    <row r="170" spans="5:9">
      <c r="E170"/>
      <c r="F170"/>
      <c r="G170"/>
      <c r="H170"/>
      <c r="I170"/>
    </row>
    <row r="171" spans="5:9">
      <c r="E171"/>
      <c r="F171"/>
      <c r="G171"/>
      <c r="H171"/>
      <c r="I171"/>
    </row>
    <row r="172" spans="5:9">
      <c r="E172"/>
      <c r="F172"/>
      <c r="G172"/>
      <c r="H172"/>
      <c r="I172"/>
    </row>
    <row r="173" spans="5:9">
      <c r="E173"/>
      <c r="F173"/>
      <c r="G173"/>
      <c r="H173"/>
      <c r="I173"/>
    </row>
    <row r="174" spans="5:9">
      <c r="E174"/>
      <c r="F174"/>
      <c r="G174"/>
      <c r="H174"/>
      <c r="I174"/>
    </row>
    <row r="175" spans="5:9">
      <c r="E175"/>
      <c r="F175"/>
      <c r="G175"/>
      <c r="H175"/>
      <c r="I175"/>
    </row>
    <row r="176" spans="5:9">
      <c r="E176"/>
      <c r="F176"/>
      <c r="G176"/>
      <c r="H176"/>
      <c r="I176"/>
    </row>
    <row r="177" spans="5:9">
      <c r="E177"/>
      <c r="F177"/>
      <c r="G177"/>
      <c r="H177"/>
      <c r="I177"/>
    </row>
    <row r="178" spans="5:9">
      <c r="E178"/>
      <c r="F178"/>
      <c r="G178"/>
      <c r="H178"/>
      <c r="I178"/>
    </row>
    <row r="179" spans="5:9">
      <c r="E179"/>
      <c r="F179"/>
      <c r="G179"/>
      <c r="H179"/>
      <c r="I179"/>
    </row>
    <row r="180" spans="5:9">
      <c r="E180"/>
      <c r="F180"/>
      <c r="G180"/>
      <c r="H180"/>
      <c r="I180"/>
    </row>
    <row r="181" spans="5:9">
      <c r="E181"/>
      <c r="F181"/>
      <c r="G181"/>
      <c r="H181"/>
      <c r="I181"/>
    </row>
    <row r="182" spans="5:9">
      <c r="E182"/>
      <c r="F182"/>
      <c r="G182"/>
      <c r="H182"/>
      <c r="I182"/>
    </row>
    <row r="183" spans="5:9">
      <c r="E183"/>
      <c r="F183"/>
      <c r="G183"/>
      <c r="H183"/>
      <c r="I183"/>
    </row>
    <row r="184" spans="5:9">
      <c r="E184"/>
      <c r="F184"/>
      <c r="G184"/>
      <c r="H184"/>
      <c r="I184"/>
    </row>
    <row r="185" spans="5:9">
      <c r="E185"/>
      <c r="F185"/>
      <c r="G185"/>
      <c r="H185"/>
      <c r="I185"/>
    </row>
    <row r="186" spans="5:9">
      <c r="E186"/>
      <c r="F186"/>
      <c r="G186"/>
      <c r="H186"/>
      <c r="I186"/>
    </row>
    <row r="187" spans="5:9">
      <c r="E187"/>
      <c r="F187"/>
      <c r="G187"/>
      <c r="H187"/>
      <c r="I187"/>
    </row>
    <row r="188" spans="5:9">
      <c r="E188"/>
      <c r="F188"/>
      <c r="G188"/>
      <c r="H188"/>
      <c r="I188"/>
    </row>
    <row r="189" spans="5:9">
      <c r="E189"/>
      <c r="F189"/>
      <c r="G189"/>
      <c r="H189"/>
      <c r="I189"/>
    </row>
    <row r="190" spans="5:9">
      <c r="E190"/>
      <c r="F190"/>
      <c r="G190"/>
      <c r="H190"/>
      <c r="I190"/>
    </row>
    <row r="191" spans="5:9">
      <c r="E191"/>
      <c r="F191"/>
      <c r="G191"/>
      <c r="H191"/>
      <c r="I191"/>
    </row>
    <row r="192" spans="5:9">
      <c r="E192"/>
      <c r="F192"/>
      <c r="G192"/>
      <c r="H192"/>
      <c r="I192"/>
    </row>
    <row r="193" spans="5:9">
      <c r="E193"/>
      <c r="F193"/>
      <c r="G193"/>
      <c r="H193"/>
      <c r="I193"/>
    </row>
    <row r="194" spans="5:9">
      <c r="E194"/>
      <c r="F194"/>
      <c r="G194"/>
      <c r="H194"/>
      <c r="I194"/>
    </row>
    <row r="195" spans="5:9">
      <c r="E195"/>
      <c r="F195"/>
      <c r="G195"/>
      <c r="H195"/>
      <c r="I195"/>
    </row>
    <row r="196" spans="5:9">
      <c r="E196"/>
      <c r="F196"/>
      <c r="G196"/>
      <c r="H196"/>
      <c r="I196"/>
    </row>
    <row r="197" spans="5:9">
      <c r="E197"/>
      <c r="F197"/>
      <c r="G197"/>
      <c r="H197"/>
      <c r="I197"/>
    </row>
    <row r="198" spans="5:9">
      <c r="E198"/>
      <c r="F198"/>
      <c r="G198"/>
      <c r="H198"/>
      <c r="I198"/>
    </row>
    <row r="199" spans="5:9">
      <c r="E199"/>
      <c r="F199"/>
      <c r="G199"/>
      <c r="H199"/>
      <c r="I199"/>
    </row>
    <row r="200" spans="5:9">
      <c r="E200"/>
      <c r="F200"/>
      <c r="G200"/>
      <c r="H200"/>
      <c r="I200"/>
    </row>
    <row r="201" spans="5:9">
      <c r="E201"/>
      <c r="F201"/>
      <c r="G201"/>
      <c r="H201"/>
      <c r="I201"/>
    </row>
    <row r="202" spans="5:9">
      <c r="E202"/>
      <c r="F202"/>
      <c r="G202"/>
      <c r="H202"/>
      <c r="I202"/>
    </row>
    <row r="203" spans="5:9">
      <c r="E203"/>
      <c r="F203"/>
      <c r="G203"/>
      <c r="H203"/>
      <c r="I203"/>
    </row>
    <row r="204" spans="5:9">
      <c r="E204"/>
      <c r="F204"/>
      <c r="G204"/>
      <c r="H204"/>
      <c r="I204"/>
    </row>
    <row r="205" spans="5:9">
      <c r="E205"/>
      <c r="F205"/>
      <c r="G205"/>
      <c r="H205"/>
      <c r="I205"/>
    </row>
    <row r="206" spans="5:9">
      <c r="E206"/>
      <c r="F206"/>
      <c r="G206"/>
      <c r="H206"/>
      <c r="I206"/>
    </row>
    <row r="207" spans="5:9">
      <c r="E207"/>
      <c r="F207"/>
      <c r="G207"/>
      <c r="H207"/>
      <c r="I207"/>
    </row>
    <row r="208" spans="5:9">
      <c r="E208"/>
      <c r="F208"/>
      <c r="G208"/>
      <c r="H208"/>
      <c r="I208"/>
    </row>
    <row r="209" spans="5:9">
      <c r="E209"/>
      <c r="F209"/>
      <c r="G209"/>
      <c r="H209"/>
      <c r="I209"/>
    </row>
    <row r="210" spans="5:9">
      <c r="E210"/>
      <c r="F210"/>
      <c r="G210"/>
      <c r="H210"/>
      <c r="I210"/>
    </row>
    <row r="211" spans="5:9">
      <c r="E211"/>
      <c r="F211"/>
      <c r="G211"/>
      <c r="H211"/>
      <c r="I211"/>
    </row>
    <row r="212" spans="5:9">
      <c r="E212"/>
      <c r="F212"/>
      <c r="G212"/>
      <c r="H212"/>
      <c r="I212"/>
    </row>
    <row r="213" spans="5:9">
      <c r="E213"/>
      <c r="F213"/>
      <c r="G213"/>
      <c r="H213"/>
      <c r="I213"/>
    </row>
    <row r="214" spans="5:9">
      <c r="E214"/>
      <c r="F214"/>
      <c r="G214"/>
      <c r="H214"/>
      <c r="I214"/>
    </row>
    <row r="215" spans="5:9">
      <c r="E215"/>
      <c r="F215"/>
      <c r="G215"/>
      <c r="H215"/>
      <c r="I215"/>
    </row>
    <row r="216" spans="5:9">
      <c r="E216"/>
      <c r="F216"/>
      <c r="G216"/>
      <c r="H216"/>
      <c r="I216"/>
    </row>
    <row r="217" spans="5:9">
      <c r="E217"/>
      <c r="F217"/>
      <c r="G217"/>
      <c r="H217"/>
      <c r="I217"/>
    </row>
    <row r="218" spans="5:9">
      <c r="E218"/>
      <c r="F218"/>
      <c r="G218"/>
      <c r="H218"/>
      <c r="I218"/>
    </row>
    <row r="219" spans="5:9">
      <c r="E219"/>
      <c r="F219"/>
      <c r="G219"/>
      <c r="H219"/>
      <c r="I219"/>
    </row>
    <row r="220" spans="5:9">
      <c r="E220"/>
      <c r="F220"/>
      <c r="G220"/>
      <c r="H220"/>
      <c r="I220"/>
    </row>
    <row r="221" spans="5:9">
      <c r="E221"/>
      <c r="F221"/>
      <c r="G221"/>
      <c r="H221"/>
      <c r="I221"/>
    </row>
    <row r="222" spans="5:9">
      <c r="E222"/>
      <c r="F222"/>
      <c r="G222"/>
      <c r="H222"/>
      <c r="I222"/>
    </row>
    <row r="223" spans="5:9">
      <c r="E223"/>
      <c r="F223"/>
      <c r="G223"/>
      <c r="H223"/>
      <c r="I223"/>
    </row>
    <row r="224" spans="5:9">
      <c r="E224"/>
      <c r="F224"/>
      <c r="G224"/>
      <c r="H224"/>
      <c r="I224"/>
    </row>
    <row r="225" spans="5:9">
      <c r="E225"/>
      <c r="F225"/>
      <c r="G225"/>
      <c r="H225"/>
      <c r="I225"/>
    </row>
    <row r="226" spans="5:9">
      <c r="E226"/>
      <c r="F226"/>
      <c r="G226"/>
      <c r="H226"/>
      <c r="I226"/>
    </row>
    <row r="227" spans="5:9">
      <c r="E227"/>
      <c r="F227"/>
      <c r="G227"/>
      <c r="H227"/>
      <c r="I227"/>
    </row>
    <row r="228" spans="5:9">
      <c r="E228"/>
      <c r="F228"/>
      <c r="G228"/>
      <c r="H228"/>
      <c r="I228"/>
    </row>
    <row r="229" spans="5:9">
      <c r="E229"/>
      <c r="F229"/>
      <c r="G229"/>
      <c r="H229"/>
      <c r="I229"/>
    </row>
    <row r="230" spans="5:9">
      <c r="E230"/>
      <c r="F230"/>
      <c r="G230"/>
      <c r="H230"/>
      <c r="I230"/>
    </row>
    <row r="231" spans="5:9">
      <c r="E231"/>
      <c r="F231"/>
      <c r="G231"/>
      <c r="H231"/>
      <c r="I231"/>
    </row>
    <row r="232" spans="5:9">
      <c r="E232"/>
      <c r="F232"/>
      <c r="G232"/>
      <c r="H232"/>
      <c r="I232"/>
    </row>
    <row r="233" spans="5:9">
      <c r="E233"/>
      <c r="F233"/>
      <c r="G233"/>
      <c r="H233"/>
      <c r="I233"/>
    </row>
    <row r="234" spans="5:9">
      <c r="E234"/>
      <c r="F234"/>
      <c r="G234"/>
      <c r="H234"/>
      <c r="I234"/>
    </row>
    <row r="235" spans="5:9">
      <c r="E235"/>
      <c r="F235"/>
      <c r="G235"/>
      <c r="H235"/>
      <c r="I235"/>
    </row>
    <row r="236" spans="5:9">
      <c r="E236"/>
      <c r="F236"/>
      <c r="G236"/>
      <c r="H236"/>
      <c r="I236"/>
    </row>
    <row r="237" spans="5:9">
      <c r="E237"/>
      <c r="F237"/>
      <c r="G237"/>
      <c r="H237"/>
      <c r="I237"/>
    </row>
    <row r="238" spans="5:9">
      <c r="E238"/>
      <c r="F238"/>
      <c r="G238"/>
      <c r="H238"/>
      <c r="I238"/>
    </row>
    <row r="239" spans="5:9">
      <c r="E239"/>
      <c r="F239"/>
      <c r="G239"/>
      <c r="H239"/>
      <c r="I239"/>
    </row>
    <row r="240" spans="5:9">
      <c r="E240"/>
      <c r="F240"/>
      <c r="G240"/>
      <c r="H240"/>
      <c r="I240"/>
    </row>
    <row r="241" spans="5:9">
      <c r="E241"/>
      <c r="F241"/>
      <c r="G241"/>
      <c r="H241"/>
      <c r="I241"/>
    </row>
    <row r="242" spans="5:9">
      <c r="E242"/>
      <c r="F242"/>
      <c r="G242"/>
      <c r="H242"/>
      <c r="I242"/>
    </row>
    <row r="243" spans="5:9">
      <c r="E243"/>
      <c r="F243"/>
      <c r="G243"/>
      <c r="H243"/>
      <c r="I243"/>
    </row>
    <row r="244" spans="5:9">
      <c r="E244"/>
      <c r="F244"/>
      <c r="G244"/>
      <c r="H244"/>
      <c r="I244"/>
    </row>
    <row r="245" spans="5:9">
      <c r="E245"/>
      <c r="F245"/>
      <c r="G245"/>
      <c r="H245"/>
      <c r="I245"/>
    </row>
    <row r="246" spans="5:9">
      <c r="E246"/>
      <c r="F246"/>
      <c r="G246"/>
      <c r="H246"/>
      <c r="I246"/>
    </row>
    <row r="247" spans="5:9">
      <c r="E247"/>
      <c r="F247"/>
      <c r="G247"/>
      <c r="H247"/>
      <c r="I247"/>
    </row>
    <row r="248" spans="5:9">
      <c r="E248"/>
      <c r="F248"/>
      <c r="G248"/>
      <c r="H248"/>
      <c r="I248"/>
    </row>
    <row r="249" spans="5:9">
      <c r="E249"/>
      <c r="F249"/>
      <c r="G249"/>
      <c r="H249"/>
      <c r="I249"/>
    </row>
    <row r="250" spans="5:9">
      <c r="E250"/>
      <c r="F250"/>
      <c r="G250"/>
      <c r="H250"/>
      <c r="I250"/>
    </row>
    <row r="251" spans="5:9">
      <c r="E251"/>
      <c r="F251"/>
      <c r="G251"/>
      <c r="H251"/>
      <c r="I251"/>
    </row>
    <row r="252" spans="5:9">
      <c r="E252"/>
      <c r="F252"/>
      <c r="G252"/>
      <c r="H252"/>
      <c r="I252"/>
    </row>
    <row r="253" spans="5:9">
      <c r="E253"/>
      <c r="F253"/>
      <c r="G253"/>
      <c r="H253"/>
      <c r="I253"/>
    </row>
    <row r="254" spans="5:9">
      <c r="E254"/>
      <c r="F254"/>
      <c r="G254"/>
      <c r="H254"/>
      <c r="I254"/>
    </row>
    <row r="255" spans="5:9">
      <c r="E255"/>
      <c r="F255"/>
      <c r="G255"/>
      <c r="H255"/>
      <c r="I255"/>
    </row>
    <row r="256" spans="5:9">
      <c r="E256"/>
      <c r="F256"/>
      <c r="G256"/>
      <c r="H256"/>
      <c r="I256"/>
    </row>
    <row r="257" spans="5:9">
      <c r="E257"/>
      <c r="F257"/>
      <c r="G257"/>
      <c r="H257"/>
      <c r="I257"/>
    </row>
    <row r="258" spans="5:9">
      <c r="E258"/>
      <c r="F258"/>
      <c r="G258"/>
      <c r="H258"/>
      <c r="I258"/>
    </row>
    <row r="259" spans="5:9">
      <c r="E259"/>
      <c r="F259"/>
      <c r="G259"/>
      <c r="H259"/>
      <c r="I259"/>
    </row>
    <row r="260" spans="5:9">
      <c r="E260"/>
      <c r="F260"/>
      <c r="G260"/>
      <c r="H260"/>
      <c r="I260"/>
    </row>
    <row r="261" spans="5:9">
      <c r="E261"/>
      <c r="F261"/>
      <c r="G261"/>
      <c r="H261"/>
      <c r="I261"/>
    </row>
    <row r="262" spans="5:9">
      <c r="E262"/>
      <c r="F262"/>
      <c r="G262"/>
      <c r="H262"/>
      <c r="I262"/>
    </row>
    <row r="263" spans="5:9">
      <c r="E263"/>
      <c r="F263"/>
      <c r="G263"/>
      <c r="H263"/>
      <c r="I263"/>
    </row>
    <row r="264" spans="5:9">
      <c r="E264"/>
      <c r="F264"/>
      <c r="G264"/>
      <c r="H264"/>
      <c r="I264"/>
    </row>
    <row r="265" spans="5:9">
      <c r="E265"/>
      <c r="F265"/>
      <c r="G265"/>
      <c r="H265"/>
      <c r="I265"/>
    </row>
    <row r="266" spans="5:9">
      <c r="E266"/>
      <c r="F266"/>
      <c r="G266"/>
      <c r="H266"/>
      <c r="I266"/>
    </row>
    <row r="267" spans="5:9">
      <c r="E267"/>
      <c r="F267"/>
      <c r="G267"/>
      <c r="H267"/>
      <c r="I267"/>
    </row>
    <row r="268" spans="5:9">
      <c r="E268"/>
      <c r="F268"/>
      <c r="G268"/>
      <c r="H268"/>
      <c r="I268"/>
    </row>
    <row r="269" spans="5:9">
      <c r="E269"/>
      <c r="F269"/>
      <c r="G269"/>
      <c r="H269"/>
      <c r="I269"/>
    </row>
    <row r="270" spans="5:9">
      <c r="E270"/>
      <c r="F270"/>
      <c r="G270"/>
      <c r="H270"/>
      <c r="I270"/>
    </row>
    <row r="271" spans="5:9">
      <c r="E271"/>
      <c r="F271"/>
      <c r="G271"/>
      <c r="H271"/>
      <c r="I271"/>
    </row>
    <row r="272" spans="5:9">
      <c r="E272"/>
      <c r="F272"/>
      <c r="G272"/>
      <c r="H272"/>
      <c r="I272"/>
    </row>
    <row r="273" spans="5:9">
      <c r="E273"/>
      <c r="F273"/>
      <c r="G273"/>
      <c r="H273"/>
      <c r="I273"/>
    </row>
    <row r="274" spans="5:9">
      <c r="E274"/>
      <c r="F274"/>
      <c r="G274"/>
      <c r="H274"/>
      <c r="I274"/>
    </row>
    <row r="275" spans="5:9">
      <c r="E275"/>
      <c r="F275"/>
      <c r="G275"/>
      <c r="H275"/>
      <c r="I275"/>
    </row>
    <row r="276" spans="5:9">
      <c r="E276"/>
      <c r="F276"/>
      <c r="G276"/>
      <c r="H276"/>
      <c r="I276"/>
    </row>
    <row r="277" spans="5:9">
      <c r="E277"/>
      <c r="F277"/>
      <c r="G277"/>
      <c r="H277"/>
      <c r="I277"/>
    </row>
    <row r="278" spans="5:9">
      <c r="E278"/>
      <c r="F278"/>
      <c r="G278"/>
      <c r="H278"/>
      <c r="I278"/>
    </row>
    <row r="279" spans="5:9">
      <c r="E279"/>
      <c r="F279"/>
      <c r="G279"/>
      <c r="H279"/>
      <c r="I279"/>
    </row>
    <row r="280" spans="5:9">
      <c r="E280"/>
      <c r="F280"/>
      <c r="G280"/>
      <c r="H280"/>
      <c r="I280"/>
    </row>
    <row r="281" spans="5:9">
      <c r="E281"/>
      <c r="F281"/>
      <c r="G281"/>
      <c r="H281"/>
      <c r="I281"/>
    </row>
    <row r="282" spans="5:9">
      <c r="E282"/>
      <c r="F282"/>
      <c r="G282"/>
      <c r="H282"/>
      <c r="I282"/>
    </row>
    <row r="283" spans="5:9">
      <c r="E283"/>
      <c r="F283"/>
      <c r="G283"/>
      <c r="H283"/>
      <c r="I283"/>
    </row>
    <row r="284" spans="5:9">
      <c r="E284"/>
      <c r="F284"/>
      <c r="G284"/>
      <c r="H284"/>
      <c r="I284"/>
    </row>
    <row r="285" spans="5:9">
      <c r="E285"/>
      <c r="F285"/>
      <c r="G285"/>
      <c r="H285"/>
      <c r="I285"/>
    </row>
    <row r="286" spans="5:9">
      <c r="E286"/>
      <c r="F286"/>
      <c r="G286"/>
      <c r="H286"/>
      <c r="I286"/>
    </row>
    <row r="287" spans="5:9">
      <c r="E287"/>
      <c r="F287"/>
      <c r="G287"/>
      <c r="H287"/>
      <c r="I287"/>
    </row>
    <row r="288" spans="5:9">
      <c r="E288"/>
      <c r="F288"/>
      <c r="G288"/>
      <c r="H288"/>
      <c r="I288"/>
    </row>
    <row r="289" spans="5:9">
      <c r="E289"/>
      <c r="F289"/>
      <c r="G289"/>
      <c r="H289"/>
      <c r="I289"/>
    </row>
    <row r="290" spans="5:9">
      <c r="E290"/>
      <c r="F290"/>
      <c r="G290"/>
      <c r="H290"/>
      <c r="I290"/>
    </row>
    <row r="291" spans="5:9">
      <c r="E291"/>
      <c r="F291"/>
      <c r="G291"/>
      <c r="H291"/>
      <c r="I291"/>
    </row>
    <row r="292" spans="5:9">
      <c r="E292"/>
      <c r="F292"/>
      <c r="G292"/>
      <c r="H292"/>
      <c r="I292"/>
    </row>
    <row r="293" spans="5:9">
      <c r="E293"/>
      <c r="F293"/>
      <c r="G293"/>
      <c r="H293"/>
      <c r="I293"/>
    </row>
    <row r="294" spans="5:9">
      <c r="E294"/>
      <c r="F294"/>
      <c r="G294"/>
      <c r="H294"/>
      <c r="I294"/>
    </row>
    <row r="295" spans="5:9">
      <c r="E295"/>
      <c r="F295"/>
      <c r="G295"/>
      <c r="H295"/>
      <c r="I295"/>
    </row>
    <row r="296" spans="5:9">
      <c r="E296"/>
      <c r="F296"/>
      <c r="G296"/>
      <c r="H296"/>
      <c r="I296"/>
    </row>
    <row r="297" spans="5:9">
      <c r="E297"/>
      <c r="F297"/>
      <c r="G297"/>
      <c r="H297"/>
      <c r="I297"/>
    </row>
    <row r="298" spans="5:9">
      <c r="E298"/>
      <c r="F298"/>
      <c r="G298"/>
      <c r="H298"/>
      <c r="I298"/>
    </row>
    <row r="299" spans="5:9">
      <c r="E299"/>
      <c r="F299"/>
      <c r="G299"/>
      <c r="H299"/>
      <c r="I299"/>
    </row>
    <row r="300" spans="5:9">
      <c r="E300"/>
      <c r="F300"/>
      <c r="G300"/>
      <c r="H300"/>
      <c r="I300"/>
    </row>
    <row r="301" spans="5:9">
      <c r="E301"/>
      <c r="F301"/>
      <c r="G301"/>
      <c r="H301"/>
      <c r="I301"/>
    </row>
    <row r="302" spans="5:9">
      <c r="E302"/>
      <c r="F302"/>
      <c r="G302"/>
      <c r="H302"/>
      <c r="I302"/>
    </row>
    <row r="303" spans="5:9">
      <c r="E303"/>
      <c r="F303"/>
      <c r="G303"/>
      <c r="H303"/>
      <c r="I303"/>
    </row>
    <row r="304" spans="5:9">
      <c r="E304"/>
      <c r="F304"/>
      <c r="G304"/>
      <c r="H304"/>
      <c r="I304"/>
    </row>
    <row r="305" spans="5:9">
      <c r="E305"/>
      <c r="F305"/>
      <c r="G305"/>
      <c r="H305"/>
      <c r="I305"/>
    </row>
    <row r="306" spans="5:9">
      <c r="E306"/>
      <c r="F306"/>
      <c r="G306"/>
      <c r="H306"/>
      <c r="I306"/>
    </row>
    <row r="307" spans="5:9">
      <c r="E307"/>
      <c r="F307"/>
      <c r="G307"/>
      <c r="H307"/>
      <c r="I307"/>
    </row>
    <row r="308" spans="5:9">
      <c r="E308"/>
      <c r="F308"/>
      <c r="G308"/>
      <c r="H308"/>
      <c r="I308"/>
    </row>
    <row r="309" spans="5:9">
      <c r="E309"/>
      <c r="F309"/>
      <c r="G309"/>
      <c r="H309"/>
      <c r="I309"/>
    </row>
    <row r="310" spans="5:9">
      <c r="E310"/>
      <c r="F310"/>
      <c r="G310"/>
      <c r="H310"/>
      <c r="I310"/>
    </row>
    <row r="311" spans="5:9">
      <c r="E311"/>
      <c r="F311"/>
      <c r="G311"/>
      <c r="H311"/>
      <c r="I311"/>
    </row>
    <row r="312" spans="5:9">
      <c r="E312"/>
      <c r="F312"/>
      <c r="G312"/>
      <c r="H312"/>
      <c r="I312"/>
    </row>
    <row r="313" spans="5:9">
      <c r="E313"/>
      <c r="F313"/>
      <c r="G313"/>
      <c r="H313"/>
      <c r="I313"/>
    </row>
    <row r="314" spans="5:9">
      <c r="E314"/>
      <c r="F314"/>
      <c r="G314"/>
      <c r="H314"/>
      <c r="I314"/>
    </row>
    <row r="315" spans="5:9">
      <c r="E315"/>
      <c r="F315"/>
      <c r="G315"/>
      <c r="H315"/>
      <c r="I315"/>
    </row>
    <row r="316" spans="5:9">
      <c r="E316"/>
      <c r="F316"/>
      <c r="G316"/>
      <c r="H316"/>
      <c r="I316"/>
    </row>
    <row r="317" spans="5:9">
      <c r="E317"/>
      <c r="F317"/>
      <c r="G317"/>
      <c r="H317"/>
      <c r="I317"/>
    </row>
    <row r="318" spans="5:9">
      <c r="E318"/>
      <c r="F318"/>
      <c r="G318"/>
      <c r="H318"/>
      <c r="I318"/>
    </row>
    <row r="319" spans="5:9">
      <c r="E319"/>
      <c r="F319"/>
      <c r="G319"/>
      <c r="H319"/>
      <c r="I319"/>
    </row>
    <row r="320" spans="5:9">
      <c r="E320"/>
      <c r="F320"/>
      <c r="G320"/>
      <c r="H320"/>
      <c r="I320"/>
    </row>
    <row r="321" spans="5:9">
      <c r="E321"/>
      <c r="F321"/>
      <c r="G321"/>
      <c r="H321"/>
      <c r="I321"/>
    </row>
    <row r="322" spans="5:9">
      <c r="E322"/>
      <c r="F322"/>
      <c r="G322"/>
      <c r="H322"/>
      <c r="I322"/>
    </row>
    <row r="323" spans="5:9">
      <c r="E323"/>
      <c r="F323"/>
      <c r="G323"/>
      <c r="H323"/>
      <c r="I323"/>
    </row>
    <row r="324" spans="5:9">
      <c r="E324"/>
      <c r="F324"/>
      <c r="G324"/>
      <c r="H324"/>
      <c r="I324"/>
    </row>
    <row r="325" spans="5:9">
      <c r="E325"/>
      <c r="F325"/>
      <c r="G325"/>
      <c r="H325"/>
      <c r="I325"/>
    </row>
    <row r="326" spans="5:9">
      <c r="E326"/>
      <c r="F326"/>
      <c r="G326"/>
      <c r="H326"/>
      <c r="I326"/>
    </row>
    <row r="327" spans="5:9">
      <c r="E327"/>
      <c r="F327"/>
      <c r="G327"/>
      <c r="H327"/>
      <c r="I327"/>
    </row>
    <row r="328" spans="5:9">
      <c r="E328"/>
      <c r="F328"/>
      <c r="G328"/>
      <c r="H328"/>
      <c r="I328"/>
    </row>
    <row r="329" spans="5:9">
      <c r="E329"/>
      <c r="F329"/>
      <c r="G329"/>
      <c r="H329"/>
      <c r="I329"/>
    </row>
    <row r="330" spans="5:9">
      <c r="E330"/>
      <c r="F330"/>
      <c r="G330"/>
      <c r="H330"/>
      <c r="I330"/>
    </row>
    <row r="331" spans="5:9">
      <c r="E331"/>
      <c r="F331"/>
      <c r="G331"/>
      <c r="H331"/>
      <c r="I331"/>
    </row>
    <row r="332" spans="5:9">
      <c r="E332"/>
      <c r="F332"/>
      <c r="G332"/>
      <c r="H332"/>
      <c r="I332"/>
    </row>
    <row r="333" spans="5:9">
      <c r="E333"/>
      <c r="F333"/>
      <c r="G333"/>
      <c r="H333"/>
      <c r="I333"/>
    </row>
    <row r="334" spans="5:9">
      <c r="E334"/>
      <c r="F334"/>
      <c r="G334"/>
      <c r="H334"/>
      <c r="I334"/>
    </row>
    <row r="335" spans="5:9">
      <c r="E335"/>
      <c r="F335"/>
      <c r="G335"/>
      <c r="H335"/>
      <c r="I335"/>
    </row>
    <row r="336" spans="5:9">
      <c r="E336"/>
      <c r="F336"/>
      <c r="G336"/>
      <c r="H336"/>
      <c r="I336"/>
    </row>
    <row r="337" spans="5:9">
      <c r="E337"/>
      <c r="F337"/>
      <c r="G337"/>
      <c r="H337"/>
      <c r="I337"/>
    </row>
    <row r="338" spans="5:9">
      <c r="E338"/>
      <c r="F338"/>
      <c r="G338"/>
      <c r="H338"/>
      <c r="I338"/>
    </row>
    <row r="339" spans="5:9">
      <c r="E339"/>
      <c r="F339"/>
      <c r="G339"/>
      <c r="H339"/>
      <c r="I339"/>
    </row>
    <row r="340" spans="5:9">
      <c r="E340"/>
      <c r="F340"/>
      <c r="G340"/>
      <c r="H340"/>
      <c r="I340"/>
    </row>
    <row r="341" spans="5:9">
      <c r="E341"/>
      <c r="F341"/>
      <c r="G341"/>
      <c r="H341"/>
      <c r="I341"/>
    </row>
    <row r="342" spans="5:9">
      <c r="E342"/>
      <c r="F342"/>
      <c r="G342"/>
      <c r="H342"/>
      <c r="I342"/>
    </row>
    <row r="343" spans="5:9">
      <c r="E343"/>
      <c r="F343"/>
      <c r="G343"/>
      <c r="H343"/>
      <c r="I343"/>
    </row>
    <row r="344" spans="5:9">
      <c r="E344"/>
      <c r="F344"/>
      <c r="G344"/>
      <c r="H344"/>
      <c r="I344"/>
    </row>
    <row r="345" spans="5:9">
      <c r="E345"/>
      <c r="F345"/>
      <c r="G345"/>
      <c r="H345"/>
      <c r="I345"/>
    </row>
    <row r="346" spans="5:9">
      <c r="E346"/>
      <c r="F346"/>
      <c r="G346"/>
      <c r="H346"/>
      <c r="I346"/>
    </row>
    <row r="347" spans="5:9">
      <c r="E347"/>
      <c r="F347"/>
      <c r="G347"/>
      <c r="H347"/>
      <c r="I347"/>
    </row>
    <row r="348" spans="5:9">
      <c r="E348"/>
      <c r="F348"/>
      <c r="G348"/>
      <c r="H348"/>
      <c r="I348"/>
    </row>
    <row r="349" spans="5:9">
      <c r="E349"/>
      <c r="F349"/>
      <c r="G349"/>
      <c r="H349"/>
      <c r="I349"/>
    </row>
    <row r="350" spans="5:9">
      <c r="E350"/>
      <c r="F350"/>
      <c r="G350"/>
      <c r="H350"/>
      <c r="I350"/>
    </row>
    <row r="351" spans="5:9">
      <c r="E351"/>
      <c r="F351"/>
      <c r="G351"/>
      <c r="H351"/>
      <c r="I351"/>
    </row>
    <row r="352" spans="5:9">
      <c r="E352"/>
      <c r="F352"/>
      <c r="G352"/>
      <c r="H352"/>
      <c r="I352"/>
    </row>
    <row r="353" spans="5:9">
      <c r="E353"/>
      <c r="F353"/>
      <c r="G353"/>
      <c r="H353"/>
      <c r="I353"/>
    </row>
    <row r="354" spans="5:9">
      <c r="E354"/>
      <c r="F354"/>
      <c r="G354"/>
      <c r="H354"/>
      <c r="I354"/>
    </row>
    <row r="355" spans="5:9">
      <c r="E355"/>
      <c r="F355"/>
      <c r="G355"/>
      <c r="H355"/>
      <c r="I355"/>
    </row>
    <row r="356" spans="5:9">
      <c r="E356"/>
      <c r="F356"/>
      <c r="G356"/>
      <c r="H356"/>
      <c r="I356"/>
    </row>
    <row r="357" spans="5:9">
      <c r="E357"/>
      <c r="F357"/>
      <c r="G357"/>
      <c r="H357"/>
      <c r="I357"/>
    </row>
    <row r="358" spans="5:9">
      <c r="E358"/>
      <c r="F358"/>
      <c r="G358"/>
      <c r="H358"/>
      <c r="I358"/>
    </row>
    <row r="359" spans="5:9">
      <c r="E359"/>
      <c r="F359"/>
      <c r="G359"/>
      <c r="H359"/>
      <c r="I359"/>
    </row>
    <row r="360" spans="5:9">
      <c r="E360"/>
      <c r="F360"/>
      <c r="G360"/>
      <c r="H360"/>
      <c r="I360"/>
    </row>
    <row r="361" spans="5:9">
      <c r="E361"/>
      <c r="F361"/>
      <c r="G361"/>
      <c r="H361"/>
      <c r="I361"/>
    </row>
    <row r="362" spans="5:9">
      <c r="E362"/>
      <c r="F362"/>
      <c r="G362"/>
      <c r="H362"/>
      <c r="I362"/>
    </row>
    <row r="363" spans="5:9">
      <c r="E363"/>
      <c r="F363"/>
      <c r="G363"/>
      <c r="H363"/>
      <c r="I363"/>
    </row>
    <row r="364" spans="5:9">
      <c r="E364"/>
      <c r="F364"/>
      <c r="G364"/>
      <c r="H364"/>
      <c r="I364"/>
    </row>
    <row r="365" spans="5:9">
      <c r="E365"/>
      <c r="F365"/>
      <c r="G365"/>
      <c r="H365"/>
      <c r="I365"/>
    </row>
    <row r="366" spans="5:9">
      <c r="E366"/>
      <c r="F366"/>
      <c r="G366"/>
      <c r="H366"/>
      <c r="I366"/>
    </row>
    <row r="367" spans="5:9">
      <c r="E367"/>
      <c r="F367"/>
      <c r="G367"/>
      <c r="H367"/>
      <c r="I367"/>
    </row>
    <row r="368" spans="5:9">
      <c r="E368"/>
      <c r="F368"/>
      <c r="G368"/>
      <c r="H368"/>
      <c r="I368"/>
    </row>
    <row r="369" spans="5:9">
      <c r="E369"/>
      <c r="F369"/>
      <c r="G369"/>
      <c r="H369"/>
      <c r="I369"/>
    </row>
    <row r="370" spans="5:9">
      <c r="E370"/>
      <c r="F370"/>
      <c r="G370"/>
      <c r="H370"/>
      <c r="I370"/>
    </row>
    <row r="371" spans="5:9">
      <c r="E371"/>
      <c r="F371"/>
      <c r="G371"/>
      <c r="H371"/>
      <c r="I371"/>
    </row>
    <row r="372" spans="5:9">
      <c r="E372"/>
      <c r="F372"/>
      <c r="G372"/>
      <c r="H372"/>
      <c r="I372"/>
    </row>
    <row r="373" spans="5:9">
      <c r="E373"/>
      <c r="F373"/>
      <c r="G373"/>
      <c r="H373"/>
      <c r="I373"/>
    </row>
    <row r="374" spans="5:9">
      <c r="E374"/>
      <c r="F374"/>
      <c r="G374"/>
      <c r="H374"/>
      <c r="I374"/>
    </row>
    <row r="375" spans="5:9">
      <c r="E375"/>
      <c r="F375"/>
      <c r="G375"/>
      <c r="H375"/>
      <c r="I375"/>
    </row>
    <row r="376" spans="5:9">
      <c r="E376"/>
      <c r="F376"/>
      <c r="G376"/>
      <c r="H376"/>
      <c r="I376"/>
    </row>
    <row r="377" spans="5:9">
      <c r="E377"/>
      <c r="F377"/>
      <c r="G377"/>
      <c r="H377"/>
      <c r="I377"/>
    </row>
    <row r="378" spans="5:9">
      <c r="E378"/>
      <c r="F378"/>
      <c r="G378"/>
      <c r="H378"/>
      <c r="I378"/>
    </row>
    <row r="379" spans="5:9">
      <c r="E379"/>
      <c r="F379"/>
      <c r="G379"/>
      <c r="H379"/>
      <c r="I379"/>
    </row>
    <row r="380" spans="5:9">
      <c r="E380"/>
      <c r="F380"/>
      <c r="G380"/>
      <c r="H380"/>
      <c r="I380"/>
    </row>
    <row r="381" spans="5:9">
      <c r="E381"/>
      <c r="F381"/>
      <c r="G381"/>
      <c r="H381"/>
      <c r="I381"/>
    </row>
    <row r="382" spans="5:9">
      <c r="E382"/>
      <c r="F382"/>
      <c r="G382"/>
      <c r="H382"/>
      <c r="I382"/>
    </row>
    <row r="383" spans="5:9">
      <c r="E383"/>
      <c r="F383"/>
      <c r="G383"/>
      <c r="H383"/>
      <c r="I383"/>
    </row>
    <row r="384" spans="5:9">
      <c r="E384"/>
      <c r="F384"/>
      <c r="G384"/>
      <c r="H384"/>
      <c r="I384"/>
    </row>
    <row r="385" spans="5:9">
      <c r="E385"/>
      <c r="F385"/>
      <c r="G385"/>
      <c r="H385"/>
      <c r="I385"/>
    </row>
    <row r="386" spans="5:9">
      <c r="E386"/>
      <c r="F386"/>
      <c r="G386"/>
      <c r="H386"/>
      <c r="I386"/>
    </row>
    <row r="387" spans="5:9">
      <c r="E387"/>
      <c r="F387"/>
      <c r="G387"/>
      <c r="H387"/>
      <c r="I387"/>
    </row>
    <row r="388" spans="5:9">
      <c r="E388"/>
      <c r="F388"/>
      <c r="G388"/>
      <c r="H388"/>
      <c r="I388"/>
    </row>
    <row r="389" spans="5:9">
      <c r="E389"/>
      <c r="F389"/>
      <c r="G389"/>
      <c r="H389"/>
      <c r="I389"/>
    </row>
    <row r="390" spans="5:9">
      <c r="E390"/>
      <c r="F390"/>
      <c r="G390"/>
      <c r="H390"/>
      <c r="I390"/>
    </row>
    <row r="391" spans="5:9">
      <c r="E391"/>
      <c r="F391"/>
      <c r="G391"/>
      <c r="H391"/>
      <c r="I391"/>
    </row>
    <row r="392" spans="5:9">
      <c r="E392"/>
      <c r="F392"/>
      <c r="G392"/>
      <c r="H392"/>
      <c r="I392"/>
    </row>
  </sheetData>
  <phoneticPr fontId="4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8"/>
  <sheetViews>
    <sheetView workbookViewId="0">
      <selection activeCell="C24" sqref="C24"/>
    </sheetView>
  </sheetViews>
  <sheetFormatPr defaultRowHeight="12.75"/>
  <cols>
    <col min="1" max="1" width="14.85546875" bestFit="1" customWidth="1"/>
    <col min="2" max="2" width="29" style="489" bestFit="1" customWidth="1"/>
    <col min="3" max="3" width="18.7109375" style="1463" bestFit="1" customWidth="1"/>
    <col min="4" max="4" width="21.7109375" style="1463" bestFit="1" customWidth="1"/>
    <col min="5" max="5" width="12.42578125" bestFit="1" customWidth="1"/>
    <col min="6" max="6" width="11.85546875" bestFit="1" customWidth="1"/>
    <col min="7" max="7" width="15.7109375" customWidth="1"/>
    <col min="8" max="8" width="13.5703125" customWidth="1"/>
    <col min="9" max="9" width="18.140625" customWidth="1"/>
    <col min="11" max="11" width="15.140625" bestFit="1" customWidth="1"/>
    <col min="12" max="12" width="15.140625" style="1463" bestFit="1" customWidth="1"/>
    <col min="13" max="13" width="12.28515625" style="1463" bestFit="1" customWidth="1"/>
    <col min="14" max="14" width="11.140625" bestFit="1" customWidth="1"/>
    <col min="15" max="15" width="15.140625" bestFit="1" customWidth="1"/>
  </cols>
  <sheetData>
    <row r="1" spans="1:18">
      <c r="K1" s="2476">
        <f ca="1">Finsum!F11+Finsum!F21+Finsum!F22+Finsum!F28+Finsum!F42</f>
        <v>0.25519405345934748</v>
      </c>
      <c r="L1" s="2478"/>
    </row>
    <row r="2" spans="1:18">
      <c r="K2" s="2476">
        <f ca="1">1/(1-K1)</f>
        <v>1.3426316004116634</v>
      </c>
    </row>
    <row r="3" spans="1:18">
      <c r="A3" s="695" t="s">
        <v>1645</v>
      </c>
      <c r="B3" s="986" t="s">
        <v>1624</v>
      </c>
      <c r="C3" s="688" t="s">
        <v>1625</v>
      </c>
      <c r="D3" s="688" t="s">
        <v>1626</v>
      </c>
      <c r="E3" s="986" t="s">
        <v>1627</v>
      </c>
      <c r="F3" s="986" t="s">
        <v>1628</v>
      </c>
      <c r="G3" s="986" t="s">
        <v>1629</v>
      </c>
      <c r="H3" s="986" t="s">
        <v>1630</v>
      </c>
      <c r="I3" s="986" t="s">
        <v>1633</v>
      </c>
      <c r="J3" s="986"/>
      <c r="K3" s="2633" t="s">
        <v>1631</v>
      </c>
      <c r="L3" s="2634" t="s">
        <v>1632</v>
      </c>
      <c r="M3" s="2634" t="s">
        <v>1633</v>
      </c>
      <c r="N3" s="2633" t="s">
        <v>1634</v>
      </c>
      <c r="O3" s="2633" t="s">
        <v>1662</v>
      </c>
      <c r="P3" s="2633" t="s">
        <v>1663</v>
      </c>
      <c r="Q3" s="2633" t="s">
        <v>1664</v>
      </c>
      <c r="R3" s="2634" t="s">
        <v>1665</v>
      </c>
    </row>
    <row r="4" spans="1:18">
      <c r="A4" s="2508" t="s">
        <v>1666</v>
      </c>
      <c r="B4" s="2088">
        <v>2802.333816546</v>
      </c>
      <c r="C4" s="688">
        <v>18626.840085023905</v>
      </c>
      <c r="D4" s="688">
        <v>0</v>
      </c>
      <c r="E4" s="2088"/>
      <c r="F4" s="2088">
        <v>12</v>
      </c>
      <c r="G4" s="2635" t="e">
        <f>B4/$B$7*$G$19*1000</f>
        <v>#DIV/0!</v>
      </c>
      <c r="H4" s="2635" t="e">
        <f>B4/$B$7*$H$19*1000</f>
        <v>#DIV/0!</v>
      </c>
      <c r="I4" s="2635" t="e">
        <f>B4/$B$7*$I$19*1000</f>
        <v>#DIV/0!</v>
      </c>
      <c r="J4" s="986"/>
      <c r="K4" s="2633" t="e">
        <f>(C4+D4+G4)/1000</f>
        <v>#DIV/0!</v>
      </c>
      <c r="L4" s="2636">
        <f>(((E4+F4)*'Estimate Detail'!$F$61+(E4+F4)*0.06*'Estimate Detail'!$F$75)*'Estimate Summary'!$D$9)/1000</f>
        <v>1.8002400000000001</v>
      </c>
      <c r="M4" s="2636" t="e">
        <f>I4/1000</f>
        <v>#DIV/0!</v>
      </c>
      <c r="N4" s="2636" t="e">
        <f>H4/1000</f>
        <v>#DIV/0!</v>
      </c>
      <c r="O4" s="2636" t="e">
        <f>B4/$B$7*'Estimate Summary'!$D$39</f>
        <v>#DIV/0!</v>
      </c>
      <c r="P4" s="2637" t="e">
        <f ca="1">B4/$B$7*(Finsum!$C$21+Finsum!$C$23)</f>
        <v>#DIV/0!</v>
      </c>
      <c r="Q4" s="2633" t="e">
        <f>SUM(K4:P4)</f>
        <v>#DIV/0!</v>
      </c>
      <c r="R4" s="2633" t="e">
        <f>Q4*1.15</f>
        <v>#DIV/0!</v>
      </c>
    </row>
    <row r="5" spans="1:18">
      <c r="A5" s="2508" t="s">
        <v>1667</v>
      </c>
      <c r="B5" s="2088">
        <v>250</v>
      </c>
      <c r="C5" s="688">
        <v>75000</v>
      </c>
      <c r="D5" s="688">
        <v>0</v>
      </c>
      <c r="E5" s="2088"/>
      <c r="F5" s="2088"/>
      <c r="G5" s="2635" t="e">
        <f t="shared" ref="G5:G6" si="0">B5/$B$7*$G$19*1000</f>
        <v>#DIV/0!</v>
      </c>
      <c r="H5" s="2635" t="e">
        <f t="shared" ref="H5:H6" si="1">B5/$B$7*$H$19*1000</f>
        <v>#DIV/0!</v>
      </c>
      <c r="I5" s="2635" t="e">
        <f t="shared" ref="I5:I6" si="2">B5/$B$7*$I$19*1000</f>
        <v>#DIV/0!</v>
      </c>
      <c r="J5" s="986"/>
      <c r="K5" s="2633" t="e">
        <f t="shared" ref="K5:K6" si="3">(C5+D5+G5)/1000</f>
        <v>#DIV/0!</v>
      </c>
      <c r="L5" s="2636">
        <f>(((E5+F5)*'Estimate Detail'!$F$61+(E5+F5)*0.06*'Estimate Detail'!$F$75)*'Estimate Summary'!$D$9)/1000</f>
        <v>0</v>
      </c>
      <c r="M5" s="2636" t="e">
        <f t="shared" ref="M5:M6" si="4">I5/1000</f>
        <v>#DIV/0!</v>
      </c>
      <c r="N5" s="2636" t="e">
        <f t="shared" ref="N5:N6" si="5">H5/1000</f>
        <v>#DIV/0!</v>
      </c>
      <c r="O5" s="2636" t="e">
        <f>B5/$B$7*'Estimate Summary'!$D$39</f>
        <v>#DIV/0!</v>
      </c>
      <c r="P5" s="2637" t="e">
        <f ca="1">B5/$B$7*(Finsum!$C$21+Finsum!$C$23)</f>
        <v>#DIV/0!</v>
      </c>
      <c r="Q5" s="2633" t="e">
        <f t="shared" ref="Q5:Q6" si="6">SUM(K5:P5)</f>
        <v>#DIV/0!</v>
      </c>
      <c r="R5" s="2633" t="e">
        <f t="shared" ref="R5:R6" si="7">Q5*1.15</f>
        <v>#DIV/0!</v>
      </c>
    </row>
    <row r="6" spans="1:18">
      <c r="A6" s="2508" t="s">
        <v>29</v>
      </c>
      <c r="B6" s="2088">
        <v>3052.333816546</v>
      </c>
      <c r="C6" s="688">
        <v>93626.840085023898</v>
      </c>
      <c r="D6" s="688">
        <v>0</v>
      </c>
      <c r="E6" s="2088"/>
      <c r="F6" s="2088">
        <v>12</v>
      </c>
      <c r="G6" s="2635" t="e">
        <f t="shared" si="0"/>
        <v>#DIV/0!</v>
      </c>
      <c r="H6" s="2635" t="e">
        <f t="shared" si="1"/>
        <v>#DIV/0!</v>
      </c>
      <c r="I6" s="2635" t="e">
        <f t="shared" si="2"/>
        <v>#DIV/0!</v>
      </c>
      <c r="J6" s="986"/>
      <c r="K6" s="2633" t="e">
        <f t="shared" si="3"/>
        <v>#DIV/0!</v>
      </c>
      <c r="L6" s="2636">
        <f>(((E6+F6)*'Estimate Detail'!$F$61+(E6+F6)*0.06*'Estimate Detail'!$F$75)*'Estimate Summary'!$D$9)/1000</f>
        <v>1.8002400000000001</v>
      </c>
      <c r="M6" s="2636" t="e">
        <f t="shared" si="4"/>
        <v>#DIV/0!</v>
      </c>
      <c r="N6" s="2636" t="e">
        <f t="shared" si="5"/>
        <v>#DIV/0!</v>
      </c>
      <c r="O6" s="2636" t="e">
        <f>B6/$B$7*'Estimate Summary'!$D$39</f>
        <v>#DIV/0!</v>
      </c>
      <c r="P6" s="2637" t="e">
        <f ca="1">B6/$B$7*(Finsum!$C$21+Finsum!$C$23)</f>
        <v>#DIV/0!</v>
      </c>
      <c r="Q6" s="2633" t="e">
        <f t="shared" si="6"/>
        <v>#DIV/0!</v>
      </c>
      <c r="R6" s="2633" t="e">
        <f t="shared" si="7"/>
        <v>#DIV/0!</v>
      </c>
    </row>
    <row r="7" spans="1:18">
      <c r="B7"/>
      <c r="C7"/>
      <c r="D7"/>
      <c r="G7" s="2635" t="e">
        <f>SUM(G4:G6)</f>
        <v>#DIV/0!</v>
      </c>
      <c r="H7" s="2635" t="e">
        <f t="shared" ref="H7:K7" si="8">SUM(H4:H6)</f>
        <v>#DIV/0!</v>
      </c>
      <c r="I7" s="2635" t="e">
        <f t="shared" si="8"/>
        <v>#DIV/0!</v>
      </c>
      <c r="J7" s="986"/>
      <c r="K7" s="2635" t="e">
        <f t="shared" si="8"/>
        <v>#DIV/0!</v>
      </c>
      <c r="L7" s="2635">
        <f t="shared" ref="L7" si="9">SUM(L4:L6)</f>
        <v>3.6004800000000001</v>
      </c>
      <c r="M7" s="2635" t="e">
        <f t="shared" ref="M7" si="10">SUM(M4:M6)</f>
        <v>#DIV/0!</v>
      </c>
      <c r="N7" s="2635" t="e">
        <f t="shared" ref="N7" si="11">SUM(N4:N6)</f>
        <v>#DIV/0!</v>
      </c>
      <c r="O7" s="2635" t="e">
        <f t="shared" ref="O7" si="12">SUM(O4:O6)</f>
        <v>#DIV/0!</v>
      </c>
      <c r="P7" s="2635" t="e">
        <f t="shared" ref="P7" ca="1" si="13">SUM(P4:P6)</f>
        <v>#DIV/0!</v>
      </c>
      <c r="Q7" s="2635" t="e">
        <f t="shared" ref="Q7" si="14">SUM(Q4:Q6)</f>
        <v>#DIV/0!</v>
      </c>
      <c r="R7" s="2635" t="e">
        <f t="shared" ref="R7" si="15">SUM(R4:R6)</f>
        <v>#DIV/0!</v>
      </c>
    </row>
    <row r="8" spans="1:18">
      <c r="B8"/>
      <c r="C8"/>
      <c r="D8"/>
      <c r="G8" s="1463"/>
      <c r="H8" s="1463"/>
      <c r="I8" s="1463"/>
      <c r="K8" s="688"/>
      <c r="N8" s="688"/>
    </row>
    <row r="9" spans="1:18">
      <c r="B9"/>
      <c r="C9"/>
      <c r="D9"/>
      <c r="G9" s="1463"/>
      <c r="H9" s="1463"/>
      <c r="I9" s="1463"/>
      <c r="K9" s="688"/>
      <c r="N9" s="688"/>
    </row>
    <row r="10" spans="1:18">
      <c r="B10"/>
      <c r="C10"/>
      <c r="D10"/>
      <c r="G10" s="1463"/>
      <c r="H10" s="1463"/>
      <c r="I10" s="1463"/>
      <c r="K10" s="688"/>
      <c r="N10" s="688"/>
    </row>
    <row r="11" spans="1:18">
      <c r="B11"/>
      <c r="C11"/>
      <c r="D11"/>
      <c r="G11" s="1463"/>
      <c r="H11" s="1463"/>
      <c r="I11" s="1463"/>
      <c r="K11" s="688"/>
      <c r="N11" s="688"/>
    </row>
    <row r="12" spans="1:18">
      <c r="B12"/>
      <c r="C12"/>
      <c r="D12"/>
      <c r="G12" s="1463"/>
      <c r="H12" s="1463"/>
      <c r="I12" s="1463"/>
      <c r="K12" s="688"/>
      <c r="N12" s="688"/>
    </row>
    <row r="13" spans="1:18">
      <c r="B13"/>
      <c r="C13"/>
      <c r="D13"/>
      <c r="G13" s="1463"/>
      <c r="H13" s="1463"/>
      <c r="I13" s="1463"/>
      <c r="K13" s="688"/>
      <c r="N13" s="688"/>
    </row>
    <row r="14" spans="1:18">
      <c r="B14"/>
      <c r="C14"/>
      <c r="D14"/>
      <c r="G14" s="1463"/>
      <c r="H14" s="1463"/>
      <c r="I14" s="1463"/>
      <c r="K14" s="688"/>
      <c r="N14" s="688"/>
    </row>
    <row r="15" spans="1:18">
      <c r="B15"/>
      <c r="C15"/>
      <c r="D15"/>
      <c r="G15" s="1463"/>
      <c r="H15" s="1463"/>
      <c r="I15" s="1463"/>
      <c r="K15" s="688"/>
      <c r="N15" s="688"/>
    </row>
    <row r="16" spans="1:18">
      <c r="B16"/>
      <c r="C16"/>
      <c r="D16"/>
      <c r="G16" s="1463"/>
      <c r="H16" s="1463"/>
      <c r="I16" s="1463"/>
      <c r="K16" s="688"/>
      <c r="N16" s="688"/>
    </row>
    <row r="17" spans="1:15">
      <c r="B17"/>
      <c r="C17"/>
      <c r="D17"/>
      <c r="G17" s="688"/>
      <c r="H17" s="688"/>
      <c r="I17" s="688"/>
      <c r="K17" s="688"/>
      <c r="N17" s="688"/>
      <c r="O17" s="688">
        <f>SUM(K17:N17)</f>
        <v>0</v>
      </c>
    </row>
    <row r="18" spans="1:15">
      <c r="B18"/>
      <c r="O18" s="2477">
        <f ca="1">O17-Finsum!B5*1000</f>
        <v>-202817.1757825301</v>
      </c>
    </row>
    <row r="19" spans="1:15">
      <c r="B19"/>
      <c r="G19" s="417">
        <f>'Estimate Detail'!H54</f>
        <v>3.589467835601261</v>
      </c>
      <c r="H19">
        <f>'Estimate Summary'!D38</f>
        <v>2.4</v>
      </c>
      <c r="I19">
        <f>'Estimate Summary'!D40</f>
        <v>28</v>
      </c>
      <c r="K19" s="688"/>
      <c r="L19" s="688"/>
      <c r="M19" s="688"/>
      <c r="N19" s="688"/>
      <c r="O19" s="688"/>
    </row>
    <row r="20" spans="1:15">
      <c r="B20"/>
      <c r="G20" s="688">
        <f>G17/1000-G19</f>
        <v>-3.589467835601261</v>
      </c>
      <c r="H20" s="688">
        <f>H17/1000-H19</f>
        <v>-2.4</v>
      </c>
      <c r="I20" s="688">
        <f>I17/1000-I19</f>
        <v>-28</v>
      </c>
      <c r="O20" s="2477"/>
    </row>
    <row r="21" spans="1:15" ht="16.5" customHeight="1">
      <c r="B21"/>
      <c r="K21" s="2477"/>
      <c r="O21" s="2477"/>
    </row>
    <row r="22" spans="1:15" ht="16.5" customHeight="1">
      <c r="A22" s="2638"/>
      <c r="B22" s="2639"/>
      <c r="C22" s="2640"/>
      <c r="D22" s="2640"/>
      <c r="E22" s="2639"/>
      <c r="F22" s="2639"/>
      <c r="G22" s="2639"/>
      <c r="H22" s="2639"/>
      <c r="I22" s="2640"/>
      <c r="K22" s="2477"/>
      <c r="N22" s="688"/>
    </row>
    <row r="23" spans="1:15" ht="16.5" customHeight="1">
      <c r="A23" s="2641"/>
      <c r="B23" s="2642"/>
      <c r="C23" s="2642"/>
      <c r="D23" s="2642"/>
      <c r="E23" s="2642"/>
      <c r="F23" s="2642"/>
      <c r="G23" s="2642"/>
      <c r="H23" s="2642"/>
      <c r="I23" s="2642"/>
      <c r="O23" s="793"/>
    </row>
    <row r="24" spans="1:15" ht="16.5" customHeight="1">
      <c r="A24" s="2641"/>
      <c r="B24" s="2642"/>
      <c r="C24" s="2642"/>
      <c r="D24" s="2642"/>
      <c r="E24" s="2642"/>
      <c r="F24" s="2642"/>
      <c r="G24" s="2642"/>
      <c r="H24" s="2642"/>
      <c r="I24" s="2642"/>
      <c r="K24" s="986"/>
    </row>
    <row r="25" spans="1:15" ht="16.5" customHeight="1">
      <c r="A25" s="2641"/>
      <c r="B25" s="2642"/>
      <c r="C25" s="2642"/>
      <c r="D25" s="2642"/>
      <c r="E25" s="2642"/>
      <c r="F25" s="2642"/>
      <c r="G25" s="2642"/>
      <c r="H25" s="2642"/>
      <c r="I25" s="2642"/>
      <c r="K25" s="986"/>
    </row>
    <row r="26" spans="1:15" ht="16.5" customHeight="1">
      <c r="A26" s="2641"/>
      <c r="B26" s="2642"/>
      <c r="C26" s="2642"/>
      <c r="D26" s="2642"/>
      <c r="E26" s="2642"/>
      <c r="F26" s="2642"/>
      <c r="G26" s="2642"/>
      <c r="H26" s="2642"/>
      <c r="I26" s="2642"/>
    </row>
    <row r="27" spans="1:15">
      <c r="B27"/>
    </row>
    <row r="28" spans="1:15">
      <c r="B28"/>
    </row>
    <row r="29" spans="1:15">
      <c r="B29"/>
    </row>
    <row r="30" spans="1:15">
      <c r="B30"/>
    </row>
    <row r="31" spans="1:15">
      <c r="B31"/>
    </row>
    <row r="32" spans="1:15">
      <c r="B32"/>
    </row>
    <row r="33" spans="2:2">
      <c r="B33"/>
    </row>
    <row r="34" spans="2:2">
      <c r="B34"/>
    </row>
    <row r="35" spans="2:2">
      <c r="B35"/>
    </row>
    <row r="36" spans="2:2">
      <c r="B36"/>
    </row>
    <row r="37" spans="2:2">
      <c r="B37"/>
    </row>
    <row r="38" spans="2:2">
      <c r="B38"/>
    </row>
    <row r="39" spans="2:2">
      <c r="B39"/>
    </row>
    <row r="40" spans="2:2">
      <c r="B40"/>
    </row>
    <row r="41" spans="2:2">
      <c r="B41"/>
    </row>
    <row r="42" spans="2:2">
      <c r="B42"/>
    </row>
    <row r="43" spans="2:2">
      <c r="B43"/>
    </row>
    <row r="44" spans="2:2">
      <c r="B44"/>
    </row>
    <row r="45" spans="2:2">
      <c r="B45"/>
    </row>
    <row r="46" spans="2:2">
      <c r="B46"/>
    </row>
    <row r="47" spans="2:2">
      <c r="B47"/>
    </row>
    <row r="48" spans="2:2">
      <c r="B48"/>
    </row>
    <row r="49" spans="2:2">
      <c r="B49"/>
    </row>
    <row r="50" spans="2:2">
      <c r="B50"/>
    </row>
    <row r="51" spans="2:2">
      <c r="B51"/>
    </row>
    <row r="52" spans="2:2">
      <c r="B52"/>
    </row>
    <row r="53" spans="2:2">
      <c r="B53"/>
    </row>
    <row r="54" spans="2:2">
      <c r="B54"/>
    </row>
    <row r="55" spans="2:2">
      <c r="B55"/>
    </row>
    <row r="56" spans="2:2">
      <c r="B56"/>
    </row>
    <row r="57" spans="2:2">
      <c r="B57"/>
    </row>
    <row r="58" spans="2:2">
      <c r="B58"/>
    </row>
    <row r="59" spans="2:2">
      <c r="B59"/>
    </row>
    <row r="60" spans="2:2">
      <c r="B60"/>
    </row>
    <row r="61" spans="2:2">
      <c r="B61"/>
    </row>
    <row r="62" spans="2:2">
      <c r="B62"/>
    </row>
    <row r="63" spans="2:2">
      <c r="B63"/>
    </row>
    <row r="64" spans="2:2">
      <c r="B64"/>
    </row>
    <row r="65" spans="2:2">
      <c r="B65"/>
    </row>
    <row r="66" spans="2:2">
      <c r="B66"/>
    </row>
    <row r="67" spans="2:2">
      <c r="B67"/>
    </row>
    <row r="68" spans="2:2">
      <c r="B68"/>
    </row>
    <row r="69" spans="2:2">
      <c r="B69"/>
    </row>
    <row r="70" spans="2:2">
      <c r="B70"/>
    </row>
    <row r="71" spans="2:2">
      <c r="B71"/>
    </row>
    <row r="72" spans="2:2">
      <c r="B72"/>
    </row>
    <row r="73" spans="2:2">
      <c r="B73"/>
    </row>
    <row r="74" spans="2:2">
      <c r="B74"/>
    </row>
    <row r="75" spans="2:2">
      <c r="B75"/>
    </row>
    <row r="76" spans="2:2">
      <c r="B76"/>
    </row>
    <row r="77" spans="2:2">
      <c r="B77"/>
    </row>
    <row r="78" spans="2:2">
      <c r="B78"/>
    </row>
    <row r="79" spans="2:2">
      <c r="B79"/>
    </row>
    <row r="80" spans="2:2">
      <c r="B80"/>
    </row>
    <row r="81" spans="2:2">
      <c r="B81"/>
    </row>
    <row r="82" spans="2:2">
      <c r="B82"/>
    </row>
    <row r="83" spans="2:2">
      <c r="B83"/>
    </row>
    <row r="84" spans="2:2">
      <c r="B84"/>
    </row>
    <row r="85" spans="2:2">
      <c r="B85"/>
    </row>
    <row r="86" spans="2:2">
      <c r="B86"/>
    </row>
    <row r="87" spans="2:2">
      <c r="B87"/>
    </row>
    <row r="88" spans="2:2">
      <c r="B88"/>
    </row>
    <row r="89" spans="2:2">
      <c r="B89"/>
    </row>
    <row r="90" spans="2:2">
      <c r="B90"/>
    </row>
    <row r="91" spans="2:2">
      <c r="B91"/>
    </row>
    <row r="92" spans="2:2">
      <c r="B92"/>
    </row>
    <row r="93" spans="2:2">
      <c r="B93"/>
    </row>
    <row r="94" spans="2:2">
      <c r="B94"/>
    </row>
    <row r="95" spans="2:2">
      <c r="B95"/>
    </row>
    <row r="96" spans="2:2">
      <c r="B96"/>
    </row>
    <row r="97" spans="2:2">
      <c r="B97"/>
    </row>
    <row r="98" spans="2:2">
      <c r="B98"/>
    </row>
    <row r="99" spans="2:2">
      <c r="B99"/>
    </row>
    <row r="100" spans="2:2">
      <c r="B100"/>
    </row>
    <row r="101" spans="2:2">
      <c r="B101"/>
    </row>
    <row r="102" spans="2:2">
      <c r="B102"/>
    </row>
    <row r="103" spans="2:2">
      <c r="B103"/>
    </row>
    <row r="104" spans="2:2">
      <c r="B104"/>
    </row>
    <row r="105" spans="2:2">
      <c r="B105"/>
    </row>
    <row r="106" spans="2:2">
      <c r="B106"/>
    </row>
    <row r="107" spans="2:2">
      <c r="B107"/>
    </row>
    <row r="108" spans="2:2">
      <c r="B108"/>
    </row>
  </sheetData>
  <phoneticPr fontId="4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C939D-7B1F-4FD4-B487-98A4E2763D70}">
  <dimension ref="A1"/>
  <sheetViews>
    <sheetView workbookViewId="0"/>
  </sheetViews>
  <sheetFormatPr defaultRowHeight="12.75"/>
  <sheetData/>
  <phoneticPr fontId="4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CF251"/>
  <sheetViews>
    <sheetView showZeros="0" topLeftCell="AJ30" zoomScaleNormal="100" workbookViewId="0">
      <selection activeCell="AN41" sqref="AN41"/>
    </sheetView>
  </sheetViews>
  <sheetFormatPr defaultRowHeight="12" outlineLevelRow="1" outlineLevelCol="1"/>
  <cols>
    <col min="1" max="1" width="10.28515625" style="395" customWidth="1"/>
    <col min="2" max="2" width="24.7109375" style="395" customWidth="1"/>
    <col min="3" max="3" width="9.42578125" style="686" customWidth="1"/>
    <col min="4" max="4" width="35.140625" style="395" customWidth="1"/>
    <col min="5" max="5" width="22.140625" style="490" bestFit="1" customWidth="1"/>
    <col min="6" max="6" width="12.85546875" style="490" customWidth="1"/>
    <col min="7" max="7" width="9.140625" style="909" customWidth="1"/>
    <col min="8" max="8" width="9.140625" style="913" hidden="1" customWidth="1"/>
    <col min="9" max="9" width="12.42578125" style="2537" customWidth="1"/>
    <col min="10" max="10" width="8.28515625" style="2538" customWidth="1"/>
    <col min="11" max="11" width="13.85546875" style="2539" customWidth="1"/>
    <col min="12" max="12" width="17" style="2539" customWidth="1"/>
    <col min="13" max="13" width="20" style="2540" customWidth="1"/>
    <col min="14" max="14" width="12" style="2541" customWidth="1"/>
    <col min="15" max="15" width="15.7109375" style="2540" customWidth="1"/>
    <col min="16" max="16" width="15.42578125" style="2542" customWidth="1" outlineLevel="1"/>
    <col min="17" max="17" width="11.85546875" style="2605" customWidth="1" outlineLevel="1"/>
    <col min="18" max="18" width="12" style="2557" customWidth="1" outlineLevel="1"/>
    <col min="19" max="19" width="11.85546875" style="2541" customWidth="1" outlineLevel="1"/>
    <col min="20" max="20" width="10.140625" style="2541" customWidth="1" outlineLevel="1"/>
    <col min="21" max="21" width="18.42578125" style="2541" customWidth="1" outlineLevel="1"/>
    <col min="22" max="22" width="14.140625" style="2541" customWidth="1"/>
    <col min="23" max="23" width="24.7109375" style="2541" customWidth="1" outlineLevel="1"/>
    <col min="24" max="24" width="22.85546875" style="2541" customWidth="1" outlineLevel="1"/>
    <col min="25" max="25" width="17.42578125" style="2606" customWidth="1"/>
    <col min="26" max="27" width="17" style="2606" customWidth="1"/>
    <col min="28" max="28" width="14.7109375" style="2606" customWidth="1"/>
    <col min="29" max="29" width="9" style="397" customWidth="1" outlineLevel="1" collapsed="1"/>
    <col min="30" max="30" width="10.28515625" style="397" customWidth="1" outlineLevel="1"/>
    <col min="31" max="31" width="10.85546875" style="409" customWidth="1" outlineLevel="1"/>
    <col min="32" max="32" width="12.140625" style="424" customWidth="1"/>
    <col min="33" max="33" width="10.140625" style="397" customWidth="1"/>
    <col min="34" max="34" width="10.140625" style="398" customWidth="1"/>
    <col min="35" max="35" width="8.85546875" style="399" customWidth="1"/>
    <col min="36" max="36" width="11.140625" style="2538" customWidth="1"/>
    <col min="37" max="38" width="9.42578125" style="397" customWidth="1"/>
    <col min="39" max="39" width="14" style="397" customWidth="1"/>
    <col min="40" max="40" width="10.85546875" style="398" customWidth="1"/>
    <col min="41" max="41" width="12.140625" style="398" customWidth="1" outlineLevel="1"/>
    <col min="42" max="42" width="11.28515625" style="398" customWidth="1" outlineLevel="1"/>
    <col min="43" max="45" width="12.85546875" style="401" customWidth="1" outlineLevel="1"/>
    <col min="46" max="46" width="12" style="394" customWidth="1"/>
    <col min="47" max="47" width="13.5703125" style="977" customWidth="1"/>
    <col min="48" max="48" width="14" style="402" customWidth="1" outlineLevel="1"/>
    <col min="49" max="49" width="13" style="397" customWidth="1" outlineLevel="1"/>
    <col min="50" max="50" width="13.5703125" style="402" customWidth="1" outlineLevel="1"/>
    <col min="51" max="51" width="13.7109375" style="402" customWidth="1" outlineLevel="1"/>
    <col min="52" max="52" width="11" style="402" customWidth="1" outlineLevel="1"/>
    <col min="53" max="53" width="11.28515625" style="816" customWidth="1" outlineLevel="1"/>
    <col min="54" max="54" width="13.5703125" style="394" customWidth="1" outlineLevel="1"/>
    <col min="55" max="55" width="9.28515625" style="394" customWidth="1" outlineLevel="1"/>
    <col min="56" max="56" width="11" style="394" customWidth="1" outlineLevel="1"/>
    <col min="57" max="57" width="14" style="394" customWidth="1" outlineLevel="1"/>
    <col min="58" max="58" width="12.7109375" style="394" customWidth="1"/>
    <col min="59" max="61" width="10.5703125" style="394" customWidth="1"/>
    <col min="62" max="62" width="15.28515625" style="396" customWidth="1"/>
    <col min="63" max="63" width="11.5703125" style="396" customWidth="1"/>
    <col min="64" max="65" width="14.28515625" style="396" customWidth="1"/>
    <col min="66" max="66" width="12.140625" style="394" customWidth="1"/>
    <col min="67" max="67" width="12.28515625" style="403" customWidth="1"/>
    <col min="68" max="68" width="9.85546875" style="394" customWidth="1"/>
    <col min="69" max="69" width="2.42578125" style="394" bestFit="1" customWidth="1"/>
    <col min="70" max="70" width="25.140625" style="394" customWidth="1"/>
    <col min="71" max="71" width="10.28515625" style="394" bestFit="1" customWidth="1"/>
    <col min="72" max="72" width="13.7109375" style="394" customWidth="1"/>
    <col min="73" max="73" width="1.85546875" style="394" customWidth="1"/>
    <col min="74" max="74" width="17.7109375" style="394" bestFit="1" customWidth="1"/>
    <col min="75" max="75" width="17.140625" style="394" bestFit="1" customWidth="1"/>
    <col min="76" max="76" width="13.5703125" style="394" bestFit="1" customWidth="1"/>
    <col min="77" max="77" width="1.28515625" style="394" customWidth="1"/>
    <col min="78" max="78" width="17" style="394" bestFit="1" customWidth="1"/>
    <col min="79" max="79" width="9.85546875" style="394" bestFit="1" customWidth="1"/>
    <col min="80" max="80" width="11.42578125" style="394" bestFit="1" customWidth="1"/>
    <col min="81" max="81" width="2.140625" style="394" customWidth="1"/>
    <col min="82" max="82" width="20.5703125" style="394" customWidth="1"/>
    <col min="83" max="83" width="9.28515625" style="394" bestFit="1" customWidth="1"/>
    <col min="84" max="16384" width="9.140625" style="394"/>
  </cols>
  <sheetData>
    <row r="1" spans="5:83" ht="12" hidden="1" customHeight="1" outlineLevel="1">
      <c r="E1" s="394"/>
      <c r="Q1" s="2543"/>
      <c r="R1" s="2543"/>
      <c r="T1" s="2544"/>
      <c r="U1" s="2544"/>
      <c r="Y1" s="2545" t="s">
        <v>1211</v>
      </c>
      <c r="Z1" s="2546" t="s">
        <v>1240</v>
      </c>
      <c r="AA1" s="2546" t="s">
        <v>1621</v>
      </c>
      <c r="AB1" s="2547"/>
      <c r="BR1" s="394" t="s">
        <v>1250</v>
      </c>
      <c r="BS1" s="2087" t="s">
        <v>1239</v>
      </c>
      <c r="BV1" s="2074" t="s">
        <v>1255</v>
      </c>
      <c r="BW1" s="2087" t="s">
        <v>1239</v>
      </c>
      <c r="BX1" s="2074"/>
      <c r="BZ1" s="394" t="s">
        <v>1251</v>
      </c>
      <c r="CA1" s="2085" t="s">
        <v>1239</v>
      </c>
      <c r="CE1" s="2086" t="s">
        <v>1239</v>
      </c>
    </row>
    <row r="2" spans="5:83" ht="12" hidden="1" customHeight="1" outlineLevel="1">
      <c r="E2" s="394"/>
      <c r="K2" s="2540"/>
      <c r="L2" s="2540"/>
      <c r="M2" s="2548"/>
      <c r="N2" s="2548"/>
      <c r="P2" s="2549"/>
      <c r="Q2" s="2548"/>
      <c r="R2" s="2540"/>
      <c r="S2" s="2540"/>
      <c r="T2" s="2540"/>
      <c r="U2" s="2540"/>
      <c r="V2" s="2540"/>
      <c r="Y2" s="2550" t="s">
        <v>400</v>
      </c>
      <c r="Z2" s="2551" t="s">
        <v>140</v>
      </c>
      <c r="AA2" s="2552" t="s">
        <v>141</v>
      </c>
      <c r="AB2" s="2553" t="s">
        <v>1238</v>
      </c>
      <c r="BS2" s="394" t="s">
        <v>401</v>
      </c>
      <c r="BV2" s="404"/>
      <c r="BW2" s="404" t="s">
        <v>1215</v>
      </c>
      <c r="BX2" s="404"/>
      <c r="CA2" s="394" t="s">
        <v>400</v>
      </c>
      <c r="CE2" s="394" t="s">
        <v>470</v>
      </c>
    </row>
    <row r="3" spans="5:83" ht="12" hidden="1" customHeight="1" outlineLevel="1">
      <c r="E3" s="394"/>
      <c r="K3" s="2540"/>
      <c r="L3" s="2540"/>
      <c r="N3" s="2548"/>
      <c r="P3" s="2549"/>
      <c r="Q3" s="2540"/>
      <c r="R3" s="2540"/>
      <c r="S3" s="2540"/>
      <c r="T3" s="2540"/>
      <c r="U3" s="2540"/>
      <c r="V3" s="2540"/>
      <c r="Y3" s="2550" t="s">
        <v>1212</v>
      </c>
      <c r="Z3" s="2551" t="s">
        <v>141</v>
      </c>
      <c r="AA3" s="2552" t="s">
        <v>165</v>
      </c>
      <c r="AB3" s="2553" t="s">
        <v>1237</v>
      </c>
      <c r="BF3" s="1086" t="s">
        <v>467</v>
      </c>
      <c r="BG3" s="1086" t="s">
        <v>468</v>
      </c>
      <c r="BH3" s="1087" t="s">
        <v>469</v>
      </c>
      <c r="BS3" s="394" t="s">
        <v>1219</v>
      </c>
      <c r="BV3" s="2078"/>
      <c r="BW3" s="404" t="s">
        <v>1216</v>
      </c>
      <c r="BX3" s="404"/>
      <c r="CA3" s="394" t="s">
        <v>1212</v>
      </c>
      <c r="CE3" s="394" t="s">
        <v>473</v>
      </c>
    </row>
    <row r="4" spans="5:83" ht="12" hidden="1" customHeight="1" outlineLevel="1">
      <c r="E4" s="394"/>
      <c r="K4" s="2540"/>
      <c r="L4" s="2540"/>
      <c r="N4" s="2548"/>
      <c r="P4" s="2549"/>
      <c r="Q4" s="2540"/>
      <c r="R4" s="2540"/>
      <c r="S4" s="2540"/>
      <c r="T4" s="2540"/>
      <c r="U4" s="2540"/>
      <c r="V4" s="2540"/>
      <c r="Y4" s="2554" t="s">
        <v>1213</v>
      </c>
      <c r="Z4" s="2551" t="s">
        <v>165</v>
      </c>
      <c r="AA4" s="2552" t="s">
        <v>1622</v>
      </c>
      <c r="AB4" s="2555" t="s">
        <v>1265</v>
      </c>
      <c r="AI4" s="640"/>
      <c r="BF4" s="1088" t="s">
        <v>470</v>
      </c>
      <c r="BG4" s="1089">
        <f>9400/1.17/1000</f>
        <v>8.0341880341880358</v>
      </c>
      <c r="BH4" s="1090">
        <f>9400/1.17/1000</f>
        <v>8.0341880341880358</v>
      </c>
      <c r="BS4" s="394" t="s">
        <v>1220</v>
      </c>
      <c r="BV4" s="404"/>
      <c r="BW4" s="404" t="s">
        <v>1217</v>
      </c>
      <c r="BX4" s="404"/>
      <c r="CA4" s="394" t="s">
        <v>1213</v>
      </c>
      <c r="CE4" s="394" t="s">
        <v>1234</v>
      </c>
    </row>
    <row r="5" spans="5:83" ht="12" hidden="1" customHeight="1" outlineLevel="1">
      <c r="E5" s="394"/>
      <c r="K5" s="2540"/>
      <c r="L5" s="2540"/>
      <c r="N5" s="2548"/>
      <c r="P5" s="2549"/>
      <c r="Q5" s="2540"/>
      <c r="R5" s="2540"/>
      <c r="S5" s="2540"/>
      <c r="T5" s="2540"/>
      <c r="U5" s="2540"/>
      <c r="V5" s="2540"/>
      <c r="Y5" s="2556" t="s">
        <v>1214</v>
      </c>
      <c r="Z5" s="2551" t="s">
        <v>268</v>
      </c>
      <c r="AA5" s="2552"/>
      <c r="AB5" s="2555" t="s">
        <v>205</v>
      </c>
      <c r="AC5" s="686"/>
      <c r="AD5" s="686"/>
      <c r="AG5" s="686"/>
      <c r="AI5" s="640"/>
      <c r="AK5" s="686"/>
      <c r="AL5" s="686"/>
      <c r="AM5" s="686"/>
      <c r="AW5" s="686"/>
      <c r="BF5" s="1088" t="s">
        <v>471</v>
      </c>
      <c r="BG5" s="1089">
        <f>9700/1.17/1000</f>
        <v>8.2905982905982913</v>
      </c>
      <c r="BH5" s="1090">
        <f>9700/1.17/1000</f>
        <v>8.2905982905982913</v>
      </c>
      <c r="BS5" s="394" t="s">
        <v>1221</v>
      </c>
      <c r="BV5" s="404"/>
      <c r="BW5" s="404"/>
      <c r="BX5" s="404"/>
      <c r="CE5" s="394" t="s">
        <v>472</v>
      </c>
    </row>
    <row r="6" spans="5:83" ht="12" hidden="1" customHeight="1" outlineLevel="1">
      <c r="E6" s="394"/>
      <c r="K6" s="2540"/>
      <c r="L6" s="2540"/>
      <c r="N6" s="2548"/>
      <c r="P6" s="2549"/>
      <c r="Q6" s="2540"/>
      <c r="R6" s="2540"/>
      <c r="S6" s="2540"/>
      <c r="T6" s="2540"/>
      <c r="U6" s="2540"/>
      <c r="V6" s="2540"/>
      <c r="Y6" s="2556" t="s">
        <v>1215</v>
      </c>
      <c r="Z6" s="2551" t="s">
        <v>266</v>
      </c>
      <c r="AA6" s="2552"/>
      <c r="AB6" s="2555"/>
      <c r="AC6" s="686"/>
      <c r="AD6" s="686"/>
      <c r="AG6" s="686"/>
      <c r="AI6" s="640"/>
      <c r="AK6" s="686"/>
      <c r="AL6" s="686"/>
      <c r="AM6" s="686"/>
      <c r="AW6" s="686"/>
      <c r="BF6" s="1088" t="s">
        <v>472</v>
      </c>
      <c r="BG6" s="1089">
        <f>10000/1.17/1000</f>
        <v>8.5470085470085468</v>
      </c>
      <c r="BH6" s="1090">
        <f>10000/1.17/1000</f>
        <v>8.5470085470085468</v>
      </c>
      <c r="BV6" s="404"/>
      <c r="BW6" s="404"/>
      <c r="BX6" s="404"/>
    </row>
    <row r="7" spans="5:83" ht="12" hidden="1" customHeight="1" outlineLevel="1">
      <c r="E7" s="394"/>
      <c r="K7" s="2540"/>
      <c r="L7" s="2540"/>
      <c r="N7" s="2548"/>
      <c r="P7" s="2549"/>
      <c r="Q7" s="2540"/>
      <c r="R7" s="2540"/>
      <c r="S7" s="2540"/>
      <c r="T7" s="2540"/>
      <c r="U7" s="2540"/>
      <c r="V7" s="2540"/>
      <c r="Y7" s="2556" t="s">
        <v>1216</v>
      </c>
      <c r="Z7" s="2551" t="s">
        <v>135</v>
      </c>
      <c r="AA7" s="2552"/>
      <c r="AB7" s="2555"/>
      <c r="AC7" s="686"/>
      <c r="AD7" s="686"/>
      <c r="AG7" s="686"/>
      <c r="AI7" s="640"/>
      <c r="AK7" s="686"/>
      <c r="AL7" s="686"/>
      <c r="AM7" s="686"/>
      <c r="AW7" s="686"/>
      <c r="BF7" s="1088" t="s">
        <v>1234</v>
      </c>
      <c r="BG7" s="1089">
        <f>11000/1.17/1000</f>
        <v>9.4017094017094021</v>
      </c>
      <c r="BH7" s="1090">
        <f>11000/1.17/1000</f>
        <v>9.4017094017094021</v>
      </c>
      <c r="BV7" s="404"/>
      <c r="BW7" s="404"/>
      <c r="BX7" s="404"/>
    </row>
    <row r="8" spans="5:83" ht="12" hidden="1" customHeight="1" outlineLevel="1">
      <c r="E8" s="394"/>
      <c r="K8" s="2540"/>
      <c r="L8" s="2540"/>
      <c r="N8" s="2548"/>
      <c r="P8" s="2549"/>
      <c r="Q8" s="2557"/>
      <c r="R8" s="2540"/>
      <c r="S8" s="2540"/>
      <c r="T8" s="2540"/>
      <c r="U8" s="2540"/>
      <c r="V8" s="2540"/>
      <c r="Y8" s="2556" t="s">
        <v>1217</v>
      </c>
      <c r="Z8" s="2551" t="s">
        <v>79</v>
      </c>
      <c r="AA8" s="2552"/>
      <c r="AB8" s="2555"/>
      <c r="AC8" s="686"/>
      <c r="AD8" s="686"/>
      <c r="AG8" s="686"/>
      <c r="AI8" s="640"/>
      <c r="AK8" s="686"/>
      <c r="AL8" s="686"/>
      <c r="AM8" s="686"/>
      <c r="AW8" s="686"/>
      <c r="BF8" s="1088"/>
      <c r="BG8" s="1089"/>
      <c r="BH8" s="1090"/>
      <c r="BV8" s="404"/>
      <c r="BW8" s="404"/>
      <c r="BX8" s="404"/>
    </row>
    <row r="9" spans="5:83" ht="12" hidden="1" customHeight="1" outlineLevel="1">
      <c r="E9" s="394"/>
      <c r="K9" s="2540"/>
      <c r="L9" s="2540"/>
      <c r="N9" s="2548"/>
      <c r="P9" s="2549"/>
      <c r="Q9" s="2557"/>
      <c r="R9" s="2540"/>
      <c r="S9" s="2540"/>
      <c r="T9" s="2540"/>
      <c r="U9" s="2540"/>
      <c r="V9" s="2540"/>
      <c r="Y9" s="2556" t="s">
        <v>1218</v>
      </c>
      <c r="Z9" s="2551" t="s">
        <v>264</v>
      </c>
      <c r="AA9" s="2552"/>
      <c r="AB9" s="2555"/>
      <c r="AC9" s="686"/>
      <c r="AD9" s="686"/>
      <c r="AG9" s="686"/>
      <c r="AI9" s="640"/>
      <c r="AK9" s="686"/>
      <c r="AL9" s="686"/>
      <c r="AM9" s="686"/>
      <c r="AW9" s="686"/>
      <c r="BF9" s="1088"/>
      <c r="BG9" s="1089"/>
      <c r="BH9" s="1090"/>
      <c r="BV9" s="404"/>
      <c r="BW9" s="404"/>
      <c r="BX9" s="404"/>
    </row>
    <row r="10" spans="5:83" ht="12" hidden="1" customHeight="1" outlineLevel="1">
      <c r="E10" s="394"/>
      <c r="K10" s="2540"/>
      <c r="L10" s="2540"/>
      <c r="N10" s="2548"/>
      <c r="P10" s="2549"/>
      <c r="Q10" s="2540"/>
      <c r="R10" s="2540"/>
      <c r="S10" s="2540"/>
      <c r="T10" s="2540"/>
      <c r="U10" s="2540"/>
      <c r="V10" s="2540"/>
      <c r="Y10" s="2556" t="s">
        <v>401</v>
      </c>
      <c r="Z10" s="2555"/>
      <c r="AA10" s="2555"/>
      <c r="AB10" s="2555"/>
      <c r="AC10" s="686"/>
      <c r="AD10" s="686"/>
      <c r="AG10" s="686"/>
      <c r="AI10" s="640"/>
      <c r="AK10" s="686"/>
      <c r="AL10" s="686"/>
      <c r="AM10" s="686"/>
      <c r="AW10" s="686"/>
      <c r="BF10" s="1088"/>
      <c r="BG10" s="1089"/>
      <c r="BH10" s="1090"/>
      <c r="BV10" s="404"/>
      <c r="BW10" s="404"/>
      <c r="BX10" s="404"/>
    </row>
    <row r="11" spans="5:83" ht="12" hidden="1" customHeight="1" outlineLevel="1">
      <c r="E11" s="394"/>
      <c r="K11" s="2540"/>
      <c r="L11" s="2540"/>
      <c r="N11" s="2548"/>
      <c r="P11" s="2549"/>
      <c r="Q11" s="2540"/>
      <c r="R11" s="2540"/>
      <c r="S11" s="2540"/>
      <c r="T11" s="2540"/>
      <c r="U11" s="2540"/>
      <c r="V11" s="2540"/>
      <c r="Y11" s="2556" t="s">
        <v>1219</v>
      </c>
      <c r="Z11" s="2555"/>
      <c r="AA11" s="2555"/>
      <c r="AB11" s="2555"/>
      <c r="AC11" s="686"/>
      <c r="AD11" s="686"/>
      <c r="AG11" s="686"/>
      <c r="AI11" s="640"/>
      <c r="AK11" s="686"/>
      <c r="AL11" s="686"/>
      <c r="AM11" s="686"/>
      <c r="AW11" s="686"/>
      <c r="BF11" s="1088"/>
      <c r="BG11" s="1089"/>
      <c r="BH11" s="1090"/>
      <c r="BV11" s="404"/>
      <c r="BW11" s="404"/>
      <c r="BX11" s="404"/>
    </row>
    <row r="12" spans="5:83" ht="12" hidden="1" customHeight="1" outlineLevel="1">
      <c r="E12" s="394"/>
      <c r="N12" s="2548"/>
      <c r="P12" s="2549"/>
      <c r="Q12" s="2540"/>
      <c r="R12" s="2540"/>
      <c r="S12" s="2548"/>
      <c r="T12" s="2540"/>
      <c r="U12" s="2540"/>
      <c r="V12" s="2540"/>
      <c r="Y12" s="2556" t="s">
        <v>1220</v>
      </c>
      <c r="Z12" s="2555"/>
      <c r="AA12" s="2555"/>
      <c r="AB12" s="2555"/>
      <c r="AC12" s="686"/>
      <c r="AD12" s="686"/>
      <c r="AG12" s="686"/>
      <c r="AI12" s="640"/>
      <c r="AK12" s="686"/>
      <c r="AL12" s="686"/>
      <c r="AM12" s="686"/>
      <c r="AW12" s="686"/>
      <c r="BF12" s="1088"/>
      <c r="BG12" s="1089"/>
      <c r="BH12" s="1090"/>
      <c r="BV12" s="404"/>
      <c r="BW12" s="404"/>
      <c r="BX12" s="404"/>
    </row>
    <row r="13" spans="5:83" ht="12" hidden="1" customHeight="1" outlineLevel="1">
      <c r="E13" s="394"/>
      <c r="N13" s="2548"/>
      <c r="P13" s="2549"/>
      <c r="Q13" s="2540"/>
      <c r="R13" s="2540"/>
      <c r="S13" s="2548"/>
      <c r="T13" s="2540"/>
      <c r="U13" s="2540"/>
      <c r="Y13" s="2556" t="s">
        <v>1221</v>
      </c>
      <c r="Z13" s="2555"/>
      <c r="AA13" s="2555"/>
      <c r="AB13" s="2555"/>
      <c r="AC13" s="686"/>
      <c r="AD13" s="686"/>
      <c r="AG13" s="686"/>
      <c r="AI13" s="640"/>
      <c r="AK13" s="686"/>
      <c r="AL13" s="686"/>
      <c r="AM13" s="686"/>
      <c r="AW13" s="686"/>
      <c r="BF13" s="1088"/>
      <c r="BG13" s="1089"/>
      <c r="BH13" s="1090"/>
      <c r="BV13" s="404"/>
      <c r="BW13" s="404"/>
      <c r="BX13" s="404"/>
    </row>
    <row r="14" spans="5:83" ht="12" hidden="1" customHeight="1" outlineLevel="1">
      <c r="E14" s="394"/>
      <c r="N14" s="2548"/>
      <c r="P14" s="2549"/>
      <c r="Q14" s="2540"/>
      <c r="R14" s="2540"/>
      <c r="S14" s="2548"/>
      <c r="T14" s="2540"/>
      <c r="U14" s="2540"/>
      <c r="Y14" s="2556" t="s">
        <v>402</v>
      </c>
      <c r="Z14" s="2555"/>
      <c r="AA14" s="2555"/>
      <c r="AB14" s="2555"/>
      <c r="AC14" s="686"/>
      <c r="AD14" s="686"/>
      <c r="AG14" s="686"/>
      <c r="AI14" s="640"/>
      <c r="AK14" s="686"/>
      <c r="AL14" s="686"/>
      <c r="AM14" s="686"/>
      <c r="AW14" s="686"/>
      <c r="BF14" s="1088"/>
      <c r="BG14" s="1089"/>
      <c r="BH14" s="1090"/>
      <c r="BV14" s="404"/>
      <c r="BW14" s="404"/>
      <c r="BX14" s="404"/>
    </row>
    <row r="15" spans="5:83" ht="12" hidden="1" customHeight="1" outlineLevel="1">
      <c r="E15" s="394"/>
      <c r="N15" s="2548"/>
      <c r="P15" s="2549"/>
      <c r="Q15" s="2540"/>
      <c r="R15" s="2540"/>
      <c r="S15" s="2548"/>
      <c r="T15" s="2540"/>
      <c r="U15" s="2540"/>
      <c r="Y15" s="2556" t="s">
        <v>1222</v>
      </c>
      <c r="Z15" s="2555"/>
      <c r="AA15" s="2555"/>
      <c r="AB15" s="2555"/>
      <c r="AC15" s="686"/>
      <c r="AD15" s="686"/>
      <c r="AG15" s="686"/>
      <c r="AI15" s="640"/>
      <c r="AK15" s="686"/>
      <c r="AL15" s="686"/>
      <c r="AM15" s="686"/>
      <c r="AW15" s="686"/>
      <c r="BF15" s="1088"/>
      <c r="BG15" s="1089"/>
      <c r="BH15" s="1090"/>
      <c r="BV15" s="404"/>
      <c r="BW15" s="404"/>
      <c r="BX15" s="404"/>
    </row>
    <row r="16" spans="5:83" ht="12" hidden="1" customHeight="1" outlineLevel="1">
      <c r="E16" s="394"/>
      <c r="N16" s="2548"/>
      <c r="P16" s="2549"/>
      <c r="Q16" s="2540"/>
      <c r="R16" s="2540"/>
      <c r="S16" s="2548"/>
      <c r="T16" s="2540"/>
      <c r="U16" s="2540"/>
      <c r="Y16" s="2558" t="s">
        <v>1223</v>
      </c>
      <c r="Z16" s="2559"/>
      <c r="AA16" s="2559"/>
      <c r="AB16" s="2559"/>
      <c r="AC16" s="686"/>
      <c r="AD16" s="686"/>
      <c r="AG16" s="686"/>
      <c r="AI16" s="640"/>
      <c r="AK16" s="686"/>
      <c r="AL16" s="686"/>
      <c r="AM16" s="686"/>
      <c r="AW16" s="686"/>
      <c r="BF16" s="1088"/>
      <c r="BG16" s="1089"/>
      <c r="BH16" s="1090"/>
      <c r="BV16" s="404"/>
      <c r="BW16" s="404"/>
      <c r="BX16" s="404"/>
    </row>
    <row r="17" spans="1:84" ht="12" hidden="1" customHeight="1" outlineLevel="1">
      <c r="E17" s="394"/>
      <c r="N17" s="2548"/>
      <c r="P17" s="2549"/>
      <c r="Q17" s="2540"/>
      <c r="R17" s="2540"/>
      <c r="S17" s="2540"/>
      <c r="T17" s="2540"/>
      <c r="U17" s="2540"/>
      <c r="Y17" s="2556" t="s">
        <v>79</v>
      </c>
      <c r="Z17" s="2555"/>
      <c r="AA17" s="2555"/>
      <c r="AB17" s="2555"/>
      <c r="AC17" s="686"/>
      <c r="AD17" s="686"/>
      <c r="AG17" s="686"/>
      <c r="AI17" s="640"/>
      <c r="AK17" s="686"/>
      <c r="AL17" s="686"/>
      <c r="AM17" s="686"/>
      <c r="AW17" s="686"/>
      <c r="BF17" s="1088"/>
      <c r="BG17" s="1089"/>
      <c r="BH17" s="1090"/>
      <c r="BV17" s="404"/>
      <c r="BW17" s="404"/>
      <c r="BX17" s="404"/>
    </row>
    <row r="18" spans="1:84" ht="12" hidden="1" customHeight="1" outlineLevel="1">
      <c r="E18" s="394"/>
      <c r="N18" s="2548"/>
      <c r="P18" s="2549"/>
      <c r="Q18" s="2540"/>
      <c r="R18" s="2540"/>
      <c r="S18" s="2540"/>
      <c r="T18" s="2540"/>
      <c r="U18" s="2540"/>
      <c r="Y18" s="2556" t="s">
        <v>165</v>
      </c>
      <c r="Z18" s="2555"/>
      <c r="AA18" s="2555"/>
      <c r="AB18" s="2555"/>
      <c r="AI18" s="641" t="str">
        <f>'Estimate Detail'!Q4</f>
        <v>Based on 2. Mar. 2018 spot Rate</v>
      </c>
      <c r="BV18" s="404"/>
      <c r="BW18" s="404"/>
      <c r="BX18" s="404"/>
    </row>
    <row r="19" spans="1:84" ht="12" hidden="1" customHeight="1" outlineLevel="1">
      <c r="E19" s="394"/>
      <c r="N19" s="2548"/>
      <c r="P19" s="2549"/>
      <c r="Q19" s="2540"/>
      <c r="R19" s="2540"/>
      <c r="S19" s="2540"/>
      <c r="T19" s="2540"/>
      <c r="U19" s="2540"/>
      <c r="Y19" s="2554" t="s">
        <v>268</v>
      </c>
      <c r="Z19" s="2555"/>
      <c r="AA19" s="2555"/>
      <c r="AB19" s="2555"/>
      <c r="AK19" s="550" t="s">
        <v>175</v>
      </c>
      <c r="AL19" s="642">
        <v>1</v>
      </c>
      <c r="AM19" s="400" t="s">
        <v>65</v>
      </c>
      <c r="BV19" s="404"/>
      <c r="BW19" s="404"/>
      <c r="BX19" s="404"/>
    </row>
    <row r="20" spans="1:84" ht="12" hidden="1" customHeight="1" outlineLevel="1">
      <c r="E20" s="394"/>
      <c r="J20" s="2560"/>
      <c r="N20" s="2548"/>
      <c r="P20" s="2549"/>
      <c r="Q20" s="2540"/>
      <c r="R20" s="2540"/>
      <c r="S20" s="2540"/>
      <c r="T20" s="2540"/>
      <c r="U20" s="2540"/>
      <c r="Y20" s="2561" t="s">
        <v>264</v>
      </c>
      <c r="Z20" s="2559"/>
      <c r="AA20" s="2559"/>
      <c r="AB20" s="2559"/>
      <c r="AH20" s="493" t="s">
        <v>320</v>
      </c>
      <c r="AK20" s="550" t="s">
        <v>195</v>
      </c>
      <c r="AL20" s="1003">
        <f>'Estimate Detail'!T5</f>
        <v>7.9771000000000001</v>
      </c>
      <c r="AM20" s="400" t="s">
        <v>65</v>
      </c>
      <c r="AP20" s="494"/>
      <c r="AQ20" s="404"/>
      <c r="AR20" s="404"/>
      <c r="AS20" s="404"/>
      <c r="AU20" s="978"/>
      <c r="BC20" s="397" t="s">
        <v>304</v>
      </c>
      <c r="BE20" s="501"/>
      <c r="BI20" s="686"/>
      <c r="BN20" s="397"/>
      <c r="BV20" s="404"/>
      <c r="BW20" s="404"/>
      <c r="BX20" s="404"/>
    </row>
    <row r="21" spans="1:84" s="404" customFormat="1" ht="12" hidden="1" customHeight="1" outlineLevel="1">
      <c r="C21" s="687"/>
      <c r="E21" s="491" t="s">
        <v>275</v>
      </c>
      <c r="F21" s="492">
        <f>'Estimate Summary'!D12</f>
        <v>43574</v>
      </c>
      <c r="G21" s="910"/>
      <c r="H21" s="914"/>
      <c r="I21" s="2562"/>
      <c r="J21" s="2543"/>
      <c r="K21" s="2563"/>
      <c r="L21" s="2563"/>
      <c r="M21" s="2540"/>
      <c r="N21" s="2548"/>
      <c r="O21" s="2540"/>
      <c r="P21" s="2549"/>
      <c r="Q21" s="2540"/>
      <c r="R21" s="2540"/>
      <c r="S21" s="2540"/>
      <c r="T21" s="2540"/>
      <c r="U21" s="2540"/>
      <c r="V21" s="2564"/>
      <c r="W21" s="2564"/>
      <c r="X21" s="2564"/>
      <c r="Y21" s="2554" t="s">
        <v>135</v>
      </c>
      <c r="Z21" s="2555"/>
      <c r="AA21" s="2555"/>
      <c r="AB21" s="2555"/>
      <c r="AC21" s="496"/>
      <c r="AD21" s="496"/>
      <c r="AE21" s="497"/>
      <c r="AF21" s="498"/>
      <c r="AG21" s="496" t="s">
        <v>321</v>
      </c>
      <c r="AH21" s="493" t="s">
        <v>322</v>
      </c>
      <c r="AI21" s="643" t="s">
        <v>195</v>
      </c>
      <c r="AJ21" s="2608">
        <f>'Estimate Detail'!R6</f>
        <v>0</v>
      </c>
      <c r="AK21" s="550" t="s">
        <v>174</v>
      </c>
      <c r="AL21" s="923" t="e">
        <f>AL20/AJ21</f>
        <v>#DIV/0!</v>
      </c>
      <c r="AM21" s="400" t="s">
        <v>65</v>
      </c>
      <c r="AO21" s="494"/>
      <c r="AP21" s="494"/>
      <c r="AU21" s="977"/>
      <c r="AV21" s="499"/>
      <c r="AW21" s="495"/>
      <c r="AX21" s="499"/>
      <c r="AY21" s="499"/>
      <c r="AZ21" s="499"/>
      <c r="BA21" s="817"/>
      <c r="BB21" s="644" t="s">
        <v>265</v>
      </c>
      <c r="BC21" s="503">
        <f>10%*0</f>
        <v>0</v>
      </c>
      <c r="BJ21" s="500"/>
      <c r="BK21" s="500"/>
      <c r="BL21" s="500"/>
      <c r="BM21" s="500"/>
      <c r="BN21" s="502"/>
      <c r="BO21" s="418"/>
    </row>
    <row r="22" spans="1:84" s="404" customFormat="1" ht="12" hidden="1" customHeight="1" outlineLevel="1">
      <c r="C22" s="687"/>
      <c r="E22" s="491"/>
      <c r="F22" s="492"/>
      <c r="G22" s="910"/>
      <c r="H22" s="914"/>
      <c r="I22" s="2562"/>
      <c r="J22" s="2543"/>
      <c r="K22" s="2563"/>
      <c r="L22" s="2563"/>
      <c r="M22" s="2540"/>
      <c r="N22" s="2548"/>
      <c r="O22" s="2540"/>
      <c r="P22" s="2549"/>
      <c r="Q22" s="2548"/>
      <c r="R22" s="2548"/>
      <c r="S22" s="2540"/>
      <c r="T22" s="2540"/>
      <c r="U22" s="2540"/>
      <c r="V22" s="2564"/>
      <c r="W22" s="2564"/>
      <c r="X22" s="2564"/>
      <c r="Y22" s="2554" t="s">
        <v>266</v>
      </c>
      <c r="Z22" s="2555"/>
      <c r="AA22" s="2555"/>
      <c r="AB22" s="2555"/>
      <c r="AC22" s="496"/>
      <c r="AD22" s="496"/>
      <c r="AE22" s="497"/>
      <c r="AF22" s="498"/>
      <c r="AG22" s="496"/>
      <c r="AH22" s="493"/>
      <c r="AI22" s="2065"/>
      <c r="AJ22" s="2611"/>
      <c r="AK22" s="2066"/>
      <c r="AL22" s="2067"/>
      <c r="AM22" s="2068"/>
      <c r="AO22" s="494"/>
      <c r="AP22" s="494"/>
      <c r="AU22" s="977"/>
      <c r="AV22" s="499"/>
      <c r="AW22" s="687"/>
      <c r="AX22" s="499"/>
      <c r="AY22" s="499"/>
      <c r="AZ22" s="499"/>
      <c r="BA22" s="817"/>
      <c r="BB22" s="644"/>
      <c r="BC22" s="503"/>
      <c r="BJ22" s="500"/>
      <c r="BK22" s="500"/>
      <c r="BL22" s="500"/>
      <c r="BM22" s="500"/>
      <c r="BN22" s="502"/>
      <c r="BO22" s="418"/>
    </row>
    <row r="23" spans="1:84" s="404" customFormat="1" ht="12" hidden="1" customHeight="1" outlineLevel="1">
      <c r="C23" s="687"/>
      <c r="E23" s="491"/>
      <c r="F23" s="492"/>
      <c r="G23" s="910"/>
      <c r="H23" s="914"/>
      <c r="I23" s="2562"/>
      <c r="J23" s="2543"/>
      <c r="K23" s="2563"/>
      <c r="L23" s="2563"/>
      <c r="M23" s="2540"/>
      <c r="N23" s="2564"/>
      <c r="O23" s="2540"/>
      <c r="P23" s="2565"/>
      <c r="Q23" s="2548"/>
      <c r="R23" s="2540"/>
      <c r="S23" s="2540"/>
      <c r="T23" s="2564"/>
      <c r="U23" s="2564"/>
      <c r="V23" s="2564"/>
      <c r="W23" s="2564"/>
      <c r="X23" s="2564"/>
      <c r="Y23" s="2566" t="s">
        <v>350</v>
      </c>
      <c r="Z23" s="2559"/>
      <c r="AA23" s="2559"/>
      <c r="AB23" s="2559"/>
      <c r="AC23" s="496"/>
      <c r="AD23" s="496"/>
      <c r="AE23" s="497"/>
      <c r="AF23" s="498"/>
      <c r="AG23" s="496"/>
      <c r="AH23" s="493"/>
      <c r="AI23" s="2065"/>
      <c r="AJ23" s="2611"/>
      <c r="AK23" s="2066"/>
      <c r="AL23" s="2067"/>
      <c r="AM23" s="2068"/>
      <c r="AO23" s="494"/>
      <c r="AP23" s="494"/>
      <c r="AU23" s="977"/>
      <c r="AV23" s="499"/>
      <c r="AW23" s="687"/>
      <c r="AX23" s="499"/>
      <c r="AY23" s="499"/>
      <c r="AZ23" s="499"/>
      <c r="BA23" s="817"/>
      <c r="BB23" s="644"/>
      <c r="BC23" s="503"/>
      <c r="BJ23" s="500"/>
      <c r="BK23" s="500"/>
      <c r="BL23" s="500"/>
      <c r="BM23" s="500"/>
      <c r="BN23" s="502"/>
      <c r="BO23" s="418"/>
    </row>
    <row r="24" spans="1:84" s="404" customFormat="1" ht="12" hidden="1" customHeight="1" outlineLevel="1">
      <c r="C24" s="687"/>
      <c r="E24" s="491"/>
      <c r="F24" s="492"/>
      <c r="G24" s="910"/>
      <c r="H24" s="914"/>
      <c r="I24" s="2562"/>
      <c r="J24" s="2543"/>
      <c r="K24" s="2563"/>
      <c r="L24" s="2563"/>
      <c r="M24" s="2540"/>
      <c r="N24" s="2564"/>
      <c r="O24" s="2540"/>
      <c r="P24" s="2565"/>
      <c r="Q24" s="2548"/>
      <c r="R24" s="2540"/>
      <c r="S24" s="2540"/>
      <c r="T24" s="2564"/>
      <c r="U24" s="2564"/>
      <c r="V24" s="2564"/>
      <c r="W24" s="2564"/>
      <c r="X24" s="2564"/>
      <c r="Y24" s="2566" t="s">
        <v>1224</v>
      </c>
      <c r="Z24" s="2559"/>
      <c r="AA24" s="2559"/>
      <c r="AB24" s="2559"/>
      <c r="AC24" s="496"/>
      <c r="AD24" s="496"/>
      <c r="AE24" s="497"/>
      <c r="AF24" s="498"/>
      <c r="AG24" s="496"/>
      <c r="AH24" s="493"/>
      <c r="AI24" s="2065"/>
      <c r="AJ24" s="2611"/>
      <c r="AK24" s="2066"/>
      <c r="AL24" s="2067"/>
      <c r="AM24" s="2068"/>
      <c r="AO24" s="494"/>
      <c r="AP24" s="494"/>
      <c r="AU24" s="977"/>
      <c r="AV24" s="499"/>
      <c r="AW24" s="687"/>
      <c r="AX24" s="499"/>
      <c r="AY24" s="499"/>
      <c r="AZ24" s="499"/>
      <c r="BA24" s="817"/>
      <c r="BB24" s="644"/>
      <c r="BC24" s="503"/>
      <c r="BJ24" s="500"/>
      <c r="BK24" s="500"/>
      <c r="BL24" s="500"/>
      <c r="BM24" s="500"/>
      <c r="BN24" s="502"/>
      <c r="BO24" s="418"/>
    </row>
    <row r="25" spans="1:84" s="404" customFormat="1" ht="12" hidden="1" customHeight="1" outlineLevel="1">
      <c r="C25" s="687"/>
      <c r="E25" s="491"/>
      <c r="F25" s="492"/>
      <c r="G25" s="910"/>
      <c r="H25" s="914"/>
      <c r="I25" s="2562"/>
      <c r="J25" s="2543"/>
      <c r="K25" s="2563"/>
      <c r="L25" s="2563"/>
      <c r="M25" s="2540"/>
      <c r="N25" s="2564"/>
      <c r="O25" s="2540"/>
      <c r="P25" s="2565"/>
      <c r="Q25" s="2548"/>
      <c r="R25" s="2540"/>
      <c r="S25" s="2540"/>
      <c r="T25" s="2564"/>
      <c r="U25" s="2564"/>
      <c r="V25" s="2564"/>
      <c r="W25" s="2564"/>
      <c r="X25" s="2564"/>
      <c r="Y25" s="2566" t="s">
        <v>1225</v>
      </c>
      <c r="Z25" s="2559"/>
      <c r="AA25" s="2559"/>
      <c r="AB25" s="2559"/>
      <c r="AC25" s="496"/>
      <c r="AD25" s="496"/>
      <c r="AE25" s="497"/>
      <c r="AF25" s="498"/>
      <c r="AG25" s="496"/>
      <c r="AH25" s="493"/>
      <c r="AI25" s="2065"/>
      <c r="AJ25" s="2611"/>
      <c r="AK25" s="2066"/>
      <c r="AL25" s="2067"/>
      <c r="AM25" s="2068"/>
      <c r="AO25" s="494"/>
      <c r="AP25" s="494"/>
      <c r="AU25" s="977"/>
      <c r="AV25" s="499"/>
      <c r="AW25" s="687"/>
      <c r="AX25" s="499"/>
      <c r="AY25" s="499"/>
      <c r="AZ25" s="499"/>
      <c r="BA25" s="817"/>
      <c r="BB25" s="644"/>
      <c r="BC25" s="503"/>
      <c r="BJ25" s="500"/>
      <c r="BK25" s="500"/>
      <c r="BL25" s="500"/>
      <c r="BM25" s="500"/>
      <c r="BN25" s="502"/>
      <c r="BO25" s="418"/>
    </row>
    <row r="26" spans="1:84" s="404" customFormat="1" ht="12" hidden="1" customHeight="1" outlineLevel="1">
      <c r="C26" s="687"/>
      <c r="E26" s="491" t="s">
        <v>276</v>
      </c>
      <c r="F26" s="492">
        <f>'Estimate Summary'!D13</f>
        <v>43604</v>
      </c>
      <c r="G26" s="910"/>
      <c r="H26" s="914"/>
      <c r="I26" s="2562"/>
      <c r="J26" s="2543"/>
      <c r="K26" s="2563"/>
      <c r="L26" s="2563"/>
      <c r="M26" s="2540"/>
      <c r="N26" s="2564"/>
      <c r="O26" s="2540"/>
      <c r="P26" s="2565"/>
      <c r="Q26" s="2548"/>
      <c r="R26" s="2540"/>
      <c r="S26" s="2540"/>
      <c r="T26" s="2564"/>
      <c r="U26" s="2564"/>
      <c r="V26" s="2564"/>
      <c r="W26" s="2564"/>
      <c r="X26" s="2564"/>
      <c r="Y26" s="2554"/>
      <c r="Z26" s="2555"/>
      <c r="AA26" s="2555"/>
      <c r="AB26" s="2555"/>
      <c r="AC26" s="496"/>
      <c r="AD26" s="496"/>
      <c r="AE26" s="497"/>
      <c r="AF26" s="498"/>
      <c r="AG26" s="496" t="s">
        <v>323</v>
      </c>
      <c r="AH26" s="493" t="s">
        <v>324</v>
      </c>
      <c r="AI26" s="643" t="s">
        <v>195</v>
      </c>
      <c r="AJ26" s="2608">
        <f>'Estimate Detail'!R7</f>
        <v>1.1506981709076221</v>
      </c>
      <c r="AK26" s="550" t="s">
        <v>278</v>
      </c>
      <c r="AL26" s="1003">
        <f>'Estimate Detail'!T7</f>
        <v>6.9324000000000003</v>
      </c>
      <c r="AM26" s="400" t="s">
        <v>65</v>
      </c>
      <c r="AO26" s="494"/>
      <c r="AP26" s="494"/>
      <c r="AU26" s="977"/>
      <c r="AV26" s="499"/>
      <c r="AW26" s="687"/>
      <c r="AX26" s="499"/>
      <c r="AY26" s="499"/>
      <c r="AZ26" s="499"/>
      <c r="BA26" s="817"/>
      <c r="BB26" s="644"/>
      <c r="BC26" s="503"/>
      <c r="BJ26" s="500"/>
      <c r="BK26" s="500"/>
      <c r="BL26" s="500"/>
      <c r="BM26" s="500"/>
      <c r="BN26" s="502"/>
      <c r="BO26" s="418"/>
    </row>
    <row r="27" spans="1:84" s="404" customFormat="1" ht="12" hidden="1" customHeight="1" outlineLevel="1">
      <c r="C27" s="687"/>
      <c r="E27" s="491" t="s">
        <v>387</v>
      </c>
      <c r="F27" s="492">
        <f>F21+180</f>
        <v>43754</v>
      </c>
      <c r="G27" s="910"/>
      <c r="H27" s="914"/>
      <c r="I27" s="2562"/>
      <c r="J27" s="2543"/>
      <c r="K27" s="2563"/>
      <c r="L27" s="2563"/>
      <c r="M27" s="2540"/>
      <c r="N27" s="2564"/>
      <c r="O27" s="2540"/>
      <c r="P27" s="2565"/>
      <c r="Q27" s="2548"/>
      <c r="R27" s="2540"/>
      <c r="S27" s="2540"/>
      <c r="T27" s="2567"/>
      <c r="U27" s="2568"/>
      <c r="V27" s="2564"/>
      <c r="W27" s="2564"/>
      <c r="X27" s="2564"/>
      <c r="Y27" s="2569"/>
      <c r="Z27" s="2555"/>
      <c r="AA27" s="2555"/>
      <c r="AB27" s="2555"/>
      <c r="AC27" s="496"/>
      <c r="AD27" s="496"/>
      <c r="AE27" s="497"/>
      <c r="AF27" s="498"/>
      <c r="AJ27" s="2609"/>
      <c r="AO27" s="494"/>
      <c r="AP27" s="419"/>
      <c r="AU27" s="977"/>
      <c r="AV27" s="499"/>
      <c r="AW27" s="495"/>
      <c r="AX27" s="499"/>
      <c r="AY27" s="499"/>
      <c r="AZ27" s="499"/>
      <c r="BA27" s="817"/>
      <c r="BB27" s="645">
        <f>MAX('Estimate Summary'!D14)</f>
        <v>43591</v>
      </c>
      <c r="BC27" s="503">
        <f>4%*0</f>
        <v>0</v>
      </c>
      <c r="BE27" s="504">
        <v>1.5E-3</v>
      </c>
      <c r="BG27" s="505"/>
      <c r="BH27" s="505"/>
      <c r="BI27" s="505"/>
      <c r="BJ27" s="500"/>
      <c r="BK27" s="500"/>
      <c r="BL27" s="500"/>
      <c r="BM27" s="500"/>
      <c r="BN27" s="506"/>
      <c r="BO27" s="418"/>
    </row>
    <row r="28" spans="1:84" s="405" customFormat="1" ht="12" hidden="1" customHeight="1" outlineLevel="1">
      <c r="C28" s="984"/>
      <c r="E28" s="491" t="s">
        <v>277</v>
      </c>
      <c r="F28" s="492">
        <f>'Estimate Summary'!D14</f>
        <v>43591</v>
      </c>
      <c r="G28" s="911"/>
      <c r="H28" s="915"/>
      <c r="I28" s="2570"/>
      <c r="J28" s="2571"/>
      <c r="K28" s="2572"/>
      <c r="L28" s="2572"/>
      <c r="M28" s="2540"/>
      <c r="N28" s="2570"/>
      <c r="O28" s="2540"/>
      <c r="P28" s="2565"/>
      <c r="Q28" s="2548"/>
      <c r="R28" s="2540"/>
      <c r="S28" s="2540"/>
      <c r="T28" s="2573"/>
      <c r="U28" s="2573"/>
      <c r="V28" s="2570"/>
      <c r="W28" s="2570"/>
      <c r="X28" s="2570"/>
      <c r="Y28" s="2574"/>
      <c r="Z28" s="2553"/>
      <c r="AA28" s="2553"/>
      <c r="AB28" s="2553"/>
      <c r="AC28" s="833"/>
      <c r="AD28" s="833"/>
      <c r="AE28" s="834" t="s">
        <v>279</v>
      </c>
      <c r="AF28" s="832"/>
      <c r="AG28" s="833"/>
      <c r="AH28" s="835"/>
      <c r="AI28" s="835"/>
      <c r="AJ28" s="2570"/>
      <c r="AK28" s="833"/>
      <c r="AL28" s="833"/>
      <c r="AM28" s="833"/>
      <c r="AN28" s="835"/>
      <c r="AO28" s="835"/>
      <c r="AP28" s="835"/>
      <c r="AQ28" s="832"/>
      <c r="AR28" s="832"/>
      <c r="AS28" s="832"/>
      <c r="AT28" s="833"/>
      <c r="AU28" s="979"/>
      <c r="AV28" s="644"/>
      <c r="AW28" s="833"/>
      <c r="AX28" s="644"/>
      <c r="AY28" s="644"/>
      <c r="AZ28" s="644"/>
      <c r="BA28" s="831"/>
      <c r="BB28" s="833"/>
      <c r="BC28" s="833"/>
      <c r="BD28" s="836"/>
      <c r="BE28" s="836"/>
      <c r="BF28" s="929">
        <v>1.3</v>
      </c>
      <c r="BG28" s="930">
        <v>1.4</v>
      </c>
      <c r="BH28" s="930"/>
      <c r="BI28" s="930"/>
      <c r="BJ28" s="838" t="s">
        <v>280</v>
      </c>
      <c r="BK28" s="838"/>
      <c r="BL28" s="838"/>
      <c r="BM28" s="838"/>
      <c r="BN28" s="837"/>
      <c r="BO28" s="835"/>
      <c r="BV28" s="404"/>
      <c r="BW28" s="404"/>
      <c r="BX28" s="404"/>
    </row>
    <row r="29" spans="1:84" s="405" customFormat="1" ht="12" hidden="1" customHeight="1" outlineLevel="1">
      <c r="C29" s="984"/>
      <c r="E29" s="839"/>
      <c r="F29" s="839"/>
      <c r="G29" s="911"/>
      <c r="H29" s="915"/>
      <c r="I29" s="2570"/>
      <c r="J29" s="2571"/>
      <c r="K29" s="2572"/>
      <c r="L29" s="2572"/>
      <c r="M29" s="2540"/>
      <c r="N29" s="2570"/>
      <c r="O29" s="2540"/>
      <c r="P29" s="2565"/>
      <c r="Q29" s="2548"/>
      <c r="R29" s="2540"/>
      <c r="S29" s="2540"/>
      <c r="T29" s="2573"/>
      <c r="U29" s="2573"/>
      <c r="V29" s="2570"/>
      <c r="W29" s="2570"/>
      <c r="X29" s="2570"/>
      <c r="Y29" s="2574"/>
      <c r="Z29" s="2553"/>
      <c r="AA29" s="2553"/>
      <c r="AB29" s="2553"/>
      <c r="AC29" s="833"/>
      <c r="AD29" s="833"/>
      <c r="AE29" s="834"/>
      <c r="AF29" s="832"/>
      <c r="AG29" s="833"/>
      <c r="AH29" s="835"/>
      <c r="AI29" s="835"/>
      <c r="AJ29" s="2570"/>
      <c r="AK29" s="833"/>
      <c r="AL29" s="833"/>
      <c r="AM29" s="833"/>
      <c r="AN29" s="835"/>
      <c r="AO29" s="835"/>
      <c r="AP29" s="835"/>
      <c r="AQ29" s="832"/>
      <c r="AR29" s="832"/>
      <c r="AS29" s="832"/>
      <c r="AT29" s="833"/>
      <c r="AU29" s="980"/>
      <c r="AV29" s="644"/>
      <c r="AW29" s="833"/>
      <c r="AX29" s="644"/>
      <c r="AY29" s="644"/>
      <c r="AZ29" s="644"/>
      <c r="BA29" s="831"/>
      <c r="BB29" s="833"/>
      <c r="BC29" s="833"/>
      <c r="BD29" s="836"/>
      <c r="BE29" s="836"/>
      <c r="BF29" s="841"/>
      <c r="BG29" s="840"/>
      <c r="BH29" s="840"/>
      <c r="BI29" s="840"/>
      <c r="BJ29" s="842"/>
      <c r="BK29" s="842"/>
      <c r="BL29" s="842"/>
      <c r="BM29" s="842"/>
      <c r="BN29" s="841"/>
      <c r="BO29" s="835"/>
      <c r="BV29" s="2079"/>
      <c r="BW29" s="2079"/>
      <c r="BX29" s="2079"/>
    </row>
    <row r="30" spans="1:84" ht="35.25" customHeight="1" collapsed="1">
      <c r="A30" s="1478" t="s">
        <v>722</v>
      </c>
      <c r="B30" s="1478" t="s">
        <v>723</v>
      </c>
      <c r="C30" s="549" t="s">
        <v>1608</v>
      </c>
      <c r="D30" s="2057" t="s">
        <v>1615</v>
      </c>
      <c r="E30" s="549" t="s">
        <v>1616</v>
      </c>
      <c r="F30" s="1343" t="s">
        <v>591</v>
      </c>
      <c r="G30" s="549" t="s">
        <v>1241</v>
      </c>
      <c r="H30" s="549" t="s">
        <v>385</v>
      </c>
      <c r="I30" s="2575" t="s">
        <v>1208</v>
      </c>
      <c r="J30" s="2575" t="s">
        <v>1209</v>
      </c>
      <c r="K30" s="2576" t="s">
        <v>1653</v>
      </c>
      <c r="L30" s="2575" t="s">
        <v>1617</v>
      </c>
      <c r="M30" s="2575" t="s">
        <v>63</v>
      </c>
      <c r="N30" s="2575" t="s">
        <v>352</v>
      </c>
      <c r="O30" s="2577" t="s">
        <v>1226</v>
      </c>
      <c r="P30" s="2578" t="s">
        <v>345</v>
      </c>
      <c r="Q30" s="2575" t="s">
        <v>346</v>
      </c>
      <c r="R30" s="2575" t="s">
        <v>1639</v>
      </c>
      <c r="S30" s="2579" t="s">
        <v>281</v>
      </c>
      <c r="T30" s="2580" t="s">
        <v>1269</v>
      </c>
      <c r="U30" s="2580" t="s">
        <v>1334</v>
      </c>
      <c r="V30" s="2581" t="s">
        <v>282</v>
      </c>
      <c r="W30" s="2582" t="s">
        <v>1333</v>
      </c>
      <c r="X30" s="2583" t="s">
        <v>1052</v>
      </c>
      <c r="Y30" s="2546" t="s">
        <v>1236</v>
      </c>
      <c r="Z30" s="2546" t="s">
        <v>1240</v>
      </c>
      <c r="AA30" s="2546" t="s">
        <v>1621</v>
      </c>
      <c r="AB30" s="2584" t="s">
        <v>1264</v>
      </c>
      <c r="AC30" s="508" t="s">
        <v>283</v>
      </c>
      <c r="AD30" s="508" t="s">
        <v>284</v>
      </c>
      <c r="AE30" s="509" t="s">
        <v>285</v>
      </c>
      <c r="AF30" s="507" t="s">
        <v>286</v>
      </c>
      <c r="AG30" s="548" t="s">
        <v>32</v>
      </c>
      <c r="AH30" s="548" t="s">
        <v>159</v>
      </c>
      <c r="AI30" s="548" t="s">
        <v>83</v>
      </c>
      <c r="AJ30" s="2546" t="s">
        <v>439</v>
      </c>
      <c r="AK30" s="548" t="s">
        <v>255</v>
      </c>
      <c r="AL30" s="548" t="s">
        <v>196</v>
      </c>
      <c r="AM30" s="548" t="s">
        <v>1620</v>
      </c>
      <c r="AN30" s="548" t="s">
        <v>440</v>
      </c>
      <c r="AO30" s="646" t="s">
        <v>151</v>
      </c>
      <c r="AP30" s="638" t="s">
        <v>163</v>
      </c>
      <c r="AQ30" s="639" t="s">
        <v>152</v>
      </c>
      <c r="AR30" s="814" t="s">
        <v>396</v>
      </c>
      <c r="AS30" s="814" t="s">
        <v>397</v>
      </c>
      <c r="AT30" s="511" t="s">
        <v>192</v>
      </c>
      <c r="AU30" s="981" t="s">
        <v>193</v>
      </c>
      <c r="AV30" s="975" t="s">
        <v>153</v>
      </c>
      <c r="AW30" s="510" t="s">
        <v>154</v>
      </c>
      <c r="AX30" s="512" t="s">
        <v>155</v>
      </c>
      <c r="AY30" s="512" t="s">
        <v>392</v>
      </c>
      <c r="AZ30" s="512" t="s">
        <v>388</v>
      </c>
      <c r="BA30" s="818" t="s">
        <v>390</v>
      </c>
      <c r="BB30" s="513" t="s">
        <v>389</v>
      </c>
      <c r="BC30" s="514" t="s">
        <v>78</v>
      </c>
      <c r="BD30" s="514" t="s">
        <v>35</v>
      </c>
      <c r="BE30" s="515" t="s">
        <v>157</v>
      </c>
      <c r="BF30" s="511" t="s">
        <v>164</v>
      </c>
      <c r="BG30" s="511" t="s">
        <v>36</v>
      </c>
      <c r="BH30" s="1009" t="s">
        <v>441</v>
      </c>
      <c r="BI30" s="1008" t="s">
        <v>1210</v>
      </c>
      <c r="BJ30" s="553" t="s">
        <v>194</v>
      </c>
      <c r="BK30" s="511" t="s">
        <v>271</v>
      </c>
      <c r="BL30" s="511" t="s">
        <v>595</v>
      </c>
      <c r="BM30" s="511" t="s">
        <v>596</v>
      </c>
      <c r="BN30" s="511" t="s">
        <v>64</v>
      </c>
      <c r="BO30" s="516" t="s">
        <v>44</v>
      </c>
      <c r="BP30" s="394" t="s">
        <v>1641</v>
      </c>
      <c r="BQ30" s="394" t="s">
        <v>1257</v>
      </c>
      <c r="BR30" s="2069" t="s">
        <v>1253</v>
      </c>
      <c r="BS30" s="2069" t="s">
        <v>1258</v>
      </c>
      <c r="BT30" s="2069" t="s">
        <v>1258</v>
      </c>
      <c r="BU30" s="394" t="s">
        <v>1258</v>
      </c>
      <c r="BV30" s="2075" t="s">
        <v>1254</v>
      </c>
      <c r="BW30" s="2076" t="s">
        <v>1258</v>
      </c>
      <c r="BX30" s="2077" t="s">
        <v>1258</v>
      </c>
      <c r="BY30" s="394" t="s">
        <v>1258</v>
      </c>
      <c r="BZ30" s="2069" t="s">
        <v>1256</v>
      </c>
      <c r="CA30" s="2069" t="s">
        <v>1258</v>
      </c>
      <c r="CB30" s="2069" t="s">
        <v>1258</v>
      </c>
      <c r="CC30" s="394" t="s">
        <v>1258</v>
      </c>
      <c r="CD30" s="2075" t="s">
        <v>1252</v>
      </c>
      <c r="CE30" s="2077" t="s">
        <v>1258</v>
      </c>
      <c r="CF30" s="2080"/>
    </row>
    <row r="31" spans="1:84" ht="13.5" customHeight="1">
      <c r="A31" s="2510" t="s">
        <v>733</v>
      </c>
      <c r="B31" s="1483" t="s">
        <v>205</v>
      </c>
      <c r="C31" s="2521"/>
      <c r="D31" s="2084" t="s">
        <v>1666</v>
      </c>
      <c r="E31" s="2084" t="s">
        <v>335</v>
      </c>
      <c r="F31" s="2084" t="s">
        <v>335</v>
      </c>
      <c r="G31" s="2610">
        <v>16</v>
      </c>
      <c r="H31" s="2506"/>
      <c r="I31" s="2626">
        <v>63.5</v>
      </c>
      <c r="J31" s="2585">
        <v>6.6</v>
      </c>
      <c r="K31" s="2615">
        <v>8000</v>
      </c>
      <c r="L31" s="2630">
        <v>128000</v>
      </c>
      <c r="M31" s="2629" t="s">
        <v>1669</v>
      </c>
      <c r="N31" s="2631">
        <v>1303.3413127680001</v>
      </c>
      <c r="O31" s="2589" t="s">
        <v>1658</v>
      </c>
      <c r="P31" s="2645">
        <f>IF(OR(O31="GB",O31="ASME"),VLOOKUP(Z31&amp;AB31,Dictionaries!$I$3:$K$16,2,0),IF(O31="EN",VLOOKUP(Z31&amp;AB31,Dictionaries!$I$3:$K$16,3,0),0))</f>
        <v>1.4999999999999999E-2</v>
      </c>
      <c r="Q31" s="2591" t="str">
        <f>IF(OR(Y31="Forgings",Y31="Various",Y31="Outsourcing"),"OUT","WBC")</f>
        <v>WBC</v>
      </c>
      <c r="R31" s="2600"/>
      <c r="S31" s="2623">
        <f>N31*(1+P31)</f>
        <v>1322.89143245952</v>
      </c>
      <c r="T31" s="2593"/>
      <c r="U31" s="2594">
        <f t="shared" ref="U31" si="0">IF(T31=0,0,M31&amp;I31&amp;J31)</f>
        <v>0</v>
      </c>
      <c r="V31" s="2595">
        <f>IF(T31=0,S31,T31/COUNTIF($U$31:$U$251,U31)/'Estimate Summary'!$D$9)</f>
        <v>1322.89143245952</v>
      </c>
      <c r="W31" s="2596" t="str">
        <f t="shared" ref="W31" si="1">IF(OR(Z31=$Z$2,Z31=$Z$3),M31&amp;" "&amp;I31&amp;"-"&amp;J31,IF(OR(Z31=$Z$5,Z31=$Z$7,Z31=$Z$8,Z31=$Z$9),M31&amp;I31&amp;J31,IF(OR(Z31=$Z$4,Z31=$Z$6,Z31=$Z$10),F31&amp;M31&amp;I31&amp;J31,0)))</f>
        <v>SA-210MC 63.5-6.6</v>
      </c>
      <c r="X31" s="2597" t="str">
        <f t="shared" ref="X31" si="2">B31&amp;AK31</f>
        <v>Spare PartsCNY</v>
      </c>
      <c r="Y31" s="2596" t="str">
        <f t="shared" ref="Y31" si="3">IF(AND(Z31="Piping",H31=0,I31&gt;=219),VLOOKUP(M31,$BZ$2:$CA$251,2,0),IF(AND(Z31="Piping",H31=0,I31&lt;219,I31&gt;89),VLOOKUP(M31,$BV$2:$BW$251,2,0),IF(H31&lt;&gt;0,VLOOKUP(M31,$BZ$2:$CA$251,2,0),IF(Z31="Tubing",VLOOKUP(M31,$BR$2:$BS$251,2,0),IF(Z31="Finning","Finning",IF(Z31="Forgings","Forgings",IF(Z31="Plate","Plate",IF(Z31="Rod","Rod",IF(Z31="Outsourcing","Outsourcing",IF(Z31="Profiled Bar","Profiled Bar",IF(Z31="Drum Plate","Drum Plate","Various")))))))))))</f>
        <v>Tubing-CS</v>
      </c>
      <c r="Z31" s="2598" t="s">
        <v>141</v>
      </c>
      <c r="AA31" s="2598"/>
      <c r="AB31" s="2598"/>
      <c r="AC31" s="406"/>
      <c r="AD31" s="1076"/>
      <c r="AE31" s="410">
        <f>AC31*AD31</f>
        <v>0</v>
      </c>
      <c r="AF31" s="809" t="str">
        <f t="shared" ref="AF31" si="4">IF(OR(Y31="Plate",Y31="Rod",Y31="Profiled Bar"),"Y","N")</f>
        <v>N</v>
      </c>
      <c r="AG31" s="609" t="str">
        <f t="shared" ref="AG31" si="5">IF(AK31&lt;&gt;"CNY","I","D")</f>
        <v>D</v>
      </c>
      <c r="AH31" s="2404" t="s">
        <v>1619</v>
      </c>
      <c r="AI31" s="2404" t="s">
        <v>1672</v>
      </c>
      <c r="AJ31" s="2607">
        <v>90</v>
      </c>
      <c r="AK31" s="927" t="s">
        <v>181</v>
      </c>
      <c r="AL31" s="1076" t="s">
        <v>1671</v>
      </c>
      <c r="AM31" s="685">
        <v>7400</v>
      </c>
      <c r="AN31" s="685">
        <f>IF(AK31="CNY",AM31/1.13/1000,AM31/1000)</f>
        <v>6.5486725663716827</v>
      </c>
      <c r="AO31" s="517"/>
      <c r="AP31" s="413">
        <f t="shared" ref="AP31" si="6">AN31*(1-AO31)</f>
        <v>6.5486725663716827</v>
      </c>
      <c r="AQ31" s="414">
        <f>V31-AC31</f>
        <v>1322.89143245952</v>
      </c>
      <c r="AR31" s="812">
        <f>IF(AK31&lt;&gt;"CNY",AN31*AQ31,0)</f>
        <v>0</v>
      </c>
      <c r="AS31" s="812">
        <f>IF(AL31="Qty",AN31*G31,IF(AK31="CNY",AN31*AQ31*$AL$19,IF(AK31="EUR",AN31*AQ31*$AL$20,IF(AK31="JPY",AN31*AQ31*$AL$21,IF(AK31="USD",AN31*AQ31*$AL$26)))))</f>
        <v>8663.1828320357963</v>
      </c>
      <c r="AT31" s="410">
        <f>IF(AK31&lt;&gt;"CNY",AQ31*AP31,0)</f>
        <v>0</v>
      </c>
      <c r="AU31" s="982">
        <f t="shared" ref="AU31" si="7">IF(AL31="Qty",AN31*G31,IF(AK31="CNY",AQ31*AP31*$AL$19,IF(AK31="EUR",AQ31*AP31*$AL$20,IF(AK31="JPY",AQ31*AP31*$AL$21,IF(AK31="USD",AQ31*AP31*$AL$26)))))</f>
        <v>8663.1828320357963</v>
      </c>
      <c r="AV31" s="2507">
        <v>43630</v>
      </c>
      <c r="AW31" s="820">
        <v>7</v>
      </c>
      <c r="AX31" s="810">
        <f t="shared" ref="AX31" si="8">AV31+AW31</f>
        <v>43637</v>
      </c>
      <c r="AY31" s="810">
        <v>43644</v>
      </c>
      <c r="AZ31" s="810">
        <v>43858</v>
      </c>
      <c r="BA31" s="819">
        <f t="shared" ref="BA31" si="9">(YEAR(AZ31)-YEAR(AY31))*12+MONTH(AZ31)-MONTH(AY31)</f>
        <v>7</v>
      </c>
      <c r="BB31" s="820">
        <f t="shared" ref="BB31" si="10">(YEAR(AY31)-YEAR($F$28))*12+MONTH(AY31)-MONTH($F$28)</f>
        <v>1</v>
      </c>
      <c r="BC31" s="811">
        <f>IF(AK31="CNY",0,IF(Y31=$Y$13,$BC$21,$BC$27))</f>
        <v>0</v>
      </c>
      <c r="BD31" s="410">
        <f t="shared" ref="BD31" si="11">IF(AK31&lt;&gt;"CNY",AU31*BC31,0)</f>
        <v>0</v>
      </c>
      <c r="BE31" s="410">
        <f>IF(AK31&lt;&gt;"CNY",AU31*$BE$27,0)</f>
        <v>0</v>
      </c>
      <c r="BF31" s="410">
        <f>BD31+BE31</f>
        <v>0</v>
      </c>
      <c r="BG31" s="410">
        <f>N31*R31/1000</f>
        <v>0</v>
      </c>
      <c r="BH31" s="974"/>
      <c r="BI31" s="974">
        <f t="shared" ref="BI31" si="12">BH31*AU31</f>
        <v>0</v>
      </c>
      <c r="BJ31" s="2526">
        <f>AE31+AU31+BI31</f>
        <v>8663.1828320357963</v>
      </c>
      <c r="BK31" s="2073"/>
      <c r="BL31" s="410">
        <v>12</v>
      </c>
      <c r="BM31" s="410"/>
      <c r="BN31" s="410">
        <f t="shared" ref="BN31" si="13">IF(OR(Y31="Plate",Y31="Rod",Y31="Various",Y31="Profiled Bar"),"QC",)</f>
        <v>0</v>
      </c>
      <c r="BO31" s="685"/>
      <c r="BP31" s="399">
        <f>IF(AK31="CNY",0,IF(V31-S31=0,BJ31*3%,BJ31/V31*S31*3%+BJ31/V31*(V31-S31)))</f>
        <v>0</v>
      </c>
      <c r="BR31" s="2071" t="s">
        <v>63</v>
      </c>
      <c r="BS31" s="2071" t="s">
        <v>1239</v>
      </c>
      <c r="BT31" s="2071" t="s">
        <v>630</v>
      </c>
      <c r="BV31" s="2072" t="s">
        <v>63</v>
      </c>
      <c r="BW31" s="2072" t="s">
        <v>1239</v>
      </c>
      <c r="BX31" s="2071" t="s">
        <v>630</v>
      </c>
      <c r="BZ31" s="2072" t="s">
        <v>63</v>
      </c>
      <c r="CA31" s="2072" t="s">
        <v>1239</v>
      </c>
      <c r="CB31" s="2071" t="s">
        <v>630</v>
      </c>
      <c r="CD31" s="2072" t="s">
        <v>63</v>
      </c>
      <c r="CE31" s="2072" t="s">
        <v>1239</v>
      </c>
      <c r="CF31" s="2081"/>
    </row>
    <row r="32" spans="1:84" ht="13.5" customHeight="1">
      <c r="A32" s="2510" t="s">
        <v>733</v>
      </c>
      <c r="B32" s="1483" t="s">
        <v>205</v>
      </c>
      <c r="C32" s="2521"/>
      <c r="D32" s="2084" t="s">
        <v>1666</v>
      </c>
      <c r="E32" s="2084" t="s">
        <v>335</v>
      </c>
      <c r="F32" s="2084" t="s">
        <v>335</v>
      </c>
      <c r="G32" s="2610">
        <v>25</v>
      </c>
      <c r="H32" s="2506"/>
      <c r="I32" s="2626">
        <v>76.2</v>
      </c>
      <c r="J32" s="2585">
        <v>7.11</v>
      </c>
      <c r="K32" s="2615">
        <v>8000</v>
      </c>
      <c r="L32" s="2630">
        <v>200000</v>
      </c>
      <c r="M32" s="2629" t="s">
        <v>1669</v>
      </c>
      <c r="N32" s="2631">
        <v>1498.9925037780001</v>
      </c>
      <c r="O32" s="2589" t="s">
        <v>1658</v>
      </c>
      <c r="P32" s="2645">
        <f>IF(OR(O32="GB",O32="ASME"),VLOOKUP(Z32&amp;AB32,Dictionaries!$I$3:$K$16,2,0),IF(O32="EN",VLOOKUP(Z32&amp;AB32,Dictionaries!$I$3:$K$16,3,0),0))</f>
        <v>1.4999999999999999E-2</v>
      </c>
      <c r="Q32" s="2591" t="str">
        <f>IF(OR(Y32="Forgings",Y32="Various",Y32="Outsourcing"),"OUT","WBC")</f>
        <v>WBC</v>
      </c>
      <c r="R32" s="2600"/>
      <c r="S32" s="2623">
        <f t="shared" ref="S32" si="14">N32*(1+P32)</f>
        <v>1521.4773913346701</v>
      </c>
      <c r="T32" s="2593"/>
      <c r="U32" s="2594">
        <f t="shared" ref="U32:U33" si="15">IF(T32=0,0,M32&amp;I32&amp;J32)</f>
        <v>0</v>
      </c>
      <c r="V32" s="2595">
        <f>IF(T32=0,S32,T32/COUNTIF($U$31:$U$251,U32)/'Estimate Summary'!$D$9)</f>
        <v>1521.4773913346701</v>
      </c>
      <c r="W32" s="2596" t="str">
        <f t="shared" ref="W32:W33" si="16">IF(OR(Z32=$Z$2,Z32=$Z$3),M32&amp;" "&amp;I32&amp;"-"&amp;J32,IF(OR(Z32=$Z$5,Z32=$Z$7,Z32=$Z$8,Z32=$Z$9),M32&amp;I32&amp;J32,IF(OR(Z32=$Z$4,Z32=$Z$6,Z32=$Z$10),F32&amp;M32&amp;I32&amp;J32,0)))</f>
        <v>SA-210MC 76.2-7.11</v>
      </c>
      <c r="X32" s="2597" t="str">
        <f t="shared" ref="X32:X33" si="17">B32&amp;AK32</f>
        <v>Spare PartsCNY</v>
      </c>
      <c r="Y32" s="2596" t="str">
        <f t="shared" ref="Y32:Y33" si="18">IF(AND(Z32="Piping",H32=0,I32&gt;=219),VLOOKUP(M32,$BZ$2:$CA$251,2,0),IF(AND(Z32="Piping",H32=0,I32&lt;219,I32&gt;89),VLOOKUP(M32,$BV$2:$BW$251,2,0),IF(H32&lt;&gt;0,VLOOKUP(M32,$BZ$2:$CA$251,2,0),IF(Z32="Tubing",VLOOKUP(M32,$BR$2:$BS$251,2,0),IF(Z32="Finning","Finning",IF(Z32="Forgings","Forgings",IF(Z32="Plate","Plate",IF(Z32="Rod","Rod",IF(Z32="Outsourcing","Outsourcing",IF(Z32="Profiled Bar","Profiled Bar",IF(Z32="Drum Plate","Drum Plate","Various")))))))))))</f>
        <v>Tubing-CS</v>
      </c>
      <c r="Z32" s="2598" t="s">
        <v>141</v>
      </c>
      <c r="AA32" s="2598"/>
      <c r="AB32" s="2598"/>
      <c r="AC32" s="406"/>
      <c r="AD32" s="1076"/>
      <c r="AE32" s="410">
        <f t="shared" ref="AE32:AE33" si="19">AC32*AD32</f>
        <v>0</v>
      </c>
      <c r="AF32" s="809" t="str">
        <f t="shared" ref="AF32:AF33" si="20">IF(OR(Y32="Plate",Y32="Rod",Y32="Profiled Bar"),"Y","N")</f>
        <v>N</v>
      </c>
      <c r="AG32" s="1076" t="str">
        <f t="shared" ref="AG32:AG33" si="21">IF(AK32&lt;&gt;"CNY","I","D")</f>
        <v>D</v>
      </c>
      <c r="AH32" s="2528" t="s">
        <v>121</v>
      </c>
      <c r="AI32" s="2528" t="s">
        <v>1672</v>
      </c>
      <c r="AJ32" s="2607">
        <v>90</v>
      </c>
      <c r="AK32" s="927" t="s">
        <v>181</v>
      </c>
      <c r="AL32" s="1076" t="s">
        <v>1671</v>
      </c>
      <c r="AM32" s="685">
        <v>7400</v>
      </c>
      <c r="AN32" s="685">
        <f>IF(AK32="CNY",AM32/1.13/1000,AM32/1000)</f>
        <v>6.5486725663716827</v>
      </c>
      <c r="AO32" s="517"/>
      <c r="AP32" s="413">
        <f t="shared" ref="AP32:AP33" si="22">AN32*(1-AO32)</f>
        <v>6.5486725663716827</v>
      </c>
      <c r="AQ32" s="414">
        <f>V32-AC32</f>
        <v>1521.4773913346701</v>
      </c>
      <c r="AR32" s="812">
        <f>IF(AK32&lt;&gt;"CNY",AN32*AQ32,0)</f>
        <v>0</v>
      </c>
      <c r="AS32" s="812">
        <f t="shared" ref="AS32:AS33" si="23">IF(AL32="Qty",AN32*G32,IF(AK32="CNY",AN32*AQ32*$AL$19,IF(AK32="EUR",AN32*AQ32*$AL$20,IF(AK32="JPY",AN32*AQ32*$AL$21,IF(AK32="USD",AN32*AQ32*$AL$26)))))</f>
        <v>9963.6572529881068</v>
      </c>
      <c r="AT32" s="410">
        <f>IF(AK32&lt;&gt;"CNY",AQ32*AP32,0)</f>
        <v>0</v>
      </c>
      <c r="AU32" s="982">
        <f t="shared" ref="AU32:AU33" si="24">IF(AL32="Qty",AN32*G32,IF(AK32="CNY",AQ32*AP32*$AL$19,IF(AK32="EUR",AQ32*AP32*$AL$20,IF(AK32="JPY",AQ32*AP32*$AL$21,IF(AK32="USD",AQ32*AP32*$AL$26)))))</f>
        <v>9963.6572529881068</v>
      </c>
      <c r="AV32" s="2507">
        <v>43630</v>
      </c>
      <c r="AW32" s="820">
        <v>7</v>
      </c>
      <c r="AX32" s="810">
        <f t="shared" ref="AX32:AX33" si="25">AV32+AW32</f>
        <v>43637</v>
      </c>
      <c r="AY32" s="810">
        <v>43644</v>
      </c>
      <c r="AZ32" s="810">
        <v>43858</v>
      </c>
      <c r="BA32" s="819">
        <f t="shared" ref="BA32:BA33" si="26">(YEAR(AZ32)-YEAR(AY32))*12+MONTH(AZ32)-MONTH(AY32)</f>
        <v>7</v>
      </c>
      <c r="BB32" s="820">
        <f t="shared" ref="BB32:BB33" si="27">(YEAR(AY32)-YEAR($F$28))*12+MONTH(AY32)-MONTH($F$28)</f>
        <v>1</v>
      </c>
      <c r="BC32" s="811">
        <f>IF(AK32="CNY",0,IF(Y32=$Y$13,$BC$21,$BC$27))</f>
        <v>0</v>
      </c>
      <c r="BD32" s="410">
        <f t="shared" ref="BD32:BD33" si="28">IF(AK32&lt;&gt;"CNY",AU32*BC32,0)</f>
        <v>0</v>
      </c>
      <c r="BE32" s="410">
        <f>IF(AK32&lt;&gt;"CNY",AU32*$BE$27,0)</f>
        <v>0</v>
      </c>
      <c r="BF32" s="410">
        <f>BD32+BE32</f>
        <v>0</v>
      </c>
      <c r="BG32" s="410">
        <f t="shared" ref="BG32:BG33" si="29">N32*R32/1000</f>
        <v>0</v>
      </c>
      <c r="BH32" s="974"/>
      <c r="BI32" s="974">
        <f t="shared" ref="BI32:BI33" si="30">BH32*AU32</f>
        <v>0</v>
      </c>
      <c r="BJ32" s="2526">
        <f t="shared" ref="BJ32" si="31">AE32+AU32+BI32</f>
        <v>9963.6572529881068</v>
      </c>
      <c r="BK32" s="2073"/>
      <c r="BL32" s="410"/>
      <c r="BM32" s="410"/>
      <c r="BN32" s="410">
        <f t="shared" ref="BN32:BN33" si="32">IF(OR(Y32="Plate",Y32="Rod",Y32="Various",Y32="Profiled Bar"),"QC",)</f>
        <v>0</v>
      </c>
      <c r="BO32" s="685"/>
      <c r="BP32" s="399">
        <f>IF(AK32="CNY",0,IF(V32-S32=0,BJ32*3%,BJ32/V32*S32*3%+BJ32/V32*(V32-S32)))</f>
        <v>0</v>
      </c>
      <c r="BR32" s="2071" t="s">
        <v>1669</v>
      </c>
      <c r="BS32" s="2071" t="s">
        <v>401</v>
      </c>
      <c r="BT32" s="2071"/>
      <c r="BV32" s="2072"/>
      <c r="BW32" s="2072"/>
      <c r="BX32" s="2071"/>
      <c r="BZ32" s="2072"/>
      <c r="CA32" s="2072"/>
      <c r="CB32" s="2071"/>
      <c r="CD32" s="2072"/>
      <c r="CE32" s="2072"/>
      <c r="CF32" s="2081"/>
    </row>
    <row r="33" spans="1:84" ht="13.5" customHeight="1">
      <c r="A33" s="2510" t="s">
        <v>733</v>
      </c>
      <c r="B33" s="1483" t="s">
        <v>205</v>
      </c>
      <c r="C33" s="2521"/>
      <c r="D33" s="2084" t="s">
        <v>1667</v>
      </c>
      <c r="E33" s="2084" t="s">
        <v>1340</v>
      </c>
      <c r="F33" s="2084" t="s">
        <v>1340</v>
      </c>
      <c r="G33" s="2610">
        <v>50</v>
      </c>
      <c r="H33" s="2506"/>
      <c r="I33" s="2626" t="s">
        <v>1668</v>
      </c>
      <c r="J33" s="2585"/>
      <c r="K33" s="2615"/>
      <c r="L33" s="2630">
        <v>0</v>
      </c>
      <c r="M33" s="2629" t="s">
        <v>1670</v>
      </c>
      <c r="N33" s="2631">
        <v>250</v>
      </c>
      <c r="O33" s="2589" t="s">
        <v>1658</v>
      </c>
      <c r="P33" s="2645">
        <f>IF(OR(O33="GB",O33="ASME"),VLOOKUP(Z33&amp;AB33,Dictionaries!$I$3:$K$16,2,0),IF(O33="EN",VLOOKUP(Z33&amp;AB33,Dictionaries!$I$3:$K$16,3,0),0))</f>
        <v>0</v>
      </c>
      <c r="Q33" s="2591" t="str">
        <f>IF(OR(Y33="Forgings",Y33="Various",Y33="Outsourcing"),"OUT","WBC")</f>
        <v>OUT</v>
      </c>
      <c r="R33" s="2600"/>
      <c r="S33" s="2623">
        <f>N33*(1+P33)</f>
        <v>250</v>
      </c>
      <c r="T33" s="2593"/>
      <c r="U33" s="2594">
        <f t="shared" si="15"/>
        <v>0</v>
      </c>
      <c r="V33" s="2595">
        <f>IF(T33=0,S33,T33/COUNTIF($U$31:$U$251,U33)/'Estimate Summary'!$D$9)</f>
        <v>250</v>
      </c>
      <c r="W33" s="2596" t="str">
        <f t="shared" si="16"/>
        <v>ForgingSA-336M F122xOD57.15/OD76.2</v>
      </c>
      <c r="X33" s="2597" t="str">
        <f t="shared" si="17"/>
        <v>Spare PartsCNY</v>
      </c>
      <c r="Y33" s="2596" t="str">
        <f t="shared" si="18"/>
        <v>Forgings</v>
      </c>
      <c r="Z33" s="2598" t="s">
        <v>165</v>
      </c>
      <c r="AA33" s="2598"/>
      <c r="AB33" s="2598"/>
      <c r="AC33" s="406"/>
      <c r="AD33" s="1076"/>
      <c r="AE33" s="410">
        <f t="shared" si="19"/>
        <v>0</v>
      </c>
      <c r="AF33" s="809" t="str">
        <f t="shared" si="20"/>
        <v>N</v>
      </c>
      <c r="AG33" s="1076" t="str">
        <f t="shared" si="21"/>
        <v>D</v>
      </c>
      <c r="AH33" s="2528" t="s">
        <v>121</v>
      </c>
      <c r="AI33" s="2528"/>
      <c r="AJ33" s="2607">
        <v>90</v>
      </c>
      <c r="AK33" s="927" t="s">
        <v>181</v>
      </c>
      <c r="AL33" s="1076" t="s">
        <v>1241</v>
      </c>
      <c r="AM33" s="685">
        <v>1500</v>
      </c>
      <c r="AN33" s="685">
        <f>IF(AK33="CNY",AM33,AM33)</f>
        <v>1500</v>
      </c>
      <c r="AO33" s="517"/>
      <c r="AP33" s="413">
        <f t="shared" si="22"/>
        <v>1500</v>
      </c>
      <c r="AQ33" s="414">
        <f>V33-AC33</f>
        <v>250</v>
      </c>
      <c r="AR33" s="812">
        <f>IF(AK33&lt;&gt;"CNY",AN33*AQ33,0)</f>
        <v>0</v>
      </c>
      <c r="AS33" s="812">
        <f t="shared" si="23"/>
        <v>75000</v>
      </c>
      <c r="AT33" s="410">
        <f>IF(AK33&lt;&gt;"CNY",AQ33*AP33,0)</f>
        <v>0</v>
      </c>
      <c r="AU33" s="982">
        <f t="shared" si="24"/>
        <v>75000</v>
      </c>
      <c r="AV33" s="2507">
        <v>43630</v>
      </c>
      <c r="AW33" s="820">
        <v>7</v>
      </c>
      <c r="AX33" s="810">
        <f t="shared" si="25"/>
        <v>43637</v>
      </c>
      <c r="AY33" s="810">
        <v>43644</v>
      </c>
      <c r="AZ33" s="810">
        <v>43858</v>
      </c>
      <c r="BA33" s="819">
        <f t="shared" si="26"/>
        <v>7</v>
      </c>
      <c r="BB33" s="820">
        <f t="shared" si="27"/>
        <v>1</v>
      </c>
      <c r="BC33" s="811">
        <f>IF(AK33="CNY",0,IF(Y33=$Y$13,$BC$21,$BC$27))</f>
        <v>0</v>
      </c>
      <c r="BD33" s="410">
        <f t="shared" si="28"/>
        <v>0</v>
      </c>
      <c r="BE33" s="410">
        <f>IF(AK33&lt;&gt;"CNY",AU33*$BE$27,0)</f>
        <v>0</v>
      </c>
      <c r="BF33" s="410">
        <f>BD33+BE33</f>
        <v>0</v>
      </c>
      <c r="BG33" s="410">
        <f t="shared" si="29"/>
        <v>0</v>
      </c>
      <c r="BH33" s="974"/>
      <c r="BI33" s="974">
        <f t="shared" si="30"/>
        <v>0</v>
      </c>
      <c r="BJ33" s="2526">
        <f>AE33+AU33+BI33</f>
        <v>75000</v>
      </c>
      <c r="BK33" s="2073"/>
      <c r="BL33" s="410"/>
      <c r="BM33" s="410"/>
      <c r="BN33" s="410">
        <f t="shared" si="32"/>
        <v>0</v>
      </c>
      <c r="BO33" s="685"/>
      <c r="BP33" s="399">
        <f>IF(AK33="CNY",0,IF(V33-S33=0,BJ33*3%,BJ33/V33*S33*3%+BJ33/V33*(V33-S33)))</f>
        <v>0</v>
      </c>
      <c r="BR33" s="2071"/>
      <c r="BS33" s="2071"/>
      <c r="BT33" s="2071"/>
      <c r="BV33" s="2072"/>
      <c r="BW33" s="2072"/>
      <c r="BX33" s="2071"/>
      <c r="BZ33" s="2072"/>
      <c r="CA33" s="2072"/>
      <c r="CB33" s="2071"/>
      <c r="CD33" s="2072"/>
      <c r="CE33" s="2072"/>
      <c r="CF33" s="2081"/>
    </row>
    <row r="34" spans="1:84" ht="13.5" customHeight="1">
      <c r="A34" s="2510"/>
      <c r="B34" s="1483"/>
      <c r="C34" s="2521"/>
      <c r="D34" s="2084"/>
      <c r="E34" s="2084"/>
      <c r="F34" s="2084"/>
      <c r="G34" s="2610"/>
      <c r="H34" s="2506"/>
      <c r="I34" s="2613"/>
      <c r="J34" s="2585"/>
      <c r="K34" s="2615"/>
      <c r="L34" s="2614"/>
      <c r="M34" s="2614"/>
      <c r="N34" s="2622"/>
      <c r="O34" s="2589"/>
      <c r="P34" s="2590"/>
      <c r="Q34" s="2591"/>
      <c r="R34" s="2600"/>
      <c r="S34" s="2623"/>
      <c r="T34" s="2593"/>
      <c r="U34" s="2594"/>
      <c r="V34" s="2595"/>
      <c r="W34" s="2596"/>
      <c r="X34" s="2597"/>
      <c r="Y34" s="2596"/>
      <c r="Z34" s="2598"/>
      <c r="AA34" s="2598"/>
      <c r="AB34" s="2598"/>
      <c r="AC34" s="406"/>
      <c r="AD34" s="1076"/>
      <c r="AE34" s="410"/>
      <c r="AF34" s="809"/>
      <c r="AG34" s="1076"/>
      <c r="AH34" s="2528"/>
      <c r="AI34" s="2528"/>
      <c r="AJ34" s="2607"/>
      <c r="AK34" s="927"/>
      <c r="AL34" s="1076"/>
      <c r="AM34" s="685"/>
      <c r="AN34" s="685"/>
      <c r="AO34" s="517"/>
      <c r="AP34" s="413"/>
      <c r="AQ34" s="414"/>
      <c r="AR34" s="812"/>
      <c r="AS34" s="812"/>
      <c r="AT34" s="410"/>
      <c r="AU34" s="982"/>
      <c r="AV34" s="2507"/>
      <c r="AW34" s="820"/>
      <c r="AX34" s="810"/>
      <c r="AY34" s="983"/>
      <c r="AZ34" s="983"/>
      <c r="BA34" s="819"/>
      <c r="BB34" s="820"/>
      <c r="BC34" s="811"/>
      <c r="BD34" s="410"/>
      <c r="BE34" s="410"/>
      <c r="BF34" s="410"/>
      <c r="BG34" s="410"/>
      <c r="BH34" s="974"/>
      <c r="BI34" s="974"/>
      <c r="BJ34" s="2526"/>
      <c r="BK34" s="2073"/>
      <c r="BL34" s="410"/>
      <c r="BM34" s="410"/>
      <c r="BN34" s="410"/>
      <c r="BO34" s="685"/>
      <c r="BP34" s="399"/>
      <c r="BR34" s="2071"/>
      <c r="BS34" s="2071"/>
      <c r="BT34" s="2071"/>
      <c r="BV34" s="2072"/>
      <c r="BW34" s="2072"/>
      <c r="BX34" s="2071"/>
      <c r="BZ34" s="2072"/>
      <c r="CA34" s="2072"/>
      <c r="CB34" s="2071"/>
      <c r="CD34" s="2072"/>
      <c r="CE34" s="2072"/>
      <c r="CF34" s="2081"/>
    </row>
    <row r="35" spans="1:84" ht="13.5" customHeight="1">
      <c r="A35" s="2510"/>
      <c r="B35" s="1483"/>
      <c r="C35" s="2521"/>
      <c r="D35" s="2084"/>
      <c r="E35" s="2084"/>
      <c r="F35" s="2084"/>
      <c r="G35" s="2610"/>
      <c r="H35" s="2506"/>
      <c r="I35" s="2613"/>
      <c r="J35" s="2585"/>
      <c r="K35" s="2615"/>
      <c r="L35" s="2614"/>
      <c r="M35" s="2614"/>
      <c r="N35" s="2622"/>
      <c r="O35" s="2589"/>
      <c r="P35" s="2590"/>
      <c r="Q35" s="2591"/>
      <c r="R35" s="2600"/>
      <c r="S35" s="2623"/>
      <c r="T35" s="2593"/>
      <c r="U35" s="2594"/>
      <c r="V35" s="2595"/>
      <c r="W35" s="2596"/>
      <c r="X35" s="2597"/>
      <c r="Y35" s="2596"/>
      <c r="Z35" s="2598"/>
      <c r="AA35" s="2598"/>
      <c r="AB35" s="2598"/>
      <c r="AC35" s="406"/>
      <c r="AD35" s="1076"/>
      <c r="AE35" s="410"/>
      <c r="AF35" s="809"/>
      <c r="AG35" s="1076"/>
      <c r="AH35" s="2528"/>
      <c r="AI35" s="2528"/>
      <c r="AJ35" s="2607"/>
      <c r="AK35" s="927"/>
      <c r="AL35" s="1076"/>
      <c r="AM35" s="2612"/>
      <c r="AN35" s="685"/>
      <c r="AO35" s="517"/>
      <c r="AP35" s="413"/>
      <c r="AQ35" s="414"/>
      <c r="AR35" s="812"/>
      <c r="AS35" s="812"/>
      <c r="AT35" s="410"/>
      <c r="AU35" s="982"/>
      <c r="AV35" s="2507"/>
      <c r="AW35" s="820"/>
      <c r="AX35" s="810"/>
      <c r="AY35" s="983"/>
      <c r="AZ35" s="983"/>
      <c r="BA35" s="819"/>
      <c r="BB35" s="820"/>
      <c r="BC35" s="811"/>
      <c r="BD35" s="410"/>
      <c r="BE35" s="410"/>
      <c r="BF35" s="410"/>
      <c r="BG35" s="410"/>
      <c r="BH35" s="974"/>
      <c r="BI35" s="974"/>
      <c r="BJ35" s="2526"/>
      <c r="BK35" s="2073"/>
      <c r="BL35" s="410"/>
      <c r="BM35" s="410"/>
      <c r="BN35" s="410"/>
      <c r="BO35" s="685"/>
      <c r="BP35" s="399"/>
      <c r="BR35" s="2071"/>
      <c r="BS35" s="2071"/>
      <c r="BT35" s="2071"/>
      <c r="BV35" s="2072"/>
      <c r="BW35" s="2072"/>
      <c r="BX35" s="2071"/>
      <c r="BZ35" s="2072"/>
      <c r="CA35" s="2072"/>
      <c r="CB35" s="2071"/>
      <c r="CD35" s="2072"/>
      <c r="CE35" s="2072"/>
      <c r="CF35" s="2081"/>
    </row>
    <row r="36" spans="1:84" ht="13.5" customHeight="1">
      <c r="A36" s="2510"/>
      <c r="B36" s="1483"/>
      <c r="C36" s="2521"/>
      <c r="D36" s="2084"/>
      <c r="E36" s="2084"/>
      <c r="F36" s="2084"/>
      <c r="G36" s="2506"/>
      <c r="H36" s="2506"/>
      <c r="I36" s="2585"/>
      <c r="J36" s="2585"/>
      <c r="K36" s="2586"/>
      <c r="L36" s="2586"/>
      <c r="M36" s="2587"/>
      <c r="N36" s="2599"/>
      <c r="O36" s="2589"/>
      <c r="P36" s="2590"/>
      <c r="Q36" s="2591"/>
      <c r="R36" s="2600"/>
      <c r="S36" s="2592"/>
      <c r="T36" s="2593"/>
      <c r="U36" s="2594"/>
      <c r="V36" s="2595"/>
      <c r="W36" s="2596"/>
      <c r="X36" s="2597"/>
      <c r="Y36" s="2596"/>
      <c r="Z36" s="2598"/>
      <c r="AA36" s="2598"/>
      <c r="AB36" s="2598"/>
      <c r="AC36" s="406"/>
      <c r="AD36" s="1076"/>
      <c r="AE36" s="410"/>
      <c r="AF36" s="809"/>
      <c r="AG36" s="1076"/>
      <c r="AH36" s="2404"/>
      <c r="AI36" s="2404"/>
      <c r="AJ36" s="2607"/>
      <c r="AK36" s="927"/>
      <c r="AL36" s="1076"/>
      <c r="AM36" s="927"/>
      <c r="AN36" s="685"/>
      <c r="AO36" s="517"/>
      <c r="AP36" s="413"/>
      <c r="AQ36" s="414"/>
      <c r="AR36" s="812"/>
      <c r="AS36" s="812"/>
      <c r="AT36" s="410"/>
      <c r="AU36" s="982"/>
      <c r="AV36" s="2507"/>
      <c r="AW36" s="820"/>
      <c r="AX36" s="810"/>
      <c r="AY36" s="983"/>
      <c r="AZ36" s="983"/>
      <c r="BA36" s="819"/>
      <c r="BB36" s="820"/>
      <c r="BC36" s="811"/>
      <c r="BD36" s="410"/>
      <c r="BE36" s="410"/>
      <c r="BF36" s="410"/>
      <c r="BG36" s="410"/>
      <c r="BH36" s="974"/>
      <c r="BI36" s="974"/>
      <c r="BJ36" s="410"/>
      <c r="BK36" s="2073"/>
      <c r="BL36" s="410"/>
      <c r="BM36" s="410"/>
      <c r="BN36" s="410"/>
      <c r="BO36" s="685"/>
      <c r="BP36" s="399"/>
      <c r="BR36" s="2402"/>
      <c r="BS36" s="2085"/>
      <c r="BT36" s="2071"/>
      <c r="BV36" s="2070"/>
      <c r="BW36" s="2085"/>
      <c r="BX36" s="2071"/>
      <c r="BZ36" s="2402"/>
      <c r="CA36" s="2085"/>
      <c r="CB36" s="2071"/>
      <c r="CD36" s="2066"/>
      <c r="CE36" s="2085"/>
      <c r="CF36" s="2081"/>
    </row>
    <row r="37" spans="1:84" ht="13.5" customHeight="1">
      <c r="A37" s="2510"/>
      <c r="B37" s="1483"/>
      <c r="C37" s="2521"/>
      <c r="D37" s="2084"/>
      <c r="E37" s="2084"/>
      <c r="F37" s="2084"/>
      <c r="G37" s="2506"/>
      <c r="H37" s="2506"/>
      <c r="I37" s="2585"/>
      <c r="J37" s="2585"/>
      <c r="K37" s="2586"/>
      <c r="L37" s="2586"/>
      <c r="M37" s="2587"/>
      <c r="N37" s="2588"/>
      <c r="O37" s="2589"/>
      <c r="P37" s="2590"/>
      <c r="Q37" s="2591"/>
      <c r="R37" s="2600"/>
      <c r="S37" s="2592"/>
      <c r="T37" s="2593"/>
      <c r="U37" s="2594"/>
      <c r="V37" s="2595"/>
      <c r="W37" s="2596"/>
      <c r="X37" s="2597"/>
      <c r="Y37" s="2596"/>
      <c r="Z37" s="2598"/>
      <c r="AA37" s="2598"/>
      <c r="AB37" s="2598"/>
      <c r="AC37" s="1076"/>
      <c r="AD37" s="1076"/>
      <c r="AE37" s="410"/>
      <c r="AF37" s="809"/>
      <c r="AG37" s="1076"/>
      <c r="AH37" s="2404"/>
      <c r="AI37" s="2404"/>
      <c r="AJ37" s="2607"/>
      <c r="AK37" s="927"/>
      <c r="AL37" s="1076"/>
      <c r="AM37" s="927"/>
      <c r="AN37" s="685"/>
      <c r="AO37" s="517"/>
      <c r="AP37" s="413"/>
      <c r="AQ37" s="414"/>
      <c r="AR37" s="812"/>
      <c r="AS37" s="812"/>
      <c r="AT37" s="410"/>
      <c r="AU37" s="982"/>
      <c r="AV37" s="2507"/>
      <c r="AW37" s="820"/>
      <c r="AX37" s="810"/>
      <c r="AY37" s="983"/>
      <c r="AZ37" s="983"/>
      <c r="BA37" s="819"/>
      <c r="BB37" s="820"/>
      <c r="BC37" s="811"/>
      <c r="BD37" s="410"/>
      <c r="BE37" s="410"/>
      <c r="BF37" s="410"/>
      <c r="BG37" s="410"/>
      <c r="BH37" s="974"/>
      <c r="BI37" s="974"/>
      <c r="BJ37" s="410"/>
      <c r="BK37" s="2073"/>
      <c r="BL37" s="410"/>
      <c r="BM37" s="410"/>
      <c r="BN37" s="410"/>
      <c r="BO37" s="685"/>
      <c r="BP37" s="399"/>
      <c r="BR37" s="2402"/>
      <c r="BS37" s="2085"/>
      <c r="BT37" s="2071"/>
      <c r="BV37" s="2070"/>
      <c r="BW37" s="2085"/>
      <c r="BX37" s="2071"/>
      <c r="BZ37" s="2402"/>
      <c r="CA37" s="2085"/>
      <c r="CB37" s="2071"/>
      <c r="CD37" s="2071"/>
      <c r="CE37" s="2085"/>
      <c r="CF37" s="2081"/>
    </row>
    <row r="38" spans="1:84" ht="13.5" customHeight="1">
      <c r="A38" s="2510"/>
      <c r="B38" s="1483"/>
      <c r="C38" s="2521"/>
      <c r="D38" s="2084"/>
      <c r="E38" s="2084"/>
      <c r="F38" s="2517"/>
      <c r="G38" s="2506"/>
      <c r="H38" s="2506"/>
      <c r="I38" s="2585"/>
      <c r="J38" s="2585"/>
      <c r="K38" s="2586"/>
      <c r="L38" s="2586"/>
      <c r="M38" s="2587"/>
      <c r="N38" s="2588"/>
      <c r="O38" s="2589"/>
      <c r="P38" s="2590"/>
      <c r="Q38" s="2591"/>
      <c r="R38" s="2600"/>
      <c r="S38" s="2592"/>
      <c r="T38" s="2593"/>
      <c r="U38" s="2594"/>
      <c r="V38" s="2595"/>
      <c r="W38" s="2596"/>
      <c r="X38" s="2597"/>
      <c r="Y38" s="2596"/>
      <c r="Z38" s="2598"/>
      <c r="AA38" s="2598"/>
      <c r="AB38" s="2598"/>
      <c r="AC38" s="1076"/>
      <c r="AD38" s="1076"/>
      <c r="AE38" s="410"/>
      <c r="AF38" s="809"/>
      <c r="AG38" s="1076"/>
      <c r="AH38" s="2404"/>
      <c r="AI38" s="2404"/>
      <c r="AJ38" s="2607"/>
      <c r="AK38" s="927"/>
      <c r="AL38" s="1076"/>
      <c r="AM38" s="927"/>
      <c r="AN38" s="685"/>
      <c r="AO38" s="517"/>
      <c r="AP38" s="413"/>
      <c r="AQ38" s="414"/>
      <c r="AR38" s="812"/>
      <c r="AS38" s="812"/>
      <c r="AT38" s="410"/>
      <c r="AU38" s="982"/>
      <c r="AV38" s="2507"/>
      <c r="AW38" s="820"/>
      <c r="AX38" s="810"/>
      <c r="AY38" s="983"/>
      <c r="AZ38" s="983"/>
      <c r="BA38" s="819"/>
      <c r="BB38" s="820"/>
      <c r="BC38" s="811"/>
      <c r="BD38" s="410"/>
      <c r="BE38" s="410"/>
      <c r="BF38" s="410"/>
      <c r="BG38" s="410"/>
      <c r="BH38" s="974"/>
      <c r="BI38" s="974"/>
      <c r="BJ38" s="410"/>
      <c r="BK38" s="2073"/>
      <c r="BL38" s="410"/>
      <c r="BM38" s="410"/>
      <c r="BN38" s="410"/>
      <c r="BO38" s="685"/>
      <c r="BP38" s="399"/>
      <c r="BR38" s="2403"/>
      <c r="BS38" s="2085"/>
      <c r="BT38" s="2071"/>
      <c r="BV38" s="2070"/>
      <c r="BW38" s="2085"/>
      <c r="BX38" s="2071"/>
      <c r="BZ38" s="2402"/>
      <c r="CA38" s="2085"/>
      <c r="CB38" s="2071"/>
      <c r="CD38" s="2071"/>
      <c r="CE38" s="2085"/>
      <c r="CF38" s="2081"/>
    </row>
    <row r="39" spans="1:84" ht="13.5" customHeight="1">
      <c r="A39" s="2510"/>
      <c r="B39" s="1483"/>
      <c r="C39" s="2521"/>
      <c r="D39" s="2084"/>
      <c r="E39" s="2084"/>
      <c r="F39" s="2517"/>
      <c r="G39" s="2506"/>
      <c r="H39" s="2506"/>
      <c r="I39" s="2585"/>
      <c r="J39" s="2585"/>
      <c r="K39" s="2586">
        <f>K38*7800</f>
        <v>0</v>
      </c>
      <c r="L39" s="2586"/>
      <c r="M39" s="2587"/>
      <c r="N39" s="2588"/>
      <c r="O39" s="2589"/>
      <c r="P39" s="2590"/>
      <c r="Q39" s="2591"/>
      <c r="R39" s="2600"/>
      <c r="S39" s="2592"/>
      <c r="T39" s="2593"/>
      <c r="U39" s="2594"/>
      <c r="V39" s="2595"/>
      <c r="W39" s="2596"/>
      <c r="X39" s="2597"/>
      <c r="Y39" s="2596"/>
      <c r="Z39" s="2598"/>
      <c r="AA39" s="2598"/>
      <c r="AB39" s="2598"/>
      <c r="AC39" s="1076"/>
      <c r="AD39" s="1076"/>
      <c r="AE39" s="410"/>
      <c r="AF39" s="809"/>
      <c r="AG39" s="1076"/>
      <c r="AH39" s="2404"/>
      <c r="AI39" s="2404"/>
      <c r="AJ39" s="2607"/>
      <c r="AK39" s="927"/>
      <c r="AL39" s="1076"/>
      <c r="AM39" s="927"/>
      <c r="AN39" s="685"/>
      <c r="AO39" s="517"/>
      <c r="AP39" s="413"/>
      <c r="AQ39" s="414"/>
      <c r="AR39" s="812"/>
      <c r="AS39" s="812"/>
      <c r="AT39" s="410"/>
      <c r="AU39" s="982"/>
      <c r="AV39" s="2507"/>
      <c r="AW39" s="820"/>
      <c r="AX39" s="810"/>
      <c r="AY39" s="983"/>
      <c r="AZ39" s="983"/>
      <c r="BA39" s="819"/>
      <c r="BB39" s="820"/>
      <c r="BC39" s="811"/>
      <c r="BD39" s="410"/>
      <c r="BE39" s="410"/>
      <c r="BF39" s="410"/>
      <c r="BG39" s="410"/>
      <c r="BH39" s="974"/>
      <c r="BI39" s="974"/>
      <c r="BJ39" s="410"/>
      <c r="BK39" s="2073"/>
      <c r="BL39" s="410"/>
      <c r="BM39" s="410"/>
      <c r="BN39" s="410"/>
      <c r="BO39" s="685"/>
      <c r="BP39" s="399"/>
      <c r="BR39" s="2402"/>
      <c r="BS39" s="2085"/>
      <c r="BT39" s="2071"/>
      <c r="BV39" s="2070"/>
      <c r="BW39" s="2085"/>
      <c r="BX39" s="2071"/>
      <c r="BZ39" s="2402"/>
      <c r="CA39" s="2085"/>
      <c r="CB39" s="2071"/>
      <c r="CD39" s="2071"/>
      <c r="CE39" s="2085"/>
      <c r="CF39" s="2081"/>
    </row>
    <row r="40" spans="1:84" ht="13.5" customHeight="1">
      <c r="A40" s="2510"/>
      <c r="B40" s="1483"/>
      <c r="C40" s="2521"/>
      <c r="D40" s="2084"/>
      <c r="E40" s="2084"/>
      <c r="F40" s="2517"/>
      <c r="G40" s="2506"/>
      <c r="H40" s="2506"/>
      <c r="I40" s="2585"/>
      <c r="J40" s="2585"/>
      <c r="K40" s="2586"/>
      <c r="L40" s="2586"/>
      <c r="M40" s="2587"/>
      <c r="N40" s="2588"/>
      <c r="O40" s="2589"/>
      <c r="P40" s="2590"/>
      <c r="Q40" s="2591"/>
      <c r="R40" s="2600"/>
      <c r="S40" s="2632"/>
      <c r="T40" s="2593"/>
      <c r="U40" s="2594"/>
      <c r="V40" s="2595"/>
      <c r="W40" s="2596"/>
      <c r="X40" s="2597"/>
      <c r="Y40" s="2596"/>
      <c r="Z40" s="2598"/>
      <c r="AA40" s="2598"/>
      <c r="AB40" s="2598"/>
      <c r="AC40" s="1076"/>
      <c r="AD40" s="1076"/>
      <c r="AE40" s="410"/>
      <c r="AF40" s="809"/>
      <c r="AG40" s="1076"/>
      <c r="AH40" s="2404"/>
      <c r="AI40" s="2404"/>
      <c r="AJ40" s="2607"/>
      <c r="AK40" s="927"/>
      <c r="AL40" s="1076"/>
      <c r="AM40" s="927"/>
      <c r="AN40" s="685"/>
      <c r="AO40" s="517"/>
      <c r="AP40" s="413"/>
      <c r="AQ40" s="414"/>
      <c r="AR40" s="812"/>
      <c r="AS40" s="812"/>
      <c r="AT40" s="410"/>
      <c r="AU40" s="982"/>
      <c r="AV40" s="2507"/>
      <c r="AW40" s="820"/>
      <c r="AX40" s="810"/>
      <c r="AY40" s="983"/>
      <c r="AZ40" s="983"/>
      <c r="BA40" s="819"/>
      <c r="BB40" s="820"/>
      <c r="BC40" s="811"/>
      <c r="BD40" s="410"/>
      <c r="BE40" s="410"/>
      <c r="BF40" s="410"/>
      <c r="BG40" s="410"/>
      <c r="BH40" s="974"/>
      <c r="BI40" s="974"/>
      <c r="BJ40" s="410"/>
      <c r="BK40" s="2073"/>
      <c r="BL40" s="410"/>
      <c r="BM40" s="410"/>
      <c r="BN40" s="410"/>
      <c r="BO40" s="685"/>
      <c r="BP40" s="399"/>
      <c r="BR40" s="2402"/>
      <c r="BS40" s="2085"/>
      <c r="BT40" s="2071"/>
      <c r="BV40" s="2070"/>
      <c r="BW40" s="2085"/>
      <c r="BX40" s="2071"/>
      <c r="BZ40" s="2402"/>
      <c r="CA40" s="2085"/>
      <c r="CB40" s="2071"/>
      <c r="CD40" s="2071"/>
      <c r="CE40" s="2085"/>
      <c r="CF40" s="2081"/>
    </row>
    <row r="41" spans="1:84" ht="13.5" customHeight="1">
      <c r="A41" s="2510"/>
      <c r="B41" s="1483"/>
      <c r="C41" s="2521"/>
      <c r="D41" s="2084"/>
      <c r="E41" s="2084"/>
      <c r="F41" s="2517"/>
      <c r="G41" s="2506"/>
      <c r="H41" s="2506"/>
      <c r="I41" s="2585"/>
      <c r="J41" s="2585"/>
      <c r="K41" s="2586"/>
      <c r="L41" s="2586"/>
      <c r="M41" s="2587"/>
      <c r="N41" s="2588"/>
      <c r="O41" s="2589"/>
      <c r="P41" s="2590"/>
      <c r="Q41" s="2591"/>
      <c r="R41" s="2600"/>
      <c r="S41" s="2592"/>
      <c r="T41" s="2593"/>
      <c r="U41" s="2594"/>
      <c r="V41" s="2595"/>
      <c r="W41" s="2596"/>
      <c r="X41" s="2597"/>
      <c r="Y41" s="2596"/>
      <c r="Z41" s="2598"/>
      <c r="AA41" s="2598"/>
      <c r="AB41" s="2598"/>
      <c r="AC41" s="1076"/>
      <c r="AD41" s="1076"/>
      <c r="AE41" s="410"/>
      <c r="AF41" s="809"/>
      <c r="AG41" s="1076"/>
      <c r="AH41" s="2404"/>
      <c r="AI41" s="2404"/>
      <c r="AJ41" s="2607"/>
      <c r="AK41" s="927"/>
      <c r="AL41" s="1076"/>
      <c r="AM41" s="927"/>
      <c r="AN41" s="685"/>
      <c r="AO41" s="517"/>
      <c r="AP41" s="413"/>
      <c r="AQ41" s="414"/>
      <c r="AR41" s="812"/>
      <c r="AS41" s="812"/>
      <c r="AT41" s="410"/>
      <c r="AU41" s="982"/>
      <c r="AV41" s="2507"/>
      <c r="AW41" s="820"/>
      <c r="AX41" s="810"/>
      <c r="AY41" s="983"/>
      <c r="AZ41" s="983"/>
      <c r="BA41" s="819"/>
      <c r="BB41" s="820"/>
      <c r="BC41" s="811"/>
      <c r="BD41" s="410"/>
      <c r="BE41" s="410"/>
      <c r="BF41" s="410"/>
      <c r="BG41" s="410"/>
      <c r="BH41" s="974"/>
      <c r="BI41" s="974"/>
      <c r="BJ41" s="410"/>
      <c r="BK41" s="2073"/>
      <c r="BL41" s="410"/>
      <c r="BM41" s="410"/>
      <c r="BN41" s="410"/>
      <c r="BO41" s="685"/>
      <c r="BP41" s="399"/>
      <c r="BR41" s="2402"/>
      <c r="BS41" s="2085"/>
      <c r="BT41" s="2071"/>
      <c r="BV41" s="2070"/>
      <c r="BW41" s="2085"/>
      <c r="BX41" s="2071"/>
      <c r="BZ41" s="2402"/>
      <c r="CA41" s="2085"/>
      <c r="CB41" s="2071"/>
      <c r="CD41" s="2071"/>
      <c r="CE41" s="2085"/>
      <c r="CF41" s="2081"/>
    </row>
    <row r="42" spans="1:84" ht="13.5" customHeight="1">
      <c r="A42" s="2510"/>
      <c r="B42" s="1483"/>
      <c r="C42" s="2521"/>
      <c r="D42" s="2084"/>
      <c r="E42" s="1080"/>
      <c r="F42" s="2082"/>
      <c r="G42" s="912"/>
      <c r="H42" s="912"/>
      <c r="I42" s="2601"/>
      <c r="J42" s="2601"/>
      <c r="K42" s="2602"/>
      <c r="L42" s="2603"/>
      <c r="M42" s="2604"/>
      <c r="N42" s="2593"/>
      <c r="O42" s="2589"/>
      <c r="P42" s="2590"/>
      <c r="Q42" s="2591"/>
      <c r="R42" s="2600"/>
      <c r="S42" s="2592"/>
      <c r="T42" s="2593"/>
      <c r="U42" s="2594"/>
      <c r="V42" s="2595"/>
      <c r="W42" s="2596"/>
      <c r="X42" s="2597"/>
      <c r="Y42" s="2596"/>
      <c r="Z42" s="2598"/>
      <c r="AA42" s="2598"/>
      <c r="AB42" s="2598"/>
      <c r="AC42" s="1076"/>
      <c r="AD42" s="1076"/>
      <c r="AE42" s="410"/>
      <c r="AF42" s="809"/>
      <c r="AG42" s="1076"/>
      <c r="AH42" s="2404"/>
      <c r="AI42" s="2404"/>
      <c r="AJ42" s="2607"/>
      <c r="AK42" s="927"/>
      <c r="AL42" s="1076"/>
      <c r="AM42" s="927"/>
      <c r="AN42" s="685"/>
      <c r="AO42" s="517"/>
      <c r="AP42" s="413"/>
      <c r="AQ42" s="414"/>
      <c r="AR42" s="812"/>
      <c r="AS42" s="812"/>
      <c r="AT42" s="410"/>
      <c r="AU42" s="982"/>
      <c r="AV42" s="2507"/>
      <c r="AW42" s="820"/>
      <c r="AX42" s="810"/>
      <c r="AY42" s="983"/>
      <c r="AZ42" s="983"/>
      <c r="BA42" s="819"/>
      <c r="BB42" s="820"/>
      <c r="BC42" s="811"/>
      <c r="BD42" s="410"/>
      <c r="BE42" s="410"/>
      <c r="BF42" s="410"/>
      <c r="BG42" s="410"/>
      <c r="BH42" s="974"/>
      <c r="BI42" s="974"/>
      <c r="BJ42" s="410"/>
      <c r="BK42" s="2073"/>
      <c r="BL42" s="410"/>
      <c r="BM42" s="410"/>
      <c r="BN42" s="410"/>
      <c r="BO42" s="685"/>
      <c r="BP42" s="399"/>
      <c r="BR42" s="405"/>
      <c r="BS42" s="405"/>
      <c r="BT42" s="405"/>
      <c r="BU42" s="405"/>
      <c r="BV42" s="405"/>
      <c r="BW42" s="405"/>
      <c r="BX42" s="405"/>
      <c r="BY42" s="405"/>
      <c r="BZ42" s="405"/>
      <c r="CA42" s="405"/>
      <c r="CB42" s="405"/>
      <c r="CC42" s="405"/>
      <c r="CD42" s="405"/>
      <c r="CE42" s="405"/>
    </row>
    <row r="43" spans="1:84" ht="13.5" customHeight="1">
      <c r="A43" s="2510"/>
      <c r="B43" s="1483"/>
      <c r="C43" s="2521"/>
      <c r="D43" s="2084"/>
      <c r="E43" s="1080"/>
      <c r="F43" s="2082"/>
      <c r="G43" s="912"/>
      <c r="H43" s="912"/>
      <c r="I43" s="2601"/>
      <c r="J43" s="2601"/>
      <c r="K43" s="2602"/>
      <c r="L43" s="2602"/>
      <c r="M43" s="2604"/>
      <c r="N43" s="2593"/>
      <c r="O43" s="2589"/>
      <c r="P43" s="2590"/>
      <c r="Q43" s="2591"/>
      <c r="R43" s="2600"/>
      <c r="S43" s="2592"/>
      <c r="T43" s="2593"/>
      <c r="U43" s="2594"/>
      <c r="V43" s="2595"/>
      <c r="W43" s="2596"/>
      <c r="X43" s="2597"/>
      <c r="Y43" s="2596"/>
      <c r="Z43" s="2598"/>
      <c r="AA43" s="2598"/>
      <c r="AB43" s="2598"/>
      <c r="AC43" s="1076"/>
      <c r="AD43" s="1076"/>
      <c r="AE43" s="410"/>
      <c r="AF43" s="809"/>
      <c r="AG43" s="1076"/>
      <c r="AH43" s="2404"/>
      <c r="AI43" s="2404"/>
      <c r="AJ43" s="2607"/>
      <c r="AK43" s="927"/>
      <c r="AL43" s="1076"/>
      <c r="AM43" s="927"/>
      <c r="AN43" s="685"/>
      <c r="AO43" s="517"/>
      <c r="AP43" s="413"/>
      <c r="AQ43" s="414"/>
      <c r="AR43" s="812"/>
      <c r="AS43" s="812"/>
      <c r="AT43" s="410"/>
      <c r="AU43" s="982"/>
      <c r="AV43" s="2507"/>
      <c r="AW43" s="820"/>
      <c r="AX43" s="810"/>
      <c r="AY43" s="983"/>
      <c r="AZ43" s="983"/>
      <c r="BA43" s="819"/>
      <c r="BB43" s="820"/>
      <c r="BC43" s="811"/>
      <c r="BD43" s="410"/>
      <c r="BE43" s="410"/>
      <c r="BF43" s="410"/>
      <c r="BG43" s="410"/>
      <c r="BH43" s="974"/>
      <c r="BI43" s="974"/>
      <c r="BJ43" s="410"/>
      <c r="BK43" s="2073"/>
      <c r="BL43" s="410"/>
      <c r="BM43" s="410"/>
      <c r="BN43" s="410"/>
      <c r="BO43" s="685"/>
      <c r="BP43" s="399"/>
      <c r="BR43" s="405"/>
      <c r="BS43" s="405"/>
      <c r="BT43" s="405"/>
      <c r="BU43" s="405"/>
      <c r="BV43" s="405"/>
      <c r="BW43" s="405"/>
      <c r="BX43" s="405"/>
      <c r="BY43" s="405"/>
      <c r="BZ43" s="405"/>
      <c r="CA43" s="405"/>
      <c r="CB43" s="405"/>
      <c r="CC43" s="405"/>
      <c r="CD43" s="405"/>
      <c r="CE43" s="405"/>
    </row>
    <row r="44" spans="1:84" ht="13.5" customHeight="1">
      <c r="A44" s="2510"/>
      <c r="B44" s="1483"/>
      <c r="C44" s="2521"/>
      <c r="D44" s="2084"/>
      <c r="E44" s="1080"/>
      <c r="F44" s="2082"/>
      <c r="G44" s="912"/>
      <c r="H44" s="912"/>
      <c r="I44" s="2601"/>
      <c r="J44" s="2601"/>
      <c r="K44" s="2602"/>
      <c r="L44" s="2602"/>
      <c r="M44" s="2604"/>
      <c r="N44" s="2593"/>
      <c r="O44" s="2589"/>
      <c r="P44" s="2590"/>
      <c r="Q44" s="2591"/>
      <c r="R44" s="2600"/>
      <c r="S44" s="2592"/>
      <c r="T44" s="2593"/>
      <c r="U44" s="2594"/>
      <c r="V44" s="2595"/>
      <c r="W44" s="2596"/>
      <c r="X44" s="2597"/>
      <c r="Y44" s="2596"/>
      <c r="Z44" s="2598"/>
      <c r="AA44" s="2598"/>
      <c r="AB44" s="2598"/>
      <c r="AC44" s="1076"/>
      <c r="AD44" s="1076"/>
      <c r="AE44" s="410"/>
      <c r="AF44" s="809"/>
      <c r="AG44" s="1076"/>
      <c r="AH44" s="2404"/>
      <c r="AI44" s="2404"/>
      <c r="AJ44" s="2607"/>
      <c r="AK44" s="927"/>
      <c r="AL44" s="1076"/>
      <c r="AM44" s="927"/>
      <c r="AN44" s="685"/>
      <c r="AO44" s="517"/>
      <c r="AP44" s="413"/>
      <c r="AQ44" s="414"/>
      <c r="AR44" s="812"/>
      <c r="AS44" s="812"/>
      <c r="AT44" s="410"/>
      <c r="AU44" s="982"/>
      <c r="AV44" s="2507"/>
      <c r="AW44" s="820"/>
      <c r="AX44" s="810"/>
      <c r="AY44" s="983"/>
      <c r="AZ44" s="983"/>
      <c r="BA44" s="819"/>
      <c r="BB44" s="820"/>
      <c r="BC44" s="811"/>
      <c r="BD44" s="410"/>
      <c r="BE44" s="410"/>
      <c r="BF44" s="410"/>
      <c r="BG44" s="410"/>
      <c r="BH44" s="974"/>
      <c r="BI44" s="974"/>
      <c r="BJ44" s="410"/>
      <c r="BK44" s="2073"/>
      <c r="BL44" s="410"/>
      <c r="BM44" s="410"/>
      <c r="BN44" s="410"/>
      <c r="BO44" s="685"/>
      <c r="BP44" s="399"/>
      <c r="BR44" s="405"/>
      <c r="BS44" s="405"/>
      <c r="BT44" s="405"/>
      <c r="BU44" s="405"/>
      <c r="BV44" s="405"/>
      <c r="BW44" s="405"/>
      <c r="BX44" s="405"/>
      <c r="BY44" s="405"/>
      <c r="BZ44" s="405"/>
      <c r="CA44" s="405"/>
      <c r="CB44" s="405"/>
      <c r="CC44" s="405"/>
      <c r="CD44" s="405"/>
      <c r="CE44" s="405"/>
    </row>
    <row r="45" spans="1:84" ht="13.5" customHeight="1">
      <c r="A45" s="2510"/>
      <c r="B45" s="1483"/>
      <c r="C45" s="2521"/>
      <c r="D45" s="2084"/>
      <c r="E45" s="1080"/>
      <c r="F45" s="2082"/>
      <c r="G45" s="912"/>
      <c r="H45" s="912"/>
      <c r="I45" s="2601"/>
      <c r="J45" s="2601"/>
      <c r="K45" s="2602"/>
      <c r="L45" s="2602"/>
      <c r="M45" s="2604"/>
      <c r="N45" s="2593"/>
      <c r="O45" s="2589"/>
      <c r="P45" s="2590"/>
      <c r="Q45" s="2591"/>
      <c r="R45" s="2600"/>
      <c r="S45" s="2592"/>
      <c r="T45" s="2593"/>
      <c r="U45" s="2594"/>
      <c r="V45" s="2595"/>
      <c r="W45" s="2596"/>
      <c r="X45" s="2597"/>
      <c r="Y45" s="2596"/>
      <c r="Z45" s="2598"/>
      <c r="AA45" s="2598"/>
      <c r="AB45" s="2598"/>
      <c r="AC45" s="1076"/>
      <c r="AD45" s="1076"/>
      <c r="AE45" s="410"/>
      <c r="AF45" s="809"/>
      <c r="AG45" s="1076"/>
      <c r="AH45" s="2404"/>
      <c r="AI45" s="2404"/>
      <c r="AJ45" s="2607"/>
      <c r="AK45" s="927"/>
      <c r="AL45" s="1076"/>
      <c r="AM45" s="927"/>
      <c r="AN45" s="685"/>
      <c r="AO45" s="517"/>
      <c r="AP45" s="413"/>
      <c r="AQ45" s="414"/>
      <c r="AR45" s="812"/>
      <c r="AS45" s="812"/>
      <c r="AT45" s="410"/>
      <c r="AU45" s="982"/>
      <c r="AV45" s="2507"/>
      <c r="AW45" s="820"/>
      <c r="AX45" s="810"/>
      <c r="AY45" s="983"/>
      <c r="AZ45" s="983"/>
      <c r="BA45" s="819"/>
      <c r="BB45" s="820"/>
      <c r="BC45" s="811"/>
      <c r="BD45" s="410"/>
      <c r="BE45" s="410"/>
      <c r="BF45" s="410"/>
      <c r="BG45" s="410"/>
      <c r="BH45" s="974"/>
      <c r="BI45" s="974"/>
      <c r="BJ45" s="410"/>
      <c r="BK45" s="2073"/>
      <c r="BL45" s="410"/>
      <c r="BM45" s="410"/>
      <c r="BN45" s="410"/>
      <c r="BO45" s="685"/>
      <c r="BP45" s="399"/>
      <c r="BR45" s="405"/>
      <c r="BS45" s="405"/>
      <c r="BT45" s="405"/>
      <c r="BU45" s="405"/>
      <c r="BV45" s="405"/>
      <c r="BW45" s="405"/>
      <c r="BX45" s="405"/>
      <c r="BY45" s="405"/>
      <c r="BZ45" s="405"/>
      <c r="CA45" s="405"/>
      <c r="CB45" s="405"/>
      <c r="CC45" s="405"/>
      <c r="CD45" s="405"/>
      <c r="CE45" s="405"/>
    </row>
    <row r="46" spans="1:84" ht="13.5" customHeight="1">
      <c r="A46" s="2510"/>
      <c r="B46" s="1483"/>
      <c r="C46" s="2521"/>
      <c r="D46" s="2084"/>
      <c r="E46" s="1080"/>
      <c r="F46" s="2082"/>
      <c r="G46" s="912"/>
      <c r="H46" s="912"/>
      <c r="I46" s="2601"/>
      <c r="J46" s="2601"/>
      <c r="K46" s="2603"/>
      <c r="L46" s="2602"/>
      <c r="M46" s="2604"/>
      <c r="N46" s="2593"/>
      <c r="O46" s="2589"/>
      <c r="P46" s="2590"/>
      <c r="Q46" s="2591"/>
      <c r="R46" s="2600"/>
      <c r="S46" s="2592"/>
      <c r="T46" s="2593"/>
      <c r="U46" s="2594"/>
      <c r="V46" s="2595"/>
      <c r="W46" s="2596"/>
      <c r="X46" s="2597"/>
      <c r="Y46" s="2596"/>
      <c r="Z46" s="2598"/>
      <c r="AA46" s="2598"/>
      <c r="AB46" s="2598"/>
      <c r="AC46" s="1076"/>
      <c r="AD46" s="1076"/>
      <c r="AE46" s="410"/>
      <c r="AF46" s="809"/>
      <c r="AG46" s="1076"/>
      <c r="AH46" s="2404"/>
      <c r="AI46" s="2404"/>
      <c r="AJ46" s="2607"/>
      <c r="AK46" s="927"/>
      <c r="AL46" s="1076"/>
      <c r="AM46" s="927"/>
      <c r="AN46" s="685"/>
      <c r="AO46" s="517"/>
      <c r="AP46" s="413"/>
      <c r="AQ46" s="414"/>
      <c r="AR46" s="812"/>
      <c r="AS46" s="812"/>
      <c r="AT46" s="410"/>
      <c r="AU46" s="982"/>
      <c r="AV46" s="2507"/>
      <c r="AW46" s="820"/>
      <c r="AX46" s="810"/>
      <c r="AY46" s="983"/>
      <c r="AZ46" s="983"/>
      <c r="BA46" s="819"/>
      <c r="BB46" s="820"/>
      <c r="BC46" s="811"/>
      <c r="BD46" s="410"/>
      <c r="BE46" s="410"/>
      <c r="BF46" s="410"/>
      <c r="BG46" s="410"/>
      <c r="BH46" s="974"/>
      <c r="BI46" s="974"/>
      <c r="BJ46" s="410"/>
      <c r="BK46" s="2522"/>
      <c r="BL46" s="410"/>
      <c r="BM46" s="410"/>
      <c r="BN46" s="410"/>
      <c r="BO46" s="685"/>
      <c r="BP46" s="399"/>
      <c r="BR46" s="405"/>
      <c r="BS46" s="405"/>
      <c r="BT46" s="405"/>
      <c r="BU46" s="405"/>
      <c r="BV46" s="405"/>
      <c r="BW46" s="405"/>
      <c r="BX46" s="405"/>
      <c r="BY46" s="405"/>
      <c r="BZ46" s="405"/>
      <c r="CA46" s="405"/>
      <c r="CB46" s="405"/>
      <c r="CC46" s="405"/>
      <c r="CD46" s="405"/>
      <c r="CE46" s="405"/>
    </row>
    <row r="47" spans="1:84" s="407" customFormat="1" ht="12" customHeight="1">
      <c r="A47" s="2510"/>
      <c r="B47" s="1483"/>
      <c r="C47" s="2521"/>
      <c r="D47" s="2084"/>
      <c r="E47" s="1080"/>
      <c r="F47" s="2082"/>
      <c r="G47" s="912"/>
      <c r="H47" s="912"/>
      <c r="I47" s="2601"/>
      <c r="J47" s="2601"/>
      <c r="K47" s="2602"/>
      <c r="L47" s="2602"/>
      <c r="M47" s="2604"/>
      <c r="N47" s="2593"/>
      <c r="O47" s="2589"/>
      <c r="P47" s="2590"/>
      <c r="Q47" s="2591"/>
      <c r="R47" s="2600"/>
      <c r="S47" s="2592"/>
      <c r="T47" s="2593"/>
      <c r="U47" s="2594"/>
      <c r="V47" s="2595"/>
      <c r="W47" s="2596"/>
      <c r="X47" s="2597"/>
      <c r="Y47" s="2596"/>
      <c r="Z47" s="2598"/>
      <c r="AA47" s="2598"/>
      <c r="AB47" s="2598"/>
      <c r="AC47" s="1076"/>
      <c r="AD47" s="1076"/>
      <c r="AE47" s="410"/>
      <c r="AF47" s="809"/>
      <c r="AG47" s="1076"/>
      <c r="AH47" s="2404"/>
      <c r="AI47" s="2404"/>
      <c r="AJ47" s="2607"/>
      <c r="AK47" s="927"/>
      <c r="AL47" s="1076"/>
      <c r="AM47" s="927"/>
      <c r="AN47" s="685"/>
      <c r="AO47" s="517"/>
      <c r="AP47" s="413"/>
      <c r="AQ47" s="414"/>
      <c r="AR47" s="812"/>
      <c r="AS47" s="812"/>
      <c r="AT47" s="410"/>
      <c r="AU47" s="982"/>
      <c r="AV47" s="2507"/>
      <c r="AW47" s="820"/>
      <c r="AX47" s="810"/>
      <c r="AY47" s="983"/>
      <c r="AZ47" s="983"/>
      <c r="BA47" s="819"/>
      <c r="BB47" s="820"/>
      <c r="BC47" s="811"/>
      <c r="BD47" s="410"/>
      <c r="BE47" s="410"/>
      <c r="BF47" s="410"/>
      <c r="BG47" s="410"/>
      <c r="BH47" s="974"/>
      <c r="BI47" s="974"/>
      <c r="BJ47" s="410"/>
      <c r="BK47" s="2523"/>
      <c r="BL47" s="410"/>
      <c r="BM47" s="410"/>
      <c r="BN47" s="410"/>
      <c r="BO47" s="685"/>
      <c r="BP47" s="399"/>
      <c r="BR47" s="405"/>
      <c r="BS47" s="405"/>
      <c r="BT47" s="405"/>
      <c r="BU47" s="405"/>
      <c r="BV47" s="405"/>
      <c r="BW47" s="405"/>
      <c r="BX47" s="405"/>
      <c r="BY47" s="405"/>
      <c r="BZ47" s="405"/>
      <c r="CA47" s="405"/>
      <c r="CB47" s="405"/>
      <c r="CC47" s="405"/>
      <c r="CD47" s="405"/>
      <c r="CE47" s="405"/>
    </row>
    <row r="48" spans="1:84" s="407" customFormat="1" ht="12" customHeight="1">
      <c r="A48" s="2510"/>
      <c r="B48" s="1483"/>
      <c r="C48" s="2521"/>
      <c r="D48" s="2084"/>
      <c r="E48" s="1080"/>
      <c r="F48" s="2082"/>
      <c r="G48" s="912"/>
      <c r="H48" s="912"/>
      <c r="I48" s="2601"/>
      <c r="J48" s="2601"/>
      <c r="K48" s="2603"/>
      <c r="L48" s="2602"/>
      <c r="M48" s="2604"/>
      <c r="N48" s="2593"/>
      <c r="O48" s="2589"/>
      <c r="P48" s="2590"/>
      <c r="Q48" s="2591"/>
      <c r="R48" s="2600"/>
      <c r="S48" s="2592"/>
      <c r="T48" s="2593"/>
      <c r="U48" s="2594"/>
      <c r="V48" s="2595"/>
      <c r="W48" s="2596"/>
      <c r="X48" s="2597"/>
      <c r="Y48" s="2596"/>
      <c r="Z48" s="2598"/>
      <c r="AA48" s="2598"/>
      <c r="AB48" s="2598"/>
      <c r="AC48" s="1076"/>
      <c r="AD48" s="1076"/>
      <c r="AE48" s="410"/>
      <c r="AF48" s="809"/>
      <c r="AG48" s="1076"/>
      <c r="AH48" s="2404"/>
      <c r="AI48" s="2404"/>
      <c r="AJ48" s="2607"/>
      <c r="AK48" s="927"/>
      <c r="AL48" s="1076"/>
      <c r="AM48" s="927"/>
      <c r="AN48" s="685"/>
      <c r="AO48" s="517"/>
      <c r="AP48" s="413"/>
      <c r="AQ48" s="414"/>
      <c r="AR48" s="812"/>
      <c r="AS48" s="812"/>
      <c r="AT48" s="410"/>
      <c r="AU48" s="982"/>
      <c r="AV48" s="2507"/>
      <c r="AW48" s="820"/>
      <c r="AX48" s="810"/>
      <c r="AY48" s="983"/>
      <c r="AZ48" s="983"/>
      <c r="BA48" s="819"/>
      <c r="BB48" s="820"/>
      <c r="BC48" s="811"/>
      <c r="BD48" s="410"/>
      <c r="BE48" s="410"/>
      <c r="BF48" s="410"/>
      <c r="BG48" s="410"/>
      <c r="BH48" s="974"/>
      <c r="BI48" s="974"/>
      <c r="BJ48" s="410"/>
      <c r="BK48" s="2524"/>
      <c r="BL48" s="410"/>
      <c r="BM48" s="410"/>
      <c r="BN48" s="410"/>
      <c r="BO48" s="685"/>
      <c r="BP48" s="399"/>
      <c r="BR48" s="405"/>
      <c r="BS48" s="405"/>
      <c r="BT48" s="405"/>
      <c r="BU48" s="405"/>
      <c r="BV48" s="405"/>
      <c r="BW48" s="405"/>
      <c r="BX48" s="405"/>
      <c r="BY48" s="405"/>
      <c r="BZ48" s="405"/>
      <c r="CA48" s="405"/>
      <c r="CB48" s="405"/>
      <c r="CC48" s="405"/>
      <c r="CD48" s="405"/>
      <c r="CE48" s="405"/>
    </row>
    <row r="49" spans="1:84" ht="13.5" customHeight="1">
      <c r="A49" s="2510"/>
      <c r="B49" s="1483"/>
      <c r="C49" s="985"/>
      <c r="D49" s="2084"/>
      <c r="E49" s="1080"/>
      <c r="F49" s="2082"/>
      <c r="G49" s="912"/>
      <c r="H49" s="912"/>
      <c r="I49" s="2601"/>
      <c r="J49" s="2601"/>
      <c r="K49" s="2602"/>
      <c r="L49" s="2602"/>
      <c r="M49" s="2604"/>
      <c r="N49" s="2593"/>
      <c r="O49" s="2589"/>
      <c r="P49" s="2590"/>
      <c r="Q49" s="2591"/>
      <c r="R49" s="2600"/>
      <c r="S49" s="2592"/>
      <c r="T49" s="2593"/>
      <c r="U49" s="2594"/>
      <c r="V49" s="2595"/>
      <c r="W49" s="2596"/>
      <c r="X49" s="2597"/>
      <c r="Y49" s="2596"/>
      <c r="Z49" s="2598"/>
      <c r="AA49" s="2598"/>
      <c r="AB49" s="2598"/>
      <c r="AC49" s="406"/>
      <c r="AD49" s="685"/>
      <c r="AE49" s="410"/>
      <c r="AF49" s="809"/>
      <c r="AG49" s="1076"/>
      <c r="AH49" s="2404"/>
      <c r="AI49" s="2404"/>
      <c r="AJ49" s="2607"/>
      <c r="AK49" s="927"/>
      <c r="AL49" s="1076"/>
      <c r="AM49" s="927"/>
      <c r="AN49" s="685"/>
      <c r="AO49" s="517"/>
      <c r="AP49" s="413"/>
      <c r="AQ49" s="414"/>
      <c r="AR49" s="812"/>
      <c r="AS49" s="812"/>
      <c r="AT49" s="410"/>
      <c r="AU49" s="982"/>
      <c r="AV49" s="2507"/>
      <c r="AW49" s="820"/>
      <c r="AX49" s="810"/>
      <c r="AY49" s="983"/>
      <c r="AZ49" s="983"/>
      <c r="BA49" s="819"/>
      <c r="BB49" s="820"/>
      <c r="BC49" s="811"/>
      <c r="BD49" s="410"/>
      <c r="BE49" s="410"/>
      <c r="BF49" s="410"/>
      <c r="BG49" s="410"/>
      <c r="BH49" s="974"/>
      <c r="BI49" s="974"/>
      <c r="BJ49" s="410"/>
      <c r="BK49" s="2073"/>
      <c r="BL49" s="410"/>
      <c r="BM49" s="410"/>
      <c r="BN49" s="410"/>
      <c r="BO49" s="685"/>
      <c r="BP49" s="399"/>
      <c r="BR49" s="2500"/>
      <c r="BS49" s="405"/>
      <c r="BT49" s="405"/>
      <c r="BU49" s="405"/>
      <c r="BV49" s="2500"/>
      <c r="BW49" s="405"/>
      <c r="BX49" s="405"/>
      <c r="BY49" s="405"/>
      <c r="BZ49" s="2500"/>
      <c r="CA49" s="405"/>
      <c r="CB49" s="405"/>
      <c r="CC49" s="405"/>
      <c r="CD49" s="2500"/>
      <c r="CE49" s="405"/>
      <c r="CF49" s="404"/>
    </row>
    <row r="50" spans="1:84" ht="13.5" customHeight="1">
      <c r="A50" s="1483"/>
      <c r="B50" s="1483"/>
      <c r="C50" s="985"/>
      <c r="D50" s="2084"/>
      <c r="E50" s="1080"/>
      <c r="F50" s="2082"/>
      <c r="G50" s="912"/>
      <c r="H50" s="912"/>
      <c r="I50" s="2601"/>
      <c r="J50" s="2601"/>
      <c r="K50" s="2602"/>
      <c r="L50" s="2602"/>
      <c r="M50" s="2604"/>
      <c r="N50" s="2593"/>
      <c r="O50" s="2589"/>
      <c r="P50" s="2590"/>
      <c r="Q50" s="2591"/>
      <c r="R50" s="2600"/>
      <c r="S50" s="2592"/>
      <c r="T50" s="2593"/>
      <c r="U50" s="2594"/>
      <c r="V50" s="2595"/>
      <c r="W50" s="2596"/>
      <c r="X50" s="2597"/>
      <c r="Y50" s="2596"/>
      <c r="Z50" s="2598"/>
      <c r="AA50" s="2598"/>
      <c r="AB50" s="2598"/>
      <c r="AC50" s="406"/>
      <c r="AD50" s="685"/>
      <c r="AE50" s="410"/>
      <c r="AF50" s="809"/>
      <c r="AG50" s="1076"/>
      <c r="AH50" s="2404"/>
      <c r="AI50" s="2404"/>
      <c r="AJ50" s="2607"/>
      <c r="AK50" s="927"/>
      <c r="AL50" s="1076"/>
      <c r="AM50" s="927"/>
      <c r="AN50" s="685"/>
      <c r="AO50" s="517"/>
      <c r="AP50" s="413"/>
      <c r="AQ50" s="414"/>
      <c r="AR50" s="812"/>
      <c r="AS50" s="812"/>
      <c r="AT50" s="410"/>
      <c r="AU50" s="982"/>
      <c r="AV50" s="976"/>
      <c r="AW50" s="820"/>
      <c r="AX50" s="810"/>
      <c r="AY50" s="983"/>
      <c r="AZ50" s="983"/>
      <c r="BA50" s="819"/>
      <c r="BB50" s="820"/>
      <c r="BC50" s="811"/>
      <c r="BD50" s="410"/>
      <c r="BE50" s="410"/>
      <c r="BF50" s="410"/>
      <c r="BG50" s="410"/>
      <c r="BH50" s="974"/>
      <c r="BI50" s="974"/>
      <c r="BJ50" s="410"/>
      <c r="BK50" s="2073"/>
      <c r="BL50" s="410"/>
      <c r="BM50" s="410"/>
      <c r="BN50" s="410"/>
      <c r="BO50" s="685"/>
      <c r="BP50" s="399"/>
      <c r="BR50" s="405"/>
      <c r="BS50" s="405"/>
      <c r="BT50" s="405"/>
      <c r="BU50" s="405"/>
      <c r="BV50" s="2500"/>
      <c r="BW50" s="405"/>
      <c r="BX50" s="405"/>
      <c r="BY50" s="405"/>
      <c r="BZ50" s="405"/>
      <c r="CA50" s="405"/>
      <c r="CB50" s="405"/>
      <c r="CC50" s="405"/>
      <c r="CD50" s="2501"/>
      <c r="CE50" s="405"/>
      <c r="CF50" s="404"/>
    </row>
    <row r="51" spans="1:84" ht="13.5" customHeight="1">
      <c r="A51" s="1483"/>
      <c r="B51" s="1483"/>
      <c r="C51" s="985"/>
      <c r="D51" s="2084"/>
      <c r="E51" s="1080"/>
      <c r="F51" s="2082"/>
      <c r="G51" s="912"/>
      <c r="H51" s="912"/>
      <c r="I51" s="2601"/>
      <c r="J51" s="2601"/>
      <c r="K51" s="2602"/>
      <c r="L51" s="2602"/>
      <c r="M51" s="2604"/>
      <c r="N51" s="2593"/>
      <c r="O51" s="2589"/>
      <c r="P51" s="2590"/>
      <c r="Q51" s="2591"/>
      <c r="R51" s="2600"/>
      <c r="S51" s="2592"/>
      <c r="T51" s="2593"/>
      <c r="U51" s="2594"/>
      <c r="V51" s="2595"/>
      <c r="W51" s="2596"/>
      <c r="X51" s="2597"/>
      <c r="Y51" s="2596"/>
      <c r="Z51" s="2598"/>
      <c r="AA51" s="2598"/>
      <c r="AB51" s="2598"/>
      <c r="AC51" s="1076"/>
      <c r="AD51" s="1076"/>
      <c r="AE51" s="410"/>
      <c r="AF51" s="809"/>
      <c r="AG51" s="1076"/>
      <c r="AH51" s="2404"/>
      <c r="AI51" s="2404"/>
      <c r="AJ51" s="2607"/>
      <c r="AK51" s="927"/>
      <c r="AL51" s="1076"/>
      <c r="AM51" s="927"/>
      <c r="AN51" s="685"/>
      <c r="AO51" s="517"/>
      <c r="AP51" s="413"/>
      <c r="AQ51" s="414"/>
      <c r="AR51" s="812"/>
      <c r="AS51" s="812"/>
      <c r="AT51" s="410"/>
      <c r="AU51" s="982"/>
      <c r="AV51" s="976"/>
      <c r="AW51" s="820"/>
      <c r="AX51" s="810"/>
      <c r="AY51" s="983"/>
      <c r="AZ51" s="983"/>
      <c r="BA51" s="819"/>
      <c r="BB51" s="820"/>
      <c r="BC51" s="811"/>
      <c r="BD51" s="410"/>
      <c r="BE51" s="410"/>
      <c r="BF51" s="410"/>
      <c r="BG51" s="410"/>
      <c r="BH51" s="974"/>
      <c r="BI51" s="974"/>
      <c r="BJ51" s="410"/>
      <c r="BK51" s="2073"/>
      <c r="BL51" s="410"/>
      <c r="BM51" s="410"/>
      <c r="BN51" s="410"/>
      <c r="BO51" s="685"/>
      <c r="BP51" s="399"/>
      <c r="BR51" s="405"/>
      <c r="BS51" s="405"/>
      <c r="BT51" s="405"/>
      <c r="BU51" s="405"/>
      <c r="BV51" s="2500"/>
      <c r="BW51" s="405"/>
      <c r="BX51" s="405"/>
      <c r="BY51" s="405"/>
      <c r="BZ51" s="405"/>
      <c r="CA51" s="405"/>
      <c r="CB51" s="405"/>
      <c r="CC51" s="405"/>
      <c r="CD51" s="405"/>
      <c r="CE51" s="405"/>
      <c r="CF51" s="404"/>
    </row>
    <row r="52" spans="1:84" ht="13.5" customHeight="1">
      <c r="A52" s="1483"/>
      <c r="B52" s="1483"/>
      <c r="C52" s="985"/>
      <c r="D52" s="2084"/>
      <c r="E52" s="1080"/>
      <c r="F52" s="2082"/>
      <c r="G52" s="912"/>
      <c r="H52" s="912"/>
      <c r="I52" s="2601"/>
      <c r="J52" s="2601"/>
      <c r="K52" s="2602"/>
      <c r="L52" s="2602"/>
      <c r="M52" s="2604"/>
      <c r="N52" s="2593"/>
      <c r="O52" s="2589"/>
      <c r="P52" s="2590"/>
      <c r="Q52" s="2591"/>
      <c r="R52" s="2600"/>
      <c r="S52" s="2592"/>
      <c r="T52" s="2593"/>
      <c r="U52" s="2594"/>
      <c r="V52" s="2595"/>
      <c r="W52" s="2596"/>
      <c r="X52" s="2597"/>
      <c r="Y52" s="2596"/>
      <c r="Z52" s="2598"/>
      <c r="AA52" s="2598"/>
      <c r="AB52" s="2598"/>
      <c r="AC52" s="1076"/>
      <c r="AD52" s="1076"/>
      <c r="AE52" s="410"/>
      <c r="AF52" s="809"/>
      <c r="AG52" s="1076"/>
      <c r="AH52" s="2404"/>
      <c r="AI52" s="2404"/>
      <c r="AJ52" s="2607"/>
      <c r="AK52" s="927"/>
      <c r="AL52" s="1076"/>
      <c r="AM52" s="927"/>
      <c r="AN52" s="685"/>
      <c r="AO52" s="517"/>
      <c r="AP52" s="413"/>
      <c r="AQ52" s="414"/>
      <c r="AR52" s="812"/>
      <c r="AS52" s="812"/>
      <c r="AT52" s="410"/>
      <c r="AU52" s="982"/>
      <c r="AV52" s="976"/>
      <c r="AW52" s="820"/>
      <c r="AX52" s="810"/>
      <c r="AY52" s="983"/>
      <c r="AZ52" s="983"/>
      <c r="BA52" s="819"/>
      <c r="BB52" s="820"/>
      <c r="BC52" s="811"/>
      <c r="BD52" s="410"/>
      <c r="BE52" s="410"/>
      <c r="BF52" s="410"/>
      <c r="BG52" s="410"/>
      <c r="BH52" s="974"/>
      <c r="BI52" s="974"/>
      <c r="BJ52" s="410"/>
      <c r="BK52" s="2073"/>
      <c r="BL52" s="410"/>
      <c r="BM52" s="410"/>
      <c r="BN52" s="410"/>
      <c r="BO52" s="685"/>
      <c r="BP52" s="399"/>
      <c r="BR52" s="2501"/>
      <c r="BS52" s="405"/>
      <c r="BT52" s="405"/>
      <c r="BU52" s="405"/>
      <c r="BV52" s="2500"/>
      <c r="BW52" s="405"/>
      <c r="BX52" s="405"/>
      <c r="BY52" s="405"/>
      <c r="BZ52" s="405"/>
      <c r="CA52" s="405"/>
      <c r="CB52" s="405"/>
      <c r="CC52" s="405"/>
      <c r="CD52" s="405"/>
      <c r="CE52" s="405"/>
      <c r="CF52" s="404"/>
    </row>
    <row r="53" spans="1:84" ht="13.5" customHeight="1">
      <c r="A53" s="1483"/>
      <c r="B53" s="1483"/>
      <c r="C53" s="985"/>
      <c r="D53" s="2084"/>
      <c r="E53" s="1080"/>
      <c r="F53" s="2082"/>
      <c r="G53" s="912"/>
      <c r="H53" s="912"/>
      <c r="I53" s="2601"/>
      <c r="J53" s="2601"/>
      <c r="K53" s="2602"/>
      <c r="L53" s="2603"/>
      <c r="M53" s="2604"/>
      <c r="N53" s="2593"/>
      <c r="O53" s="2589"/>
      <c r="P53" s="2590"/>
      <c r="Q53" s="2591"/>
      <c r="R53" s="2600"/>
      <c r="S53" s="2592"/>
      <c r="T53" s="2593"/>
      <c r="U53" s="2594"/>
      <c r="V53" s="2595"/>
      <c r="W53" s="2596"/>
      <c r="X53" s="2597"/>
      <c r="Y53" s="2596"/>
      <c r="Z53" s="2598"/>
      <c r="AA53" s="2598"/>
      <c r="AB53" s="2598"/>
      <c r="AC53" s="1076"/>
      <c r="AD53" s="1076"/>
      <c r="AE53" s="410"/>
      <c r="AF53" s="809"/>
      <c r="AG53" s="1076"/>
      <c r="AH53" s="2404"/>
      <c r="AI53" s="2404"/>
      <c r="AJ53" s="2607"/>
      <c r="AK53" s="927"/>
      <c r="AL53" s="1076"/>
      <c r="AM53" s="927"/>
      <c r="AN53" s="685"/>
      <c r="AO53" s="517"/>
      <c r="AP53" s="413"/>
      <c r="AQ53" s="414"/>
      <c r="AR53" s="812"/>
      <c r="AS53" s="812"/>
      <c r="AT53" s="410"/>
      <c r="AU53" s="982"/>
      <c r="AV53" s="976"/>
      <c r="AW53" s="820"/>
      <c r="AX53" s="810"/>
      <c r="AY53" s="983"/>
      <c r="AZ53" s="983"/>
      <c r="BA53" s="819"/>
      <c r="BB53" s="820"/>
      <c r="BC53" s="811"/>
      <c r="BD53" s="410"/>
      <c r="BE53" s="410"/>
      <c r="BF53" s="410"/>
      <c r="BG53" s="410"/>
      <c r="BH53" s="974"/>
      <c r="BI53" s="974"/>
      <c r="BJ53" s="410"/>
      <c r="BK53" s="2073"/>
      <c r="BL53" s="410"/>
      <c r="BM53" s="410"/>
      <c r="BN53" s="410"/>
      <c r="BO53" s="685"/>
      <c r="BP53" s="399"/>
      <c r="BR53" s="405"/>
      <c r="BS53" s="405"/>
      <c r="BT53" s="405"/>
      <c r="BU53" s="405"/>
      <c r="BV53" s="2500"/>
      <c r="BW53" s="405"/>
      <c r="BX53" s="405"/>
      <c r="BY53" s="405"/>
      <c r="BZ53" s="405"/>
      <c r="CA53" s="405"/>
      <c r="CB53" s="405"/>
      <c r="CC53" s="405"/>
      <c r="CD53" s="405"/>
      <c r="CE53" s="405"/>
      <c r="CF53" s="404"/>
    </row>
    <row r="54" spans="1:84" ht="13.5" customHeight="1">
      <c r="A54" s="1483"/>
      <c r="B54" s="1483"/>
      <c r="C54" s="985"/>
      <c r="D54" s="2084"/>
      <c r="E54" s="1080"/>
      <c r="F54" s="2082"/>
      <c r="G54" s="912"/>
      <c r="H54" s="912"/>
      <c r="I54" s="2601"/>
      <c r="J54" s="2601"/>
      <c r="K54" s="2602"/>
      <c r="L54" s="2603"/>
      <c r="M54" s="2604"/>
      <c r="N54" s="2593"/>
      <c r="O54" s="2589"/>
      <c r="P54" s="2590"/>
      <c r="Q54" s="2591"/>
      <c r="R54" s="2600"/>
      <c r="S54" s="2592"/>
      <c r="T54" s="2593"/>
      <c r="U54" s="2594"/>
      <c r="V54" s="2595"/>
      <c r="W54" s="2596"/>
      <c r="X54" s="2597"/>
      <c r="Y54" s="2596"/>
      <c r="Z54" s="2598"/>
      <c r="AA54" s="2598"/>
      <c r="AB54" s="2598"/>
      <c r="AC54" s="1076"/>
      <c r="AD54" s="1076"/>
      <c r="AE54" s="410"/>
      <c r="AF54" s="809"/>
      <c r="AG54" s="1076"/>
      <c r="AH54" s="2404"/>
      <c r="AI54" s="2404"/>
      <c r="AJ54" s="2607"/>
      <c r="AK54" s="927"/>
      <c r="AL54" s="1076"/>
      <c r="AM54" s="927"/>
      <c r="AN54" s="685"/>
      <c r="AO54" s="517"/>
      <c r="AP54" s="413"/>
      <c r="AQ54" s="414"/>
      <c r="AR54" s="812"/>
      <c r="AS54" s="812"/>
      <c r="AT54" s="410"/>
      <c r="AU54" s="982"/>
      <c r="AV54" s="976"/>
      <c r="AW54" s="820"/>
      <c r="AX54" s="810"/>
      <c r="AY54" s="983"/>
      <c r="AZ54" s="983"/>
      <c r="BA54" s="819"/>
      <c r="BB54" s="820"/>
      <c r="BC54" s="811"/>
      <c r="BD54" s="410"/>
      <c r="BE54" s="410"/>
      <c r="BF54" s="410"/>
      <c r="BG54" s="410"/>
      <c r="BH54" s="974"/>
      <c r="BI54" s="974"/>
      <c r="BJ54" s="410"/>
      <c r="BK54" s="2073"/>
      <c r="BL54" s="410"/>
      <c r="BM54" s="410"/>
      <c r="BN54" s="410"/>
      <c r="BO54" s="685"/>
      <c r="BP54" s="399"/>
      <c r="BR54" s="405"/>
      <c r="BS54" s="405"/>
      <c r="BT54" s="405"/>
      <c r="BU54" s="405"/>
      <c r="BV54" s="2500"/>
      <c r="BW54" s="405"/>
      <c r="BX54" s="405"/>
      <c r="BY54" s="405"/>
      <c r="BZ54" s="405"/>
      <c r="CA54" s="405"/>
      <c r="CB54" s="405"/>
      <c r="CC54" s="405"/>
      <c r="CD54" s="405"/>
      <c r="CE54" s="405"/>
      <c r="CF54" s="404"/>
    </row>
    <row r="55" spans="1:84" ht="13.5" customHeight="1">
      <c r="A55" s="1483"/>
      <c r="B55" s="1483"/>
      <c r="C55" s="985"/>
      <c r="D55" s="2084"/>
      <c r="E55" s="1080"/>
      <c r="F55" s="2082"/>
      <c r="G55" s="912"/>
      <c r="H55" s="912"/>
      <c r="I55" s="2601"/>
      <c r="J55" s="2601"/>
      <c r="K55" s="2602"/>
      <c r="L55" s="2603"/>
      <c r="M55" s="2604"/>
      <c r="N55" s="2593"/>
      <c r="O55" s="2589"/>
      <c r="P55" s="2590"/>
      <c r="Q55" s="2591"/>
      <c r="R55" s="2600"/>
      <c r="S55" s="2592"/>
      <c r="T55" s="2593"/>
      <c r="U55" s="2594"/>
      <c r="V55" s="2595"/>
      <c r="W55" s="2596"/>
      <c r="X55" s="2597"/>
      <c r="Y55" s="2596"/>
      <c r="Z55" s="2598"/>
      <c r="AA55" s="2598"/>
      <c r="AB55" s="2598"/>
      <c r="AC55" s="1076"/>
      <c r="AD55" s="1076"/>
      <c r="AE55" s="410"/>
      <c r="AF55" s="809"/>
      <c r="AG55" s="1076"/>
      <c r="AH55" s="2404"/>
      <c r="AI55" s="2404"/>
      <c r="AJ55" s="2607"/>
      <c r="AK55" s="927"/>
      <c r="AL55" s="1076"/>
      <c r="AM55" s="927"/>
      <c r="AN55" s="685"/>
      <c r="AO55" s="517"/>
      <c r="AP55" s="413"/>
      <c r="AQ55" s="414"/>
      <c r="AR55" s="812"/>
      <c r="AS55" s="812"/>
      <c r="AT55" s="410"/>
      <c r="AU55" s="982"/>
      <c r="AV55" s="976"/>
      <c r="AW55" s="820"/>
      <c r="AX55" s="810"/>
      <c r="AY55" s="983"/>
      <c r="AZ55" s="983"/>
      <c r="BA55" s="819"/>
      <c r="BB55" s="820"/>
      <c r="BC55" s="811"/>
      <c r="BD55" s="410"/>
      <c r="BE55" s="410"/>
      <c r="BF55" s="410"/>
      <c r="BG55" s="410"/>
      <c r="BH55" s="974"/>
      <c r="BI55" s="974"/>
      <c r="BJ55" s="410"/>
      <c r="BK55" s="2073"/>
      <c r="BL55" s="410"/>
      <c r="BM55" s="410"/>
      <c r="BN55" s="410"/>
      <c r="BO55" s="685"/>
      <c r="BP55" s="399"/>
      <c r="BR55" s="405"/>
      <c r="BS55" s="405"/>
      <c r="BT55" s="405"/>
      <c r="BU55" s="405"/>
      <c r="BV55" s="2500"/>
      <c r="BW55" s="405"/>
      <c r="BX55" s="405"/>
      <c r="BY55" s="405"/>
      <c r="BZ55" s="405"/>
      <c r="CA55" s="405"/>
      <c r="CB55" s="405"/>
      <c r="CC55" s="405"/>
      <c r="CD55" s="405"/>
      <c r="CE55" s="405"/>
      <c r="CF55" s="404"/>
    </row>
    <row r="56" spans="1:84" ht="13.5" customHeight="1">
      <c r="A56" s="1483"/>
      <c r="B56" s="1483"/>
      <c r="C56" s="985"/>
      <c r="D56" s="2084"/>
      <c r="E56" s="1080"/>
      <c r="F56" s="2082"/>
      <c r="G56" s="912"/>
      <c r="H56" s="912"/>
      <c r="I56" s="2601"/>
      <c r="J56" s="2601"/>
      <c r="K56" s="2602"/>
      <c r="L56" s="2602"/>
      <c r="M56" s="2604"/>
      <c r="N56" s="2593"/>
      <c r="O56" s="2589"/>
      <c r="P56" s="2590"/>
      <c r="Q56" s="2591"/>
      <c r="R56" s="2600"/>
      <c r="S56" s="2592"/>
      <c r="T56" s="2593"/>
      <c r="U56" s="2594"/>
      <c r="V56" s="2595"/>
      <c r="W56" s="2596"/>
      <c r="X56" s="2597"/>
      <c r="Y56" s="2596"/>
      <c r="Z56" s="2598"/>
      <c r="AA56" s="2598"/>
      <c r="AB56" s="2598"/>
      <c r="AC56" s="1076"/>
      <c r="AD56" s="1076"/>
      <c r="AE56" s="410"/>
      <c r="AF56" s="809"/>
      <c r="AG56" s="1076"/>
      <c r="AH56" s="2404"/>
      <c r="AI56" s="2404"/>
      <c r="AJ56" s="2607"/>
      <c r="AK56" s="927"/>
      <c r="AL56" s="1076"/>
      <c r="AM56" s="927"/>
      <c r="AN56" s="685"/>
      <c r="AO56" s="517"/>
      <c r="AP56" s="413"/>
      <c r="AQ56" s="414"/>
      <c r="AR56" s="812"/>
      <c r="AS56" s="812"/>
      <c r="AT56" s="410"/>
      <c r="AU56" s="982"/>
      <c r="AV56" s="976"/>
      <c r="AW56" s="820"/>
      <c r="AX56" s="810"/>
      <c r="AY56" s="983"/>
      <c r="AZ56" s="983"/>
      <c r="BA56" s="819"/>
      <c r="BB56" s="820"/>
      <c r="BC56" s="811"/>
      <c r="BD56" s="410"/>
      <c r="BE56" s="410"/>
      <c r="BF56" s="410"/>
      <c r="BG56" s="410"/>
      <c r="BH56" s="974"/>
      <c r="BI56" s="974"/>
      <c r="BJ56" s="410"/>
      <c r="BK56" s="2073"/>
      <c r="BL56" s="410"/>
      <c r="BM56" s="410"/>
      <c r="BN56" s="410"/>
      <c r="BO56" s="685"/>
      <c r="BP56" s="399"/>
      <c r="BR56" s="405"/>
      <c r="BS56" s="405"/>
      <c r="BT56" s="405"/>
      <c r="BU56" s="405"/>
      <c r="BV56" s="2500"/>
      <c r="BW56" s="405"/>
      <c r="BX56" s="405"/>
      <c r="BY56" s="405"/>
      <c r="BZ56" s="405"/>
      <c r="CA56" s="405"/>
      <c r="CB56" s="405"/>
      <c r="CC56" s="405"/>
      <c r="CD56" s="405"/>
      <c r="CE56" s="405"/>
      <c r="CF56" s="404"/>
    </row>
    <row r="57" spans="1:84" ht="12" customHeight="1">
      <c r="A57" s="1483"/>
      <c r="B57" s="1483"/>
      <c r="C57" s="985"/>
      <c r="D57" s="2084"/>
      <c r="E57" s="1080"/>
      <c r="F57" s="2082"/>
      <c r="G57" s="912"/>
      <c r="H57" s="912"/>
      <c r="I57" s="2601"/>
      <c r="J57" s="2601"/>
      <c r="K57" s="2602"/>
      <c r="L57" s="2602"/>
      <c r="M57" s="2604"/>
      <c r="N57" s="2593"/>
      <c r="O57" s="2589"/>
      <c r="P57" s="2590"/>
      <c r="Q57" s="2591"/>
      <c r="R57" s="2600"/>
      <c r="S57" s="2592"/>
      <c r="T57" s="2593"/>
      <c r="U57" s="2594"/>
      <c r="V57" s="2595"/>
      <c r="W57" s="2596"/>
      <c r="X57" s="2597"/>
      <c r="Y57" s="2596"/>
      <c r="Z57" s="2598"/>
      <c r="AA57" s="2598"/>
      <c r="AB57" s="2598"/>
      <c r="AC57" s="1076"/>
      <c r="AD57" s="1076"/>
      <c r="AE57" s="410"/>
      <c r="AF57" s="809"/>
      <c r="AG57" s="1076"/>
      <c r="AH57" s="2404"/>
      <c r="AI57" s="2404"/>
      <c r="AJ57" s="2607"/>
      <c r="AK57" s="927"/>
      <c r="AL57" s="1076"/>
      <c r="AM57" s="927"/>
      <c r="AN57" s="685"/>
      <c r="AO57" s="517"/>
      <c r="AP57" s="413"/>
      <c r="AQ57" s="414"/>
      <c r="AR57" s="812"/>
      <c r="AS57" s="812"/>
      <c r="AT57" s="410"/>
      <c r="AU57" s="982"/>
      <c r="AV57" s="976"/>
      <c r="AW57" s="820"/>
      <c r="AX57" s="810"/>
      <c r="AY57" s="983"/>
      <c r="AZ57" s="983"/>
      <c r="BA57" s="819"/>
      <c r="BB57" s="820"/>
      <c r="BC57" s="811"/>
      <c r="BD57" s="410"/>
      <c r="BE57" s="410"/>
      <c r="BF57" s="410"/>
      <c r="BG57" s="410"/>
      <c r="BH57" s="974"/>
      <c r="BI57" s="974"/>
      <c r="BJ57" s="410"/>
      <c r="BK57" s="2073"/>
      <c r="BL57" s="410"/>
      <c r="BM57" s="410"/>
      <c r="BN57" s="410"/>
      <c r="BO57" s="685"/>
      <c r="BP57" s="399"/>
      <c r="BR57" s="405"/>
      <c r="BS57" s="405"/>
      <c r="BT57" s="405"/>
      <c r="BU57" s="405"/>
      <c r="BV57" s="2500"/>
      <c r="BW57" s="405"/>
      <c r="BX57" s="405"/>
      <c r="BY57" s="405"/>
      <c r="BZ57" s="405"/>
      <c r="CA57" s="405"/>
      <c r="CB57" s="405"/>
      <c r="CC57" s="405"/>
      <c r="CD57" s="405"/>
      <c r="CE57" s="405"/>
      <c r="CF57" s="404"/>
    </row>
    <row r="58" spans="1:84" ht="13.5" customHeight="1">
      <c r="A58" s="1483"/>
      <c r="B58" s="1483"/>
      <c r="C58" s="985"/>
      <c r="D58" s="2084"/>
      <c r="E58" s="1080"/>
      <c r="F58" s="2082"/>
      <c r="G58" s="912"/>
      <c r="H58" s="912"/>
      <c r="I58" s="2601"/>
      <c r="J58" s="2601"/>
      <c r="K58" s="2602"/>
      <c r="L58" s="2602"/>
      <c r="M58" s="2604"/>
      <c r="N58" s="2593"/>
      <c r="O58" s="2589"/>
      <c r="P58" s="2590"/>
      <c r="Q58" s="2591"/>
      <c r="R58" s="2600"/>
      <c r="S58" s="2592"/>
      <c r="T58" s="2593"/>
      <c r="U58" s="2594"/>
      <c r="V58" s="2595"/>
      <c r="W58" s="2596"/>
      <c r="X58" s="2597"/>
      <c r="Y58" s="2596"/>
      <c r="Z58" s="2598"/>
      <c r="AA58" s="2598"/>
      <c r="AB58" s="2598"/>
      <c r="AC58" s="1076"/>
      <c r="AD58" s="1076"/>
      <c r="AE58" s="410"/>
      <c r="AF58" s="809"/>
      <c r="AG58" s="1076"/>
      <c r="AH58" s="2404"/>
      <c r="AI58" s="2404"/>
      <c r="AJ58" s="2607"/>
      <c r="AK58" s="927"/>
      <c r="AL58" s="1076"/>
      <c r="AM58" s="927"/>
      <c r="AN58" s="685"/>
      <c r="AO58" s="517"/>
      <c r="AP58" s="413"/>
      <c r="AQ58" s="414"/>
      <c r="AR58" s="812"/>
      <c r="AS58" s="812"/>
      <c r="AT58" s="410"/>
      <c r="AU58" s="982"/>
      <c r="AV58" s="976"/>
      <c r="AW58" s="820"/>
      <c r="AX58" s="810"/>
      <c r="AY58" s="983"/>
      <c r="AZ58" s="983"/>
      <c r="BA58" s="819"/>
      <c r="BB58" s="820"/>
      <c r="BC58" s="811"/>
      <c r="BD58" s="410"/>
      <c r="BE58" s="410"/>
      <c r="BF58" s="410"/>
      <c r="BG58" s="410"/>
      <c r="BH58" s="974"/>
      <c r="BI58" s="974"/>
      <c r="BJ58" s="410"/>
      <c r="BK58" s="2073"/>
      <c r="BL58" s="410"/>
      <c r="BM58" s="410"/>
      <c r="BN58" s="410"/>
      <c r="BO58" s="685"/>
      <c r="BP58" s="399"/>
      <c r="BR58" s="405"/>
      <c r="BS58" s="405"/>
      <c r="BT58" s="405"/>
      <c r="BU58" s="405"/>
      <c r="BV58" s="2500"/>
      <c r="BW58" s="405"/>
      <c r="BX58" s="405"/>
      <c r="BY58" s="405"/>
      <c r="BZ58" s="405"/>
      <c r="CA58" s="405"/>
      <c r="CB58" s="405"/>
      <c r="CC58" s="405"/>
      <c r="CD58" s="405"/>
      <c r="CE58" s="405"/>
      <c r="CF58" s="404"/>
    </row>
    <row r="59" spans="1:84" ht="13.5" customHeight="1">
      <c r="A59" s="1483"/>
      <c r="B59" s="1483"/>
      <c r="C59" s="985"/>
      <c r="D59" s="2084"/>
      <c r="E59" s="1080"/>
      <c r="F59" s="2082"/>
      <c r="G59" s="912"/>
      <c r="H59" s="912"/>
      <c r="I59" s="2601"/>
      <c r="J59" s="2601"/>
      <c r="K59" s="2602"/>
      <c r="L59" s="2602"/>
      <c r="M59" s="2604"/>
      <c r="N59" s="2593"/>
      <c r="O59" s="2589"/>
      <c r="P59" s="2590"/>
      <c r="Q59" s="2591"/>
      <c r="R59" s="2600"/>
      <c r="S59" s="2592"/>
      <c r="T59" s="2593"/>
      <c r="U59" s="2594"/>
      <c r="V59" s="2595"/>
      <c r="W59" s="2596"/>
      <c r="X59" s="2597"/>
      <c r="Y59" s="2596"/>
      <c r="Z59" s="2598"/>
      <c r="AA59" s="2598"/>
      <c r="AB59" s="2598"/>
      <c r="AC59" s="1076"/>
      <c r="AD59" s="1076"/>
      <c r="AE59" s="410"/>
      <c r="AF59" s="809"/>
      <c r="AG59" s="1076"/>
      <c r="AH59" s="2404"/>
      <c r="AI59" s="2404"/>
      <c r="AJ59" s="2607"/>
      <c r="AK59" s="927"/>
      <c r="AL59" s="1076"/>
      <c r="AM59" s="927"/>
      <c r="AN59" s="685"/>
      <c r="AO59" s="517"/>
      <c r="AP59" s="413"/>
      <c r="AQ59" s="414"/>
      <c r="AR59" s="812"/>
      <c r="AS59" s="812"/>
      <c r="AT59" s="410"/>
      <c r="AU59" s="982"/>
      <c r="AV59" s="976"/>
      <c r="AW59" s="820"/>
      <c r="AX59" s="810"/>
      <c r="AY59" s="983"/>
      <c r="AZ59" s="983"/>
      <c r="BA59" s="819"/>
      <c r="BB59" s="820"/>
      <c r="BC59" s="811"/>
      <c r="BD59" s="410"/>
      <c r="BE59" s="410"/>
      <c r="BF59" s="410"/>
      <c r="BG59" s="410"/>
      <c r="BH59" s="974"/>
      <c r="BI59" s="974"/>
      <c r="BJ59" s="410"/>
      <c r="BK59" s="2073"/>
      <c r="BL59" s="410"/>
      <c r="BM59" s="410"/>
      <c r="BN59" s="410"/>
      <c r="BO59" s="685"/>
      <c r="BP59" s="399"/>
      <c r="BR59" s="405"/>
      <c r="BS59" s="405"/>
      <c r="BT59" s="405"/>
      <c r="BU59" s="405"/>
      <c r="BV59" s="2500"/>
      <c r="BW59" s="405"/>
      <c r="BX59" s="405"/>
      <c r="BY59" s="405"/>
      <c r="BZ59" s="405"/>
      <c r="CA59" s="405"/>
      <c r="CB59" s="405"/>
      <c r="CC59" s="405"/>
      <c r="CD59" s="405"/>
      <c r="CE59" s="405"/>
      <c r="CF59" s="404"/>
    </row>
    <row r="60" spans="1:84" ht="13.5" customHeight="1">
      <c r="A60" s="1483"/>
      <c r="B60" s="1483"/>
      <c r="C60" s="985"/>
      <c r="D60" s="2084"/>
      <c r="E60" s="1080"/>
      <c r="F60" s="2082"/>
      <c r="G60" s="912"/>
      <c r="H60" s="912"/>
      <c r="I60" s="2601"/>
      <c r="J60" s="2601"/>
      <c r="K60" s="2602"/>
      <c r="L60" s="2602"/>
      <c r="M60" s="2604"/>
      <c r="N60" s="2593"/>
      <c r="O60" s="2589"/>
      <c r="P60" s="2590"/>
      <c r="Q60" s="2591"/>
      <c r="R60" s="2600"/>
      <c r="S60" s="2592"/>
      <c r="T60" s="2593"/>
      <c r="U60" s="2594"/>
      <c r="V60" s="2595"/>
      <c r="W60" s="2596"/>
      <c r="X60" s="2597"/>
      <c r="Y60" s="2596"/>
      <c r="Z60" s="2598"/>
      <c r="AA60" s="2598"/>
      <c r="AB60" s="2598"/>
      <c r="AC60" s="1076"/>
      <c r="AD60" s="1076"/>
      <c r="AE60" s="410"/>
      <c r="AF60" s="809"/>
      <c r="AG60" s="1076"/>
      <c r="AH60" s="2404"/>
      <c r="AI60" s="2404"/>
      <c r="AJ60" s="2607"/>
      <c r="AK60" s="927"/>
      <c r="AL60" s="1076"/>
      <c r="AM60" s="927"/>
      <c r="AN60" s="685"/>
      <c r="AO60" s="517"/>
      <c r="AP60" s="413"/>
      <c r="AQ60" s="414"/>
      <c r="AR60" s="812"/>
      <c r="AS60" s="812"/>
      <c r="AT60" s="410"/>
      <c r="AU60" s="982"/>
      <c r="AV60" s="976"/>
      <c r="AW60" s="820"/>
      <c r="AX60" s="810"/>
      <c r="AY60" s="983"/>
      <c r="AZ60" s="983"/>
      <c r="BA60" s="819"/>
      <c r="BB60" s="820"/>
      <c r="BC60" s="811"/>
      <c r="BD60" s="410"/>
      <c r="BE60" s="410"/>
      <c r="BF60" s="410"/>
      <c r="BG60" s="410"/>
      <c r="BH60" s="974"/>
      <c r="BI60" s="974"/>
      <c r="BJ60" s="410"/>
      <c r="BK60" s="2073"/>
      <c r="BL60" s="410"/>
      <c r="BM60" s="410"/>
      <c r="BN60" s="410"/>
      <c r="BO60" s="685"/>
      <c r="BP60" s="399"/>
      <c r="BR60" s="405"/>
      <c r="BS60" s="405"/>
      <c r="BT60" s="405"/>
      <c r="BU60" s="405"/>
      <c r="BV60" s="2500"/>
      <c r="BW60" s="405"/>
      <c r="BX60" s="405"/>
      <c r="BY60" s="405"/>
      <c r="BZ60" s="405"/>
      <c r="CA60" s="405"/>
      <c r="CB60" s="405"/>
      <c r="CC60" s="405"/>
      <c r="CD60" s="405"/>
      <c r="CE60" s="405"/>
      <c r="CF60" s="404"/>
    </row>
    <row r="61" spans="1:84" ht="13.5" customHeight="1">
      <c r="A61" s="1483"/>
      <c r="B61" s="1483"/>
      <c r="C61" s="985"/>
      <c r="D61" s="2084"/>
      <c r="E61" s="1080"/>
      <c r="F61" s="2082"/>
      <c r="G61" s="912"/>
      <c r="H61" s="912"/>
      <c r="I61" s="2601"/>
      <c r="J61" s="2601"/>
      <c r="K61" s="2602"/>
      <c r="L61" s="2602"/>
      <c r="M61" s="2604"/>
      <c r="N61" s="2593"/>
      <c r="O61" s="2589"/>
      <c r="P61" s="2590"/>
      <c r="Q61" s="2591"/>
      <c r="R61" s="2600"/>
      <c r="S61" s="2592"/>
      <c r="T61" s="2593"/>
      <c r="U61" s="2594"/>
      <c r="V61" s="2595"/>
      <c r="W61" s="2596"/>
      <c r="X61" s="2597"/>
      <c r="Y61" s="2596"/>
      <c r="Z61" s="2598"/>
      <c r="AA61" s="2598"/>
      <c r="AB61" s="2598"/>
      <c r="AC61" s="1076"/>
      <c r="AD61" s="1076"/>
      <c r="AE61" s="410"/>
      <c r="AF61" s="809"/>
      <c r="AG61" s="1076"/>
      <c r="AH61" s="2404"/>
      <c r="AI61" s="2404"/>
      <c r="AJ61" s="2607"/>
      <c r="AK61" s="927"/>
      <c r="AL61" s="1076"/>
      <c r="AM61" s="927"/>
      <c r="AN61" s="685"/>
      <c r="AO61" s="517"/>
      <c r="AP61" s="413"/>
      <c r="AQ61" s="414"/>
      <c r="AR61" s="812"/>
      <c r="AS61" s="812"/>
      <c r="AT61" s="410"/>
      <c r="AU61" s="982"/>
      <c r="AV61" s="976"/>
      <c r="AW61" s="820"/>
      <c r="AX61" s="810"/>
      <c r="AY61" s="983"/>
      <c r="AZ61" s="983"/>
      <c r="BA61" s="819"/>
      <c r="BB61" s="820"/>
      <c r="BC61" s="811"/>
      <c r="BD61" s="410"/>
      <c r="BE61" s="410"/>
      <c r="BF61" s="410"/>
      <c r="BG61" s="410"/>
      <c r="BH61" s="974"/>
      <c r="BI61" s="974"/>
      <c r="BJ61" s="410"/>
      <c r="BK61" s="2073"/>
      <c r="BL61" s="410"/>
      <c r="BM61" s="410"/>
      <c r="BN61" s="410"/>
      <c r="BO61" s="685"/>
      <c r="BP61" s="399"/>
      <c r="BR61" s="405"/>
      <c r="BS61" s="405"/>
      <c r="BT61" s="405"/>
      <c r="BU61" s="405"/>
      <c r="BV61" s="405"/>
      <c r="BW61" s="405"/>
      <c r="BX61" s="405"/>
      <c r="BY61" s="405"/>
      <c r="BZ61" s="405"/>
      <c r="CA61" s="405"/>
      <c r="CB61" s="405"/>
      <c r="CC61" s="405"/>
      <c r="CD61" s="405"/>
      <c r="CE61" s="405"/>
      <c r="CF61" s="404"/>
    </row>
    <row r="62" spans="1:84" ht="13.5" customHeight="1">
      <c r="A62" s="1483"/>
      <c r="B62" s="1483"/>
      <c r="C62" s="985"/>
      <c r="D62" s="2084"/>
      <c r="E62" s="1080"/>
      <c r="F62" s="2082"/>
      <c r="G62" s="912"/>
      <c r="H62" s="912"/>
      <c r="I62" s="2601"/>
      <c r="J62" s="2601"/>
      <c r="K62" s="2602"/>
      <c r="L62" s="2603"/>
      <c r="M62" s="2604"/>
      <c r="N62" s="2593"/>
      <c r="O62" s="2589"/>
      <c r="P62" s="2590"/>
      <c r="Q62" s="2591"/>
      <c r="R62" s="2600"/>
      <c r="S62" s="2592"/>
      <c r="T62" s="2593"/>
      <c r="U62" s="2594"/>
      <c r="V62" s="2595"/>
      <c r="W62" s="2596"/>
      <c r="X62" s="2597"/>
      <c r="Y62" s="2596"/>
      <c r="Z62" s="2598"/>
      <c r="AA62" s="2598"/>
      <c r="AB62" s="2598"/>
      <c r="AC62" s="1076"/>
      <c r="AD62" s="1076"/>
      <c r="AE62" s="410"/>
      <c r="AF62" s="809"/>
      <c r="AG62" s="1076"/>
      <c r="AH62" s="2404"/>
      <c r="AI62" s="2404"/>
      <c r="AJ62" s="2607"/>
      <c r="AK62" s="927"/>
      <c r="AL62" s="1076"/>
      <c r="AM62" s="927"/>
      <c r="AN62" s="685"/>
      <c r="AO62" s="517"/>
      <c r="AP62" s="413"/>
      <c r="AQ62" s="414"/>
      <c r="AR62" s="812"/>
      <c r="AS62" s="812"/>
      <c r="AT62" s="410"/>
      <c r="AU62" s="982"/>
      <c r="AV62" s="976"/>
      <c r="AW62" s="820"/>
      <c r="AX62" s="810"/>
      <c r="AY62" s="983"/>
      <c r="AZ62" s="983"/>
      <c r="BA62" s="819"/>
      <c r="BB62" s="820"/>
      <c r="BC62" s="811"/>
      <c r="BD62" s="410"/>
      <c r="BE62" s="410"/>
      <c r="BF62" s="410"/>
      <c r="BG62" s="410"/>
      <c r="BH62" s="974"/>
      <c r="BI62" s="974"/>
      <c r="BJ62" s="410"/>
      <c r="BK62" s="2073"/>
      <c r="BL62" s="410"/>
      <c r="BM62" s="410"/>
      <c r="BN62" s="410"/>
      <c r="BO62" s="685"/>
      <c r="BP62" s="399"/>
      <c r="BR62" s="405"/>
      <c r="BS62" s="405"/>
      <c r="BT62" s="405"/>
      <c r="BU62" s="405"/>
      <c r="BV62" s="405"/>
      <c r="BW62" s="405"/>
      <c r="BX62" s="405"/>
      <c r="BY62" s="405"/>
      <c r="BZ62" s="405"/>
      <c r="CA62" s="405"/>
      <c r="CB62" s="405"/>
      <c r="CC62" s="405"/>
      <c r="CD62" s="405"/>
      <c r="CE62" s="405"/>
      <c r="CF62" s="404"/>
    </row>
    <row r="63" spans="1:84" ht="13.5" customHeight="1">
      <c r="A63" s="1483"/>
      <c r="B63" s="1483"/>
      <c r="C63" s="985"/>
      <c r="D63" s="2084"/>
      <c r="E63" s="1080"/>
      <c r="F63" s="2082"/>
      <c r="G63" s="912"/>
      <c r="H63" s="912"/>
      <c r="I63" s="2601"/>
      <c r="J63" s="2601"/>
      <c r="K63" s="2602"/>
      <c r="L63" s="2602"/>
      <c r="M63" s="2604"/>
      <c r="N63" s="2593"/>
      <c r="O63" s="2589"/>
      <c r="P63" s="2590"/>
      <c r="Q63" s="2591"/>
      <c r="R63" s="2600"/>
      <c r="S63" s="2592"/>
      <c r="T63" s="2593"/>
      <c r="U63" s="2594"/>
      <c r="V63" s="2595"/>
      <c r="W63" s="2596"/>
      <c r="X63" s="2597"/>
      <c r="Y63" s="2596"/>
      <c r="Z63" s="2598"/>
      <c r="AA63" s="2598"/>
      <c r="AB63" s="2598"/>
      <c r="AC63" s="1076"/>
      <c r="AD63" s="1076"/>
      <c r="AE63" s="410"/>
      <c r="AF63" s="809"/>
      <c r="AG63" s="1076"/>
      <c r="AH63" s="2404"/>
      <c r="AI63" s="2404"/>
      <c r="AJ63" s="2607"/>
      <c r="AK63" s="927"/>
      <c r="AL63" s="1076"/>
      <c r="AM63" s="927"/>
      <c r="AN63" s="685"/>
      <c r="AO63" s="517"/>
      <c r="AP63" s="413"/>
      <c r="AQ63" s="414"/>
      <c r="AR63" s="812"/>
      <c r="AS63" s="812"/>
      <c r="AT63" s="410"/>
      <c r="AU63" s="982"/>
      <c r="AV63" s="976"/>
      <c r="AW63" s="820"/>
      <c r="AX63" s="810"/>
      <c r="AY63" s="983"/>
      <c r="AZ63" s="983"/>
      <c r="BA63" s="819"/>
      <c r="BB63" s="820"/>
      <c r="BC63" s="811"/>
      <c r="BD63" s="410"/>
      <c r="BE63" s="410"/>
      <c r="BF63" s="410"/>
      <c r="BG63" s="410"/>
      <c r="BH63" s="974"/>
      <c r="BI63" s="974"/>
      <c r="BJ63" s="410"/>
      <c r="BK63" s="2073"/>
      <c r="BL63" s="410"/>
      <c r="BM63" s="410"/>
      <c r="BN63" s="410"/>
      <c r="BO63" s="685"/>
      <c r="BP63" s="399"/>
      <c r="BR63" s="405"/>
      <c r="BS63" s="405"/>
      <c r="BT63" s="405"/>
      <c r="BU63" s="405"/>
      <c r="BV63" s="405"/>
      <c r="BW63" s="405"/>
      <c r="BX63" s="405"/>
      <c r="BY63" s="405"/>
      <c r="BZ63" s="405"/>
      <c r="CA63" s="405"/>
      <c r="CB63" s="405"/>
      <c r="CC63" s="405"/>
      <c r="CD63" s="2501"/>
      <c r="CE63" s="405"/>
      <c r="CF63" s="404"/>
    </row>
    <row r="64" spans="1:84" ht="13.5" customHeight="1">
      <c r="A64" s="1483"/>
      <c r="B64" s="1483"/>
      <c r="C64" s="985"/>
      <c r="D64" s="2084"/>
      <c r="E64" s="1080"/>
      <c r="F64" s="2082"/>
      <c r="G64" s="912"/>
      <c r="H64" s="912"/>
      <c r="I64" s="2601"/>
      <c r="J64" s="2601"/>
      <c r="K64" s="2602"/>
      <c r="L64" s="2602"/>
      <c r="M64" s="2604"/>
      <c r="N64" s="2593"/>
      <c r="O64" s="2589"/>
      <c r="P64" s="2590"/>
      <c r="Q64" s="2591"/>
      <c r="R64" s="2600"/>
      <c r="S64" s="2592"/>
      <c r="T64" s="2593"/>
      <c r="U64" s="2594"/>
      <c r="V64" s="2595"/>
      <c r="W64" s="2596"/>
      <c r="X64" s="2597"/>
      <c r="Y64" s="2596"/>
      <c r="Z64" s="2598"/>
      <c r="AA64" s="2598"/>
      <c r="AB64" s="2598"/>
      <c r="AC64" s="1076"/>
      <c r="AD64" s="1076"/>
      <c r="AE64" s="410"/>
      <c r="AF64" s="809"/>
      <c r="AG64" s="1076"/>
      <c r="AH64" s="2404"/>
      <c r="AI64" s="2404"/>
      <c r="AJ64" s="2607"/>
      <c r="AK64" s="927"/>
      <c r="AL64" s="1076"/>
      <c r="AM64" s="927"/>
      <c r="AN64" s="685"/>
      <c r="AO64" s="517"/>
      <c r="AP64" s="413"/>
      <c r="AQ64" s="414"/>
      <c r="AR64" s="812"/>
      <c r="AS64" s="812"/>
      <c r="AT64" s="410"/>
      <c r="AU64" s="982"/>
      <c r="AV64" s="976"/>
      <c r="AW64" s="820"/>
      <c r="AX64" s="810"/>
      <c r="AY64" s="983"/>
      <c r="AZ64" s="983"/>
      <c r="BA64" s="819"/>
      <c r="BB64" s="820"/>
      <c r="BC64" s="811"/>
      <c r="BD64" s="410"/>
      <c r="BE64" s="410"/>
      <c r="BF64" s="410"/>
      <c r="BG64" s="410"/>
      <c r="BH64" s="974"/>
      <c r="BI64" s="974"/>
      <c r="BJ64" s="410"/>
      <c r="BK64" s="2073"/>
      <c r="BL64" s="410"/>
      <c r="BM64" s="410"/>
      <c r="BN64" s="410"/>
      <c r="BO64" s="685"/>
      <c r="BP64" s="399"/>
      <c r="BR64" s="405"/>
      <c r="BS64" s="405"/>
      <c r="BT64" s="405"/>
      <c r="BU64" s="405"/>
      <c r="BV64" s="405"/>
      <c r="BW64" s="405"/>
      <c r="BX64" s="405"/>
      <c r="BY64" s="405"/>
      <c r="BZ64" s="405"/>
      <c r="CA64" s="405"/>
      <c r="CB64" s="405"/>
      <c r="CC64" s="405"/>
      <c r="CD64" s="405"/>
      <c r="CE64" s="405"/>
      <c r="CF64" s="404"/>
    </row>
    <row r="65" spans="1:84" ht="13.5" customHeight="1">
      <c r="A65" s="1483"/>
      <c r="B65" s="1483"/>
      <c r="C65" s="985"/>
      <c r="D65" s="2084"/>
      <c r="E65" s="1080"/>
      <c r="F65" s="2082"/>
      <c r="G65" s="912"/>
      <c r="H65" s="912"/>
      <c r="I65" s="2601"/>
      <c r="J65" s="2601"/>
      <c r="K65" s="2602"/>
      <c r="L65" s="2602"/>
      <c r="M65" s="2604"/>
      <c r="N65" s="2593"/>
      <c r="O65" s="2589"/>
      <c r="P65" s="2590"/>
      <c r="Q65" s="2591"/>
      <c r="R65" s="2600"/>
      <c r="S65" s="2592"/>
      <c r="T65" s="2593"/>
      <c r="U65" s="2594"/>
      <c r="V65" s="2595"/>
      <c r="W65" s="2596"/>
      <c r="X65" s="2597"/>
      <c r="Y65" s="2596"/>
      <c r="Z65" s="2598"/>
      <c r="AA65" s="2598"/>
      <c r="AB65" s="2598"/>
      <c r="AC65" s="1076"/>
      <c r="AD65" s="1076"/>
      <c r="AE65" s="410"/>
      <c r="AF65" s="809"/>
      <c r="AG65" s="1076"/>
      <c r="AH65" s="2404"/>
      <c r="AI65" s="2404"/>
      <c r="AJ65" s="2607"/>
      <c r="AK65" s="927"/>
      <c r="AL65" s="1076"/>
      <c r="AM65" s="927"/>
      <c r="AN65" s="685"/>
      <c r="AO65" s="517"/>
      <c r="AP65" s="413"/>
      <c r="AQ65" s="414"/>
      <c r="AR65" s="812"/>
      <c r="AS65" s="812"/>
      <c r="AT65" s="410"/>
      <c r="AU65" s="982"/>
      <c r="AV65" s="976"/>
      <c r="AW65" s="820"/>
      <c r="AX65" s="810"/>
      <c r="AY65" s="983"/>
      <c r="AZ65" s="983"/>
      <c r="BA65" s="819"/>
      <c r="BB65" s="820"/>
      <c r="BC65" s="811"/>
      <c r="BD65" s="410"/>
      <c r="BE65" s="410"/>
      <c r="BF65" s="410"/>
      <c r="BG65" s="410"/>
      <c r="BH65" s="974"/>
      <c r="BI65" s="974"/>
      <c r="BJ65" s="410"/>
      <c r="BK65" s="2073"/>
      <c r="BL65" s="410"/>
      <c r="BM65" s="410"/>
      <c r="BN65" s="410"/>
      <c r="BO65" s="685"/>
      <c r="BP65" s="399"/>
      <c r="BR65" s="405"/>
      <c r="BS65" s="405"/>
      <c r="BT65" s="405"/>
      <c r="BU65" s="405"/>
      <c r="BV65" s="405"/>
      <c r="BW65" s="405"/>
      <c r="BX65" s="405"/>
      <c r="BY65" s="405"/>
      <c r="BZ65" s="405"/>
      <c r="CA65" s="405"/>
      <c r="CB65" s="405"/>
      <c r="CC65" s="405"/>
      <c r="CD65" s="405"/>
      <c r="CE65" s="405"/>
      <c r="CF65" s="404"/>
    </row>
    <row r="66" spans="1:84" ht="13.5" customHeight="1">
      <c r="A66" s="1483"/>
      <c r="B66" s="1483"/>
      <c r="C66" s="985"/>
      <c r="D66" s="2084"/>
      <c r="E66" s="1080"/>
      <c r="F66" s="2082"/>
      <c r="G66" s="912"/>
      <c r="H66" s="912"/>
      <c r="I66" s="2601"/>
      <c r="J66" s="2601"/>
      <c r="K66" s="2602"/>
      <c r="L66" s="2602"/>
      <c r="M66" s="2604"/>
      <c r="N66" s="2593"/>
      <c r="O66" s="2589"/>
      <c r="P66" s="2590"/>
      <c r="Q66" s="2591"/>
      <c r="R66" s="2600"/>
      <c r="S66" s="2592"/>
      <c r="T66" s="2593"/>
      <c r="U66" s="2594"/>
      <c r="V66" s="2595"/>
      <c r="W66" s="2596"/>
      <c r="X66" s="2597"/>
      <c r="Y66" s="2596"/>
      <c r="Z66" s="2598"/>
      <c r="AA66" s="2598"/>
      <c r="AB66" s="2598"/>
      <c r="AC66" s="1076"/>
      <c r="AD66" s="1076"/>
      <c r="AE66" s="410"/>
      <c r="AF66" s="809"/>
      <c r="AG66" s="1076"/>
      <c r="AH66" s="2404"/>
      <c r="AI66" s="2404"/>
      <c r="AJ66" s="2607"/>
      <c r="AK66" s="927"/>
      <c r="AL66" s="1076"/>
      <c r="AM66" s="927"/>
      <c r="AN66" s="685"/>
      <c r="AO66" s="517"/>
      <c r="AP66" s="413"/>
      <c r="AQ66" s="414"/>
      <c r="AR66" s="812"/>
      <c r="AS66" s="812"/>
      <c r="AT66" s="410"/>
      <c r="AU66" s="982"/>
      <c r="AV66" s="976"/>
      <c r="AW66" s="820"/>
      <c r="AX66" s="810"/>
      <c r="AY66" s="983"/>
      <c r="AZ66" s="983"/>
      <c r="BA66" s="819"/>
      <c r="BB66" s="820"/>
      <c r="BC66" s="811"/>
      <c r="BD66" s="410"/>
      <c r="BE66" s="410"/>
      <c r="BF66" s="410"/>
      <c r="BG66" s="410"/>
      <c r="BH66" s="974"/>
      <c r="BI66" s="974"/>
      <c r="BJ66" s="410"/>
      <c r="BK66" s="2073"/>
      <c r="BL66" s="410"/>
      <c r="BM66" s="410"/>
      <c r="BN66" s="410"/>
      <c r="BO66" s="685"/>
      <c r="BP66" s="399"/>
      <c r="BR66" s="405"/>
      <c r="BS66" s="405"/>
      <c r="BT66" s="405"/>
      <c r="BU66" s="405"/>
      <c r="BV66" s="405"/>
      <c r="BW66" s="405"/>
      <c r="BX66" s="405"/>
      <c r="BY66" s="405"/>
      <c r="BZ66" s="405"/>
      <c r="CA66" s="405"/>
      <c r="CB66" s="405"/>
      <c r="CC66" s="405"/>
      <c r="CD66" s="405"/>
      <c r="CE66" s="405"/>
      <c r="CF66" s="404"/>
    </row>
    <row r="67" spans="1:84" ht="13.5" customHeight="1">
      <c r="A67" s="1483"/>
      <c r="B67" s="1483"/>
      <c r="C67" s="985"/>
      <c r="D67" s="2084"/>
      <c r="E67" s="1080"/>
      <c r="F67" s="2082"/>
      <c r="G67" s="912"/>
      <c r="H67" s="912"/>
      <c r="I67" s="2601"/>
      <c r="J67" s="2601"/>
      <c r="K67" s="2602"/>
      <c r="L67" s="2603"/>
      <c r="M67" s="2604"/>
      <c r="N67" s="2593"/>
      <c r="O67" s="2589"/>
      <c r="P67" s="2590"/>
      <c r="Q67" s="2591"/>
      <c r="R67" s="2600"/>
      <c r="S67" s="2592"/>
      <c r="T67" s="2593"/>
      <c r="U67" s="2594"/>
      <c r="V67" s="2595"/>
      <c r="W67" s="2596"/>
      <c r="X67" s="2597"/>
      <c r="Y67" s="2596"/>
      <c r="Z67" s="2598"/>
      <c r="AA67" s="2598"/>
      <c r="AB67" s="2598"/>
      <c r="AC67" s="1076"/>
      <c r="AD67" s="1076"/>
      <c r="AE67" s="410"/>
      <c r="AF67" s="809"/>
      <c r="AG67" s="1076"/>
      <c r="AH67" s="2404"/>
      <c r="AI67" s="2404"/>
      <c r="AJ67" s="2607"/>
      <c r="AK67" s="927"/>
      <c r="AL67" s="1076"/>
      <c r="AM67" s="927"/>
      <c r="AN67" s="685"/>
      <c r="AO67" s="517"/>
      <c r="AP67" s="413"/>
      <c r="AQ67" s="414"/>
      <c r="AR67" s="812"/>
      <c r="AS67" s="812"/>
      <c r="AT67" s="410"/>
      <c r="AU67" s="982"/>
      <c r="AV67" s="976"/>
      <c r="AW67" s="820"/>
      <c r="AX67" s="810"/>
      <c r="AY67" s="983"/>
      <c r="AZ67" s="983"/>
      <c r="BA67" s="819"/>
      <c r="BB67" s="820"/>
      <c r="BC67" s="811"/>
      <c r="BD67" s="410"/>
      <c r="BE67" s="410"/>
      <c r="BF67" s="410"/>
      <c r="BG67" s="410"/>
      <c r="BH67" s="974"/>
      <c r="BI67" s="974"/>
      <c r="BJ67" s="410"/>
      <c r="BK67" s="2073"/>
      <c r="BL67" s="410"/>
      <c r="BM67" s="410"/>
      <c r="BN67" s="410"/>
      <c r="BO67" s="685"/>
      <c r="BP67" s="399"/>
      <c r="BR67" s="405"/>
      <c r="BS67" s="405"/>
      <c r="BT67" s="405"/>
      <c r="BU67" s="405"/>
      <c r="BV67" s="405"/>
      <c r="BW67" s="405"/>
      <c r="BX67" s="405"/>
      <c r="BY67" s="405"/>
      <c r="BZ67" s="405"/>
      <c r="CA67" s="405"/>
      <c r="CB67" s="405"/>
      <c r="CC67" s="405"/>
      <c r="CD67" s="405"/>
      <c r="CE67" s="405"/>
      <c r="CF67" s="404"/>
    </row>
    <row r="68" spans="1:84" ht="13.5" customHeight="1">
      <c r="A68" s="1483"/>
      <c r="B68" s="1483"/>
      <c r="C68" s="985"/>
      <c r="D68" s="2084"/>
      <c r="E68" s="1080"/>
      <c r="F68" s="2082"/>
      <c r="G68" s="912"/>
      <c r="H68" s="912"/>
      <c r="I68" s="2601"/>
      <c r="J68" s="2601"/>
      <c r="K68" s="2602"/>
      <c r="L68" s="2603"/>
      <c r="M68" s="2604"/>
      <c r="N68" s="2593"/>
      <c r="O68" s="2589"/>
      <c r="P68" s="2590"/>
      <c r="Q68" s="2591"/>
      <c r="R68" s="2600"/>
      <c r="S68" s="2592"/>
      <c r="T68" s="2593"/>
      <c r="U68" s="2594"/>
      <c r="V68" s="2595"/>
      <c r="W68" s="2596"/>
      <c r="X68" s="2597"/>
      <c r="Y68" s="2596"/>
      <c r="Z68" s="2598"/>
      <c r="AA68" s="2598"/>
      <c r="AB68" s="2598"/>
      <c r="AC68" s="1076"/>
      <c r="AD68" s="1076"/>
      <c r="AE68" s="410"/>
      <c r="AF68" s="809"/>
      <c r="AG68" s="1076"/>
      <c r="AH68" s="2404"/>
      <c r="AI68" s="2404"/>
      <c r="AJ68" s="2607"/>
      <c r="AK68" s="927"/>
      <c r="AL68" s="1076"/>
      <c r="AM68" s="927"/>
      <c r="AN68" s="685"/>
      <c r="AO68" s="517"/>
      <c r="AP68" s="413"/>
      <c r="AQ68" s="414"/>
      <c r="AR68" s="812"/>
      <c r="AS68" s="812"/>
      <c r="AT68" s="410"/>
      <c r="AU68" s="982"/>
      <c r="AV68" s="976"/>
      <c r="AW68" s="820"/>
      <c r="AX68" s="810"/>
      <c r="AY68" s="983"/>
      <c r="AZ68" s="983"/>
      <c r="BA68" s="819"/>
      <c r="BB68" s="820"/>
      <c r="BC68" s="811"/>
      <c r="BD68" s="410"/>
      <c r="BE68" s="410"/>
      <c r="BF68" s="410"/>
      <c r="BG68" s="410"/>
      <c r="BH68" s="974"/>
      <c r="BI68" s="974"/>
      <c r="BJ68" s="410"/>
      <c r="BK68" s="2073"/>
      <c r="BL68" s="410"/>
      <c r="BM68" s="410"/>
      <c r="BN68" s="410"/>
      <c r="BO68" s="685"/>
      <c r="BP68" s="399"/>
      <c r="BR68" s="405"/>
      <c r="BS68" s="405"/>
      <c r="BT68" s="405"/>
      <c r="BU68" s="405"/>
      <c r="BV68" s="405"/>
      <c r="BW68" s="405"/>
      <c r="BX68" s="405"/>
      <c r="BY68" s="405"/>
      <c r="BZ68" s="405"/>
      <c r="CA68" s="405"/>
      <c r="CB68" s="405"/>
      <c r="CC68" s="405"/>
      <c r="CD68" s="405"/>
      <c r="CE68" s="405"/>
      <c r="CF68" s="404"/>
    </row>
    <row r="69" spans="1:84" ht="13.5" customHeight="1">
      <c r="A69" s="1483"/>
      <c r="B69" s="1483"/>
      <c r="C69" s="985"/>
      <c r="D69" s="2084"/>
      <c r="E69" s="1080"/>
      <c r="F69" s="2082"/>
      <c r="G69" s="912"/>
      <c r="H69" s="912"/>
      <c r="I69" s="2601"/>
      <c r="J69" s="2601"/>
      <c r="K69" s="2602"/>
      <c r="L69" s="2603"/>
      <c r="M69" s="2604"/>
      <c r="N69" s="2593"/>
      <c r="O69" s="2589"/>
      <c r="P69" s="2590"/>
      <c r="Q69" s="2591"/>
      <c r="R69" s="2600"/>
      <c r="S69" s="2592"/>
      <c r="T69" s="2593"/>
      <c r="U69" s="2594"/>
      <c r="V69" s="2595"/>
      <c r="W69" s="2596"/>
      <c r="X69" s="2597"/>
      <c r="Y69" s="2596"/>
      <c r="Z69" s="2598"/>
      <c r="AA69" s="2598"/>
      <c r="AB69" s="2598"/>
      <c r="AC69" s="1076"/>
      <c r="AD69" s="1076"/>
      <c r="AE69" s="410"/>
      <c r="AF69" s="809"/>
      <c r="AG69" s="1076"/>
      <c r="AH69" s="2404"/>
      <c r="AI69" s="2404"/>
      <c r="AJ69" s="2607"/>
      <c r="AK69" s="927"/>
      <c r="AL69" s="1076"/>
      <c r="AM69" s="927"/>
      <c r="AN69" s="685"/>
      <c r="AO69" s="517"/>
      <c r="AP69" s="413"/>
      <c r="AQ69" s="414"/>
      <c r="AR69" s="812"/>
      <c r="AS69" s="812"/>
      <c r="AT69" s="410"/>
      <c r="AU69" s="982"/>
      <c r="AV69" s="976"/>
      <c r="AW69" s="820"/>
      <c r="AX69" s="810"/>
      <c r="AY69" s="983"/>
      <c r="AZ69" s="983"/>
      <c r="BA69" s="819"/>
      <c r="BB69" s="820"/>
      <c r="BC69" s="811"/>
      <c r="BD69" s="410"/>
      <c r="BE69" s="410"/>
      <c r="BF69" s="410"/>
      <c r="BG69" s="410"/>
      <c r="BH69" s="974"/>
      <c r="BI69" s="974"/>
      <c r="BJ69" s="410"/>
      <c r="BK69" s="2073"/>
      <c r="BL69" s="410"/>
      <c r="BM69" s="410"/>
      <c r="BN69" s="410"/>
      <c r="BO69" s="685"/>
      <c r="BP69" s="399"/>
      <c r="BR69" s="405"/>
      <c r="BS69" s="405"/>
      <c r="BT69" s="405"/>
      <c r="BU69" s="405"/>
      <c r="BV69" s="405"/>
      <c r="BW69" s="405"/>
      <c r="BX69" s="405"/>
      <c r="BY69" s="405"/>
      <c r="BZ69" s="405"/>
      <c r="CA69" s="405"/>
      <c r="CB69" s="405"/>
      <c r="CC69" s="405"/>
      <c r="CD69" s="405"/>
      <c r="CE69" s="405"/>
      <c r="CF69" s="404"/>
    </row>
    <row r="70" spans="1:84" ht="13.5" customHeight="1">
      <c r="A70" s="1483"/>
      <c r="B70" s="1483"/>
      <c r="C70" s="985"/>
      <c r="D70" s="2084"/>
      <c r="E70" s="1080"/>
      <c r="F70" s="2082"/>
      <c r="G70" s="912"/>
      <c r="H70" s="912"/>
      <c r="I70" s="2601"/>
      <c r="J70" s="2601"/>
      <c r="K70" s="2602"/>
      <c r="L70" s="2602"/>
      <c r="M70" s="2604"/>
      <c r="N70" s="2593"/>
      <c r="O70" s="2589"/>
      <c r="P70" s="2590"/>
      <c r="Q70" s="2591"/>
      <c r="R70" s="2600"/>
      <c r="S70" s="2592"/>
      <c r="T70" s="2593"/>
      <c r="U70" s="2594"/>
      <c r="V70" s="2595"/>
      <c r="W70" s="2596"/>
      <c r="X70" s="2597"/>
      <c r="Y70" s="2596"/>
      <c r="Z70" s="2598"/>
      <c r="AA70" s="2598"/>
      <c r="AB70" s="2598"/>
      <c r="AC70" s="406"/>
      <c r="AD70" s="685"/>
      <c r="AE70" s="410"/>
      <c r="AF70" s="809"/>
      <c r="AG70" s="1076"/>
      <c r="AH70" s="2404"/>
      <c r="AI70" s="2404"/>
      <c r="AJ70" s="2607"/>
      <c r="AK70" s="927"/>
      <c r="AL70" s="1076"/>
      <c r="AM70" s="927"/>
      <c r="AN70" s="685"/>
      <c r="AO70" s="517"/>
      <c r="AP70" s="413"/>
      <c r="AQ70" s="414"/>
      <c r="AR70" s="812"/>
      <c r="AS70" s="812"/>
      <c r="AT70" s="410"/>
      <c r="AU70" s="982"/>
      <c r="AV70" s="976"/>
      <c r="AW70" s="820"/>
      <c r="AX70" s="810"/>
      <c r="AY70" s="983"/>
      <c r="AZ70" s="983"/>
      <c r="BA70" s="819"/>
      <c r="BB70" s="820"/>
      <c r="BC70" s="811"/>
      <c r="BD70" s="410"/>
      <c r="BE70" s="410"/>
      <c r="BF70" s="410"/>
      <c r="BG70" s="410"/>
      <c r="BH70" s="974"/>
      <c r="BI70" s="974"/>
      <c r="BJ70" s="410"/>
      <c r="BK70" s="2073"/>
      <c r="BL70" s="410"/>
      <c r="BM70" s="410"/>
      <c r="BN70" s="410"/>
      <c r="BO70" s="685"/>
      <c r="BP70" s="399"/>
      <c r="BR70" s="405"/>
      <c r="BS70" s="405"/>
      <c r="BT70" s="405"/>
      <c r="BU70" s="405"/>
      <c r="BV70" s="405"/>
      <c r="BW70" s="405"/>
      <c r="BX70" s="405"/>
      <c r="BY70" s="405"/>
      <c r="BZ70" s="405"/>
      <c r="CA70" s="405"/>
      <c r="CB70" s="405"/>
      <c r="CC70" s="405"/>
      <c r="CD70" s="405"/>
      <c r="CE70" s="405"/>
      <c r="CF70" s="404"/>
    </row>
    <row r="71" spans="1:84" ht="13.5" customHeight="1">
      <c r="A71" s="1483"/>
      <c r="B71" s="1483"/>
      <c r="C71" s="985"/>
      <c r="D71" s="2084"/>
      <c r="E71" s="1080"/>
      <c r="F71" s="2082"/>
      <c r="G71" s="912"/>
      <c r="H71" s="912"/>
      <c r="I71" s="2601"/>
      <c r="J71" s="2601"/>
      <c r="K71" s="2602"/>
      <c r="L71" s="2603"/>
      <c r="M71" s="2604"/>
      <c r="N71" s="2593"/>
      <c r="O71" s="2589"/>
      <c r="P71" s="2590"/>
      <c r="Q71" s="2591"/>
      <c r="R71" s="2600"/>
      <c r="S71" s="2592"/>
      <c r="T71" s="2593"/>
      <c r="U71" s="2594"/>
      <c r="V71" s="2595"/>
      <c r="W71" s="2596"/>
      <c r="X71" s="2597"/>
      <c r="Y71" s="2596"/>
      <c r="Z71" s="2598"/>
      <c r="AA71" s="2598"/>
      <c r="AB71" s="2598"/>
      <c r="AC71" s="1076"/>
      <c r="AD71" s="1076"/>
      <c r="AE71" s="410"/>
      <c r="AF71" s="809"/>
      <c r="AG71" s="1076"/>
      <c r="AH71" s="2404"/>
      <c r="AI71" s="2404"/>
      <c r="AJ71" s="2607"/>
      <c r="AK71" s="927"/>
      <c r="AL71" s="1076"/>
      <c r="AM71" s="927"/>
      <c r="AN71" s="685"/>
      <c r="AO71" s="517"/>
      <c r="AP71" s="413"/>
      <c r="AQ71" s="414"/>
      <c r="AR71" s="812"/>
      <c r="AS71" s="812"/>
      <c r="AT71" s="410"/>
      <c r="AU71" s="982"/>
      <c r="AV71" s="976"/>
      <c r="AW71" s="820"/>
      <c r="AX71" s="810"/>
      <c r="AY71" s="983"/>
      <c r="AZ71" s="983"/>
      <c r="BA71" s="819"/>
      <c r="BB71" s="820"/>
      <c r="BC71" s="811"/>
      <c r="BD71" s="410"/>
      <c r="BE71" s="410"/>
      <c r="BF71" s="410"/>
      <c r="BG71" s="410"/>
      <c r="BH71" s="974"/>
      <c r="BI71" s="974"/>
      <c r="BJ71" s="410"/>
      <c r="BK71" s="2073"/>
      <c r="BL71" s="410"/>
      <c r="BM71" s="410"/>
      <c r="BN71" s="410"/>
      <c r="BO71" s="685"/>
      <c r="BP71" s="399"/>
      <c r="BR71" s="405"/>
      <c r="BS71" s="405"/>
      <c r="BT71" s="405"/>
      <c r="BU71" s="405"/>
      <c r="BV71" s="405"/>
      <c r="BW71" s="405"/>
      <c r="BX71" s="405"/>
      <c r="BY71" s="405"/>
      <c r="BZ71" s="405"/>
      <c r="CA71" s="405"/>
      <c r="CB71" s="405"/>
      <c r="CC71" s="405"/>
      <c r="CD71" s="405"/>
      <c r="CE71" s="405"/>
      <c r="CF71" s="404"/>
    </row>
    <row r="72" spans="1:84" ht="13.5" customHeight="1">
      <c r="A72" s="1483"/>
      <c r="B72" s="1483"/>
      <c r="C72" s="985"/>
      <c r="D72" s="2084"/>
      <c r="E72" s="1080"/>
      <c r="F72" s="2082"/>
      <c r="G72" s="912"/>
      <c r="H72" s="912"/>
      <c r="I72" s="2601"/>
      <c r="J72" s="2601"/>
      <c r="K72" s="2602"/>
      <c r="L72" s="2602"/>
      <c r="M72" s="2604"/>
      <c r="N72" s="2593"/>
      <c r="O72" s="2589"/>
      <c r="P72" s="2590"/>
      <c r="Q72" s="2591"/>
      <c r="R72" s="2600"/>
      <c r="S72" s="2592"/>
      <c r="T72" s="2593"/>
      <c r="U72" s="2594"/>
      <c r="V72" s="2595"/>
      <c r="W72" s="2596"/>
      <c r="X72" s="2597"/>
      <c r="Y72" s="2596"/>
      <c r="Z72" s="2598"/>
      <c r="AA72" s="2598"/>
      <c r="AB72" s="2598"/>
      <c r="AC72" s="1076"/>
      <c r="AD72" s="1076"/>
      <c r="AE72" s="410"/>
      <c r="AF72" s="809"/>
      <c r="AG72" s="1076"/>
      <c r="AH72" s="2404"/>
      <c r="AI72" s="2404"/>
      <c r="AJ72" s="2607"/>
      <c r="AK72" s="927"/>
      <c r="AL72" s="1076"/>
      <c r="AM72" s="927"/>
      <c r="AN72" s="685"/>
      <c r="AO72" s="517"/>
      <c r="AP72" s="413"/>
      <c r="AQ72" s="414"/>
      <c r="AR72" s="812"/>
      <c r="AS72" s="812"/>
      <c r="AT72" s="410"/>
      <c r="AU72" s="982"/>
      <c r="AV72" s="976"/>
      <c r="AW72" s="820"/>
      <c r="AX72" s="810"/>
      <c r="AY72" s="983"/>
      <c r="AZ72" s="983"/>
      <c r="BA72" s="819"/>
      <c r="BB72" s="820"/>
      <c r="BC72" s="811"/>
      <c r="BD72" s="410"/>
      <c r="BE72" s="410"/>
      <c r="BF72" s="410"/>
      <c r="BG72" s="410"/>
      <c r="BH72" s="974"/>
      <c r="BI72" s="974"/>
      <c r="BJ72" s="410"/>
      <c r="BK72" s="2073"/>
      <c r="BL72" s="410"/>
      <c r="BM72" s="410"/>
      <c r="BN72" s="410"/>
      <c r="BO72" s="685"/>
      <c r="BP72" s="399"/>
      <c r="BR72" s="405"/>
      <c r="BS72" s="405"/>
      <c r="BT72" s="405"/>
      <c r="BU72" s="405"/>
      <c r="BV72" s="405"/>
      <c r="BW72" s="405"/>
      <c r="BX72" s="405"/>
      <c r="BY72" s="405"/>
      <c r="BZ72" s="405"/>
      <c r="CA72" s="405"/>
      <c r="CB72" s="405"/>
      <c r="CC72" s="405"/>
      <c r="CD72" s="405"/>
      <c r="CE72" s="405"/>
      <c r="CF72" s="404"/>
    </row>
    <row r="73" spans="1:84" ht="13.5" customHeight="1">
      <c r="A73" s="1483"/>
      <c r="B73" s="1483"/>
      <c r="C73" s="985"/>
      <c r="D73" s="2084"/>
      <c r="E73" s="1080"/>
      <c r="F73" s="2082"/>
      <c r="G73" s="912"/>
      <c r="H73" s="912"/>
      <c r="I73" s="2601"/>
      <c r="J73" s="2601"/>
      <c r="K73" s="2602"/>
      <c r="L73" s="2603"/>
      <c r="M73" s="2604"/>
      <c r="N73" s="2593"/>
      <c r="O73" s="2589"/>
      <c r="P73" s="2590"/>
      <c r="Q73" s="2591"/>
      <c r="R73" s="2600"/>
      <c r="S73" s="2592"/>
      <c r="T73" s="2593"/>
      <c r="U73" s="2594"/>
      <c r="V73" s="2595"/>
      <c r="W73" s="2596"/>
      <c r="X73" s="2597"/>
      <c r="Y73" s="2596"/>
      <c r="Z73" s="2598"/>
      <c r="AA73" s="2598"/>
      <c r="AB73" s="2598"/>
      <c r="AC73" s="1076"/>
      <c r="AD73" s="1076"/>
      <c r="AE73" s="410"/>
      <c r="AF73" s="809"/>
      <c r="AG73" s="1076"/>
      <c r="AH73" s="2404"/>
      <c r="AI73" s="2404"/>
      <c r="AJ73" s="2607"/>
      <c r="AK73" s="927"/>
      <c r="AL73" s="1076"/>
      <c r="AM73" s="927"/>
      <c r="AN73" s="685"/>
      <c r="AO73" s="517"/>
      <c r="AP73" s="413"/>
      <c r="AQ73" s="414"/>
      <c r="AR73" s="812"/>
      <c r="AS73" s="812"/>
      <c r="AT73" s="410"/>
      <c r="AU73" s="982"/>
      <c r="AV73" s="976"/>
      <c r="AW73" s="820"/>
      <c r="AX73" s="810"/>
      <c r="AY73" s="983"/>
      <c r="AZ73" s="983"/>
      <c r="BA73" s="819"/>
      <c r="BB73" s="820"/>
      <c r="BC73" s="811"/>
      <c r="BD73" s="410"/>
      <c r="BE73" s="410"/>
      <c r="BF73" s="410"/>
      <c r="BG73" s="410"/>
      <c r="BH73" s="974"/>
      <c r="BI73" s="974"/>
      <c r="BJ73" s="410"/>
      <c r="BK73" s="2073"/>
      <c r="BL73" s="410"/>
      <c r="BM73" s="410"/>
      <c r="BN73" s="410"/>
      <c r="BO73" s="685"/>
      <c r="BP73" s="399"/>
      <c r="BR73" s="405"/>
      <c r="BS73" s="405"/>
      <c r="BT73" s="405"/>
      <c r="BU73" s="405"/>
      <c r="BV73" s="405"/>
      <c r="BW73" s="405"/>
      <c r="BX73" s="405"/>
      <c r="BY73" s="405"/>
      <c r="BZ73" s="405"/>
      <c r="CA73" s="405"/>
      <c r="CB73" s="405"/>
      <c r="CC73" s="405"/>
      <c r="CD73" s="405"/>
      <c r="CE73" s="405"/>
      <c r="CF73" s="404"/>
    </row>
    <row r="74" spans="1:84" ht="13.5" customHeight="1">
      <c r="A74" s="1483"/>
      <c r="B74" s="1483"/>
      <c r="C74" s="985"/>
      <c r="D74" s="2084"/>
      <c r="E74" s="1080"/>
      <c r="F74" s="2082"/>
      <c r="G74" s="912"/>
      <c r="H74" s="912"/>
      <c r="I74" s="2601"/>
      <c r="J74" s="2601"/>
      <c r="K74" s="2602"/>
      <c r="L74" s="2602"/>
      <c r="M74" s="2604"/>
      <c r="N74" s="2593"/>
      <c r="O74" s="2589"/>
      <c r="P74" s="2590"/>
      <c r="Q74" s="2591"/>
      <c r="R74" s="2600"/>
      <c r="S74" s="2592"/>
      <c r="T74" s="2593"/>
      <c r="U74" s="2594"/>
      <c r="V74" s="2595"/>
      <c r="W74" s="2596"/>
      <c r="X74" s="2597"/>
      <c r="Y74" s="2596"/>
      <c r="Z74" s="2598"/>
      <c r="AA74" s="2598"/>
      <c r="AB74" s="2598"/>
      <c r="AC74" s="1076"/>
      <c r="AD74" s="1076"/>
      <c r="AE74" s="410"/>
      <c r="AF74" s="809"/>
      <c r="AG74" s="1076"/>
      <c r="AH74" s="2404"/>
      <c r="AI74" s="2404"/>
      <c r="AJ74" s="2607"/>
      <c r="AK74" s="927"/>
      <c r="AL74" s="1076"/>
      <c r="AM74" s="927"/>
      <c r="AN74" s="685"/>
      <c r="AO74" s="517"/>
      <c r="AP74" s="413"/>
      <c r="AQ74" s="414"/>
      <c r="AR74" s="812"/>
      <c r="AS74" s="812"/>
      <c r="AT74" s="410"/>
      <c r="AU74" s="982"/>
      <c r="AV74" s="976"/>
      <c r="AW74" s="820"/>
      <c r="AX74" s="810"/>
      <c r="AY74" s="983"/>
      <c r="AZ74" s="983"/>
      <c r="BA74" s="819"/>
      <c r="BB74" s="820"/>
      <c r="BC74" s="811"/>
      <c r="BD74" s="410"/>
      <c r="BE74" s="410"/>
      <c r="BF74" s="410"/>
      <c r="BG74" s="410"/>
      <c r="BH74" s="974"/>
      <c r="BI74" s="974"/>
      <c r="BJ74" s="410"/>
      <c r="BK74" s="2073"/>
      <c r="BL74" s="410"/>
      <c r="BM74" s="410"/>
      <c r="BN74" s="410"/>
      <c r="BO74" s="685"/>
      <c r="BP74" s="399"/>
      <c r="BR74" s="405"/>
      <c r="BS74" s="405"/>
      <c r="BT74" s="405"/>
      <c r="BU74" s="405"/>
      <c r="BV74" s="405"/>
      <c r="BW74" s="405"/>
      <c r="BX74" s="405"/>
      <c r="BY74" s="405"/>
      <c r="BZ74" s="405"/>
      <c r="CA74" s="405"/>
      <c r="CB74" s="405"/>
      <c r="CC74" s="405"/>
      <c r="CD74" s="405"/>
      <c r="CE74" s="405"/>
      <c r="CF74" s="404"/>
    </row>
    <row r="75" spans="1:84" ht="13.5" customHeight="1">
      <c r="A75" s="1483"/>
      <c r="B75" s="1483"/>
      <c r="C75" s="985"/>
      <c r="D75" s="2084"/>
      <c r="E75" s="1080"/>
      <c r="F75" s="2082"/>
      <c r="G75" s="912"/>
      <c r="H75" s="912"/>
      <c r="I75" s="2601"/>
      <c r="J75" s="2601"/>
      <c r="K75" s="2602"/>
      <c r="L75" s="2602"/>
      <c r="M75" s="2604"/>
      <c r="N75" s="2593"/>
      <c r="O75" s="2589"/>
      <c r="P75" s="2590"/>
      <c r="Q75" s="2591"/>
      <c r="R75" s="2600"/>
      <c r="S75" s="2592"/>
      <c r="T75" s="2593"/>
      <c r="U75" s="2594"/>
      <c r="V75" s="2595"/>
      <c r="W75" s="2596"/>
      <c r="X75" s="2597"/>
      <c r="Y75" s="2596"/>
      <c r="Z75" s="2598"/>
      <c r="AA75" s="2598"/>
      <c r="AB75" s="2598"/>
      <c r="AC75" s="1076"/>
      <c r="AD75" s="1076"/>
      <c r="AE75" s="410"/>
      <c r="AF75" s="809"/>
      <c r="AG75" s="1076"/>
      <c r="AH75" s="2404"/>
      <c r="AI75" s="2404"/>
      <c r="AJ75" s="2607"/>
      <c r="AK75" s="927"/>
      <c r="AL75" s="1076"/>
      <c r="AM75" s="927"/>
      <c r="AN75" s="685"/>
      <c r="AO75" s="517"/>
      <c r="AP75" s="413"/>
      <c r="AQ75" s="414"/>
      <c r="AR75" s="812"/>
      <c r="AS75" s="812"/>
      <c r="AT75" s="410"/>
      <c r="AU75" s="982"/>
      <c r="AV75" s="976"/>
      <c r="AW75" s="820"/>
      <c r="AX75" s="810"/>
      <c r="AY75" s="983"/>
      <c r="AZ75" s="983"/>
      <c r="BA75" s="819"/>
      <c r="BB75" s="820"/>
      <c r="BC75" s="811"/>
      <c r="BD75" s="410"/>
      <c r="BE75" s="410"/>
      <c r="BF75" s="410"/>
      <c r="BG75" s="410"/>
      <c r="BH75" s="974"/>
      <c r="BI75" s="974"/>
      <c r="BJ75" s="410"/>
      <c r="BK75" s="2073"/>
      <c r="BL75" s="410"/>
      <c r="BM75" s="410"/>
      <c r="BN75" s="410"/>
      <c r="BO75" s="685"/>
      <c r="BP75" s="399"/>
      <c r="BR75" s="405"/>
      <c r="BS75" s="405"/>
      <c r="BT75" s="405"/>
      <c r="BU75" s="405"/>
      <c r="BV75" s="405"/>
      <c r="BW75" s="405"/>
      <c r="BX75" s="405"/>
      <c r="BY75" s="405"/>
      <c r="BZ75" s="405"/>
      <c r="CA75" s="405"/>
      <c r="CB75" s="405"/>
      <c r="CC75" s="405"/>
      <c r="CD75" s="405"/>
      <c r="CE75" s="405"/>
      <c r="CF75" s="404"/>
    </row>
    <row r="76" spans="1:84" s="407" customFormat="1" ht="13.5" customHeight="1">
      <c r="A76" s="1483"/>
      <c r="B76" s="1483"/>
      <c r="C76" s="985"/>
      <c r="D76" s="2084"/>
      <c r="E76" s="1080"/>
      <c r="F76" s="2082"/>
      <c r="G76" s="912"/>
      <c r="H76" s="912"/>
      <c r="I76" s="2601"/>
      <c r="J76" s="2601"/>
      <c r="K76" s="2602"/>
      <c r="L76" s="2603"/>
      <c r="M76" s="2604"/>
      <c r="N76" s="2593"/>
      <c r="O76" s="2589"/>
      <c r="P76" s="2590"/>
      <c r="Q76" s="2591"/>
      <c r="R76" s="2600"/>
      <c r="S76" s="2592"/>
      <c r="T76" s="2593"/>
      <c r="U76" s="2594"/>
      <c r="V76" s="2595"/>
      <c r="W76" s="2596"/>
      <c r="X76" s="2597"/>
      <c r="Y76" s="2596"/>
      <c r="Z76" s="2598"/>
      <c r="AA76" s="2598"/>
      <c r="AB76" s="2598"/>
      <c r="AC76" s="1076"/>
      <c r="AD76" s="1076"/>
      <c r="AE76" s="410"/>
      <c r="AF76" s="809"/>
      <c r="AG76" s="1076"/>
      <c r="AH76" s="2404"/>
      <c r="AI76" s="2404"/>
      <c r="AJ76" s="2607"/>
      <c r="AK76" s="927"/>
      <c r="AL76" s="1076"/>
      <c r="AM76" s="927"/>
      <c r="AN76" s="685"/>
      <c r="AO76" s="517"/>
      <c r="AP76" s="413"/>
      <c r="AQ76" s="414"/>
      <c r="AR76" s="812"/>
      <c r="AS76" s="812"/>
      <c r="AT76" s="410"/>
      <c r="AU76" s="982"/>
      <c r="AV76" s="976"/>
      <c r="AW76" s="820"/>
      <c r="AX76" s="810"/>
      <c r="AY76" s="983"/>
      <c r="AZ76" s="983"/>
      <c r="BA76" s="819"/>
      <c r="BB76" s="820"/>
      <c r="BC76" s="811"/>
      <c r="BD76" s="410"/>
      <c r="BE76" s="410"/>
      <c r="BF76" s="410"/>
      <c r="BG76" s="410"/>
      <c r="BH76" s="974"/>
      <c r="BI76" s="974"/>
      <c r="BJ76" s="410"/>
      <c r="BK76" s="2073"/>
      <c r="BL76" s="410"/>
      <c r="BM76" s="410"/>
      <c r="BN76" s="410"/>
      <c r="BO76" s="685"/>
      <c r="BP76" s="399"/>
      <c r="BR76" s="405"/>
      <c r="BS76" s="405"/>
      <c r="BT76" s="405"/>
      <c r="BU76" s="405"/>
      <c r="BV76" s="405"/>
      <c r="BW76" s="405"/>
      <c r="BX76" s="405"/>
      <c r="BY76" s="405"/>
      <c r="BZ76" s="405"/>
      <c r="CA76" s="405"/>
      <c r="CB76" s="405"/>
      <c r="CC76" s="405"/>
      <c r="CD76" s="405"/>
      <c r="CE76" s="405"/>
      <c r="CF76" s="405"/>
    </row>
    <row r="77" spans="1:84" ht="13.5" customHeight="1">
      <c r="A77" s="1483"/>
      <c r="B77" s="1483"/>
      <c r="C77" s="985"/>
      <c r="D77" s="2084"/>
      <c r="E77" s="1080"/>
      <c r="F77" s="2082"/>
      <c r="G77" s="912"/>
      <c r="H77" s="912"/>
      <c r="I77" s="2601"/>
      <c r="J77" s="2601"/>
      <c r="K77" s="2602"/>
      <c r="L77" s="2602"/>
      <c r="M77" s="2604"/>
      <c r="N77" s="2593"/>
      <c r="O77" s="2589"/>
      <c r="P77" s="2590"/>
      <c r="Q77" s="2591"/>
      <c r="R77" s="2600"/>
      <c r="S77" s="2592"/>
      <c r="T77" s="2593"/>
      <c r="U77" s="2594"/>
      <c r="V77" s="2595"/>
      <c r="W77" s="2596"/>
      <c r="X77" s="2597"/>
      <c r="Y77" s="2596"/>
      <c r="Z77" s="2598"/>
      <c r="AA77" s="2598"/>
      <c r="AB77" s="2598"/>
      <c r="AC77" s="1076"/>
      <c r="AD77" s="1076"/>
      <c r="AE77" s="410"/>
      <c r="AF77" s="809"/>
      <c r="AG77" s="1076"/>
      <c r="AH77" s="2404"/>
      <c r="AI77" s="2404"/>
      <c r="AJ77" s="2607"/>
      <c r="AK77" s="927"/>
      <c r="AL77" s="1076"/>
      <c r="AM77" s="927"/>
      <c r="AN77" s="685"/>
      <c r="AO77" s="517"/>
      <c r="AP77" s="413"/>
      <c r="AQ77" s="414"/>
      <c r="AR77" s="812"/>
      <c r="AS77" s="812"/>
      <c r="AT77" s="410"/>
      <c r="AU77" s="982"/>
      <c r="AV77" s="976"/>
      <c r="AW77" s="820"/>
      <c r="AX77" s="810"/>
      <c r="AY77" s="983"/>
      <c r="AZ77" s="983"/>
      <c r="BA77" s="819"/>
      <c r="BB77" s="820"/>
      <c r="BC77" s="811"/>
      <c r="BD77" s="410"/>
      <c r="BE77" s="410"/>
      <c r="BF77" s="410"/>
      <c r="BG77" s="410"/>
      <c r="BH77" s="974"/>
      <c r="BI77" s="974"/>
      <c r="BJ77" s="410"/>
      <c r="BK77" s="2073"/>
      <c r="BL77" s="410"/>
      <c r="BM77" s="410"/>
      <c r="BN77" s="410"/>
      <c r="BO77" s="685"/>
      <c r="BP77" s="399"/>
      <c r="BR77" s="405"/>
      <c r="BS77" s="405"/>
      <c r="BT77" s="405"/>
      <c r="BU77" s="405"/>
      <c r="BV77" s="405"/>
      <c r="BW77" s="405"/>
      <c r="BX77" s="405"/>
      <c r="BY77" s="405"/>
      <c r="BZ77" s="405"/>
      <c r="CA77" s="405"/>
      <c r="CB77" s="405"/>
      <c r="CC77" s="405"/>
      <c r="CD77" s="405"/>
      <c r="CE77" s="405"/>
      <c r="CF77" s="404"/>
    </row>
    <row r="78" spans="1:84" ht="13.5" customHeight="1">
      <c r="A78" s="1483"/>
      <c r="B78" s="1483"/>
      <c r="C78" s="985"/>
      <c r="D78" s="2084"/>
      <c r="E78" s="1080"/>
      <c r="F78" s="2082"/>
      <c r="G78" s="912"/>
      <c r="H78" s="912"/>
      <c r="I78" s="2601"/>
      <c r="J78" s="2601"/>
      <c r="K78" s="2602"/>
      <c r="L78" s="2602"/>
      <c r="M78" s="2604"/>
      <c r="N78" s="2593"/>
      <c r="O78" s="2589"/>
      <c r="P78" s="2590"/>
      <c r="Q78" s="2591"/>
      <c r="R78" s="2600"/>
      <c r="S78" s="2592"/>
      <c r="T78" s="2593"/>
      <c r="U78" s="2594"/>
      <c r="V78" s="2595"/>
      <c r="W78" s="2596"/>
      <c r="X78" s="2597"/>
      <c r="Y78" s="2596"/>
      <c r="Z78" s="2598"/>
      <c r="AA78" s="2598"/>
      <c r="AB78" s="2598"/>
      <c r="AC78" s="1076"/>
      <c r="AD78" s="1076"/>
      <c r="AE78" s="410"/>
      <c r="AF78" s="809"/>
      <c r="AG78" s="1076"/>
      <c r="AH78" s="2404"/>
      <c r="AI78" s="2404"/>
      <c r="AJ78" s="2607"/>
      <c r="AK78" s="927"/>
      <c r="AL78" s="1076"/>
      <c r="AM78" s="927"/>
      <c r="AN78" s="685"/>
      <c r="AO78" s="517"/>
      <c r="AP78" s="413"/>
      <c r="AQ78" s="414"/>
      <c r="AR78" s="812"/>
      <c r="AS78" s="812"/>
      <c r="AT78" s="410"/>
      <c r="AU78" s="982"/>
      <c r="AV78" s="976"/>
      <c r="AW78" s="820"/>
      <c r="AX78" s="810"/>
      <c r="AY78" s="983"/>
      <c r="AZ78" s="983"/>
      <c r="BA78" s="819"/>
      <c r="BB78" s="820"/>
      <c r="BC78" s="811"/>
      <c r="BD78" s="410"/>
      <c r="BE78" s="410"/>
      <c r="BF78" s="410"/>
      <c r="BG78" s="410"/>
      <c r="BH78" s="974"/>
      <c r="BI78" s="974"/>
      <c r="BJ78" s="410"/>
      <c r="BK78" s="2073"/>
      <c r="BL78" s="410"/>
      <c r="BM78" s="410"/>
      <c r="BN78" s="410"/>
      <c r="BO78" s="685"/>
      <c r="BP78" s="399"/>
      <c r="BR78" s="405"/>
      <c r="BS78" s="405"/>
      <c r="BT78" s="405"/>
      <c r="BU78" s="405"/>
      <c r="BV78" s="405"/>
      <c r="BW78" s="405"/>
      <c r="BX78" s="405"/>
      <c r="BY78" s="405"/>
      <c r="BZ78" s="405"/>
      <c r="CA78" s="405"/>
      <c r="CB78" s="405"/>
      <c r="CC78" s="405"/>
      <c r="CD78" s="405"/>
      <c r="CE78" s="405"/>
      <c r="CF78" s="404"/>
    </row>
    <row r="79" spans="1:84" ht="13.5" customHeight="1">
      <c r="A79" s="1483"/>
      <c r="B79" s="1483"/>
      <c r="C79" s="985"/>
      <c r="D79" s="2084"/>
      <c r="E79" s="1080"/>
      <c r="F79" s="2082"/>
      <c r="G79" s="912"/>
      <c r="H79" s="912"/>
      <c r="I79" s="2601"/>
      <c r="J79" s="2601"/>
      <c r="K79" s="2602"/>
      <c r="L79" s="2603"/>
      <c r="M79" s="2604"/>
      <c r="N79" s="2593"/>
      <c r="O79" s="2589"/>
      <c r="P79" s="2590"/>
      <c r="Q79" s="2591"/>
      <c r="R79" s="2600"/>
      <c r="S79" s="2592"/>
      <c r="T79" s="2593"/>
      <c r="U79" s="2594"/>
      <c r="V79" s="2595"/>
      <c r="W79" s="2596"/>
      <c r="X79" s="2597"/>
      <c r="Y79" s="2596"/>
      <c r="Z79" s="2598"/>
      <c r="AA79" s="2598"/>
      <c r="AB79" s="2598"/>
      <c r="AC79" s="1076"/>
      <c r="AD79" s="1076"/>
      <c r="AE79" s="410"/>
      <c r="AF79" s="809"/>
      <c r="AG79" s="1076"/>
      <c r="AH79" s="2404"/>
      <c r="AI79" s="2404"/>
      <c r="AJ79" s="2607"/>
      <c r="AK79" s="927"/>
      <c r="AL79" s="1076"/>
      <c r="AM79" s="927"/>
      <c r="AN79" s="685"/>
      <c r="AO79" s="517"/>
      <c r="AP79" s="413"/>
      <c r="AQ79" s="414"/>
      <c r="AR79" s="812"/>
      <c r="AS79" s="812"/>
      <c r="AT79" s="410"/>
      <c r="AU79" s="982"/>
      <c r="AV79" s="976"/>
      <c r="AW79" s="820"/>
      <c r="AX79" s="810"/>
      <c r="AY79" s="983"/>
      <c r="AZ79" s="983"/>
      <c r="BA79" s="819"/>
      <c r="BB79" s="820"/>
      <c r="BC79" s="811"/>
      <c r="BD79" s="410"/>
      <c r="BE79" s="410"/>
      <c r="BF79" s="410"/>
      <c r="BG79" s="410"/>
      <c r="BH79" s="974"/>
      <c r="BI79" s="974"/>
      <c r="BJ79" s="410"/>
      <c r="BK79" s="2073"/>
      <c r="BL79" s="410"/>
      <c r="BM79" s="410"/>
      <c r="BN79" s="410"/>
      <c r="BO79" s="685"/>
      <c r="BP79" s="399"/>
      <c r="BR79" s="405"/>
      <c r="BS79" s="405"/>
      <c r="BT79" s="405"/>
      <c r="BU79" s="405"/>
      <c r="BV79" s="405"/>
      <c r="BW79" s="405"/>
      <c r="BX79" s="405"/>
      <c r="BY79" s="405"/>
      <c r="BZ79" s="405"/>
      <c r="CA79" s="405"/>
      <c r="CB79" s="405"/>
      <c r="CC79" s="405"/>
      <c r="CD79" s="405"/>
      <c r="CE79" s="405"/>
      <c r="CF79" s="404"/>
    </row>
    <row r="80" spans="1:84" ht="13.5" customHeight="1">
      <c r="A80" s="1483"/>
      <c r="B80" s="1483"/>
      <c r="C80" s="985"/>
      <c r="D80" s="2084"/>
      <c r="E80" s="1080"/>
      <c r="F80" s="2082"/>
      <c r="G80" s="912"/>
      <c r="H80" s="912"/>
      <c r="I80" s="2601"/>
      <c r="J80" s="2601"/>
      <c r="K80" s="2602"/>
      <c r="L80" s="2602"/>
      <c r="M80" s="2604"/>
      <c r="N80" s="2593"/>
      <c r="O80" s="2589"/>
      <c r="P80" s="2590"/>
      <c r="Q80" s="2591"/>
      <c r="R80" s="2600"/>
      <c r="S80" s="2592"/>
      <c r="T80" s="2593"/>
      <c r="U80" s="2594"/>
      <c r="V80" s="2595"/>
      <c r="W80" s="2596"/>
      <c r="X80" s="2597"/>
      <c r="Y80" s="2596"/>
      <c r="Z80" s="2598"/>
      <c r="AA80" s="2598"/>
      <c r="AB80" s="2598"/>
      <c r="AC80" s="1076"/>
      <c r="AD80" s="1076"/>
      <c r="AE80" s="410"/>
      <c r="AF80" s="809"/>
      <c r="AG80" s="1076"/>
      <c r="AH80" s="2404"/>
      <c r="AI80" s="2404"/>
      <c r="AJ80" s="2607"/>
      <c r="AK80" s="927"/>
      <c r="AL80" s="1076"/>
      <c r="AM80" s="927"/>
      <c r="AN80" s="685"/>
      <c r="AO80" s="517"/>
      <c r="AP80" s="413"/>
      <c r="AQ80" s="414"/>
      <c r="AR80" s="812"/>
      <c r="AS80" s="812"/>
      <c r="AT80" s="410"/>
      <c r="AU80" s="982"/>
      <c r="AV80" s="976"/>
      <c r="AW80" s="820"/>
      <c r="AX80" s="810"/>
      <c r="AY80" s="983"/>
      <c r="AZ80" s="983"/>
      <c r="BA80" s="819"/>
      <c r="BB80" s="820"/>
      <c r="BC80" s="811"/>
      <c r="BD80" s="410"/>
      <c r="BE80" s="410"/>
      <c r="BF80" s="410"/>
      <c r="BG80" s="410"/>
      <c r="BH80" s="974"/>
      <c r="BI80" s="974"/>
      <c r="BJ80" s="410"/>
      <c r="BK80" s="2073"/>
      <c r="BL80" s="410"/>
      <c r="BM80" s="410"/>
      <c r="BN80" s="410"/>
      <c r="BO80" s="685"/>
      <c r="BP80" s="399"/>
      <c r="BR80" s="405"/>
      <c r="BS80" s="405"/>
      <c r="BT80" s="405"/>
      <c r="BU80" s="405"/>
      <c r="BV80" s="405"/>
      <c r="BW80" s="405"/>
      <c r="BX80" s="405"/>
      <c r="BY80" s="405"/>
      <c r="BZ80" s="405"/>
      <c r="CA80" s="405"/>
      <c r="CB80" s="405"/>
      <c r="CC80" s="405"/>
      <c r="CD80" s="405"/>
      <c r="CE80" s="405"/>
      <c r="CF80" s="404"/>
    </row>
    <row r="81" spans="1:84" ht="13.5" customHeight="1">
      <c r="A81" s="1483"/>
      <c r="B81" s="1483"/>
      <c r="C81" s="985"/>
      <c r="D81" s="2084"/>
      <c r="E81" s="1080"/>
      <c r="F81" s="2082"/>
      <c r="G81" s="912"/>
      <c r="H81" s="912"/>
      <c r="I81" s="2601"/>
      <c r="J81" s="2601"/>
      <c r="K81" s="2602"/>
      <c r="L81" s="2602"/>
      <c r="M81" s="2604"/>
      <c r="N81" s="2593"/>
      <c r="O81" s="2589"/>
      <c r="P81" s="2590"/>
      <c r="Q81" s="2591"/>
      <c r="R81" s="2600"/>
      <c r="S81" s="2592"/>
      <c r="T81" s="2593"/>
      <c r="U81" s="2594"/>
      <c r="V81" s="2595"/>
      <c r="W81" s="2596"/>
      <c r="X81" s="2597"/>
      <c r="Y81" s="2596"/>
      <c r="Z81" s="2598"/>
      <c r="AA81" s="2598"/>
      <c r="AB81" s="2598"/>
      <c r="AC81" s="1076"/>
      <c r="AD81" s="1076"/>
      <c r="AE81" s="410"/>
      <c r="AF81" s="809"/>
      <c r="AG81" s="1076"/>
      <c r="AH81" s="2404"/>
      <c r="AI81" s="2404"/>
      <c r="AJ81" s="2607"/>
      <c r="AK81" s="927"/>
      <c r="AL81" s="1076"/>
      <c r="AM81" s="927"/>
      <c r="AN81" s="685"/>
      <c r="AO81" s="517"/>
      <c r="AP81" s="413"/>
      <c r="AQ81" s="414"/>
      <c r="AR81" s="812"/>
      <c r="AS81" s="812"/>
      <c r="AT81" s="410"/>
      <c r="AU81" s="982"/>
      <c r="AV81" s="976"/>
      <c r="AW81" s="820"/>
      <c r="AX81" s="810"/>
      <c r="AY81" s="983"/>
      <c r="AZ81" s="983"/>
      <c r="BA81" s="819"/>
      <c r="BB81" s="820"/>
      <c r="BC81" s="811"/>
      <c r="BD81" s="410"/>
      <c r="BE81" s="410"/>
      <c r="BF81" s="410"/>
      <c r="BG81" s="410"/>
      <c r="BH81" s="974"/>
      <c r="BI81" s="974"/>
      <c r="BJ81" s="410"/>
      <c r="BK81" s="2073"/>
      <c r="BL81" s="410"/>
      <c r="BM81" s="410"/>
      <c r="BN81" s="410"/>
      <c r="BO81" s="685"/>
      <c r="BP81" s="399"/>
      <c r="BR81" s="405"/>
      <c r="BS81" s="405"/>
      <c r="BT81" s="405"/>
      <c r="BU81" s="405"/>
      <c r="BV81" s="405"/>
      <c r="BW81" s="405"/>
      <c r="BX81" s="405"/>
      <c r="BY81" s="405"/>
      <c r="BZ81" s="405"/>
      <c r="CA81" s="405"/>
      <c r="CB81" s="405"/>
      <c r="CC81" s="405"/>
      <c r="CD81" s="405"/>
      <c r="CE81" s="405"/>
      <c r="CF81" s="404"/>
    </row>
    <row r="82" spans="1:84" ht="13.5" customHeight="1">
      <c r="A82" s="1483"/>
      <c r="B82" s="1483"/>
      <c r="C82" s="2467"/>
      <c r="D82" s="2084"/>
      <c r="E82" s="1080"/>
      <c r="F82" s="2082"/>
      <c r="G82" s="912"/>
      <c r="H82" s="912"/>
      <c r="I82" s="2601"/>
      <c r="J82" s="2601"/>
      <c r="K82" s="2602"/>
      <c r="L82" s="2603"/>
      <c r="M82" s="2604"/>
      <c r="N82" s="2593"/>
      <c r="O82" s="2589"/>
      <c r="P82" s="2590"/>
      <c r="Q82" s="2591"/>
      <c r="R82" s="2600"/>
      <c r="S82" s="2592"/>
      <c r="T82" s="2593"/>
      <c r="U82" s="2594"/>
      <c r="V82" s="2595"/>
      <c r="W82" s="2596"/>
      <c r="X82" s="2597"/>
      <c r="Y82" s="2596"/>
      <c r="Z82" s="2598"/>
      <c r="AA82" s="2598"/>
      <c r="AB82" s="2598"/>
      <c r="AC82" s="1076"/>
      <c r="AD82" s="1076"/>
      <c r="AE82" s="410"/>
      <c r="AF82" s="809"/>
      <c r="AG82" s="1076"/>
      <c r="AH82" s="2404"/>
      <c r="AI82" s="2404"/>
      <c r="AJ82" s="2607"/>
      <c r="AK82" s="927"/>
      <c r="AL82" s="1076"/>
      <c r="AM82" s="927"/>
      <c r="AN82" s="685"/>
      <c r="AO82" s="517"/>
      <c r="AP82" s="413"/>
      <c r="AQ82" s="414"/>
      <c r="AR82" s="812"/>
      <c r="AS82" s="812"/>
      <c r="AT82" s="410"/>
      <c r="AU82" s="982"/>
      <c r="AV82" s="976"/>
      <c r="AW82" s="820"/>
      <c r="AX82" s="810"/>
      <c r="AY82" s="983"/>
      <c r="AZ82" s="983"/>
      <c r="BA82" s="819"/>
      <c r="BB82" s="820"/>
      <c r="BC82" s="811"/>
      <c r="BD82" s="410"/>
      <c r="BE82" s="410"/>
      <c r="BF82" s="410"/>
      <c r="BG82" s="410"/>
      <c r="BH82" s="974"/>
      <c r="BI82" s="974"/>
      <c r="BJ82" s="410"/>
      <c r="BK82" s="2073"/>
      <c r="BL82" s="410"/>
      <c r="BM82" s="410"/>
      <c r="BN82" s="410"/>
      <c r="BO82" s="685"/>
      <c r="BP82" s="399"/>
      <c r="BR82" s="405"/>
      <c r="BS82" s="405"/>
      <c r="BT82" s="405"/>
      <c r="BU82" s="405"/>
      <c r="BV82" s="405"/>
      <c r="BW82" s="405"/>
      <c r="BX82" s="405"/>
      <c r="BY82" s="405"/>
      <c r="BZ82" s="405"/>
      <c r="CA82" s="405"/>
      <c r="CB82" s="405"/>
      <c r="CC82" s="405"/>
      <c r="CD82" s="405"/>
      <c r="CE82" s="405"/>
      <c r="CF82" s="404"/>
    </row>
    <row r="83" spans="1:84" ht="13.5" customHeight="1">
      <c r="A83" s="1483"/>
      <c r="B83" s="1483"/>
      <c r="C83" s="2467"/>
      <c r="D83" s="2084"/>
      <c r="E83" s="1080"/>
      <c r="F83" s="2082"/>
      <c r="G83" s="912"/>
      <c r="H83" s="912"/>
      <c r="I83" s="2601"/>
      <c r="J83" s="2601"/>
      <c r="K83" s="2602"/>
      <c r="L83" s="2602"/>
      <c r="M83" s="2604"/>
      <c r="N83" s="2593"/>
      <c r="O83" s="2589"/>
      <c r="P83" s="2590"/>
      <c r="Q83" s="2591"/>
      <c r="R83" s="2600"/>
      <c r="S83" s="2592"/>
      <c r="T83" s="2593"/>
      <c r="U83" s="2594"/>
      <c r="V83" s="2595"/>
      <c r="W83" s="2596"/>
      <c r="X83" s="2597"/>
      <c r="Y83" s="2596"/>
      <c r="Z83" s="2598"/>
      <c r="AA83" s="2598"/>
      <c r="AB83" s="2598"/>
      <c r="AC83" s="1076"/>
      <c r="AD83" s="1076"/>
      <c r="AE83" s="410"/>
      <c r="AF83" s="809"/>
      <c r="AG83" s="1076"/>
      <c r="AH83" s="2404"/>
      <c r="AI83" s="2404"/>
      <c r="AJ83" s="2607"/>
      <c r="AK83" s="927"/>
      <c r="AL83" s="1076"/>
      <c r="AM83" s="927"/>
      <c r="AN83" s="685"/>
      <c r="AO83" s="517"/>
      <c r="AP83" s="413"/>
      <c r="AQ83" s="414"/>
      <c r="AR83" s="812"/>
      <c r="AS83" s="812"/>
      <c r="AT83" s="410"/>
      <c r="AU83" s="982"/>
      <c r="AV83" s="976"/>
      <c r="AW83" s="820"/>
      <c r="AX83" s="810"/>
      <c r="AY83" s="983"/>
      <c r="AZ83" s="983"/>
      <c r="BA83" s="819"/>
      <c r="BB83" s="820"/>
      <c r="BC83" s="811"/>
      <c r="BD83" s="410"/>
      <c r="BE83" s="410"/>
      <c r="BF83" s="410"/>
      <c r="BG83" s="410"/>
      <c r="BH83" s="974"/>
      <c r="BI83" s="974"/>
      <c r="BJ83" s="410"/>
      <c r="BK83" s="2073"/>
      <c r="BL83" s="410"/>
      <c r="BM83" s="410"/>
      <c r="BN83" s="410"/>
      <c r="BO83" s="685"/>
      <c r="BP83" s="399"/>
      <c r="BR83" s="405"/>
      <c r="BS83" s="405"/>
      <c r="BT83" s="405"/>
      <c r="BU83" s="405"/>
      <c r="BV83" s="405"/>
      <c r="BW83" s="405"/>
      <c r="BX83" s="405"/>
      <c r="BY83" s="405"/>
      <c r="BZ83" s="405"/>
      <c r="CA83" s="405"/>
      <c r="CB83" s="405"/>
      <c r="CC83" s="405"/>
      <c r="CD83" s="405"/>
      <c r="CE83" s="405"/>
      <c r="CF83" s="404"/>
    </row>
    <row r="84" spans="1:84" ht="13.5" customHeight="1">
      <c r="A84" s="1483"/>
      <c r="B84" s="1483"/>
      <c r="C84" s="2467"/>
      <c r="D84" s="2084"/>
      <c r="E84" s="1080"/>
      <c r="F84" s="2082"/>
      <c r="G84" s="912"/>
      <c r="H84" s="912"/>
      <c r="I84" s="2601"/>
      <c r="J84" s="2601"/>
      <c r="K84" s="2602"/>
      <c r="L84" s="2602"/>
      <c r="M84" s="2604"/>
      <c r="N84" s="2593"/>
      <c r="O84" s="2589"/>
      <c r="P84" s="2590"/>
      <c r="Q84" s="2591"/>
      <c r="R84" s="2600"/>
      <c r="S84" s="2592"/>
      <c r="T84" s="2593"/>
      <c r="U84" s="2594"/>
      <c r="V84" s="2595"/>
      <c r="W84" s="2596"/>
      <c r="X84" s="2597"/>
      <c r="Y84" s="2596"/>
      <c r="Z84" s="2598"/>
      <c r="AA84" s="2598"/>
      <c r="AB84" s="2598"/>
      <c r="AC84" s="1076"/>
      <c r="AD84" s="1076"/>
      <c r="AE84" s="410"/>
      <c r="AF84" s="809"/>
      <c r="AG84" s="1076"/>
      <c r="AH84" s="2404"/>
      <c r="AI84" s="2404"/>
      <c r="AJ84" s="2607"/>
      <c r="AK84" s="927"/>
      <c r="AL84" s="1076"/>
      <c r="AM84" s="927"/>
      <c r="AN84" s="685"/>
      <c r="AO84" s="517"/>
      <c r="AP84" s="413"/>
      <c r="AQ84" s="414"/>
      <c r="AR84" s="812"/>
      <c r="AS84" s="812"/>
      <c r="AT84" s="410"/>
      <c r="AU84" s="982"/>
      <c r="AV84" s="976"/>
      <c r="AW84" s="820"/>
      <c r="AX84" s="810"/>
      <c r="AY84" s="983"/>
      <c r="AZ84" s="983"/>
      <c r="BA84" s="819"/>
      <c r="BB84" s="820"/>
      <c r="BC84" s="811"/>
      <c r="BD84" s="410"/>
      <c r="BE84" s="410"/>
      <c r="BF84" s="410"/>
      <c r="BG84" s="410"/>
      <c r="BH84" s="974"/>
      <c r="BI84" s="974"/>
      <c r="BJ84" s="410"/>
      <c r="BK84" s="2073"/>
      <c r="BL84" s="410"/>
      <c r="BM84" s="410"/>
      <c r="BN84" s="410"/>
      <c r="BO84" s="685"/>
      <c r="BP84" s="399"/>
      <c r="BR84" s="405"/>
      <c r="BS84" s="405"/>
      <c r="BT84" s="405"/>
      <c r="BU84" s="405"/>
      <c r="BV84" s="405"/>
      <c r="BW84" s="405"/>
      <c r="BX84" s="405"/>
      <c r="BY84" s="405"/>
      <c r="BZ84" s="405"/>
      <c r="CA84" s="405"/>
      <c r="CB84" s="405"/>
      <c r="CC84" s="405"/>
      <c r="CD84" s="405"/>
      <c r="CE84" s="405"/>
      <c r="CF84" s="404"/>
    </row>
    <row r="85" spans="1:84" ht="13.5" customHeight="1">
      <c r="A85" s="1483"/>
      <c r="B85" s="1483"/>
      <c r="C85" s="2467"/>
      <c r="D85" s="2084"/>
      <c r="E85" s="1080"/>
      <c r="F85" s="2082"/>
      <c r="G85" s="912"/>
      <c r="H85" s="912"/>
      <c r="I85" s="2601"/>
      <c r="J85" s="2601"/>
      <c r="K85" s="2602"/>
      <c r="L85" s="2602"/>
      <c r="M85" s="2604"/>
      <c r="N85" s="2593"/>
      <c r="O85" s="2589"/>
      <c r="P85" s="2590"/>
      <c r="Q85" s="2591"/>
      <c r="R85" s="2600"/>
      <c r="S85" s="2592"/>
      <c r="T85" s="2593"/>
      <c r="U85" s="2594"/>
      <c r="V85" s="2595"/>
      <c r="W85" s="2596"/>
      <c r="X85" s="2597"/>
      <c r="Y85" s="2596"/>
      <c r="Z85" s="2598"/>
      <c r="AA85" s="2598"/>
      <c r="AB85" s="2598"/>
      <c r="AC85" s="1076"/>
      <c r="AD85" s="1076"/>
      <c r="AE85" s="410"/>
      <c r="AF85" s="809"/>
      <c r="AG85" s="1076"/>
      <c r="AH85" s="2404"/>
      <c r="AI85" s="2404"/>
      <c r="AJ85" s="2607"/>
      <c r="AK85" s="927"/>
      <c r="AL85" s="1076"/>
      <c r="AM85" s="927"/>
      <c r="AN85" s="685"/>
      <c r="AO85" s="517"/>
      <c r="AP85" s="413"/>
      <c r="AQ85" s="414"/>
      <c r="AR85" s="812"/>
      <c r="AS85" s="812"/>
      <c r="AT85" s="410"/>
      <c r="AU85" s="982"/>
      <c r="AV85" s="976"/>
      <c r="AW85" s="820"/>
      <c r="AX85" s="810"/>
      <c r="AY85" s="983"/>
      <c r="AZ85" s="983"/>
      <c r="BA85" s="819"/>
      <c r="BB85" s="820"/>
      <c r="BC85" s="811"/>
      <c r="BD85" s="410"/>
      <c r="BE85" s="410"/>
      <c r="BF85" s="410"/>
      <c r="BG85" s="410"/>
      <c r="BH85" s="974"/>
      <c r="BI85" s="974"/>
      <c r="BJ85" s="410"/>
      <c r="BK85" s="2073"/>
      <c r="BL85" s="410"/>
      <c r="BM85" s="410"/>
      <c r="BN85" s="410"/>
      <c r="BO85" s="685"/>
      <c r="BP85" s="399"/>
      <c r="BR85" s="405"/>
      <c r="BS85" s="405"/>
      <c r="BT85" s="405"/>
      <c r="BU85" s="405"/>
      <c r="BV85" s="405"/>
      <c r="BW85" s="405"/>
      <c r="BX85" s="405"/>
      <c r="BY85" s="405"/>
      <c r="BZ85" s="405"/>
      <c r="CA85" s="405"/>
      <c r="CB85" s="405"/>
      <c r="CC85" s="405"/>
      <c r="CD85" s="405"/>
      <c r="CE85" s="405"/>
      <c r="CF85" s="404"/>
    </row>
    <row r="86" spans="1:84" ht="13.5" customHeight="1">
      <c r="A86" s="1483"/>
      <c r="B86" s="1483"/>
      <c r="C86" s="2467"/>
      <c r="D86" s="2084"/>
      <c r="E86" s="1080"/>
      <c r="F86" s="2082"/>
      <c r="G86" s="912"/>
      <c r="H86" s="912"/>
      <c r="I86" s="2601"/>
      <c r="J86" s="2601"/>
      <c r="K86" s="2602"/>
      <c r="L86" s="2602"/>
      <c r="M86" s="2604"/>
      <c r="N86" s="2593"/>
      <c r="O86" s="2589"/>
      <c r="P86" s="2590"/>
      <c r="Q86" s="2591"/>
      <c r="R86" s="2600"/>
      <c r="S86" s="2592"/>
      <c r="T86" s="2593"/>
      <c r="U86" s="2594"/>
      <c r="V86" s="2595"/>
      <c r="W86" s="2596"/>
      <c r="X86" s="2597"/>
      <c r="Y86" s="2596"/>
      <c r="Z86" s="2598"/>
      <c r="AA86" s="2598"/>
      <c r="AB86" s="2598"/>
      <c r="AC86" s="1076"/>
      <c r="AD86" s="1076"/>
      <c r="AE86" s="410"/>
      <c r="AF86" s="809"/>
      <c r="AG86" s="1076"/>
      <c r="AH86" s="2404"/>
      <c r="AI86" s="2404"/>
      <c r="AJ86" s="2607"/>
      <c r="AK86" s="927"/>
      <c r="AL86" s="1076"/>
      <c r="AM86" s="927"/>
      <c r="AN86" s="685"/>
      <c r="AO86" s="517"/>
      <c r="AP86" s="413"/>
      <c r="AQ86" s="414"/>
      <c r="AR86" s="812"/>
      <c r="AS86" s="812"/>
      <c r="AT86" s="410"/>
      <c r="AU86" s="982"/>
      <c r="AV86" s="976"/>
      <c r="AW86" s="820"/>
      <c r="AX86" s="810"/>
      <c r="AY86" s="983"/>
      <c r="AZ86" s="983"/>
      <c r="BA86" s="819"/>
      <c r="BB86" s="820"/>
      <c r="BC86" s="811"/>
      <c r="BD86" s="410"/>
      <c r="BE86" s="410"/>
      <c r="BF86" s="410"/>
      <c r="BG86" s="410"/>
      <c r="BH86" s="974"/>
      <c r="BI86" s="974"/>
      <c r="BJ86" s="410"/>
      <c r="BK86" s="2073"/>
      <c r="BL86" s="410"/>
      <c r="BM86" s="410"/>
      <c r="BN86" s="410"/>
      <c r="BO86" s="685"/>
      <c r="BP86" s="399"/>
      <c r="BR86" s="405"/>
      <c r="BS86" s="405"/>
      <c r="BT86" s="405"/>
      <c r="BU86" s="405"/>
      <c r="BV86" s="405"/>
      <c r="BW86" s="405"/>
      <c r="BX86" s="405"/>
      <c r="BY86" s="405"/>
      <c r="BZ86" s="405"/>
      <c r="CA86" s="405"/>
      <c r="CB86" s="405"/>
      <c r="CC86" s="405"/>
      <c r="CD86" s="405"/>
      <c r="CE86" s="405"/>
    </row>
    <row r="87" spans="1:84" ht="13.5" customHeight="1">
      <c r="A87" s="1483"/>
      <c r="B87" s="1483"/>
      <c r="C87" s="2467"/>
      <c r="D87" s="2084"/>
      <c r="E87" s="1080"/>
      <c r="F87" s="2082"/>
      <c r="G87" s="912"/>
      <c r="H87" s="912"/>
      <c r="I87" s="2601"/>
      <c r="J87" s="2601"/>
      <c r="K87" s="2603"/>
      <c r="L87" s="2603"/>
      <c r="M87" s="2604"/>
      <c r="N87" s="2593"/>
      <c r="O87" s="2589"/>
      <c r="P87" s="2590"/>
      <c r="Q87" s="2591"/>
      <c r="R87" s="2600"/>
      <c r="S87" s="2592"/>
      <c r="T87" s="2593"/>
      <c r="U87" s="2594"/>
      <c r="V87" s="2595"/>
      <c r="W87" s="2596"/>
      <c r="X87" s="2597"/>
      <c r="Y87" s="2596"/>
      <c r="Z87" s="2598"/>
      <c r="AA87" s="2598"/>
      <c r="AB87" s="2598"/>
      <c r="AC87" s="1076"/>
      <c r="AD87" s="1076"/>
      <c r="AE87" s="410"/>
      <c r="AF87" s="809"/>
      <c r="AG87" s="1076"/>
      <c r="AH87" s="2404"/>
      <c r="AI87" s="2404"/>
      <c r="AJ87" s="2607"/>
      <c r="AK87" s="927"/>
      <c r="AL87" s="1076"/>
      <c r="AM87" s="927"/>
      <c r="AN87" s="685"/>
      <c r="AO87" s="517"/>
      <c r="AP87" s="413"/>
      <c r="AQ87" s="414"/>
      <c r="AR87" s="812"/>
      <c r="AS87" s="812"/>
      <c r="AT87" s="410"/>
      <c r="AU87" s="982"/>
      <c r="AV87" s="976"/>
      <c r="AW87" s="820"/>
      <c r="AX87" s="810"/>
      <c r="AY87" s="983"/>
      <c r="AZ87" s="983"/>
      <c r="BA87" s="819"/>
      <c r="BB87" s="820"/>
      <c r="BC87" s="811"/>
      <c r="BD87" s="410"/>
      <c r="BE87" s="410"/>
      <c r="BF87" s="410"/>
      <c r="BG87" s="410"/>
      <c r="BH87" s="974"/>
      <c r="BI87" s="974"/>
      <c r="BJ87" s="410"/>
      <c r="BK87" s="2073"/>
      <c r="BL87" s="410"/>
      <c r="BM87" s="410"/>
      <c r="BN87" s="410"/>
      <c r="BO87" s="685"/>
      <c r="BP87" s="399"/>
      <c r="BR87" s="405"/>
      <c r="BS87" s="405"/>
      <c r="BT87" s="405"/>
      <c r="BU87" s="405"/>
      <c r="BV87" s="405"/>
      <c r="BW87" s="405"/>
      <c r="BX87" s="405"/>
      <c r="BY87" s="405"/>
      <c r="BZ87" s="405"/>
      <c r="CA87" s="405"/>
      <c r="CB87" s="405"/>
      <c r="CC87" s="405"/>
      <c r="CD87" s="405"/>
      <c r="CE87" s="405"/>
    </row>
    <row r="88" spans="1:84" ht="13.5" customHeight="1">
      <c r="A88" s="1483"/>
      <c r="B88" s="1483"/>
      <c r="C88" s="2467"/>
      <c r="D88" s="2084"/>
      <c r="E88" s="1080"/>
      <c r="F88" s="2082"/>
      <c r="G88" s="912"/>
      <c r="H88" s="912"/>
      <c r="I88" s="2601"/>
      <c r="J88" s="2601"/>
      <c r="K88" s="2602"/>
      <c r="L88" s="2602"/>
      <c r="M88" s="2604"/>
      <c r="N88" s="2593"/>
      <c r="O88" s="2589"/>
      <c r="P88" s="2590"/>
      <c r="Q88" s="2591"/>
      <c r="R88" s="2600"/>
      <c r="S88" s="2592"/>
      <c r="T88" s="2593"/>
      <c r="U88" s="2594"/>
      <c r="V88" s="2595"/>
      <c r="W88" s="2596"/>
      <c r="X88" s="2597"/>
      <c r="Y88" s="2596"/>
      <c r="Z88" s="2598"/>
      <c r="AA88" s="2598"/>
      <c r="AB88" s="2598"/>
      <c r="AC88" s="1076"/>
      <c r="AD88" s="1076"/>
      <c r="AE88" s="410"/>
      <c r="AF88" s="809"/>
      <c r="AG88" s="1076"/>
      <c r="AH88" s="2404"/>
      <c r="AI88" s="2404"/>
      <c r="AJ88" s="2607"/>
      <c r="AK88" s="927"/>
      <c r="AL88" s="1076"/>
      <c r="AM88" s="927"/>
      <c r="AN88" s="685"/>
      <c r="AO88" s="517"/>
      <c r="AP88" s="413"/>
      <c r="AQ88" s="414"/>
      <c r="AR88" s="812"/>
      <c r="AS88" s="812"/>
      <c r="AT88" s="410"/>
      <c r="AU88" s="982"/>
      <c r="AV88" s="976"/>
      <c r="AW88" s="820"/>
      <c r="AX88" s="810"/>
      <c r="AY88" s="983"/>
      <c r="AZ88" s="983"/>
      <c r="BA88" s="819"/>
      <c r="BB88" s="820"/>
      <c r="BC88" s="811"/>
      <c r="BD88" s="410"/>
      <c r="BE88" s="410"/>
      <c r="BF88" s="410"/>
      <c r="BG88" s="410"/>
      <c r="BH88" s="974"/>
      <c r="BI88" s="974"/>
      <c r="BJ88" s="410"/>
      <c r="BK88" s="2073"/>
      <c r="BL88" s="410"/>
      <c r="BM88" s="410"/>
      <c r="BN88" s="410"/>
      <c r="BO88" s="685"/>
      <c r="BP88" s="399"/>
      <c r="BR88" s="405"/>
      <c r="BS88" s="405"/>
      <c r="BT88" s="405"/>
      <c r="BU88" s="405"/>
      <c r="BV88" s="405"/>
      <c r="BW88" s="405"/>
      <c r="BX88" s="405"/>
      <c r="BY88" s="405"/>
      <c r="BZ88" s="405"/>
      <c r="CA88" s="405"/>
      <c r="CB88" s="405"/>
      <c r="CC88" s="405"/>
      <c r="CD88" s="405"/>
      <c r="CE88" s="405"/>
    </row>
    <row r="89" spans="1:84" ht="13.5" customHeight="1">
      <c r="A89" s="1483"/>
      <c r="B89" s="1483"/>
      <c r="C89" s="2467"/>
      <c r="D89" s="2084"/>
      <c r="E89" s="1080"/>
      <c r="F89" s="2082"/>
      <c r="G89" s="912"/>
      <c r="H89" s="912"/>
      <c r="I89" s="2601"/>
      <c r="J89" s="2601"/>
      <c r="K89" s="2603"/>
      <c r="L89" s="2603"/>
      <c r="M89" s="2604"/>
      <c r="N89" s="2593"/>
      <c r="O89" s="2589"/>
      <c r="P89" s="2590"/>
      <c r="Q89" s="2591"/>
      <c r="R89" s="2600"/>
      <c r="S89" s="2592"/>
      <c r="T89" s="2593"/>
      <c r="U89" s="2594"/>
      <c r="V89" s="2595"/>
      <c r="W89" s="2596"/>
      <c r="X89" s="2597"/>
      <c r="Y89" s="2596"/>
      <c r="Z89" s="2598"/>
      <c r="AA89" s="2598"/>
      <c r="AB89" s="2598"/>
      <c r="AC89" s="1076"/>
      <c r="AD89" s="1076"/>
      <c r="AE89" s="410"/>
      <c r="AF89" s="809"/>
      <c r="AG89" s="1076"/>
      <c r="AH89" s="2404"/>
      <c r="AI89" s="2404"/>
      <c r="AJ89" s="2607"/>
      <c r="AK89" s="927"/>
      <c r="AL89" s="1076"/>
      <c r="AM89" s="927"/>
      <c r="AN89" s="685"/>
      <c r="AO89" s="517"/>
      <c r="AP89" s="413"/>
      <c r="AQ89" s="414"/>
      <c r="AR89" s="812"/>
      <c r="AS89" s="812"/>
      <c r="AT89" s="410"/>
      <c r="AU89" s="982"/>
      <c r="AV89" s="976"/>
      <c r="AW89" s="820"/>
      <c r="AX89" s="810"/>
      <c r="AY89" s="983"/>
      <c r="AZ89" s="983"/>
      <c r="BA89" s="819"/>
      <c r="BB89" s="820"/>
      <c r="BC89" s="811"/>
      <c r="BD89" s="410"/>
      <c r="BE89" s="410"/>
      <c r="BF89" s="410"/>
      <c r="BG89" s="410"/>
      <c r="BH89" s="974"/>
      <c r="BI89" s="974"/>
      <c r="BJ89" s="410"/>
      <c r="BK89" s="2073"/>
      <c r="BL89" s="410"/>
      <c r="BM89" s="410"/>
      <c r="BN89" s="410"/>
      <c r="BO89" s="685"/>
      <c r="BP89" s="399"/>
      <c r="BR89" s="405"/>
      <c r="BS89" s="405"/>
      <c r="BT89" s="405"/>
      <c r="BU89" s="405"/>
      <c r="BV89" s="405"/>
      <c r="BW89" s="405"/>
      <c r="BX89" s="405"/>
      <c r="BY89" s="405"/>
      <c r="BZ89" s="405"/>
      <c r="CA89" s="405"/>
      <c r="CB89" s="405"/>
      <c r="CC89" s="405"/>
      <c r="CD89" s="405"/>
      <c r="CE89" s="405"/>
    </row>
    <row r="90" spans="1:84" ht="13.5" customHeight="1">
      <c r="A90" s="1483"/>
      <c r="B90" s="1483"/>
      <c r="C90" s="2467"/>
      <c r="D90" s="2084"/>
      <c r="E90" s="1080"/>
      <c r="F90" s="2082"/>
      <c r="G90" s="912"/>
      <c r="H90" s="912"/>
      <c r="I90" s="2601"/>
      <c r="J90" s="2601"/>
      <c r="K90" s="2602"/>
      <c r="L90" s="2602"/>
      <c r="M90" s="2604"/>
      <c r="N90" s="2593"/>
      <c r="O90" s="2589"/>
      <c r="P90" s="2590"/>
      <c r="Q90" s="2591"/>
      <c r="R90" s="2600"/>
      <c r="S90" s="2592"/>
      <c r="T90" s="2593"/>
      <c r="U90" s="2594"/>
      <c r="V90" s="2595"/>
      <c r="W90" s="2596"/>
      <c r="X90" s="2597"/>
      <c r="Y90" s="2596"/>
      <c r="Z90" s="2598"/>
      <c r="AA90" s="2598"/>
      <c r="AB90" s="2598"/>
      <c r="AC90" s="1076"/>
      <c r="AD90" s="1076"/>
      <c r="AE90" s="410"/>
      <c r="AF90" s="809"/>
      <c r="AG90" s="1076"/>
      <c r="AH90" s="2404"/>
      <c r="AI90" s="2404"/>
      <c r="AJ90" s="2607"/>
      <c r="AK90" s="927"/>
      <c r="AL90" s="1076"/>
      <c r="AM90" s="927"/>
      <c r="AN90" s="685"/>
      <c r="AO90" s="517"/>
      <c r="AP90" s="413"/>
      <c r="AQ90" s="414"/>
      <c r="AR90" s="812"/>
      <c r="AS90" s="812"/>
      <c r="AT90" s="410"/>
      <c r="AU90" s="982"/>
      <c r="AV90" s="976"/>
      <c r="AW90" s="820"/>
      <c r="AX90" s="810"/>
      <c r="AY90" s="983"/>
      <c r="AZ90" s="983"/>
      <c r="BA90" s="819"/>
      <c r="BB90" s="820"/>
      <c r="BC90" s="811"/>
      <c r="BD90" s="410"/>
      <c r="BE90" s="410"/>
      <c r="BF90" s="410"/>
      <c r="BG90" s="410"/>
      <c r="BH90" s="974"/>
      <c r="BI90" s="974"/>
      <c r="BJ90" s="410"/>
      <c r="BK90" s="2073"/>
      <c r="BL90" s="410"/>
      <c r="BM90" s="410"/>
      <c r="BN90" s="410"/>
      <c r="BO90" s="685"/>
      <c r="BP90" s="399"/>
      <c r="BR90" s="405"/>
      <c r="BS90" s="405"/>
      <c r="BT90" s="405"/>
      <c r="BU90" s="405"/>
      <c r="BV90" s="405"/>
      <c r="BW90" s="405"/>
      <c r="BX90" s="405"/>
      <c r="BY90" s="405"/>
      <c r="BZ90" s="405"/>
      <c r="CA90" s="405"/>
      <c r="CB90" s="405"/>
      <c r="CC90" s="405"/>
      <c r="CD90" s="405"/>
      <c r="CE90" s="405"/>
    </row>
    <row r="91" spans="1:84" ht="13.5" customHeight="1">
      <c r="A91" s="1483"/>
      <c r="B91" s="1483"/>
      <c r="C91" s="2467"/>
      <c r="D91" s="2084"/>
      <c r="E91" s="1080"/>
      <c r="F91" s="2082"/>
      <c r="G91" s="912"/>
      <c r="H91" s="912"/>
      <c r="I91" s="2601"/>
      <c r="J91" s="2601"/>
      <c r="K91" s="2603"/>
      <c r="L91" s="2602"/>
      <c r="M91" s="2604"/>
      <c r="N91" s="2593"/>
      <c r="O91" s="2589"/>
      <c r="P91" s="2590"/>
      <c r="Q91" s="2591"/>
      <c r="R91" s="2600"/>
      <c r="S91" s="2592"/>
      <c r="T91" s="2593"/>
      <c r="U91" s="2594"/>
      <c r="V91" s="2595"/>
      <c r="W91" s="2596"/>
      <c r="X91" s="2597"/>
      <c r="Y91" s="2596"/>
      <c r="Z91" s="2598"/>
      <c r="AA91" s="2598"/>
      <c r="AB91" s="2598"/>
      <c r="AC91" s="1076"/>
      <c r="AD91" s="1076"/>
      <c r="AE91" s="410"/>
      <c r="AF91" s="809"/>
      <c r="AG91" s="1076"/>
      <c r="AH91" s="2404"/>
      <c r="AI91" s="2404"/>
      <c r="AJ91" s="2607"/>
      <c r="AK91" s="927"/>
      <c r="AL91" s="1076"/>
      <c r="AM91" s="927"/>
      <c r="AN91" s="685"/>
      <c r="AO91" s="517"/>
      <c r="AP91" s="413"/>
      <c r="AQ91" s="414"/>
      <c r="AR91" s="812"/>
      <c r="AS91" s="812"/>
      <c r="AT91" s="410"/>
      <c r="AU91" s="982"/>
      <c r="AV91" s="976"/>
      <c r="AW91" s="820"/>
      <c r="AX91" s="810"/>
      <c r="AY91" s="983"/>
      <c r="AZ91" s="983"/>
      <c r="BA91" s="819"/>
      <c r="BB91" s="820"/>
      <c r="BC91" s="811"/>
      <c r="BD91" s="410"/>
      <c r="BE91" s="410"/>
      <c r="BF91" s="410"/>
      <c r="BG91" s="410"/>
      <c r="BH91" s="974"/>
      <c r="BI91" s="974"/>
      <c r="BJ91" s="410"/>
      <c r="BK91" s="2073"/>
      <c r="BL91" s="410"/>
      <c r="BM91" s="410"/>
      <c r="BN91" s="410"/>
      <c r="BO91" s="685"/>
      <c r="BP91" s="399"/>
      <c r="BR91" s="405"/>
      <c r="BS91" s="405"/>
      <c r="BT91" s="405"/>
      <c r="BU91" s="405"/>
      <c r="BV91" s="405"/>
      <c r="BW91" s="405"/>
      <c r="BX91" s="405"/>
      <c r="BY91" s="405"/>
      <c r="BZ91" s="405"/>
      <c r="CA91" s="405"/>
      <c r="CB91" s="405"/>
      <c r="CC91" s="405"/>
      <c r="CD91" s="405"/>
      <c r="CE91" s="405"/>
    </row>
    <row r="92" spans="1:84" ht="13.5" customHeight="1">
      <c r="A92" s="1483"/>
      <c r="B92" s="1483"/>
      <c r="C92" s="2467"/>
      <c r="D92" s="2084"/>
      <c r="E92" s="1080"/>
      <c r="F92" s="2082"/>
      <c r="G92" s="912"/>
      <c r="H92" s="912"/>
      <c r="I92" s="2601"/>
      <c r="J92" s="2601"/>
      <c r="K92" s="2602"/>
      <c r="L92" s="2602"/>
      <c r="M92" s="2604"/>
      <c r="N92" s="2593"/>
      <c r="O92" s="2589"/>
      <c r="P92" s="2590"/>
      <c r="Q92" s="2591"/>
      <c r="R92" s="2600"/>
      <c r="S92" s="2592"/>
      <c r="T92" s="2593"/>
      <c r="U92" s="2594"/>
      <c r="V92" s="2595"/>
      <c r="W92" s="2596"/>
      <c r="X92" s="2597"/>
      <c r="Y92" s="2596"/>
      <c r="Z92" s="2598"/>
      <c r="AA92" s="2598"/>
      <c r="AB92" s="2598"/>
      <c r="AC92" s="1076"/>
      <c r="AD92" s="1076"/>
      <c r="AE92" s="410"/>
      <c r="AF92" s="809"/>
      <c r="AG92" s="1076"/>
      <c r="AH92" s="2404"/>
      <c r="AI92" s="2404"/>
      <c r="AJ92" s="2607"/>
      <c r="AK92" s="927"/>
      <c r="AL92" s="1076"/>
      <c r="AM92" s="927"/>
      <c r="AN92" s="685"/>
      <c r="AO92" s="517"/>
      <c r="AP92" s="413"/>
      <c r="AQ92" s="414"/>
      <c r="AR92" s="812"/>
      <c r="AS92" s="812"/>
      <c r="AT92" s="410"/>
      <c r="AU92" s="982"/>
      <c r="AV92" s="976"/>
      <c r="AW92" s="820"/>
      <c r="AX92" s="810"/>
      <c r="AY92" s="983"/>
      <c r="AZ92" s="983"/>
      <c r="BA92" s="819"/>
      <c r="BB92" s="820"/>
      <c r="BC92" s="811"/>
      <c r="BD92" s="410"/>
      <c r="BE92" s="410"/>
      <c r="BF92" s="410"/>
      <c r="BG92" s="410"/>
      <c r="BH92" s="974"/>
      <c r="BI92" s="974"/>
      <c r="BJ92" s="410"/>
      <c r="BK92" s="2073"/>
      <c r="BL92" s="410"/>
      <c r="BM92" s="410"/>
      <c r="BN92" s="410"/>
      <c r="BO92" s="685"/>
      <c r="BP92" s="399"/>
      <c r="BR92" s="405"/>
      <c r="BS92" s="405"/>
      <c r="BT92" s="405"/>
      <c r="BU92" s="405"/>
      <c r="BV92" s="405"/>
      <c r="BW92" s="405"/>
      <c r="BX92" s="405"/>
      <c r="BY92" s="405"/>
      <c r="BZ92" s="405"/>
      <c r="CA92" s="405"/>
      <c r="CB92" s="405"/>
      <c r="CC92" s="405"/>
      <c r="CD92" s="405"/>
      <c r="CE92" s="405"/>
    </row>
    <row r="93" spans="1:84" ht="13.5" customHeight="1">
      <c r="A93" s="1483"/>
      <c r="B93" s="1483"/>
      <c r="C93" s="2467"/>
      <c r="D93" s="2084"/>
      <c r="E93" s="1080"/>
      <c r="F93" s="2082"/>
      <c r="G93" s="912"/>
      <c r="H93" s="912"/>
      <c r="I93" s="2601"/>
      <c r="J93" s="2601"/>
      <c r="K93" s="2603"/>
      <c r="L93" s="2602"/>
      <c r="M93" s="2604"/>
      <c r="N93" s="2593"/>
      <c r="O93" s="2589"/>
      <c r="P93" s="2590"/>
      <c r="Q93" s="2591"/>
      <c r="R93" s="2600"/>
      <c r="S93" s="2592"/>
      <c r="T93" s="2593"/>
      <c r="U93" s="2594"/>
      <c r="V93" s="2595"/>
      <c r="W93" s="2596"/>
      <c r="X93" s="2597"/>
      <c r="Y93" s="2596"/>
      <c r="Z93" s="2598"/>
      <c r="AA93" s="2598"/>
      <c r="AB93" s="2598"/>
      <c r="AC93" s="1076"/>
      <c r="AD93" s="1076"/>
      <c r="AE93" s="410"/>
      <c r="AF93" s="809"/>
      <c r="AG93" s="1076"/>
      <c r="AH93" s="2404"/>
      <c r="AI93" s="2404"/>
      <c r="AJ93" s="2607"/>
      <c r="AK93" s="927"/>
      <c r="AL93" s="1076"/>
      <c r="AM93" s="927"/>
      <c r="AN93" s="685"/>
      <c r="AO93" s="517"/>
      <c r="AP93" s="413"/>
      <c r="AQ93" s="414"/>
      <c r="AR93" s="812"/>
      <c r="AS93" s="812"/>
      <c r="AT93" s="410"/>
      <c r="AU93" s="982"/>
      <c r="AV93" s="976"/>
      <c r="AW93" s="820"/>
      <c r="AX93" s="810"/>
      <c r="AY93" s="983"/>
      <c r="AZ93" s="983"/>
      <c r="BA93" s="819"/>
      <c r="BB93" s="820"/>
      <c r="BC93" s="811"/>
      <c r="BD93" s="410"/>
      <c r="BE93" s="410"/>
      <c r="BF93" s="410"/>
      <c r="BG93" s="410"/>
      <c r="BH93" s="974"/>
      <c r="BI93" s="974"/>
      <c r="BJ93" s="410"/>
      <c r="BK93" s="2073"/>
      <c r="BL93" s="410"/>
      <c r="BM93" s="410"/>
      <c r="BN93" s="410"/>
      <c r="BO93" s="685"/>
      <c r="BP93" s="399"/>
      <c r="BR93" s="405"/>
      <c r="BS93" s="405"/>
      <c r="BT93" s="405"/>
      <c r="BU93" s="405"/>
      <c r="BV93" s="405"/>
      <c r="BW93" s="405"/>
      <c r="BX93" s="405"/>
      <c r="BY93" s="405"/>
      <c r="BZ93" s="405"/>
      <c r="CA93" s="405"/>
      <c r="CB93" s="405"/>
      <c r="CC93" s="405"/>
      <c r="CD93" s="405"/>
      <c r="CE93" s="405"/>
    </row>
    <row r="94" spans="1:84" ht="13.5" customHeight="1">
      <c r="A94" s="1483"/>
      <c r="B94" s="1483"/>
      <c r="C94" s="2467"/>
      <c r="D94" s="2084"/>
      <c r="E94" s="1080"/>
      <c r="F94" s="2082"/>
      <c r="G94" s="912"/>
      <c r="H94" s="912"/>
      <c r="I94" s="2601"/>
      <c r="J94" s="2601"/>
      <c r="K94" s="2602"/>
      <c r="L94" s="2603"/>
      <c r="M94" s="2604"/>
      <c r="N94" s="2593"/>
      <c r="O94" s="2589"/>
      <c r="P94" s="2590"/>
      <c r="Q94" s="2591"/>
      <c r="R94" s="2600"/>
      <c r="S94" s="2592"/>
      <c r="T94" s="2593"/>
      <c r="U94" s="2594"/>
      <c r="V94" s="2595"/>
      <c r="W94" s="2596"/>
      <c r="X94" s="2597"/>
      <c r="Y94" s="2596"/>
      <c r="Z94" s="2598"/>
      <c r="AA94" s="2598"/>
      <c r="AB94" s="2598"/>
      <c r="AC94" s="1076"/>
      <c r="AD94" s="1076"/>
      <c r="AE94" s="410"/>
      <c r="AF94" s="809"/>
      <c r="AG94" s="1076"/>
      <c r="AH94" s="2404"/>
      <c r="AI94" s="2404"/>
      <c r="AJ94" s="2607"/>
      <c r="AK94" s="927"/>
      <c r="AL94" s="1076"/>
      <c r="AM94" s="927"/>
      <c r="AN94" s="685"/>
      <c r="AO94" s="517"/>
      <c r="AP94" s="413"/>
      <c r="AQ94" s="414"/>
      <c r="AR94" s="812"/>
      <c r="AS94" s="812"/>
      <c r="AT94" s="410"/>
      <c r="AU94" s="982"/>
      <c r="AV94" s="976"/>
      <c r="AW94" s="820"/>
      <c r="AX94" s="810"/>
      <c r="AY94" s="983"/>
      <c r="AZ94" s="983"/>
      <c r="BA94" s="819"/>
      <c r="BB94" s="820"/>
      <c r="BC94" s="811"/>
      <c r="BD94" s="410"/>
      <c r="BE94" s="410"/>
      <c r="BF94" s="410"/>
      <c r="BG94" s="410"/>
      <c r="BH94" s="974"/>
      <c r="BI94" s="974"/>
      <c r="BJ94" s="410"/>
      <c r="BK94" s="2073"/>
      <c r="BL94" s="410"/>
      <c r="BM94" s="410"/>
      <c r="BN94" s="410"/>
      <c r="BO94" s="685"/>
      <c r="BP94" s="399"/>
      <c r="BR94" s="405"/>
      <c r="BS94" s="405"/>
      <c r="BT94" s="405"/>
      <c r="BU94" s="405"/>
      <c r="BV94" s="405"/>
      <c r="BW94" s="405"/>
      <c r="BX94" s="405"/>
      <c r="BY94" s="405"/>
      <c r="BZ94" s="405"/>
      <c r="CA94" s="405"/>
      <c r="CB94" s="405"/>
      <c r="CC94" s="405"/>
      <c r="CD94" s="405"/>
      <c r="CE94" s="405"/>
    </row>
    <row r="95" spans="1:84" ht="13.5" customHeight="1">
      <c r="A95" s="1483"/>
      <c r="B95" s="1483"/>
      <c r="C95" s="2467"/>
      <c r="D95" s="2084"/>
      <c r="E95" s="1080"/>
      <c r="F95" s="2082"/>
      <c r="G95" s="912"/>
      <c r="H95" s="912"/>
      <c r="I95" s="2601"/>
      <c r="J95" s="2601"/>
      <c r="K95" s="2602"/>
      <c r="L95" s="2603"/>
      <c r="M95" s="2604"/>
      <c r="N95" s="2593"/>
      <c r="O95" s="2589"/>
      <c r="P95" s="2590"/>
      <c r="Q95" s="2591"/>
      <c r="R95" s="2600"/>
      <c r="S95" s="2592"/>
      <c r="T95" s="2593"/>
      <c r="U95" s="2594"/>
      <c r="V95" s="2595"/>
      <c r="W95" s="2596"/>
      <c r="X95" s="2597"/>
      <c r="Y95" s="2596"/>
      <c r="Z95" s="2598"/>
      <c r="AA95" s="2598"/>
      <c r="AB95" s="2598"/>
      <c r="AC95" s="1076"/>
      <c r="AD95" s="1076"/>
      <c r="AE95" s="410"/>
      <c r="AF95" s="809"/>
      <c r="AG95" s="1076"/>
      <c r="AH95" s="2404"/>
      <c r="AI95" s="2404"/>
      <c r="AJ95" s="2607"/>
      <c r="AK95" s="927"/>
      <c r="AL95" s="1076"/>
      <c r="AM95" s="927"/>
      <c r="AN95" s="685"/>
      <c r="AO95" s="517"/>
      <c r="AP95" s="413"/>
      <c r="AQ95" s="414"/>
      <c r="AR95" s="812"/>
      <c r="AS95" s="812"/>
      <c r="AT95" s="410"/>
      <c r="AU95" s="982"/>
      <c r="AV95" s="976"/>
      <c r="AW95" s="820"/>
      <c r="AX95" s="810"/>
      <c r="AY95" s="983"/>
      <c r="AZ95" s="983"/>
      <c r="BA95" s="819"/>
      <c r="BB95" s="820"/>
      <c r="BC95" s="811"/>
      <c r="BD95" s="410"/>
      <c r="BE95" s="410"/>
      <c r="BF95" s="410"/>
      <c r="BG95" s="410"/>
      <c r="BH95" s="974"/>
      <c r="BI95" s="974"/>
      <c r="BJ95" s="410"/>
      <c r="BK95" s="2073"/>
      <c r="BL95" s="410"/>
      <c r="BM95" s="410"/>
      <c r="BN95" s="410"/>
      <c r="BO95" s="685"/>
      <c r="BP95" s="399"/>
      <c r="BR95" s="405"/>
      <c r="BS95" s="405"/>
      <c r="BT95" s="405"/>
      <c r="BU95" s="405"/>
      <c r="BV95" s="405"/>
      <c r="BW95" s="405"/>
      <c r="BX95" s="405"/>
      <c r="BY95" s="405"/>
      <c r="BZ95" s="405"/>
      <c r="CA95" s="405"/>
      <c r="CB95" s="405"/>
      <c r="CC95" s="405"/>
      <c r="CD95" s="405"/>
      <c r="CE95" s="405"/>
    </row>
    <row r="96" spans="1:84" ht="13.5" customHeight="1">
      <c r="A96" s="1483"/>
      <c r="B96" s="1483"/>
      <c r="C96" s="2467"/>
      <c r="D96" s="2084"/>
      <c r="E96" s="1080"/>
      <c r="F96" s="2082"/>
      <c r="G96" s="912"/>
      <c r="H96" s="912"/>
      <c r="I96" s="2601"/>
      <c r="J96" s="2601"/>
      <c r="K96" s="2602"/>
      <c r="L96" s="2602"/>
      <c r="M96" s="2604"/>
      <c r="N96" s="2593"/>
      <c r="O96" s="2589"/>
      <c r="P96" s="2590"/>
      <c r="Q96" s="2591"/>
      <c r="R96" s="2600"/>
      <c r="S96" s="2592"/>
      <c r="T96" s="2593"/>
      <c r="U96" s="2594"/>
      <c r="V96" s="2595"/>
      <c r="W96" s="2596"/>
      <c r="X96" s="2597"/>
      <c r="Y96" s="2596"/>
      <c r="Z96" s="2598"/>
      <c r="AA96" s="2598"/>
      <c r="AB96" s="2598"/>
      <c r="AC96" s="1076"/>
      <c r="AD96" s="1076"/>
      <c r="AE96" s="410"/>
      <c r="AF96" s="809"/>
      <c r="AG96" s="1076"/>
      <c r="AH96" s="2404"/>
      <c r="AI96" s="2404"/>
      <c r="AJ96" s="2607"/>
      <c r="AK96" s="927"/>
      <c r="AL96" s="1076"/>
      <c r="AM96" s="927"/>
      <c r="AN96" s="685"/>
      <c r="AO96" s="517"/>
      <c r="AP96" s="413"/>
      <c r="AQ96" s="414"/>
      <c r="AR96" s="812"/>
      <c r="AS96" s="812"/>
      <c r="AT96" s="410"/>
      <c r="AU96" s="982"/>
      <c r="AV96" s="976"/>
      <c r="AW96" s="820"/>
      <c r="AX96" s="810"/>
      <c r="AY96" s="983"/>
      <c r="AZ96" s="983"/>
      <c r="BA96" s="819"/>
      <c r="BB96" s="820"/>
      <c r="BC96" s="811"/>
      <c r="BD96" s="410"/>
      <c r="BE96" s="410"/>
      <c r="BF96" s="410"/>
      <c r="BG96" s="410"/>
      <c r="BH96" s="974"/>
      <c r="BI96" s="974"/>
      <c r="BJ96" s="410"/>
      <c r="BK96" s="2073"/>
      <c r="BL96" s="410"/>
      <c r="BM96" s="410"/>
      <c r="BN96" s="410"/>
      <c r="BO96" s="685"/>
      <c r="BP96" s="399"/>
      <c r="BR96" s="405"/>
      <c r="BS96" s="405"/>
      <c r="BT96" s="405"/>
      <c r="BU96" s="405"/>
      <c r="BV96" s="405"/>
      <c r="BW96" s="405"/>
      <c r="BX96" s="405"/>
      <c r="BY96" s="405"/>
      <c r="BZ96" s="405"/>
      <c r="CA96" s="405"/>
      <c r="CB96" s="405"/>
      <c r="CC96" s="405"/>
      <c r="CD96" s="405"/>
      <c r="CE96" s="405"/>
    </row>
    <row r="97" spans="1:84" ht="13.5" customHeight="1">
      <c r="A97" s="1483"/>
      <c r="B97" s="1483"/>
      <c r="C97" s="2467"/>
      <c r="D97" s="2084"/>
      <c r="E97" s="1080"/>
      <c r="F97" s="2082"/>
      <c r="G97" s="912"/>
      <c r="H97" s="912"/>
      <c r="I97" s="2601"/>
      <c r="J97" s="2601"/>
      <c r="K97" s="2602"/>
      <c r="L97" s="2602"/>
      <c r="M97" s="2604"/>
      <c r="N97" s="2593"/>
      <c r="O97" s="2589"/>
      <c r="P97" s="2590"/>
      <c r="Q97" s="2591"/>
      <c r="R97" s="2600"/>
      <c r="S97" s="2592"/>
      <c r="T97" s="2593"/>
      <c r="U97" s="2594"/>
      <c r="V97" s="2595"/>
      <c r="W97" s="2596"/>
      <c r="X97" s="2597"/>
      <c r="Y97" s="2596"/>
      <c r="Z97" s="2598"/>
      <c r="AA97" s="2598"/>
      <c r="AB97" s="2598"/>
      <c r="AC97" s="1076"/>
      <c r="AD97" s="1076"/>
      <c r="AE97" s="410"/>
      <c r="AF97" s="809"/>
      <c r="AG97" s="1076"/>
      <c r="AH97" s="2404"/>
      <c r="AI97" s="2404"/>
      <c r="AJ97" s="2607"/>
      <c r="AK97" s="927"/>
      <c r="AL97" s="1076"/>
      <c r="AM97" s="927"/>
      <c r="AN97" s="685"/>
      <c r="AO97" s="517"/>
      <c r="AP97" s="413"/>
      <c r="AQ97" s="414"/>
      <c r="AR97" s="812"/>
      <c r="AS97" s="812"/>
      <c r="AT97" s="410"/>
      <c r="AU97" s="982"/>
      <c r="AV97" s="976"/>
      <c r="AW97" s="820"/>
      <c r="AX97" s="810"/>
      <c r="AY97" s="983"/>
      <c r="AZ97" s="983"/>
      <c r="BA97" s="819"/>
      <c r="BB97" s="820"/>
      <c r="BC97" s="811"/>
      <c r="BD97" s="410"/>
      <c r="BE97" s="410"/>
      <c r="BF97" s="410"/>
      <c r="BG97" s="410"/>
      <c r="BH97" s="974"/>
      <c r="BI97" s="974"/>
      <c r="BJ97" s="410"/>
      <c r="BK97" s="2073"/>
      <c r="BL97" s="410"/>
      <c r="BM97" s="410"/>
      <c r="BN97" s="410"/>
      <c r="BO97" s="685"/>
      <c r="BP97" s="399"/>
      <c r="BR97" s="405"/>
      <c r="BS97" s="405"/>
      <c r="BT97" s="405"/>
      <c r="BU97" s="405"/>
      <c r="BV97" s="405"/>
      <c r="BW97" s="405"/>
      <c r="BX97" s="405"/>
      <c r="BY97" s="405"/>
      <c r="BZ97" s="405"/>
      <c r="CA97" s="405"/>
      <c r="CB97" s="405"/>
      <c r="CC97" s="405"/>
      <c r="CD97" s="405"/>
      <c r="CE97" s="405"/>
    </row>
    <row r="98" spans="1:84" ht="13.5" customHeight="1">
      <c r="A98" s="1483"/>
      <c r="B98" s="1483"/>
      <c r="C98" s="2467"/>
      <c r="D98" s="2084"/>
      <c r="E98" s="1080"/>
      <c r="F98" s="2082"/>
      <c r="G98" s="912"/>
      <c r="H98" s="912"/>
      <c r="I98" s="2601"/>
      <c r="J98" s="2601"/>
      <c r="K98" s="2602"/>
      <c r="L98" s="2603"/>
      <c r="M98" s="2604"/>
      <c r="N98" s="2593"/>
      <c r="O98" s="2589"/>
      <c r="P98" s="2590"/>
      <c r="Q98" s="2591"/>
      <c r="R98" s="2600"/>
      <c r="S98" s="2592"/>
      <c r="T98" s="2593"/>
      <c r="U98" s="2594"/>
      <c r="V98" s="2595"/>
      <c r="W98" s="2596"/>
      <c r="X98" s="2597"/>
      <c r="Y98" s="2596"/>
      <c r="Z98" s="2598"/>
      <c r="AA98" s="2598"/>
      <c r="AB98" s="2598"/>
      <c r="AC98" s="1076"/>
      <c r="AD98" s="1076"/>
      <c r="AE98" s="410"/>
      <c r="AF98" s="809"/>
      <c r="AG98" s="1076"/>
      <c r="AH98" s="2404"/>
      <c r="AI98" s="2404"/>
      <c r="AJ98" s="2607"/>
      <c r="AK98" s="927"/>
      <c r="AL98" s="1076"/>
      <c r="AM98" s="927"/>
      <c r="AN98" s="685"/>
      <c r="AO98" s="517"/>
      <c r="AP98" s="413"/>
      <c r="AQ98" s="414"/>
      <c r="AR98" s="812"/>
      <c r="AS98" s="812"/>
      <c r="AT98" s="410"/>
      <c r="AU98" s="982"/>
      <c r="AV98" s="976"/>
      <c r="AW98" s="820"/>
      <c r="AX98" s="810"/>
      <c r="AY98" s="983"/>
      <c r="AZ98" s="983"/>
      <c r="BA98" s="819"/>
      <c r="BB98" s="820"/>
      <c r="BC98" s="811"/>
      <c r="BD98" s="410"/>
      <c r="BE98" s="410"/>
      <c r="BF98" s="410"/>
      <c r="BG98" s="410"/>
      <c r="BH98" s="974"/>
      <c r="BI98" s="974"/>
      <c r="BJ98" s="410"/>
      <c r="BK98" s="2073"/>
      <c r="BL98" s="410"/>
      <c r="BM98" s="410"/>
      <c r="BN98" s="410"/>
      <c r="BO98" s="685"/>
      <c r="BP98" s="399"/>
      <c r="BR98" s="405"/>
      <c r="BS98" s="405"/>
      <c r="BT98" s="405"/>
      <c r="BU98" s="405"/>
      <c r="BV98" s="405"/>
      <c r="BW98" s="405"/>
      <c r="BX98" s="405"/>
      <c r="BY98" s="405"/>
      <c r="BZ98" s="405"/>
      <c r="CA98" s="405"/>
      <c r="CB98" s="405"/>
      <c r="CC98" s="405"/>
      <c r="CD98" s="405"/>
      <c r="CE98" s="405"/>
    </row>
    <row r="99" spans="1:84" ht="13.5" customHeight="1">
      <c r="A99" s="1483"/>
      <c r="B99" s="1483"/>
      <c r="C99" s="2467"/>
      <c r="D99" s="2084"/>
      <c r="E99" s="1080"/>
      <c r="F99" s="2082"/>
      <c r="G99" s="912"/>
      <c r="H99" s="912"/>
      <c r="I99" s="2601"/>
      <c r="J99" s="2601"/>
      <c r="K99" s="2602"/>
      <c r="L99" s="2603"/>
      <c r="M99" s="2604"/>
      <c r="N99" s="2593"/>
      <c r="O99" s="2589"/>
      <c r="P99" s="2590"/>
      <c r="Q99" s="2591"/>
      <c r="R99" s="2600"/>
      <c r="S99" s="2592"/>
      <c r="T99" s="2593"/>
      <c r="U99" s="2594"/>
      <c r="V99" s="2595"/>
      <c r="W99" s="2596"/>
      <c r="X99" s="2597"/>
      <c r="Y99" s="2596"/>
      <c r="Z99" s="2598"/>
      <c r="AA99" s="2598"/>
      <c r="AB99" s="2598"/>
      <c r="AC99" s="1076"/>
      <c r="AD99" s="1076"/>
      <c r="AE99" s="410"/>
      <c r="AF99" s="809"/>
      <c r="AG99" s="1076"/>
      <c r="AH99" s="2404"/>
      <c r="AI99" s="2404"/>
      <c r="AJ99" s="2607"/>
      <c r="AK99" s="927"/>
      <c r="AL99" s="1076"/>
      <c r="AM99" s="927"/>
      <c r="AN99" s="685"/>
      <c r="AO99" s="517"/>
      <c r="AP99" s="413"/>
      <c r="AQ99" s="414"/>
      <c r="AR99" s="812"/>
      <c r="AS99" s="812"/>
      <c r="AT99" s="410"/>
      <c r="AU99" s="982"/>
      <c r="AV99" s="976"/>
      <c r="AW99" s="820"/>
      <c r="AX99" s="810"/>
      <c r="AY99" s="983"/>
      <c r="AZ99" s="983"/>
      <c r="BA99" s="819"/>
      <c r="BB99" s="820"/>
      <c r="BC99" s="811"/>
      <c r="BD99" s="410"/>
      <c r="BE99" s="410"/>
      <c r="BF99" s="410"/>
      <c r="BG99" s="410"/>
      <c r="BH99" s="974"/>
      <c r="BI99" s="974"/>
      <c r="BJ99" s="410"/>
      <c r="BK99" s="2073"/>
      <c r="BL99" s="410"/>
      <c r="BM99" s="410"/>
      <c r="BN99" s="410"/>
      <c r="BO99" s="685"/>
      <c r="BP99" s="399"/>
      <c r="BR99" s="405"/>
      <c r="BS99" s="405"/>
      <c r="BT99" s="405"/>
      <c r="BU99" s="405"/>
      <c r="BV99" s="405"/>
      <c r="BW99" s="405"/>
      <c r="BX99" s="405"/>
      <c r="BY99" s="405"/>
      <c r="BZ99" s="405"/>
      <c r="CA99" s="405"/>
      <c r="CB99" s="405"/>
      <c r="CC99" s="405"/>
      <c r="CD99" s="405"/>
      <c r="CE99" s="405"/>
    </row>
    <row r="100" spans="1:84" ht="13.5" customHeight="1">
      <c r="A100" s="1483"/>
      <c r="B100" s="1483"/>
      <c r="C100" s="2467"/>
      <c r="D100" s="2084"/>
      <c r="E100" s="1080"/>
      <c r="F100" s="2082"/>
      <c r="G100" s="912"/>
      <c r="H100" s="912"/>
      <c r="I100" s="2601"/>
      <c r="J100" s="2601"/>
      <c r="K100" s="2602"/>
      <c r="L100" s="2602"/>
      <c r="M100" s="2604"/>
      <c r="N100" s="2593"/>
      <c r="O100" s="2589"/>
      <c r="P100" s="2590"/>
      <c r="Q100" s="2591"/>
      <c r="R100" s="2600"/>
      <c r="S100" s="2592"/>
      <c r="T100" s="2593"/>
      <c r="U100" s="2594"/>
      <c r="V100" s="2595"/>
      <c r="W100" s="2596"/>
      <c r="X100" s="2597"/>
      <c r="Y100" s="2596"/>
      <c r="Z100" s="2598"/>
      <c r="AA100" s="2598"/>
      <c r="AB100" s="2598"/>
      <c r="AC100" s="1076"/>
      <c r="AD100" s="1076"/>
      <c r="AE100" s="410"/>
      <c r="AF100" s="809"/>
      <c r="AG100" s="1076"/>
      <c r="AH100" s="2404"/>
      <c r="AI100" s="2404"/>
      <c r="AJ100" s="2607"/>
      <c r="AK100" s="927"/>
      <c r="AL100" s="1076"/>
      <c r="AM100" s="927"/>
      <c r="AN100" s="685"/>
      <c r="AO100" s="517"/>
      <c r="AP100" s="413"/>
      <c r="AQ100" s="414"/>
      <c r="AR100" s="812"/>
      <c r="AS100" s="812"/>
      <c r="AT100" s="410"/>
      <c r="AU100" s="982"/>
      <c r="AV100" s="976"/>
      <c r="AW100" s="820"/>
      <c r="AX100" s="810"/>
      <c r="AY100" s="983"/>
      <c r="AZ100" s="983"/>
      <c r="BA100" s="819"/>
      <c r="BB100" s="820"/>
      <c r="BC100" s="811"/>
      <c r="BD100" s="410"/>
      <c r="BE100" s="410"/>
      <c r="BF100" s="410"/>
      <c r="BG100" s="410"/>
      <c r="BH100" s="974"/>
      <c r="BI100" s="974"/>
      <c r="BJ100" s="410"/>
      <c r="BK100" s="2073"/>
      <c r="BL100" s="410"/>
      <c r="BM100" s="410"/>
      <c r="BN100" s="410"/>
      <c r="BO100" s="685"/>
      <c r="BP100" s="399"/>
      <c r="BR100" s="405"/>
      <c r="BS100" s="405"/>
      <c r="BT100" s="405"/>
      <c r="BU100" s="405"/>
      <c r="BV100" s="405"/>
      <c r="BW100" s="405"/>
      <c r="BX100" s="405"/>
      <c r="BY100" s="405"/>
      <c r="BZ100" s="405"/>
      <c r="CA100" s="405"/>
      <c r="CB100" s="405"/>
      <c r="CC100" s="405"/>
      <c r="CD100" s="405"/>
      <c r="CE100" s="405"/>
    </row>
    <row r="101" spans="1:84" ht="13.5" customHeight="1">
      <c r="A101" s="1483"/>
      <c r="B101" s="1483"/>
      <c r="C101" s="2467"/>
      <c r="D101" s="2084"/>
      <c r="E101" s="1080"/>
      <c r="F101" s="2082"/>
      <c r="G101" s="912"/>
      <c r="H101" s="912"/>
      <c r="I101" s="2601"/>
      <c r="J101" s="2601"/>
      <c r="K101" s="2602"/>
      <c r="L101" s="2602"/>
      <c r="M101" s="2604"/>
      <c r="N101" s="2593"/>
      <c r="O101" s="2589"/>
      <c r="P101" s="2590"/>
      <c r="Q101" s="2591"/>
      <c r="R101" s="2600"/>
      <c r="S101" s="2592"/>
      <c r="T101" s="2593"/>
      <c r="U101" s="2594"/>
      <c r="V101" s="2595"/>
      <c r="W101" s="2596"/>
      <c r="X101" s="2597"/>
      <c r="Y101" s="2596"/>
      <c r="Z101" s="2598"/>
      <c r="AA101" s="2598"/>
      <c r="AB101" s="2598"/>
      <c r="AC101" s="1076"/>
      <c r="AD101" s="1076"/>
      <c r="AE101" s="410"/>
      <c r="AF101" s="809"/>
      <c r="AG101" s="1076"/>
      <c r="AH101" s="2404"/>
      <c r="AI101" s="2404"/>
      <c r="AJ101" s="2607"/>
      <c r="AK101" s="927"/>
      <c r="AL101" s="1076"/>
      <c r="AM101" s="927"/>
      <c r="AN101" s="685"/>
      <c r="AO101" s="517"/>
      <c r="AP101" s="413"/>
      <c r="AQ101" s="414"/>
      <c r="AR101" s="812"/>
      <c r="AS101" s="812"/>
      <c r="AT101" s="410"/>
      <c r="AU101" s="982"/>
      <c r="AV101" s="976"/>
      <c r="AW101" s="820"/>
      <c r="AX101" s="810"/>
      <c r="AY101" s="983"/>
      <c r="AZ101" s="983"/>
      <c r="BA101" s="819"/>
      <c r="BB101" s="820"/>
      <c r="BC101" s="811"/>
      <c r="BD101" s="410"/>
      <c r="BE101" s="410"/>
      <c r="BF101" s="410"/>
      <c r="BG101" s="410"/>
      <c r="BH101" s="974"/>
      <c r="BI101" s="974"/>
      <c r="BJ101" s="410"/>
      <c r="BK101" s="2073"/>
      <c r="BL101" s="410"/>
      <c r="BM101" s="410"/>
      <c r="BN101" s="410"/>
      <c r="BO101" s="685"/>
      <c r="BP101" s="399"/>
      <c r="BR101" s="405"/>
      <c r="BS101" s="405"/>
      <c r="BT101" s="405"/>
      <c r="BU101" s="405"/>
      <c r="BV101" s="405"/>
      <c r="BW101" s="405"/>
      <c r="BX101" s="405"/>
      <c r="BY101" s="405"/>
      <c r="BZ101" s="405"/>
      <c r="CA101" s="405"/>
      <c r="CB101" s="405"/>
      <c r="CC101" s="405"/>
      <c r="CD101" s="405"/>
      <c r="CE101" s="405"/>
    </row>
    <row r="102" spans="1:84" ht="13.5" customHeight="1">
      <c r="A102" s="1483"/>
      <c r="B102" s="1483"/>
      <c r="C102" s="2467"/>
      <c r="D102" s="2084"/>
      <c r="E102" s="1080"/>
      <c r="F102" s="2082"/>
      <c r="G102" s="912"/>
      <c r="H102" s="912"/>
      <c r="I102" s="2601"/>
      <c r="J102" s="2601"/>
      <c r="K102" s="2602"/>
      <c r="L102" s="2602"/>
      <c r="M102" s="2604"/>
      <c r="N102" s="2593"/>
      <c r="O102" s="2589"/>
      <c r="P102" s="2590"/>
      <c r="Q102" s="2591"/>
      <c r="R102" s="2600"/>
      <c r="S102" s="2592"/>
      <c r="T102" s="2593"/>
      <c r="U102" s="2594"/>
      <c r="V102" s="2595"/>
      <c r="W102" s="2596"/>
      <c r="X102" s="2597"/>
      <c r="Y102" s="2596"/>
      <c r="Z102" s="2598"/>
      <c r="AA102" s="2598"/>
      <c r="AB102" s="2598"/>
      <c r="AC102" s="1076"/>
      <c r="AD102" s="1076"/>
      <c r="AE102" s="410"/>
      <c r="AF102" s="809"/>
      <c r="AG102" s="1076"/>
      <c r="AH102" s="2404"/>
      <c r="AI102" s="2404"/>
      <c r="AJ102" s="2607"/>
      <c r="AK102" s="927"/>
      <c r="AL102" s="1076"/>
      <c r="AM102" s="927"/>
      <c r="AN102" s="685"/>
      <c r="AO102" s="517"/>
      <c r="AP102" s="413"/>
      <c r="AQ102" s="414"/>
      <c r="AR102" s="812"/>
      <c r="AS102" s="812"/>
      <c r="AT102" s="410"/>
      <c r="AU102" s="982"/>
      <c r="AV102" s="976"/>
      <c r="AW102" s="820"/>
      <c r="AX102" s="810"/>
      <c r="AY102" s="983"/>
      <c r="AZ102" s="983"/>
      <c r="BA102" s="819"/>
      <c r="BB102" s="820"/>
      <c r="BC102" s="811"/>
      <c r="BD102" s="410"/>
      <c r="BE102" s="410"/>
      <c r="BF102" s="410"/>
      <c r="BG102" s="410"/>
      <c r="BH102" s="974"/>
      <c r="BI102" s="974"/>
      <c r="BJ102" s="410"/>
      <c r="BK102" s="2073"/>
      <c r="BL102" s="410"/>
      <c r="BM102" s="410"/>
      <c r="BN102" s="410"/>
      <c r="BO102" s="685"/>
      <c r="BP102" s="399"/>
      <c r="BR102" s="405"/>
      <c r="BS102" s="405"/>
      <c r="BT102" s="405"/>
      <c r="BU102" s="405"/>
      <c r="BV102" s="405"/>
      <c r="BW102" s="405"/>
      <c r="BX102" s="405"/>
      <c r="BY102" s="405"/>
      <c r="BZ102" s="405"/>
      <c r="CA102" s="405"/>
      <c r="CB102" s="405"/>
      <c r="CC102" s="405"/>
      <c r="CD102" s="405"/>
      <c r="CE102" s="405"/>
    </row>
    <row r="103" spans="1:84" ht="13.5" customHeight="1">
      <c r="A103" s="1483"/>
      <c r="B103" s="1483"/>
      <c r="C103" s="2467"/>
      <c r="D103" s="2084"/>
      <c r="E103" s="1080"/>
      <c r="F103" s="2082"/>
      <c r="G103" s="912"/>
      <c r="H103" s="912"/>
      <c r="I103" s="2601"/>
      <c r="J103" s="2601"/>
      <c r="K103" s="2603"/>
      <c r="L103" s="2602"/>
      <c r="M103" s="2604"/>
      <c r="N103" s="2593"/>
      <c r="O103" s="2589"/>
      <c r="P103" s="2590"/>
      <c r="Q103" s="2591"/>
      <c r="R103" s="2600"/>
      <c r="S103" s="2592"/>
      <c r="T103" s="2593"/>
      <c r="U103" s="2594"/>
      <c r="V103" s="2595"/>
      <c r="W103" s="2596"/>
      <c r="X103" s="2597"/>
      <c r="Y103" s="2596"/>
      <c r="Z103" s="2598"/>
      <c r="AA103" s="2598"/>
      <c r="AB103" s="2598"/>
      <c r="AC103" s="1076"/>
      <c r="AD103" s="1076"/>
      <c r="AE103" s="410"/>
      <c r="AF103" s="809"/>
      <c r="AG103" s="1076"/>
      <c r="AH103" s="2404"/>
      <c r="AI103" s="2404"/>
      <c r="AJ103" s="2607"/>
      <c r="AK103" s="927"/>
      <c r="AL103" s="1076"/>
      <c r="AM103" s="927"/>
      <c r="AN103" s="685"/>
      <c r="AO103" s="517"/>
      <c r="AP103" s="413"/>
      <c r="AQ103" s="414"/>
      <c r="AR103" s="812"/>
      <c r="AS103" s="812"/>
      <c r="AT103" s="410"/>
      <c r="AU103" s="982"/>
      <c r="AV103" s="976"/>
      <c r="AW103" s="820"/>
      <c r="AX103" s="810"/>
      <c r="AY103" s="983"/>
      <c r="AZ103" s="983"/>
      <c r="BA103" s="819"/>
      <c r="BB103" s="820"/>
      <c r="BC103" s="811"/>
      <c r="BD103" s="410"/>
      <c r="BE103" s="410"/>
      <c r="BF103" s="410"/>
      <c r="BG103" s="410"/>
      <c r="BH103" s="974"/>
      <c r="BI103" s="974"/>
      <c r="BJ103" s="410"/>
      <c r="BK103" s="2073"/>
      <c r="BL103" s="410"/>
      <c r="BM103" s="410"/>
      <c r="BN103" s="410"/>
      <c r="BO103" s="685"/>
      <c r="BP103" s="399"/>
      <c r="BR103" s="405"/>
      <c r="BS103" s="405"/>
      <c r="BT103" s="405"/>
      <c r="BU103" s="405"/>
      <c r="BV103" s="405"/>
      <c r="BW103" s="405"/>
      <c r="BX103" s="405"/>
      <c r="BY103" s="405"/>
      <c r="BZ103" s="405"/>
      <c r="CA103" s="405"/>
      <c r="CB103" s="405"/>
      <c r="CC103" s="405"/>
      <c r="CD103" s="405"/>
      <c r="CE103" s="405"/>
    </row>
    <row r="104" spans="1:84" s="407" customFormat="1" ht="12" customHeight="1">
      <c r="A104" s="1483"/>
      <c r="B104" s="1483"/>
      <c r="C104" s="2467"/>
      <c r="D104" s="2084"/>
      <c r="E104" s="1080"/>
      <c r="F104" s="2082"/>
      <c r="G104" s="912"/>
      <c r="H104" s="912"/>
      <c r="I104" s="2601"/>
      <c r="J104" s="2601"/>
      <c r="K104" s="2602"/>
      <c r="L104" s="2602"/>
      <c r="M104" s="2604"/>
      <c r="N104" s="2593"/>
      <c r="O104" s="2589"/>
      <c r="P104" s="2590"/>
      <c r="Q104" s="2591"/>
      <c r="R104" s="2600"/>
      <c r="S104" s="2592"/>
      <c r="T104" s="2593"/>
      <c r="U104" s="2594"/>
      <c r="V104" s="2595"/>
      <c r="W104" s="2596"/>
      <c r="X104" s="2597"/>
      <c r="Y104" s="2596"/>
      <c r="Z104" s="2598"/>
      <c r="AA104" s="2598"/>
      <c r="AB104" s="2598"/>
      <c r="AC104" s="1076"/>
      <c r="AD104" s="1076"/>
      <c r="AE104" s="410"/>
      <c r="AF104" s="809"/>
      <c r="AG104" s="1076"/>
      <c r="AH104" s="2404"/>
      <c r="AI104" s="2404"/>
      <c r="AJ104" s="2607"/>
      <c r="AK104" s="927"/>
      <c r="AL104" s="1076"/>
      <c r="AM104" s="927"/>
      <c r="AN104" s="685"/>
      <c r="AO104" s="517"/>
      <c r="AP104" s="413"/>
      <c r="AQ104" s="414"/>
      <c r="AR104" s="812"/>
      <c r="AS104" s="812"/>
      <c r="AT104" s="410"/>
      <c r="AU104" s="982"/>
      <c r="AV104" s="976"/>
      <c r="AW104" s="820"/>
      <c r="AX104" s="810"/>
      <c r="AY104" s="983"/>
      <c r="AZ104" s="983"/>
      <c r="BA104" s="819"/>
      <c r="BB104" s="820"/>
      <c r="BC104" s="811"/>
      <c r="BD104" s="410"/>
      <c r="BE104" s="410"/>
      <c r="BF104" s="410"/>
      <c r="BG104" s="410"/>
      <c r="BH104" s="974"/>
      <c r="BI104" s="974"/>
      <c r="BJ104" s="410"/>
      <c r="BK104" s="2073"/>
      <c r="BL104" s="410"/>
      <c r="BM104" s="410"/>
      <c r="BN104" s="410"/>
      <c r="BO104" s="685"/>
      <c r="BP104" s="399"/>
      <c r="BR104" s="405"/>
      <c r="BS104" s="405"/>
      <c r="BT104" s="405"/>
      <c r="BU104" s="405"/>
      <c r="BV104" s="405"/>
      <c r="BW104" s="405"/>
      <c r="BX104" s="405"/>
      <c r="BY104" s="405"/>
      <c r="BZ104" s="405"/>
      <c r="CA104" s="405"/>
      <c r="CB104" s="405"/>
      <c r="CC104" s="405"/>
      <c r="CD104" s="405"/>
      <c r="CE104" s="405"/>
    </row>
    <row r="105" spans="1:84" ht="13.5" customHeight="1">
      <c r="A105" s="1483"/>
      <c r="B105" s="1483"/>
      <c r="C105" s="985"/>
      <c r="D105" s="2084"/>
      <c r="E105" s="1080"/>
      <c r="F105" s="2082"/>
      <c r="G105" s="912"/>
      <c r="H105" s="912"/>
      <c r="I105" s="2601"/>
      <c r="J105" s="2601"/>
      <c r="K105" s="2602"/>
      <c r="L105" s="2602"/>
      <c r="M105" s="2604"/>
      <c r="N105" s="2593"/>
      <c r="O105" s="2589"/>
      <c r="P105" s="2590"/>
      <c r="Q105" s="2591"/>
      <c r="R105" s="2600"/>
      <c r="S105" s="2592"/>
      <c r="T105" s="2593"/>
      <c r="U105" s="2594"/>
      <c r="V105" s="2595"/>
      <c r="W105" s="2596"/>
      <c r="X105" s="2597"/>
      <c r="Y105" s="2596"/>
      <c r="Z105" s="2598"/>
      <c r="AA105" s="2598"/>
      <c r="AB105" s="2598"/>
      <c r="AC105" s="406"/>
      <c r="AD105" s="685"/>
      <c r="AE105" s="410"/>
      <c r="AF105" s="809"/>
      <c r="AG105" s="1076"/>
      <c r="AH105" s="2404"/>
      <c r="AI105" s="2404"/>
      <c r="AJ105" s="2607"/>
      <c r="AK105" s="927"/>
      <c r="AL105" s="1076"/>
      <c r="AM105" s="927"/>
      <c r="AN105" s="685"/>
      <c r="AO105" s="517"/>
      <c r="AP105" s="413"/>
      <c r="AQ105" s="414"/>
      <c r="AR105" s="812"/>
      <c r="AS105" s="812"/>
      <c r="AT105" s="410"/>
      <c r="AU105" s="982"/>
      <c r="AV105" s="976"/>
      <c r="AW105" s="820"/>
      <c r="AX105" s="810"/>
      <c r="AY105" s="983"/>
      <c r="AZ105" s="983"/>
      <c r="BA105" s="819"/>
      <c r="BB105" s="820"/>
      <c r="BC105" s="811"/>
      <c r="BD105" s="410"/>
      <c r="BE105" s="410"/>
      <c r="BF105" s="410"/>
      <c r="BG105" s="410"/>
      <c r="BH105" s="974"/>
      <c r="BI105" s="974"/>
      <c r="BJ105" s="410"/>
      <c r="BK105" s="2073"/>
      <c r="BL105" s="410"/>
      <c r="BM105" s="410"/>
      <c r="BN105" s="410"/>
      <c r="BO105" s="685"/>
      <c r="BP105" s="399"/>
      <c r="BR105" s="2500"/>
      <c r="BS105" s="405"/>
      <c r="BT105" s="405"/>
      <c r="BU105" s="405"/>
      <c r="BV105" s="2500"/>
      <c r="BW105" s="405"/>
      <c r="BX105" s="405"/>
      <c r="BY105" s="405"/>
      <c r="BZ105" s="2500"/>
      <c r="CA105" s="405"/>
      <c r="CB105" s="405"/>
      <c r="CC105" s="405"/>
      <c r="CD105" s="2500"/>
      <c r="CE105" s="405"/>
      <c r="CF105" s="404"/>
    </row>
    <row r="106" spans="1:84" ht="13.5" customHeight="1">
      <c r="A106" s="1483"/>
      <c r="B106" s="1483"/>
      <c r="C106" s="985"/>
      <c r="D106" s="2084"/>
      <c r="E106" s="1080"/>
      <c r="F106" s="2082"/>
      <c r="G106" s="912"/>
      <c r="H106" s="912"/>
      <c r="I106" s="2601"/>
      <c r="J106" s="2601"/>
      <c r="K106" s="2602"/>
      <c r="L106" s="2602"/>
      <c r="M106" s="2604"/>
      <c r="N106" s="2593"/>
      <c r="O106" s="2589"/>
      <c r="P106" s="2590"/>
      <c r="Q106" s="2591"/>
      <c r="R106" s="2600"/>
      <c r="S106" s="2592"/>
      <c r="T106" s="2593"/>
      <c r="U106" s="2594"/>
      <c r="V106" s="2595"/>
      <c r="W106" s="2596"/>
      <c r="X106" s="2597"/>
      <c r="Y106" s="2596"/>
      <c r="Z106" s="2598"/>
      <c r="AA106" s="2598"/>
      <c r="AB106" s="2598"/>
      <c r="AC106" s="406"/>
      <c r="AD106" s="685"/>
      <c r="AE106" s="410"/>
      <c r="AF106" s="809"/>
      <c r="AG106" s="1076"/>
      <c r="AH106" s="2404"/>
      <c r="AI106" s="2404"/>
      <c r="AJ106" s="2607"/>
      <c r="AK106" s="927"/>
      <c r="AL106" s="1076"/>
      <c r="AM106" s="927"/>
      <c r="AN106" s="685"/>
      <c r="AO106" s="517"/>
      <c r="AP106" s="413"/>
      <c r="AQ106" s="414"/>
      <c r="AR106" s="812"/>
      <c r="AS106" s="812"/>
      <c r="AT106" s="410"/>
      <c r="AU106" s="982"/>
      <c r="AV106" s="976"/>
      <c r="AW106" s="820"/>
      <c r="AX106" s="810"/>
      <c r="AY106" s="983"/>
      <c r="AZ106" s="983"/>
      <c r="BA106" s="819"/>
      <c r="BB106" s="820"/>
      <c r="BC106" s="811"/>
      <c r="BD106" s="410"/>
      <c r="BE106" s="410"/>
      <c r="BF106" s="410"/>
      <c r="BG106" s="410"/>
      <c r="BH106" s="974"/>
      <c r="BI106" s="974"/>
      <c r="BJ106" s="410"/>
      <c r="BK106" s="2073"/>
      <c r="BL106" s="410"/>
      <c r="BM106" s="410"/>
      <c r="BN106" s="410"/>
      <c r="BO106" s="685"/>
      <c r="BP106" s="399"/>
      <c r="BR106" s="405"/>
      <c r="BS106" s="405"/>
      <c r="BT106" s="405"/>
      <c r="BU106" s="405"/>
      <c r="BV106" s="2500"/>
      <c r="BW106" s="405"/>
      <c r="BX106" s="405"/>
      <c r="BY106" s="405"/>
      <c r="BZ106" s="405"/>
      <c r="CA106" s="405"/>
      <c r="CB106" s="405"/>
      <c r="CC106" s="405"/>
      <c r="CD106" s="2501"/>
      <c r="CE106" s="405"/>
      <c r="CF106" s="404"/>
    </row>
    <row r="107" spans="1:84" ht="13.5" customHeight="1">
      <c r="A107" s="1483"/>
      <c r="B107" s="1483"/>
      <c r="C107" s="985"/>
      <c r="D107" s="2084"/>
      <c r="E107" s="1080"/>
      <c r="F107" s="2082"/>
      <c r="G107" s="912"/>
      <c r="H107" s="912"/>
      <c r="I107" s="2601"/>
      <c r="J107" s="2601"/>
      <c r="K107" s="2602"/>
      <c r="L107" s="2602"/>
      <c r="M107" s="2604"/>
      <c r="N107" s="2593"/>
      <c r="O107" s="2589"/>
      <c r="P107" s="2590"/>
      <c r="Q107" s="2591"/>
      <c r="R107" s="2600"/>
      <c r="S107" s="2592"/>
      <c r="T107" s="2593"/>
      <c r="U107" s="2594"/>
      <c r="V107" s="2595"/>
      <c r="W107" s="2596"/>
      <c r="X107" s="2597"/>
      <c r="Y107" s="2596"/>
      <c r="Z107" s="2598"/>
      <c r="AA107" s="2598"/>
      <c r="AB107" s="2598"/>
      <c r="AC107" s="1076"/>
      <c r="AD107" s="1076"/>
      <c r="AE107" s="410"/>
      <c r="AF107" s="809"/>
      <c r="AG107" s="1076"/>
      <c r="AH107" s="2404"/>
      <c r="AI107" s="2404"/>
      <c r="AJ107" s="2607"/>
      <c r="AK107" s="927"/>
      <c r="AL107" s="1076"/>
      <c r="AM107" s="927"/>
      <c r="AN107" s="685"/>
      <c r="AO107" s="517"/>
      <c r="AP107" s="413"/>
      <c r="AQ107" s="414"/>
      <c r="AR107" s="812"/>
      <c r="AS107" s="812"/>
      <c r="AT107" s="410"/>
      <c r="AU107" s="982"/>
      <c r="AV107" s="976"/>
      <c r="AW107" s="820"/>
      <c r="AX107" s="810"/>
      <c r="AY107" s="983"/>
      <c r="AZ107" s="983"/>
      <c r="BA107" s="819"/>
      <c r="BB107" s="820"/>
      <c r="BC107" s="811"/>
      <c r="BD107" s="410"/>
      <c r="BE107" s="410"/>
      <c r="BF107" s="410"/>
      <c r="BG107" s="410"/>
      <c r="BH107" s="974"/>
      <c r="BI107" s="974"/>
      <c r="BJ107" s="410"/>
      <c r="BK107" s="2073"/>
      <c r="BL107" s="410"/>
      <c r="BM107" s="410"/>
      <c r="BN107" s="410"/>
      <c r="BO107" s="685"/>
      <c r="BP107" s="399"/>
      <c r="BR107" s="405"/>
      <c r="BS107" s="405"/>
      <c r="BT107" s="405"/>
      <c r="BU107" s="405"/>
      <c r="BV107" s="2500"/>
      <c r="BW107" s="405"/>
      <c r="BX107" s="405"/>
      <c r="BY107" s="405"/>
      <c r="BZ107" s="405"/>
      <c r="CA107" s="405"/>
      <c r="CB107" s="405"/>
      <c r="CC107" s="405"/>
      <c r="CD107" s="405"/>
      <c r="CE107" s="405"/>
      <c r="CF107" s="404"/>
    </row>
    <row r="108" spans="1:84" ht="13.5" customHeight="1">
      <c r="A108" s="1483"/>
      <c r="B108" s="1483"/>
      <c r="C108" s="985"/>
      <c r="D108" s="2084"/>
      <c r="E108" s="1080"/>
      <c r="F108" s="2082"/>
      <c r="G108" s="912"/>
      <c r="H108" s="912"/>
      <c r="I108" s="2601"/>
      <c r="J108" s="2601"/>
      <c r="K108" s="2602"/>
      <c r="L108" s="2602"/>
      <c r="M108" s="2604"/>
      <c r="N108" s="2593"/>
      <c r="O108" s="2589"/>
      <c r="P108" s="2590"/>
      <c r="Q108" s="2591"/>
      <c r="R108" s="2600"/>
      <c r="S108" s="2592"/>
      <c r="T108" s="2593"/>
      <c r="U108" s="2594"/>
      <c r="V108" s="2595"/>
      <c r="W108" s="2596"/>
      <c r="X108" s="2597"/>
      <c r="Y108" s="2596"/>
      <c r="Z108" s="2598"/>
      <c r="AA108" s="2598"/>
      <c r="AB108" s="2598"/>
      <c r="AC108" s="1076"/>
      <c r="AD108" s="1076"/>
      <c r="AE108" s="410"/>
      <c r="AF108" s="809"/>
      <c r="AG108" s="1076"/>
      <c r="AH108" s="2404"/>
      <c r="AI108" s="2404"/>
      <c r="AJ108" s="2607"/>
      <c r="AK108" s="927"/>
      <c r="AL108" s="1076"/>
      <c r="AM108" s="927"/>
      <c r="AN108" s="685"/>
      <c r="AO108" s="517"/>
      <c r="AP108" s="413"/>
      <c r="AQ108" s="414"/>
      <c r="AR108" s="812"/>
      <c r="AS108" s="812"/>
      <c r="AT108" s="410"/>
      <c r="AU108" s="982"/>
      <c r="AV108" s="976"/>
      <c r="AW108" s="820"/>
      <c r="AX108" s="810"/>
      <c r="AY108" s="983"/>
      <c r="AZ108" s="983"/>
      <c r="BA108" s="819"/>
      <c r="BB108" s="820"/>
      <c r="BC108" s="811"/>
      <c r="BD108" s="410"/>
      <c r="BE108" s="410"/>
      <c r="BF108" s="410"/>
      <c r="BG108" s="410"/>
      <c r="BH108" s="974"/>
      <c r="BI108" s="974"/>
      <c r="BJ108" s="410"/>
      <c r="BK108" s="2073"/>
      <c r="BL108" s="410"/>
      <c r="BM108" s="410"/>
      <c r="BN108" s="410"/>
      <c r="BO108" s="685"/>
      <c r="BP108" s="399"/>
      <c r="BR108" s="2501"/>
      <c r="BS108" s="405"/>
      <c r="BT108" s="405"/>
      <c r="BU108" s="405"/>
      <c r="BV108" s="2500"/>
      <c r="BW108" s="405"/>
      <c r="BX108" s="405"/>
      <c r="BY108" s="405"/>
      <c r="BZ108" s="405"/>
      <c r="CA108" s="405"/>
      <c r="CB108" s="405"/>
      <c r="CC108" s="405"/>
      <c r="CD108" s="405"/>
      <c r="CE108" s="405"/>
      <c r="CF108" s="404"/>
    </row>
    <row r="109" spans="1:84" ht="13.5" customHeight="1">
      <c r="A109" s="1483"/>
      <c r="B109" s="1483"/>
      <c r="C109" s="985"/>
      <c r="D109" s="2084"/>
      <c r="E109" s="1080"/>
      <c r="F109" s="2082"/>
      <c r="G109" s="912"/>
      <c r="H109" s="912"/>
      <c r="I109" s="2601"/>
      <c r="J109" s="2601"/>
      <c r="K109" s="2602"/>
      <c r="L109" s="2603"/>
      <c r="M109" s="2604"/>
      <c r="N109" s="2593"/>
      <c r="O109" s="2589"/>
      <c r="P109" s="2590"/>
      <c r="Q109" s="2591"/>
      <c r="R109" s="2600"/>
      <c r="S109" s="2592"/>
      <c r="T109" s="2593"/>
      <c r="U109" s="2594"/>
      <c r="V109" s="2595"/>
      <c r="W109" s="2596"/>
      <c r="X109" s="2597"/>
      <c r="Y109" s="2596"/>
      <c r="Z109" s="2598"/>
      <c r="AA109" s="2598"/>
      <c r="AB109" s="2598"/>
      <c r="AC109" s="1076"/>
      <c r="AD109" s="1076"/>
      <c r="AE109" s="410"/>
      <c r="AF109" s="809"/>
      <c r="AG109" s="1076"/>
      <c r="AH109" s="2404"/>
      <c r="AI109" s="2404"/>
      <c r="AJ109" s="2607"/>
      <c r="AK109" s="927"/>
      <c r="AL109" s="1076"/>
      <c r="AM109" s="927"/>
      <c r="AN109" s="685"/>
      <c r="AO109" s="517"/>
      <c r="AP109" s="413"/>
      <c r="AQ109" s="414"/>
      <c r="AR109" s="812"/>
      <c r="AS109" s="812"/>
      <c r="AT109" s="410"/>
      <c r="AU109" s="982"/>
      <c r="AV109" s="976"/>
      <c r="AW109" s="820"/>
      <c r="AX109" s="810"/>
      <c r="AY109" s="983"/>
      <c r="AZ109" s="983"/>
      <c r="BA109" s="819"/>
      <c r="BB109" s="820"/>
      <c r="BC109" s="811"/>
      <c r="BD109" s="410"/>
      <c r="BE109" s="410"/>
      <c r="BF109" s="410"/>
      <c r="BG109" s="410"/>
      <c r="BH109" s="974"/>
      <c r="BI109" s="974"/>
      <c r="BJ109" s="410"/>
      <c r="BK109" s="2073"/>
      <c r="BL109" s="410"/>
      <c r="BM109" s="410"/>
      <c r="BN109" s="410"/>
      <c r="BO109" s="685"/>
      <c r="BP109" s="399"/>
      <c r="BR109" s="405"/>
      <c r="BS109" s="405"/>
      <c r="BT109" s="405"/>
      <c r="BU109" s="405"/>
      <c r="BV109" s="2500"/>
      <c r="BW109" s="405"/>
      <c r="BX109" s="405"/>
      <c r="BY109" s="405"/>
      <c r="BZ109" s="405"/>
      <c r="CA109" s="405"/>
      <c r="CB109" s="405"/>
      <c r="CC109" s="405"/>
      <c r="CD109" s="405"/>
      <c r="CE109" s="405"/>
      <c r="CF109" s="404"/>
    </row>
    <row r="110" spans="1:84" ht="13.5" customHeight="1">
      <c r="A110" s="1483"/>
      <c r="B110" s="1483"/>
      <c r="C110" s="985"/>
      <c r="D110" s="2084"/>
      <c r="E110" s="1080"/>
      <c r="F110" s="2082"/>
      <c r="G110" s="912"/>
      <c r="H110" s="912"/>
      <c r="I110" s="2601"/>
      <c r="J110" s="2601"/>
      <c r="K110" s="2602"/>
      <c r="L110" s="2603"/>
      <c r="M110" s="2604"/>
      <c r="N110" s="2593"/>
      <c r="O110" s="2589"/>
      <c r="P110" s="2590"/>
      <c r="Q110" s="2591"/>
      <c r="R110" s="2600"/>
      <c r="S110" s="2592"/>
      <c r="T110" s="2593"/>
      <c r="U110" s="2594"/>
      <c r="V110" s="2595"/>
      <c r="W110" s="2596"/>
      <c r="X110" s="2597"/>
      <c r="Y110" s="2596"/>
      <c r="Z110" s="2598"/>
      <c r="AA110" s="2598"/>
      <c r="AB110" s="2598"/>
      <c r="AC110" s="1076"/>
      <c r="AD110" s="1076"/>
      <c r="AE110" s="410"/>
      <c r="AF110" s="809"/>
      <c r="AG110" s="1076"/>
      <c r="AH110" s="2404"/>
      <c r="AI110" s="2404"/>
      <c r="AJ110" s="2607"/>
      <c r="AK110" s="927"/>
      <c r="AL110" s="1076"/>
      <c r="AM110" s="927"/>
      <c r="AN110" s="685"/>
      <c r="AO110" s="517"/>
      <c r="AP110" s="413"/>
      <c r="AQ110" s="414"/>
      <c r="AR110" s="812"/>
      <c r="AS110" s="812"/>
      <c r="AT110" s="410"/>
      <c r="AU110" s="982"/>
      <c r="AV110" s="976"/>
      <c r="AW110" s="820"/>
      <c r="AX110" s="810"/>
      <c r="AY110" s="983"/>
      <c r="AZ110" s="983"/>
      <c r="BA110" s="819"/>
      <c r="BB110" s="820"/>
      <c r="BC110" s="811"/>
      <c r="BD110" s="410"/>
      <c r="BE110" s="410"/>
      <c r="BF110" s="410"/>
      <c r="BG110" s="410"/>
      <c r="BH110" s="974"/>
      <c r="BI110" s="974"/>
      <c r="BJ110" s="410"/>
      <c r="BK110" s="2073"/>
      <c r="BL110" s="410"/>
      <c r="BM110" s="410"/>
      <c r="BN110" s="410"/>
      <c r="BO110" s="685"/>
      <c r="BP110" s="399"/>
      <c r="BR110" s="405"/>
      <c r="BS110" s="405"/>
      <c r="BT110" s="405"/>
      <c r="BU110" s="405"/>
      <c r="BV110" s="2500"/>
      <c r="BW110" s="405"/>
      <c r="BX110" s="405"/>
      <c r="BY110" s="405"/>
      <c r="BZ110" s="405"/>
      <c r="CA110" s="405"/>
      <c r="CB110" s="405"/>
      <c r="CC110" s="405"/>
      <c r="CD110" s="405"/>
      <c r="CE110" s="405"/>
      <c r="CF110" s="404"/>
    </row>
    <row r="111" spans="1:84" ht="13.5" customHeight="1">
      <c r="A111" s="1483"/>
      <c r="B111" s="1483"/>
      <c r="C111" s="985"/>
      <c r="D111" s="2084"/>
      <c r="E111" s="1080"/>
      <c r="F111" s="2082"/>
      <c r="G111" s="912"/>
      <c r="H111" s="912"/>
      <c r="I111" s="2601"/>
      <c r="J111" s="2601"/>
      <c r="K111" s="2602"/>
      <c r="L111" s="2603"/>
      <c r="M111" s="2604"/>
      <c r="N111" s="2593"/>
      <c r="O111" s="2589"/>
      <c r="P111" s="2590"/>
      <c r="Q111" s="2591"/>
      <c r="R111" s="2600"/>
      <c r="S111" s="2592"/>
      <c r="T111" s="2593"/>
      <c r="U111" s="2594"/>
      <c r="V111" s="2595"/>
      <c r="W111" s="2596"/>
      <c r="X111" s="2597"/>
      <c r="Y111" s="2596"/>
      <c r="Z111" s="2598"/>
      <c r="AA111" s="2598"/>
      <c r="AB111" s="2598"/>
      <c r="AC111" s="1076"/>
      <c r="AD111" s="1076"/>
      <c r="AE111" s="410"/>
      <c r="AF111" s="809"/>
      <c r="AG111" s="1076"/>
      <c r="AH111" s="2404"/>
      <c r="AI111" s="2404"/>
      <c r="AJ111" s="2607"/>
      <c r="AK111" s="927"/>
      <c r="AL111" s="1076"/>
      <c r="AM111" s="927"/>
      <c r="AN111" s="685"/>
      <c r="AO111" s="517"/>
      <c r="AP111" s="413"/>
      <c r="AQ111" s="414"/>
      <c r="AR111" s="812"/>
      <c r="AS111" s="812"/>
      <c r="AT111" s="410"/>
      <c r="AU111" s="982"/>
      <c r="AV111" s="976"/>
      <c r="AW111" s="820"/>
      <c r="AX111" s="810"/>
      <c r="AY111" s="983"/>
      <c r="AZ111" s="983"/>
      <c r="BA111" s="819"/>
      <c r="BB111" s="820"/>
      <c r="BC111" s="811"/>
      <c r="BD111" s="410"/>
      <c r="BE111" s="410"/>
      <c r="BF111" s="410"/>
      <c r="BG111" s="410"/>
      <c r="BH111" s="974"/>
      <c r="BI111" s="974"/>
      <c r="BJ111" s="410"/>
      <c r="BK111" s="2073"/>
      <c r="BL111" s="410"/>
      <c r="BM111" s="410"/>
      <c r="BN111" s="410"/>
      <c r="BO111" s="685"/>
      <c r="BP111" s="399"/>
      <c r="BR111" s="405"/>
      <c r="BS111" s="405"/>
      <c r="BT111" s="405"/>
      <c r="BU111" s="405"/>
      <c r="BV111" s="2500"/>
      <c r="BW111" s="405"/>
      <c r="BX111" s="405"/>
      <c r="BY111" s="405"/>
      <c r="BZ111" s="405"/>
      <c r="CA111" s="405"/>
      <c r="CB111" s="405"/>
      <c r="CC111" s="405"/>
      <c r="CD111" s="405"/>
      <c r="CE111" s="405"/>
      <c r="CF111" s="404"/>
    </row>
    <row r="112" spans="1:84" ht="13.5" customHeight="1">
      <c r="A112" s="1483"/>
      <c r="B112" s="1483"/>
      <c r="C112" s="985"/>
      <c r="D112" s="2084"/>
      <c r="E112" s="1080"/>
      <c r="F112" s="2082"/>
      <c r="G112" s="912"/>
      <c r="H112" s="912"/>
      <c r="I112" s="2601"/>
      <c r="J112" s="2601"/>
      <c r="K112" s="2602"/>
      <c r="L112" s="2602"/>
      <c r="M112" s="2604"/>
      <c r="N112" s="2593"/>
      <c r="O112" s="2589"/>
      <c r="P112" s="2590"/>
      <c r="Q112" s="2591"/>
      <c r="R112" s="2600"/>
      <c r="S112" s="2592"/>
      <c r="T112" s="2593"/>
      <c r="U112" s="2594"/>
      <c r="V112" s="2595"/>
      <c r="W112" s="2596"/>
      <c r="X112" s="2597"/>
      <c r="Y112" s="2596"/>
      <c r="Z112" s="2598"/>
      <c r="AA112" s="2598"/>
      <c r="AB112" s="2598"/>
      <c r="AC112" s="1076"/>
      <c r="AD112" s="1076"/>
      <c r="AE112" s="410"/>
      <c r="AF112" s="809"/>
      <c r="AG112" s="1076"/>
      <c r="AH112" s="2404"/>
      <c r="AI112" s="2404"/>
      <c r="AJ112" s="2607"/>
      <c r="AK112" s="927"/>
      <c r="AL112" s="1076"/>
      <c r="AM112" s="927"/>
      <c r="AN112" s="685"/>
      <c r="AO112" s="517"/>
      <c r="AP112" s="413"/>
      <c r="AQ112" s="414"/>
      <c r="AR112" s="812"/>
      <c r="AS112" s="812"/>
      <c r="AT112" s="410"/>
      <c r="AU112" s="982"/>
      <c r="AV112" s="976"/>
      <c r="AW112" s="820"/>
      <c r="AX112" s="810"/>
      <c r="AY112" s="983"/>
      <c r="AZ112" s="983"/>
      <c r="BA112" s="819"/>
      <c r="BB112" s="820"/>
      <c r="BC112" s="811"/>
      <c r="BD112" s="410"/>
      <c r="BE112" s="410"/>
      <c r="BF112" s="410"/>
      <c r="BG112" s="410"/>
      <c r="BH112" s="974"/>
      <c r="BI112" s="974"/>
      <c r="BJ112" s="410"/>
      <c r="BK112" s="2073"/>
      <c r="BL112" s="410"/>
      <c r="BM112" s="410"/>
      <c r="BN112" s="410"/>
      <c r="BO112" s="685"/>
      <c r="BP112" s="399"/>
      <c r="BR112" s="405"/>
      <c r="BS112" s="405"/>
      <c r="BT112" s="405"/>
      <c r="BU112" s="405"/>
      <c r="BV112" s="2500"/>
      <c r="BW112" s="405"/>
      <c r="BX112" s="405"/>
      <c r="BY112" s="405"/>
      <c r="BZ112" s="405"/>
      <c r="CA112" s="405"/>
      <c r="CB112" s="405"/>
      <c r="CC112" s="405"/>
      <c r="CD112" s="405"/>
      <c r="CE112" s="405"/>
      <c r="CF112" s="404"/>
    </row>
    <row r="113" spans="1:84" ht="12" customHeight="1">
      <c r="A113" s="1483"/>
      <c r="B113" s="1483"/>
      <c r="C113" s="985"/>
      <c r="D113" s="2084"/>
      <c r="E113" s="1080"/>
      <c r="F113" s="2082"/>
      <c r="G113" s="912"/>
      <c r="H113" s="912"/>
      <c r="I113" s="2601"/>
      <c r="J113" s="2601"/>
      <c r="K113" s="2602"/>
      <c r="L113" s="2602"/>
      <c r="M113" s="2604"/>
      <c r="N113" s="2593"/>
      <c r="O113" s="2589"/>
      <c r="P113" s="2590"/>
      <c r="Q113" s="2591"/>
      <c r="R113" s="2600"/>
      <c r="S113" s="2592"/>
      <c r="T113" s="2593"/>
      <c r="U113" s="2594"/>
      <c r="V113" s="2595"/>
      <c r="W113" s="2596"/>
      <c r="X113" s="2597"/>
      <c r="Y113" s="2596"/>
      <c r="Z113" s="2598"/>
      <c r="AA113" s="2598"/>
      <c r="AB113" s="2598"/>
      <c r="AC113" s="1076"/>
      <c r="AD113" s="1076"/>
      <c r="AE113" s="410"/>
      <c r="AF113" s="809"/>
      <c r="AG113" s="1076"/>
      <c r="AH113" s="2404"/>
      <c r="AI113" s="2404"/>
      <c r="AJ113" s="2607"/>
      <c r="AK113" s="927"/>
      <c r="AL113" s="1076"/>
      <c r="AM113" s="927"/>
      <c r="AN113" s="685"/>
      <c r="AO113" s="517"/>
      <c r="AP113" s="413"/>
      <c r="AQ113" s="414"/>
      <c r="AR113" s="812"/>
      <c r="AS113" s="812"/>
      <c r="AT113" s="410"/>
      <c r="AU113" s="982"/>
      <c r="AV113" s="976"/>
      <c r="AW113" s="820"/>
      <c r="AX113" s="810"/>
      <c r="AY113" s="983"/>
      <c r="AZ113" s="983"/>
      <c r="BA113" s="819"/>
      <c r="BB113" s="820"/>
      <c r="BC113" s="811"/>
      <c r="BD113" s="410"/>
      <c r="BE113" s="410"/>
      <c r="BF113" s="410"/>
      <c r="BG113" s="410"/>
      <c r="BH113" s="974"/>
      <c r="BI113" s="974"/>
      <c r="BJ113" s="410"/>
      <c r="BK113" s="2073"/>
      <c r="BL113" s="410"/>
      <c r="BM113" s="410"/>
      <c r="BN113" s="410"/>
      <c r="BO113" s="685"/>
      <c r="BP113" s="399"/>
      <c r="BR113" s="405"/>
      <c r="BS113" s="405"/>
      <c r="BT113" s="405"/>
      <c r="BU113" s="405"/>
      <c r="BV113" s="2500"/>
      <c r="BW113" s="405"/>
      <c r="BX113" s="405"/>
      <c r="BY113" s="405"/>
      <c r="BZ113" s="405"/>
      <c r="CA113" s="405"/>
      <c r="CB113" s="405"/>
      <c r="CC113" s="405"/>
      <c r="CD113" s="405"/>
      <c r="CE113" s="405"/>
      <c r="CF113" s="404"/>
    </row>
    <row r="114" spans="1:84" ht="13.5" customHeight="1">
      <c r="A114" s="1483"/>
      <c r="B114" s="1483"/>
      <c r="C114" s="985"/>
      <c r="D114" s="2084"/>
      <c r="E114" s="1080"/>
      <c r="F114" s="2082"/>
      <c r="G114" s="912"/>
      <c r="H114" s="912"/>
      <c r="I114" s="2601"/>
      <c r="J114" s="2601"/>
      <c r="K114" s="2602"/>
      <c r="L114" s="2602"/>
      <c r="M114" s="2604"/>
      <c r="N114" s="2593"/>
      <c r="O114" s="2589"/>
      <c r="P114" s="2590"/>
      <c r="Q114" s="2591"/>
      <c r="R114" s="2600"/>
      <c r="S114" s="2592"/>
      <c r="T114" s="2593"/>
      <c r="U114" s="2594"/>
      <c r="V114" s="2595"/>
      <c r="W114" s="2596"/>
      <c r="X114" s="2597"/>
      <c r="Y114" s="2596"/>
      <c r="Z114" s="2598"/>
      <c r="AA114" s="2598"/>
      <c r="AB114" s="2598"/>
      <c r="AC114" s="1076"/>
      <c r="AD114" s="1076"/>
      <c r="AE114" s="410"/>
      <c r="AF114" s="809"/>
      <c r="AG114" s="1076"/>
      <c r="AH114" s="2404"/>
      <c r="AI114" s="2404"/>
      <c r="AJ114" s="2607"/>
      <c r="AK114" s="927"/>
      <c r="AL114" s="1076"/>
      <c r="AM114" s="927"/>
      <c r="AN114" s="685"/>
      <c r="AO114" s="517"/>
      <c r="AP114" s="413"/>
      <c r="AQ114" s="414"/>
      <c r="AR114" s="812"/>
      <c r="AS114" s="812"/>
      <c r="AT114" s="410"/>
      <c r="AU114" s="982"/>
      <c r="AV114" s="976"/>
      <c r="AW114" s="820"/>
      <c r="AX114" s="810"/>
      <c r="AY114" s="983"/>
      <c r="AZ114" s="983"/>
      <c r="BA114" s="819"/>
      <c r="BB114" s="820"/>
      <c r="BC114" s="811"/>
      <c r="BD114" s="410"/>
      <c r="BE114" s="410"/>
      <c r="BF114" s="410"/>
      <c r="BG114" s="410"/>
      <c r="BH114" s="974"/>
      <c r="BI114" s="974"/>
      <c r="BJ114" s="410"/>
      <c r="BK114" s="2073"/>
      <c r="BL114" s="410"/>
      <c r="BM114" s="410"/>
      <c r="BN114" s="410"/>
      <c r="BO114" s="685"/>
      <c r="BP114" s="399"/>
      <c r="BR114" s="405"/>
      <c r="BS114" s="405"/>
      <c r="BT114" s="405"/>
      <c r="BU114" s="405"/>
      <c r="BV114" s="2500"/>
      <c r="BW114" s="405"/>
      <c r="BX114" s="405"/>
      <c r="BY114" s="405"/>
      <c r="BZ114" s="405"/>
      <c r="CA114" s="405"/>
      <c r="CB114" s="405"/>
      <c r="CC114" s="405"/>
      <c r="CD114" s="405"/>
      <c r="CE114" s="405"/>
      <c r="CF114" s="404"/>
    </row>
    <row r="115" spans="1:84" ht="13.5" customHeight="1">
      <c r="A115" s="1483"/>
      <c r="B115" s="1483"/>
      <c r="C115" s="985"/>
      <c r="D115" s="2084"/>
      <c r="E115" s="1080"/>
      <c r="F115" s="2082"/>
      <c r="G115" s="912"/>
      <c r="H115" s="912"/>
      <c r="I115" s="2601"/>
      <c r="J115" s="2601"/>
      <c r="K115" s="2602"/>
      <c r="L115" s="2602"/>
      <c r="M115" s="2604"/>
      <c r="N115" s="2593"/>
      <c r="O115" s="2589"/>
      <c r="P115" s="2590"/>
      <c r="Q115" s="2591"/>
      <c r="R115" s="2600"/>
      <c r="S115" s="2592"/>
      <c r="T115" s="2593"/>
      <c r="U115" s="2594"/>
      <c r="V115" s="2595"/>
      <c r="W115" s="2596"/>
      <c r="X115" s="2597"/>
      <c r="Y115" s="2596"/>
      <c r="Z115" s="2598"/>
      <c r="AA115" s="2598"/>
      <c r="AB115" s="2598"/>
      <c r="AC115" s="1076"/>
      <c r="AD115" s="1076"/>
      <c r="AE115" s="410"/>
      <c r="AF115" s="809"/>
      <c r="AG115" s="1076"/>
      <c r="AH115" s="2404"/>
      <c r="AI115" s="2404"/>
      <c r="AJ115" s="2607"/>
      <c r="AK115" s="927"/>
      <c r="AL115" s="1076"/>
      <c r="AM115" s="927"/>
      <c r="AN115" s="685"/>
      <c r="AO115" s="517"/>
      <c r="AP115" s="413"/>
      <c r="AQ115" s="414"/>
      <c r="AR115" s="812"/>
      <c r="AS115" s="812"/>
      <c r="AT115" s="410"/>
      <c r="AU115" s="982"/>
      <c r="AV115" s="976"/>
      <c r="AW115" s="820"/>
      <c r="AX115" s="810"/>
      <c r="AY115" s="983"/>
      <c r="AZ115" s="983"/>
      <c r="BA115" s="819"/>
      <c r="BB115" s="820"/>
      <c r="BC115" s="811"/>
      <c r="BD115" s="410"/>
      <c r="BE115" s="410"/>
      <c r="BF115" s="410"/>
      <c r="BG115" s="410"/>
      <c r="BH115" s="974"/>
      <c r="BI115" s="974"/>
      <c r="BJ115" s="410"/>
      <c r="BK115" s="2073"/>
      <c r="BL115" s="410"/>
      <c r="BM115" s="410"/>
      <c r="BN115" s="410"/>
      <c r="BO115" s="685"/>
      <c r="BP115" s="399"/>
      <c r="BR115" s="405"/>
      <c r="BS115" s="405"/>
      <c r="BT115" s="405"/>
      <c r="BU115" s="405"/>
      <c r="BV115" s="2500"/>
      <c r="BW115" s="405"/>
      <c r="BX115" s="405"/>
      <c r="BY115" s="405"/>
      <c r="BZ115" s="405"/>
      <c r="CA115" s="405"/>
      <c r="CB115" s="405"/>
      <c r="CC115" s="405"/>
      <c r="CD115" s="405"/>
      <c r="CE115" s="405"/>
      <c r="CF115" s="404"/>
    </row>
    <row r="116" spans="1:84" ht="13.5" customHeight="1">
      <c r="A116" s="1483"/>
      <c r="B116" s="1483"/>
      <c r="C116" s="985"/>
      <c r="D116" s="2084"/>
      <c r="E116" s="1080"/>
      <c r="F116" s="2082"/>
      <c r="G116" s="912"/>
      <c r="H116" s="912"/>
      <c r="I116" s="2601"/>
      <c r="J116" s="2601"/>
      <c r="K116" s="2602"/>
      <c r="L116" s="2602"/>
      <c r="M116" s="2604"/>
      <c r="N116" s="2593"/>
      <c r="O116" s="2589"/>
      <c r="P116" s="2590"/>
      <c r="Q116" s="2591"/>
      <c r="R116" s="2600"/>
      <c r="S116" s="2592"/>
      <c r="T116" s="2593"/>
      <c r="U116" s="2594"/>
      <c r="V116" s="2595"/>
      <c r="W116" s="2596"/>
      <c r="X116" s="2597"/>
      <c r="Y116" s="2596"/>
      <c r="Z116" s="2598"/>
      <c r="AA116" s="2598"/>
      <c r="AB116" s="2598"/>
      <c r="AC116" s="1076"/>
      <c r="AD116" s="1076"/>
      <c r="AE116" s="410"/>
      <c r="AF116" s="809"/>
      <c r="AG116" s="1076"/>
      <c r="AH116" s="2404"/>
      <c r="AI116" s="2404"/>
      <c r="AJ116" s="2607"/>
      <c r="AK116" s="927"/>
      <c r="AL116" s="1076"/>
      <c r="AM116" s="927"/>
      <c r="AN116" s="685"/>
      <c r="AO116" s="517"/>
      <c r="AP116" s="413"/>
      <c r="AQ116" s="414"/>
      <c r="AR116" s="812"/>
      <c r="AS116" s="812"/>
      <c r="AT116" s="410"/>
      <c r="AU116" s="982"/>
      <c r="AV116" s="976"/>
      <c r="AW116" s="820"/>
      <c r="AX116" s="810"/>
      <c r="AY116" s="983"/>
      <c r="AZ116" s="983"/>
      <c r="BA116" s="819"/>
      <c r="BB116" s="820"/>
      <c r="BC116" s="811"/>
      <c r="BD116" s="410"/>
      <c r="BE116" s="410"/>
      <c r="BF116" s="410"/>
      <c r="BG116" s="410"/>
      <c r="BH116" s="974"/>
      <c r="BI116" s="974"/>
      <c r="BJ116" s="410"/>
      <c r="BK116" s="2073"/>
      <c r="BL116" s="410"/>
      <c r="BM116" s="410"/>
      <c r="BN116" s="410"/>
      <c r="BO116" s="685"/>
      <c r="BP116" s="399"/>
      <c r="BR116" s="405"/>
      <c r="BS116" s="405"/>
      <c r="BT116" s="405"/>
      <c r="BU116" s="405"/>
      <c r="BV116" s="2500"/>
      <c r="BW116" s="405"/>
      <c r="BX116" s="405"/>
      <c r="BY116" s="405"/>
      <c r="BZ116" s="405"/>
      <c r="CA116" s="405"/>
      <c r="CB116" s="405"/>
      <c r="CC116" s="405"/>
      <c r="CD116" s="405"/>
      <c r="CE116" s="405"/>
      <c r="CF116" s="404"/>
    </row>
    <row r="117" spans="1:84" ht="13.5" customHeight="1">
      <c r="A117" s="1483"/>
      <c r="B117" s="1483"/>
      <c r="C117" s="985"/>
      <c r="D117" s="2084"/>
      <c r="E117" s="1080"/>
      <c r="F117" s="2082"/>
      <c r="G117" s="912"/>
      <c r="H117" s="912"/>
      <c r="I117" s="2601"/>
      <c r="J117" s="2601"/>
      <c r="K117" s="2602"/>
      <c r="L117" s="2602"/>
      <c r="M117" s="2604"/>
      <c r="N117" s="2593"/>
      <c r="O117" s="2589"/>
      <c r="P117" s="2590"/>
      <c r="Q117" s="2591"/>
      <c r="R117" s="2600"/>
      <c r="S117" s="2592"/>
      <c r="T117" s="2593"/>
      <c r="U117" s="2594"/>
      <c r="V117" s="2595"/>
      <c r="W117" s="2596"/>
      <c r="X117" s="2597"/>
      <c r="Y117" s="2596"/>
      <c r="Z117" s="2598"/>
      <c r="AA117" s="2598"/>
      <c r="AB117" s="2598"/>
      <c r="AC117" s="1076"/>
      <c r="AD117" s="1076"/>
      <c r="AE117" s="410"/>
      <c r="AF117" s="809"/>
      <c r="AG117" s="1076"/>
      <c r="AH117" s="2404"/>
      <c r="AI117" s="2404"/>
      <c r="AJ117" s="2607"/>
      <c r="AK117" s="927"/>
      <c r="AL117" s="1076"/>
      <c r="AM117" s="927"/>
      <c r="AN117" s="685"/>
      <c r="AO117" s="517"/>
      <c r="AP117" s="413"/>
      <c r="AQ117" s="414"/>
      <c r="AR117" s="812"/>
      <c r="AS117" s="812"/>
      <c r="AT117" s="410"/>
      <c r="AU117" s="982"/>
      <c r="AV117" s="976"/>
      <c r="AW117" s="820"/>
      <c r="AX117" s="810"/>
      <c r="AY117" s="983"/>
      <c r="AZ117" s="983"/>
      <c r="BA117" s="819"/>
      <c r="BB117" s="820"/>
      <c r="BC117" s="811"/>
      <c r="BD117" s="410"/>
      <c r="BE117" s="410"/>
      <c r="BF117" s="410"/>
      <c r="BG117" s="410"/>
      <c r="BH117" s="974"/>
      <c r="BI117" s="974"/>
      <c r="BJ117" s="410"/>
      <c r="BK117" s="2073"/>
      <c r="BL117" s="410"/>
      <c r="BM117" s="410"/>
      <c r="BN117" s="410"/>
      <c r="BO117" s="685"/>
      <c r="BP117" s="399"/>
      <c r="BR117" s="405"/>
      <c r="BS117" s="405"/>
      <c r="BT117" s="405"/>
      <c r="BU117" s="405"/>
      <c r="BV117" s="405"/>
      <c r="BW117" s="405"/>
      <c r="BX117" s="405"/>
      <c r="BY117" s="405"/>
      <c r="BZ117" s="405"/>
      <c r="CA117" s="405"/>
      <c r="CB117" s="405"/>
      <c r="CC117" s="405"/>
      <c r="CD117" s="405"/>
      <c r="CE117" s="405"/>
      <c r="CF117" s="404"/>
    </row>
    <row r="118" spans="1:84" ht="13.5" customHeight="1">
      <c r="A118" s="1483"/>
      <c r="B118" s="1483"/>
      <c r="C118" s="985"/>
      <c r="D118" s="2084"/>
      <c r="E118" s="1080"/>
      <c r="F118" s="2082"/>
      <c r="G118" s="912"/>
      <c r="H118" s="912"/>
      <c r="I118" s="2601"/>
      <c r="J118" s="2601"/>
      <c r="K118" s="2602"/>
      <c r="L118" s="2603"/>
      <c r="M118" s="2604"/>
      <c r="N118" s="2593"/>
      <c r="O118" s="2589"/>
      <c r="P118" s="2590"/>
      <c r="Q118" s="2591"/>
      <c r="R118" s="2600"/>
      <c r="S118" s="2592"/>
      <c r="T118" s="2593"/>
      <c r="U118" s="2594"/>
      <c r="V118" s="2595"/>
      <c r="W118" s="2596"/>
      <c r="X118" s="2597"/>
      <c r="Y118" s="2596"/>
      <c r="Z118" s="2598"/>
      <c r="AA118" s="2598"/>
      <c r="AB118" s="2598"/>
      <c r="AC118" s="1076"/>
      <c r="AD118" s="1076"/>
      <c r="AE118" s="410"/>
      <c r="AF118" s="809"/>
      <c r="AG118" s="1076"/>
      <c r="AH118" s="2404"/>
      <c r="AI118" s="2404"/>
      <c r="AJ118" s="2607"/>
      <c r="AK118" s="927"/>
      <c r="AL118" s="1076"/>
      <c r="AM118" s="927"/>
      <c r="AN118" s="685"/>
      <c r="AO118" s="517"/>
      <c r="AP118" s="413"/>
      <c r="AQ118" s="414"/>
      <c r="AR118" s="812"/>
      <c r="AS118" s="812"/>
      <c r="AT118" s="410"/>
      <c r="AU118" s="982"/>
      <c r="AV118" s="976"/>
      <c r="AW118" s="820"/>
      <c r="AX118" s="810"/>
      <c r="AY118" s="983"/>
      <c r="AZ118" s="983"/>
      <c r="BA118" s="819"/>
      <c r="BB118" s="820"/>
      <c r="BC118" s="811"/>
      <c r="BD118" s="410"/>
      <c r="BE118" s="410"/>
      <c r="BF118" s="410"/>
      <c r="BG118" s="410"/>
      <c r="BH118" s="974"/>
      <c r="BI118" s="974"/>
      <c r="BJ118" s="410"/>
      <c r="BK118" s="2073"/>
      <c r="BL118" s="410"/>
      <c r="BM118" s="410"/>
      <c r="BN118" s="410"/>
      <c r="BO118" s="685"/>
      <c r="BP118" s="399"/>
      <c r="BR118" s="405"/>
      <c r="BS118" s="405"/>
      <c r="BT118" s="405"/>
      <c r="BU118" s="405"/>
      <c r="BV118" s="405"/>
      <c r="BW118" s="405"/>
      <c r="BX118" s="405"/>
      <c r="BY118" s="405"/>
      <c r="BZ118" s="405"/>
      <c r="CA118" s="405"/>
      <c r="CB118" s="405"/>
      <c r="CC118" s="405"/>
      <c r="CD118" s="405"/>
      <c r="CE118" s="405"/>
      <c r="CF118" s="404"/>
    </row>
    <row r="119" spans="1:84" ht="13.5" customHeight="1">
      <c r="A119" s="1483"/>
      <c r="B119" s="1483"/>
      <c r="C119" s="985"/>
      <c r="D119" s="2084"/>
      <c r="E119" s="1080"/>
      <c r="F119" s="2082"/>
      <c r="G119" s="912"/>
      <c r="H119" s="912"/>
      <c r="I119" s="2601"/>
      <c r="J119" s="2601"/>
      <c r="K119" s="2602"/>
      <c r="L119" s="2602"/>
      <c r="M119" s="2604"/>
      <c r="N119" s="2593"/>
      <c r="O119" s="2589"/>
      <c r="P119" s="2590"/>
      <c r="Q119" s="2591"/>
      <c r="R119" s="2600"/>
      <c r="S119" s="2592"/>
      <c r="T119" s="2593"/>
      <c r="U119" s="2594"/>
      <c r="V119" s="2595"/>
      <c r="W119" s="2596"/>
      <c r="X119" s="2597"/>
      <c r="Y119" s="2596"/>
      <c r="Z119" s="2598"/>
      <c r="AA119" s="2598"/>
      <c r="AB119" s="2598"/>
      <c r="AC119" s="1076"/>
      <c r="AD119" s="1076"/>
      <c r="AE119" s="410"/>
      <c r="AF119" s="809"/>
      <c r="AG119" s="1076"/>
      <c r="AH119" s="2404"/>
      <c r="AI119" s="2404"/>
      <c r="AJ119" s="2607"/>
      <c r="AK119" s="927"/>
      <c r="AL119" s="1076"/>
      <c r="AM119" s="927"/>
      <c r="AN119" s="685"/>
      <c r="AO119" s="517"/>
      <c r="AP119" s="413"/>
      <c r="AQ119" s="414"/>
      <c r="AR119" s="812"/>
      <c r="AS119" s="812"/>
      <c r="AT119" s="410"/>
      <c r="AU119" s="982"/>
      <c r="AV119" s="976"/>
      <c r="AW119" s="820"/>
      <c r="AX119" s="810"/>
      <c r="AY119" s="983"/>
      <c r="AZ119" s="983"/>
      <c r="BA119" s="819"/>
      <c r="BB119" s="820"/>
      <c r="BC119" s="811"/>
      <c r="BD119" s="410"/>
      <c r="BE119" s="410"/>
      <c r="BF119" s="410"/>
      <c r="BG119" s="410"/>
      <c r="BH119" s="974"/>
      <c r="BI119" s="974"/>
      <c r="BJ119" s="410"/>
      <c r="BK119" s="2073"/>
      <c r="BL119" s="410"/>
      <c r="BM119" s="410"/>
      <c r="BN119" s="410"/>
      <c r="BO119" s="685"/>
      <c r="BP119" s="399"/>
      <c r="BR119" s="405"/>
      <c r="BS119" s="405"/>
      <c r="BT119" s="405"/>
      <c r="BU119" s="405"/>
      <c r="BV119" s="405"/>
      <c r="BW119" s="405"/>
      <c r="BX119" s="405"/>
      <c r="BY119" s="405"/>
      <c r="BZ119" s="405"/>
      <c r="CA119" s="405"/>
      <c r="CB119" s="405"/>
      <c r="CC119" s="405"/>
      <c r="CD119" s="2501"/>
      <c r="CE119" s="405"/>
      <c r="CF119" s="404"/>
    </row>
    <row r="120" spans="1:84" ht="13.5" customHeight="1">
      <c r="A120" s="1483"/>
      <c r="B120" s="1483"/>
      <c r="C120" s="985"/>
      <c r="D120" s="2084"/>
      <c r="E120" s="1080"/>
      <c r="F120" s="2082"/>
      <c r="G120" s="912"/>
      <c r="H120" s="912"/>
      <c r="I120" s="2601"/>
      <c r="J120" s="2601"/>
      <c r="K120" s="2602"/>
      <c r="L120" s="2602"/>
      <c r="M120" s="2604"/>
      <c r="N120" s="2593"/>
      <c r="O120" s="2589"/>
      <c r="P120" s="2590"/>
      <c r="Q120" s="2591"/>
      <c r="R120" s="2600"/>
      <c r="S120" s="2592"/>
      <c r="T120" s="2593"/>
      <c r="U120" s="2594"/>
      <c r="V120" s="2595"/>
      <c r="W120" s="2596"/>
      <c r="X120" s="2597"/>
      <c r="Y120" s="2596"/>
      <c r="Z120" s="2598"/>
      <c r="AA120" s="2598"/>
      <c r="AB120" s="2598"/>
      <c r="AC120" s="1076"/>
      <c r="AD120" s="1076"/>
      <c r="AE120" s="410"/>
      <c r="AF120" s="809"/>
      <c r="AG120" s="1076"/>
      <c r="AH120" s="2404"/>
      <c r="AI120" s="2404"/>
      <c r="AJ120" s="2607"/>
      <c r="AK120" s="927"/>
      <c r="AL120" s="1076"/>
      <c r="AM120" s="927"/>
      <c r="AN120" s="685"/>
      <c r="AO120" s="517"/>
      <c r="AP120" s="413"/>
      <c r="AQ120" s="414"/>
      <c r="AR120" s="812"/>
      <c r="AS120" s="812"/>
      <c r="AT120" s="410"/>
      <c r="AU120" s="982"/>
      <c r="AV120" s="976"/>
      <c r="AW120" s="820"/>
      <c r="AX120" s="810"/>
      <c r="AY120" s="983"/>
      <c r="AZ120" s="983"/>
      <c r="BA120" s="819"/>
      <c r="BB120" s="820"/>
      <c r="BC120" s="811"/>
      <c r="BD120" s="410"/>
      <c r="BE120" s="410"/>
      <c r="BF120" s="410"/>
      <c r="BG120" s="410"/>
      <c r="BH120" s="974"/>
      <c r="BI120" s="974"/>
      <c r="BJ120" s="410"/>
      <c r="BK120" s="2073"/>
      <c r="BL120" s="410"/>
      <c r="BM120" s="410"/>
      <c r="BN120" s="410"/>
      <c r="BO120" s="685"/>
      <c r="BP120" s="399"/>
      <c r="BR120" s="405"/>
      <c r="BS120" s="405"/>
      <c r="BT120" s="405"/>
      <c r="BU120" s="405"/>
      <c r="BV120" s="405"/>
      <c r="BW120" s="405"/>
      <c r="BX120" s="405"/>
      <c r="BY120" s="405"/>
      <c r="BZ120" s="405"/>
      <c r="CA120" s="405"/>
      <c r="CB120" s="405"/>
      <c r="CC120" s="405"/>
      <c r="CD120" s="405"/>
      <c r="CE120" s="405"/>
      <c r="CF120" s="404"/>
    </row>
    <row r="121" spans="1:84" ht="13.5" customHeight="1">
      <c r="A121" s="1483"/>
      <c r="B121" s="1483"/>
      <c r="C121" s="985"/>
      <c r="D121" s="2084"/>
      <c r="E121" s="1080"/>
      <c r="F121" s="2082"/>
      <c r="G121" s="912"/>
      <c r="H121" s="912"/>
      <c r="I121" s="2601"/>
      <c r="J121" s="2601"/>
      <c r="K121" s="2602"/>
      <c r="L121" s="2602"/>
      <c r="M121" s="2604"/>
      <c r="N121" s="2593"/>
      <c r="O121" s="2589"/>
      <c r="P121" s="2590"/>
      <c r="Q121" s="2591"/>
      <c r="R121" s="2600"/>
      <c r="S121" s="2592"/>
      <c r="T121" s="2593"/>
      <c r="U121" s="2594"/>
      <c r="V121" s="2595"/>
      <c r="W121" s="2596"/>
      <c r="X121" s="2597"/>
      <c r="Y121" s="2596"/>
      <c r="Z121" s="2598"/>
      <c r="AA121" s="2598"/>
      <c r="AB121" s="2598"/>
      <c r="AC121" s="1076"/>
      <c r="AD121" s="1076"/>
      <c r="AE121" s="410"/>
      <c r="AF121" s="809"/>
      <c r="AG121" s="1076"/>
      <c r="AH121" s="2404"/>
      <c r="AI121" s="2404"/>
      <c r="AJ121" s="2607"/>
      <c r="AK121" s="927"/>
      <c r="AL121" s="1076"/>
      <c r="AM121" s="927"/>
      <c r="AN121" s="685"/>
      <c r="AO121" s="517"/>
      <c r="AP121" s="413"/>
      <c r="AQ121" s="414"/>
      <c r="AR121" s="812"/>
      <c r="AS121" s="812"/>
      <c r="AT121" s="410"/>
      <c r="AU121" s="982"/>
      <c r="AV121" s="976"/>
      <c r="AW121" s="820"/>
      <c r="AX121" s="810"/>
      <c r="AY121" s="983"/>
      <c r="AZ121" s="983"/>
      <c r="BA121" s="819"/>
      <c r="BB121" s="820"/>
      <c r="BC121" s="811"/>
      <c r="BD121" s="410"/>
      <c r="BE121" s="410"/>
      <c r="BF121" s="410"/>
      <c r="BG121" s="410"/>
      <c r="BH121" s="974"/>
      <c r="BI121" s="974"/>
      <c r="BJ121" s="410"/>
      <c r="BK121" s="2073"/>
      <c r="BL121" s="410"/>
      <c r="BM121" s="410"/>
      <c r="BN121" s="410"/>
      <c r="BO121" s="685"/>
      <c r="BP121" s="399"/>
      <c r="BR121" s="405"/>
      <c r="BS121" s="405"/>
      <c r="BT121" s="405"/>
      <c r="BU121" s="405"/>
      <c r="BV121" s="405"/>
      <c r="BW121" s="405"/>
      <c r="BX121" s="405"/>
      <c r="BY121" s="405"/>
      <c r="BZ121" s="405"/>
      <c r="CA121" s="405"/>
      <c r="CB121" s="405"/>
      <c r="CC121" s="405"/>
      <c r="CD121" s="405"/>
      <c r="CE121" s="405"/>
      <c r="CF121" s="404"/>
    </row>
    <row r="122" spans="1:84" ht="13.5" customHeight="1">
      <c r="A122" s="1483"/>
      <c r="B122" s="1483"/>
      <c r="C122" s="985"/>
      <c r="D122" s="2084"/>
      <c r="E122" s="1080"/>
      <c r="F122" s="2082"/>
      <c r="G122" s="912"/>
      <c r="H122" s="912"/>
      <c r="I122" s="2601"/>
      <c r="J122" s="2601"/>
      <c r="K122" s="2602"/>
      <c r="L122" s="2602"/>
      <c r="M122" s="2604"/>
      <c r="N122" s="2593"/>
      <c r="O122" s="2589"/>
      <c r="P122" s="2590"/>
      <c r="Q122" s="2591"/>
      <c r="R122" s="2600"/>
      <c r="S122" s="2592"/>
      <c r="T122" s="2593"/>
      <c r="U122" s="2594"/>
      <c r="V122" s="2595"/>
      <c r="W122" s="2596"/>
      <c r="X122" s="2597"/>
      <c r="Y122" s="2596"/>
      <c r="Z122" s="2598"/>
      <c r="AA122" s="2598"/>
      <c r="AB122" s="2598"/>
      <c r="AC122" s="1076"/>
      <c r="AD122" s="1076"/>
      <c r="AE122" s="410"/>
      <c r="AF122" s="809"/>
      <c r="AG122" s="1076"/>
      <c r="AH122" s="2404"/>
      <c r="AI122" s="2404"/>
      <c r="AJ122" s="2607"/>
      <c r="AK122" s="927"/>
      <c r="AL122" s="1076"/>
      <c r="AM122" s="927"/>
      <c r="AN122" s="685"/>
      <c r="AO122" s="517"/>
      <c r="AP122" s="413"/>
      <c r="AQ122" s="414"/>
      <c r="AR122" s="812"/>
      <c r="AS122" s="812"/>
      <c r="AT122" s="410"/>
      <c r="AU122" s="982"/>
      <c r="AV122" s="976"/>
      <c r="AW122" s="820"/>
      <c r="AX122" s="810"/>
      <c r="AY122" s="983"/>
      <c r="AZ122" s="983"/>
      <c r="BA122" s="819"/>
      <c r="BB122" s="820"/>
      <c r="BC122" s="811"/>
      <c r="BD122" s="410"/>
      <c r="BE122" s="410"/>
      <c r="BF122" s="410"/>
      <c r="BG122" s="410"/>
      <c r="BH122" s="974"/>
      <c r="BI122" s="974"/>
      <c r="BJ122" s="410"/>
      <c r="BK122" s="2073"/>
      <c r="BL122" s="410"/>
      <c r="BM122" s="410"/>
      <c r="BN122" s="410"/>
      <c r="BO122" s="685"/>
      <c r="BP122" s="399"/>
      <c r="BR122" s="405"/>
      <c r="BS122" s="405"/>
      <c r="BT122" s="405"/>
      <c r="BU122" s="405"/>
      <c r="BV122" s="405"/>
      <c r="BW122" s="405"/>
      <c r="BX122" s="405"/>
      <c r="BY122" s="405"/>
      <c r="BZ122" s="405"/>
      <c r="CA122" s="405"/>
      <c r="CB122" s="405"/>
      <c r="CC122" s="405"/>
      <c r="CD122" s="405"/>
      <c r="CE122" s="405"/>
      <c r="CF122" s="404"/>
    </row>
    <row r="123" spans="1:84" ht="13.5" customHeight="1">
      <c r="A123" s="1483"/>
      <c r="B123" s="1483"/>
      <c r="C123" s="985"/>
      <c r="D123" s="2084"/>
      <c r="E123" s="1080"/>
      <c r="F123" s="2082"/>
      <c r="G123" s="912"/>
      <c r="H123" s="912"/>
      <c r="I123" s="2601"/>
      <c r="J123" s="2601"/>
      <c r="K123" s="2602"/>
      <c r="L123" s="2603"/>
      <c r="M123" s="2604"/>
      <c r="N123" s="2593"/>
      <c r="O123" s="2589"/>
      <c r="P123" s="2590"/>
      <c r="Q123" s="2591"/>
      <c r="R123" s="2600"/>
      <c r="S123" s="2592"/>
      <c r="T123" s="2593"/>
      <c r="U123" s="2594"/>
      <c r="V123" s="2595"/>
      <c r="W123" s="2596"/>
      <c r="X123" s="2597"/>
      <c r="Y123" s="2596"/>
      <c r="Z123" s="2598"/>
      <c r="AA123" s="2598"/>
      <c r="AB123" s="2598"/>
      <c r="AC123" s="1076"/>
      <c r="AD123" s="1076"/>
      <c r="AE123" s="410"/>
      <c r="AF123" s="809"/>
      <c r="AG123" s="1076"/>
      <c r="AH123" s="2404"/>
      <c r="AI123" s="2404"/>
      <c r="AJ123" s="2607"/>
      <c r="AK123" s="927"/>
      <c r="AL123" s="1076"/>
      <c r="AM123" s="927"/>
      <c r="AN123" s="685"/>
      <c r="AO123" s="517"/>
      <c r="AP123" s="413"/>
      <c r="AQ123" s="414"/>
      <c r="AR123" s="812"/>
      <c r="AS123" s="812"/>
      <c r="AT123" s="410"/>
      <c r="AU123" s="982"/>
      <c r="AV123" s="976"/>
      <c r="AW123" s="820"/>
      <c r="AX123" s="810"/>
      <c r="AY123" s="983"/>
      <c r="AZ123" s="983"/>
      <c r="BA123" s="819"/>
      <c r="BB123" s="820"/>
      <c r="BC123" s="811"/>
      <c r="BD123" s="410"/>
      <c r="BE123" s="410"/>
      <c r="BF123" s="410"/>
      <c r="BG123" s="410"/>
      <c r="BH123" s="974"/>
      <c r="BI123" s="974"/>
      <c r="BJ123" s="410"/>
      <c r="BK123" s="2073"/>
      <c r="BL123" s="410"/>
      <c r="BM123" s="410"/>
      <c r="BN123" s="410"/>
      <c r="BO123" s="685"/>
      <c r="BP123" s="399"/>
      <c r="BR123" s="405"/>
      <c r="BS123" s="405"/>
      <c r="BT123" s="405"/>
      <c r="BU123" s="405"/>
      <c r="BV123" s="405"/>
      <c r="BW123" s="405"/>
      <c r="BX123" s="405"/>
      <c r="BY123" s="405"/>
      <c r="BZ123" s="405"/>
      <c r="CA123" s="405"/>
      <c r="CB123" s="405"/>
      <c r="CC123" s="405"/>
      <c r="CD123" s="405"/>
      <c r="CE123" s="405"/>
      <c r="CF123" s="404"/>
    </row>
    <row r="124" spans="1:84" ht="13.5" customHeight="1">
      <c r="A124" s="1483"/>
      <c r="B124" s="1483"/>
      <c r="C124" s="985"/>
      <c r="D124" s="2084"/>
      <c r="E124" s="1080"/>
      <c r="F124" s="2082"/>
      <c r="G124" s="912"/>
      <c r="H124" s="912"/>
      <c r="I124" s="2601"/>
      <c r="J124" s="2601"/>
      <c r="K124" s="2602"/>
      <c r="L124" s="2603"/>
      <c r="M124" s="2604"/>
      <c r="N124" s="2593"/>
      <c r="O124" s="2589"/>
      <c r="P124" s="2590"/>
      <c r="Q124" s="2591"/>
      <c r="R124" s="2600"/>
      <c r="S124" s="2592"/>
      <c r="T124" s="2593"/>
      <c r="U124" s="2594"/>
      <c r="V124" s="2595"/>
      <c r="W124" s="2596"/>
      <c r="X124" s="2597"/>
      <c r="Y124" s="2596"/>
      <c r="Z124" s="2598"/>
      <c r="AA124" s="2598"/>
      <c r="AB124" s="2598"/>
      <c r="AC124" s="1076"/>
      <c r="AD124" s="1076"/>
      <c r="AE124" s="410"/>
      <c r="AF124" s="809"/>
      <c r="AG124" s="1076"/>
      <c r="AH124" s="2404"/>
      <c r="AI124" s="2404"/>
      <c r="AJ124" s="2607"/>
      <c r="AK124" s="927"/>
      <c r="AL124" s="1076"/>
      <c r="AM124" s="927"/>
      <c r="AN124" s="685"/>
      <c r="AO124" s="517"/>
      <c r="AP124" s="413"/>
      <c r="AQ124" s="414"/>
      <c r="AR124" s="812"/>
      <c r="AS124" s="812"/>
      <c r="AT124" s="410"/>
      <c r="AU124" s="982"/>
      <c r="AV124" s="976"/>
      <c r="AW124" s="820"/>
      <c r="AX124" s="810"/>
      <c r="AY124" s="983"/>
      <c r="AZ124" s="983"/>
      <c r="BA124" s="819"/>
      <c r="BB124" s="820"/>
      <c r="BC124" s="811"/>
      <c r="BD124" s="410"/>
      <c r="BE124" s="410"/>
      <c r="BF124" s="410"/>
      <c r="BG124" s="410"/>
      <c r="BH124" s="974"/>
      <c r="BI124" s="974"/>
      <c r="BJ124" s="410"/>
      <c r="BK124" s="2073"/>
      <c r="BL124" s="410"/>
      <c r="BM124" s="410"/>
      <c r="BN124" s="410"/>
      <c r="BO124" s="685"/>
      <c r="BP124" s="399"/>
      <c r="BR124" s="405"/>
      <c r="BS124" s="405"/>
      <c r="BT124" s="405"/>
      <c r="BU124" s="405"/>
      <c r="BV124" s="405"/>
      <c r="BW124" s="405"/>
      <c r="BX124" s="405"/>
      <c r="BY124" s="405"/>
      <c r="BZ124" s="405"/>
      <c r="CA124" s="405"/>
      <c r="CB124" s="405"/>
      <c r="CC124" s="405"/>
      <c r="CD124" s="405"/>
      <c r="CE124" s="405"/>
      <c r="CF124" s="404"/>
    </row>
    <row r="125" spans="1:84" ht="13.5" customHeight="1">
      <c r="A125" s="1483"/>
      <c r="B125" s="1483"/>
      <c r="C125" s="985"/>
      <c r="D125" s="2084"/>
      <c r="E125" s="1080"/>
      <c r="F125" s="2082"/>
      <c r="G125" s="912"/>
      <c r="H125" s="912"/>
      <c r="I125" s="2601"/>
      <c r="J125" s="2601"/>
      <c r="K125" s="2602"/>
      <c r="L125" s="2603"/>
      <c r="M125" s="2604"/>
      <c r="N125" s="2593"/>
      <c r="O125" s="2589"/>
      <c r="P125" s="2590"/>
      <c r="Q125" s="2591"/>
      <c r="R125" s="2600"/>
      <c r="S125" s="2592"/>
      <c r="T125" s="2593"/>
      <c r="U125" s="2594"/>
      <c r="V125" s="2595"/>
      <c r="W125" s="2596"/>
      <c r="X125" s="2597"/>
      <c r="Y125" s="2596"/>
      <c r="Z125" s="2598"/>
      <c r="AA125" s="2598"/>
      <c r="AB125" s="2598"/>
      <c r="AC125" s="1076"/>
      <c r="AD125" s="1076"/>
      <c r="AE125" s="410"/>
      <c r="AF125" s="809"/>
      <c r="AG125" s="1076"/>
      <c r="AH125" s="2404"/>
      <c r="AI125" s="2404"/>
      <c r="AJ125" s="2607"/>
      <c r="AK125" s="927"/>
      <c r="AL125" s="1076"/>
      <c r="AM125" s="927"/>
      <c r="AN125" s="685"/>
      <c r="AO125" s="517"/>
      <c r="AP125" s="413"/>
      <c r="AQ125" s="414"/>
      <c r="AR125" s="812"/>
      <c r="AS125" s="812"/>
      <c r="AT125" s="410"/>
      <c r="AU125" s="982"/>
      <c r="AV125" s="976"/>
      <c r="AW125" s="820"/>
      <c r="AX125" s="810"/>
      <c r="AY125" s="983"/>
      <c r="AZ125" s="983"/>
      <c r="BA125" s="819"/>
      <c r="BB125" s="820"/>
      <c r="BC125" s="811"/>
      <c r="BD125" s="410"/>
      <c r="BE125" s="410"/>
      <c r="BF125" s="410"/>
      <c r="BG125" s="410"/>
      <c r="BH125" s="974"/>
      <c r="BI125" s="974"/>
      <c r="BJ125" s="410"/>
      <c r="BK125" s="2073"/>
      <c r="BL125" s="410"/>
      <c r="BM125" s="410"/>
      <c r="BN125" s="410"/>
      <c r="BO125" s="685"/>
      <c r="BP125" s="399"/>
      <c r="BR125" s="405"/>
      <c r="BS125" s="405"/>
      <c r="BT125" s="405"/>
      <c r="BU125" s="405"/>
      <c r="BV125" s="405"/>
      <c r="BW125" s="405"/>
      <c r="BX125" s="405"/>
      <c r="BY125" s="405"/>
      <c r="BZ125" s="405"/>
      <c r="CA125" s="405"/>
      <c r="CB125" s="405"/>
      <c r="CC125" s="405"/>
      <c r="CD125" s="405"/>
      <c r="CE125" s="405"/>
      <c r="CF125" s="404"/>
    </row>
    <row r="126" spans="1:84" ht="13.5" customHeight="1">
      <c r="A126" s="1483"/>
      <c r="B126" s="1483"/>
      <c r="C126" s="985"/>
      <c r="D126" s="2084"/>
      <c r="E126" s="1080"/>
      <c r="F126" s="2082"/>
      <c r="G126" s="912"/>
      <c r="H126" s="912"/>
      <c r="I126" s="2601"/>
      <c r="J126" s="2601"/>
      <c r="K126" s="2602"/>
      <c r="L126" s="2602"/>
      <c r="M126" s="2604"/>
      <c r="N126" s="2593"/>
      <c r="O126" s="2589"/>
      <c r="P126" s="2590"/>
      <c r="Q126" s="2591"/>
      <c r="R126" s="2600"/>
      <c r="S126" s="2592"/>
      <c r="T126" s="2593"/>
      <c r="U126" s="2594"/>
      <c r="V126" s="2595"/>
      <c r="W126" s="2596"/>
      <c r="X126" s="2597"/>
      <c r="Y126" s="2596"/>
      <c r="Z126" s="2598"/>
      <c r="AA126" s="2598"/>
      <c r="AB126" s="2598"/>
      <c r="AC126" s="406"/>
      <c r="AD126" s="685"/>
      <c r="AE126" s="410"/>
      <c r="AF126" s="809"/>
      <c r="AG126" s="1076"/>
      <c r="AH126" s="2404"/>
      <c r="AI126" s="2404"/>
      <c r="AJ126" s="2607"/>
      <c r="AK126" s="927"/>
      <c r="AL126" s="1076"/>
      <c r="AM126" s="927"/>
      <c r="AN126" s="685"/>
      <c r="AO126" s="517"/>
      <c r="AP126" s="413"/>
      <c r="AQ126" s="414"/>
      <c r="AR126" s="812"/>
      <c r="AS126" s="812"/>
      <c r="AT126" s="410"/>
      <c r="AU126" s="982"/>
      <c r="AV126" s="976"/>
      <c r="AW126" s="820"/>
      <c r="AX126" s="810"/>
      <c r="AY126" s="983"/>
      <c r="AZ126" s="983"/>
      <c r="BA126" s="819"/>
      <c r="BB126" s="820"/>
      <c r="BC126" s="811"/>
      <c r="BD126" s="410"/>
      <c r="BE126" s="410"/>
      <c r="BF126" s="410"/>
      <c r="BG126" s="410"/>
      <c r="BH126" s="974"/>
      <c r="BI126" s="974"/>
      <c r="BJ126" s="410"/>
      <c r="BK126" s="2073"/>
      <c r="BL126" s="410"/>
      <c r="BM126" s="410"/>
      <c r="BN126" s="410"/>
      <c r="BO126" s="685"/>
      <c r="BP126" s="399"/>
      <c r="BR126" s="405"/>
      <c r="BS126" s="405"/>
      <c r="BT126" s="405"/>
      <c r="BU126" s="405"/>
      <c r="BV126" s="405"/>
      <c r="BW126" s="405"/>
      <c r="BX126" s="405"/>
      <c r="BY126" s="405"/>
      <c r="BZ126" s="405"/>
      <c r="CA126" s="405"/>
      <c r="CB126" s="405"/>
      <c r="CC126" s="405"/>
      <c r="CD126" s="405"/>
      <c r="CE126" s="405"/>
      <c r="CF126" s="404"/>
    </row>
    <row r="127" spans="1:84" ht="13.5" customHeight="1">
      <c r="A127" s="1483"/>
      <c r="B127" s="1483"/>
      <c r="C127" s="985"/>
      <c r="D127" s="2084"/>
      <c r="E127" s="1080"/>
      <c r="F127" s="2082"/>
      <c r="G127" s="912"/>
      <c r="H127" s="912"/>
      <c r="I127" s="2601"/>
      <c r="J127" s="2601"/>
      <c r="K127" s="2602"/>
      <c r="L127" s="2603"/>
      <c r="M127" s="2604"/>
      <c r="N127" s="2593"/>
      <c r="O127" s="2589"/>
      <c r="P127" s="2590"/>
      <c r="Q127" s="2591"/>
      <c r="R127" s="2600"/>
      <c r="S127" s="2592"/>
      <c r="T127" s="2593"/>
      <c r="U127" s="2594"/>
      <c r="V127" s="2595"/>
      <c r="W127" s="2596"/>
      <c r="X127" s="2597"/>
      <c r="Y127" s="2596"/>
      <c r="Z127" s="2598"/>
      <c r="AA127" s="2598"/>
      <c r="AB127" s="2598"/>
      <c r="AC127" s="1076"/>
      <c r="AD127" s="1076"/>
      <c r="AE127" s="410"/>
      <c r="AF127" s="809"/>
      <c r="AG127" s="1076"/>
      <c r="AH127" s="2404"/>
      <c r="AI127" s="2404"/>
      <c r="AJ127" s="2607"/>
      <c r="AK127" s="927"/>
      <c r="AL127" s="1076"/>
      <c r="AM127" s="927"/>
      <c r="AN127" s="685"/>
      <c r="AO127" s="517"/>
      <c r="AP127" s="413"/>
      <c r="AQ127" s="414"/>
      <c r="AR127" s="812"/>
      <c r="AS127" s="812"/>
      <c r="AT127" s="410"/>
      <c r="AU127" s="982"/>
      <c r="AV127" s="976"/>
      <c r="AW127" s="820"/>
      <c r="AX127" s="810"/>
      <c r="AY127" s="983"/>
      <c r="AZ127" s="983"/>
      <c r="BA127" s="819"/>
      <c r="BB127" s="820"/>
      <c r="BC127" s="811"/>
      <c r="BD127" s="410"/>
      <c r="BE127" s="410"/>
      <c r="BF127" s="410"/>
      <c r="BG127" s="410"/>
      <c r="BH127" s="974"/>
      <c r="BI127" s="974"/>
      <c r="BJ127" s="410"/>
      <c r="BK127" s="2073"/>
      <c r="BL127" s="410"/>
      <c r="BM127" s="410"/>
      <c r="BN127" s="410"/>
      <c r="BO127" s="685"/>
      <c r="BP127" s="399"/>
      <c r="BR127" s="405"/>
      <c r="BS127" s="405"/>
      <c r="BT127" s="405"/>
      <c r="BU127" s="405"/>
      <c r="BV127" s="405"/>
      <c r="BW127" s="405"/>
      <c r="BX127" s="405"/>
      <c r="BY127" s="405"/>
      <c r="BZ127" s="405"/>
      <c r="CA127" s="405"/>
      <c r="CB127" s="405"/>
      <c r="CC127" s="405"/>
      <c r="CD127" s="405"/>
      <c r="CE127" s="405"/>
      <c r="CF127" s="404"/>
    </row>
    <row r="128" spans="1:84" ht="13.5" customHeight="1">
      <c r="A128" s="1483"/>
      <c r="B128" s="1483"/>
      <c r="C128" s="985"/>
      <c r="D128" s="2084"/>
      <c r="E128" s="1080"/>
      <c r="F128" s="2082"/>
      <c r="G128" s="912"/>
      <c r="H128" s="912"/>
      <c r="I128" s="2601"/>
      <c r="J128" s="2601"/>
      <c r="K128" s="2602"/>
      <c r="L128" s="2602"/>
      <c r="M128" s="2604"/>
      <c r="N128" s="2593"/>
      <c r="O128" s="2589"/>
      <c r="P128" s="2590"/>
      <c r="Q128" s="2591"/>
      <c r="R128" s="2600"/>
      <c r="S128" s="2592"/>
      <c r="T128" s="2593"/>
      <c r="U128" s="2594"/>
      <c r="V128" s="2595"/>
      <c r="W128" s="2596"/>
      <c r="X128" s="2597"/>
      <c r="Y128" s="2596"/>
      <c r="Z128" s="2598"/>
      <c r="AA128" s="2598"/>
      <c r="AB128" s="2598"/>
      <c r="AC128" s="1076"/>
      <c r="AD128" s="1076"/>
      <c r="AE128" s="410"/>
      <c r="AF128" s="809"/>
      <c r="AG128" s="1076"/>
      <c r="AH128" s="2404"/>
      <c r="AI128" s="2404"/>
      <c r="AJ128" s="2607"/>
      <c r="AK128" s="927"/>
      <c r="AL128" s="1076"/>
      <c r="AM128" s="927"/>
      <c r="AN128" s="685"/>
      <c r="AO128" s="517"/>
      <c r="AP128" s="413"/>
      <c r="AQ128" s="414"/>
      <c r="AR128" s="812"/>
      <c r="AS128" s="812"/>
      <c r="AT128" s="410"/>
      <c r="AU128" s="982"/>
      <c r="AV128" s="976"/>
      <c r="AW128" s="820"/>
      <c r="AX128" s="810"/>
      <c r="AY128" s="983"/>
      <c r="AZ128" s="983"/>
      <c r="BA128" s="819"/>
      <c r="BB128" s="820"/>
      <c r="BC128" s="811"/>
      <c r="BD128" s="410"/>
      <c r="BE128" s="410"/>
      <c r="BF128" s="410"/>
      <c r="BG128" s="410"/>
      <c r="BH128" s="974"/>
      <c r="BI128" s="974"/>
      <c r="BJ128" s="410"/>
      <c r="BK128" s="2073"/>
      <c r="BL128" s="410"/>
      <c r="BM128" s="410"/>
      <c r="BN128" s="410"/>
      <c r="BO128" s="685"/>
      <c r="BP128" s="399"/>
      <c r="BR128" s="405"/>
      <c r="BS128" s="405"/>
      <c r="BT128" s="405"/>
      <c r="BU128" s="405"/>
      <c r="BV128" s="405"/>
      <c r="BW128" s="405"/>
      <c r="BX128" s="405"/>
      <c r="BY128" s="405"/>
      <c r="BZ128" s="405"/>
      <c r="CA128" s="405"/>
      <c r="CB128" s="405"/>
      <c r="CC128" s="405"/>
      <c r="CD128" s="405"/>
      <c r="CE128" s="405"/>
      <c r="CF128" s="404"/>
    </row>
    <row r="129" spans="1:84" ht="13.5" customHeight="1">
      <c r="A129" s="1483"/>
      <c r="B129" s="1483"/>
      <c r="C129" s="985"/>
      <c r="D129" s="2084"/>
      <c r="E129" s="1080"/>
      <c r="F129" s="2082"/>
      <c r="G129" s="912"/>
      <c r="H129" s="912"/>
      <c r="I129" s="2601"/>
      <c r="J129" s="2601"/>
      <c r="K129" s="2602"/>
      <c r="L129" s="2603"/>
      <c r="M129" s="2604"/>
      <c r="N129" s="2593"/>
      <c r="O129" s="2589"/>
      <c r="P129" s="2590"/>
      <c r="Q129" s="2591"/>
      <c r="R129" s="2600"/>
      <c r="S129" s="2592"/>
      <c r="T129" s="2593"/>
      <c r="U129" s="2594"/>
      <c r="V129" s="2595"/>
      <c r="W129" s="2596"/>
      <c r="X129" s="2597"/>
      <c r="Y129" s="2596"/>
      <c r="Z129" s="2598"/>
      <c r="AA129" s="2598"/>
      <c r="AB129" s="2598"/>
      <c r="AC129" s="1076"/>
      <c r="AD129" s="1076"/>
      <c r="AE129" s="410"/>
      <c r="AF129" s="809"/>
      <c r="AG129" s="1076"/>
      <c r="AH129" s="2404"/>
      <c r="AI129" s="2404"/>
      <c r="AJ129" s="2607"/>
      <c r="AK129" s="927"/>
      <c r="AL129" s="1076"/>
      <c r="AM129" s="927"/>
      <c r="AN129" s="685"/>
      <c r="AO129" s="517"/>
      <c r="AP129" s="413"/>
      <c r="AQ129" s="414"/>
      <c r="AR129" s="812"/>
      <c r="AS129" s="812"/>
      <c r="AT129" s="410"/>
      <c r="AU129" s="982"/>
      <c r="AV129" s="976"/>
      <c r="AW129" s="820"/>
      <c r="AX129" s="810"/>
      <c r="AY129" s="983"/>
      <c r="AZ129" s="983"/>
      <c r="BA129" s="819"/>
      <c r="BB129" s="820"/>
      <c r="BC129" s="811"/>
      <c r="BD129" s="410"/>
      <c r="BE129" s="410"/>
      <c r="BF129" s="410"/>
      <c r="BG129" s="410"/>
      <c r="BH129" s="974"/>
      <c r="BI129" s="974"/>
      <c r="BJ129" s="410"/>
      <c r="BK129" s="2073"/>
      <c r="BL129" s="410"/>
      <c r="BM129" s="410"/>
      <c r="BN129" s="410"/>
      <c r="BO129" s="685"/>
      <c r="BP129" s="399"/>
      <c r="BR129" s="405"/>
      <c r="BS129" s="405"/>
      <c r="BT129" s="405"/>
      <c r="BU129" s="405"/>
      <c r="BV129" s="405"/>
      <c r="BW129" s="405"/>
      <c r="BX129" s="405"/>
      <c r="BY129" s="405"/>
      <c r="BZ129" s="405"/>
      <c r="CA129" s="405"/>
      <c r="CB129" s="405"/>
      <c r="CC129" s="405"/>
      <c r="CD129" s="405"/>
      <c r="CE129" s="405"/>
      <c r="CF129" s="404"/>
    </row>
    <row r="130" spans="1:84" ht="13.5" customHeight="1">
      <c r="A130" s="1483"/>
      <c r="B130" s="1483"/>
      <c r="C130" s="985"/>
      <c r="D130" s="2084"/>
      <c r="E130" s="1080"/>
      <c r="F130" s="2082"/>
      <c r="G130" s="912"/>
      <c r="H130" s="912"/>
      <c r="I130" s="2601"/>
      <c r="J130" s="2601"/>
      <c r="K130" s="2602"/>
      <c r="L130" s="2602"/>
      <c r="M130" s="2604"/>
      <c r="N130" s="2593"/>
      <c r="O130" s="2589"/>
      <c r="P130" s="2590"/>
      <c r="Q130" s="2591"/>
      <c r="R130" s="2600"/>
      <c r="S130" s="2592"/>
      <c r="T130" s="2593"/>
      <c r="U130" s="2594"/>
      <c r="V130" s="2595"/>
      <c r="W130" s="2596"/>
      <c r="X130" s="2597"/>
      <c r="Y130" s="2596"/>
      <c r="Z130" s="2598"/>
      <c r="AA130" s="2598"/>
      <c r="AB130" s="2598"/>
      <c r="AC130" s="1076"/>
      <c r="AD130" s="1076"/>
      <c r="AE130" s="410"/>
      <c r="AF130" s="809"/>
      <c r="AG130" s="1076"/>
      <c r="AH130" s="2404"/>
      <c r="AI130" s="2404"/>
      <c r="AJ130" s="2607"/>
      <c r="AK130" s="927"/>
      <c r="AL130" s="1076"/>
      <c r="AM130" s="927"/>
      <c r="AN130" s="685"/>
      <c r="AO130" s="517"/>
      <c r="AP130" s="413"/>
      <c r="AQ130" s="414"/>
      <c r="AR130" s="812"/>
      <c r="AS130" s="812"/>
      <c r="AT130" s="410"/>
      <c r="AU130" s="982"/>
      <c r="AV130" s="976"/>
      <c r="AW130" s="820"/>
      <c r="AX130" s="810"/>
      <c r="AY130" s="983"/>
      <c r="AZ130" s="983"/>
      <c r="BA130" s="819"/>
      <c r="BB130" s="820"/>
      <c r="BC130" s="811"/>
      <c r="BD130" s="410"/>
      <c r="BE130" s="410"/>
      <c r="BF130" s="410"/>
      <c r="BG130" s="410"/>
      <c r="BH130" s="974"/>
      <c r="BI130" s="974"/>
      <c r="BJ130" s="410"/>
      <c r="BK130" s="2073"/>
      <c r="BL130" s="410"/>
      <c r="BM130" s="410"/>
      <c r="BN130" s="410"/>
      <c r="BO130" s="685"/>
      <c r="BP130" s="399"/>
      <c r="BR130" s="405"/>
      <c r="BS130" s="405"/>
      <c r="BT130" s="405"/>
      <c r="BU130" s="405"/>
      <c r="BV130" s="405"/>
      <c r="BW130" s="405"/>
      <c r="BX130" s="405"/>
      <c r="BY130" s="405"/>
      <c r="BZ130" s="405"/>
      <c r="CA130" s="405"/>
      <c r="CB130" s="405"/>
      <c r="CC130" s="405"/>
      <c r="CD130" s="405"/>
      <c r="CE130" s="405"/>
      <c r="CF130" s="404"/>
    </row>
    <row r="131" spans="1:84" ht="13.5" customHeight="1">
      <c r="A131" s="1483"/>
      <c r="B131" s="1483"/>
      <c r="C131" s="985"/>
      <c r="D131" s="2084"/>
      <c r="E131" s="1080"/>
      <c r="F131" s="2082"/>
      <c r="G131" s="912"/>
      <c r="H131" s="912"/>
      <c r="I131" s="2601"/>
      <c r="J131" s="2601"/>
      <c r="K131" s="2602"/>
      <c r="L131" s="2602"/>
      <c r="M131" s="2604"/>
      <c r="N131" s="2593"/>
      <c r="O131" s="2589"/>
      <c r="P131" s="2590"/>
      <c r="Q131" s="2591"/>
      <c r="R131" s="2600"/>
      <c r="S131" s="2592"/>
      <c r="T131" s="2593"/>
      <c r="U131" s="2594"/>
      <c r="V131" s="2595"/>
      <c r="W131" s="2596"/>
      <c r="X131" s="2597"/>
      <c r="Y131" s="2596"/>
      <c r="Z131" s="2598"/>
      <c r="AA131" s="2598"/>
      <c r="AB131" s="2598"/>
      <c r="AC131" s="1076"/>
      <c r="AD131" s="1076"/>
      <c r="AE131" s="410"/>
      <c r="AF131" s="809"/>
      <c r="AG131" s="1076"/>
      <c r="AH131" s="2404"/>
      <c r="AI131" s="2404"/>
      <c r="AJ131" s="2607"/>
      <c r="AK131" s="927"/>
      <c r="AL131" s="1076"/>
      <c r="AM131" s="927"/>
      <c r="AN131" s="685"/>
      <c r="AO131" s="517"/>
      <c r="AP131" s="413"/>
      <c r="AQ131" s="414"/>
      <c r="AR131" s="812"/>
      <c r="AS131" s="812"/>
      <c r="AT131" s="410"/>
      <c r="AU131" s="982"/>
      <c r="AV131" s="976"/>
      <c r="AW131" s="820"/>
      <c r="AX131" s="810"/>
      <c r="AY131" s="983"/>
      <c r="AZ131" s="983"/>
      <c r="BA131" s="819"/>
      <c r="BB131" s="820"/>
      <c r="BC131" s="811"/>
      <c r="BD131" s="410"/>
      <c r="BE131" s="410"/>
      <c r="BF131" s="410"/>
      <c r="BG131" s="410"/>
      <c r="BH131" s="974"/>
      <c r="BI131" s="974"/>
      <c r="BJ131" s="410"/>
      <c r="BK131" s="2073"/>
      <c r="BL131" s="410"/>
      <c r="BM131" s="410"/>
      <c r="BN131" s="410"/>
      <c r="BO131" s="685"/>
      <c r="BP131" s="399"/>
      <c r="BR131" s="405"/>
      <c r="BS131" s="405"/>
      <c r="BT131" s="405"/>
      <c r="BU131" s="405"/>
      <c r="BV131" s="405"/>
      <c r="BW131" s="405"/>
      <c r="BX131" s="405"/>
      <c r="BY131" s="405"/>
      <c r="BZ131" s="405"/>
      <c r="CA131" s="405"/>
      <c r="CB131" s="405"/>
      <c r="CC131" s="405"/>
      <c r="CD131" s="405"/>
      <c r="CE131" s="405"/>
      <c r="CF131" s="404"/>
    </row>
    <row r="132" spans="1:84" s="407" customFormat="1" ht="13.5" customHeight="1">
      <c r="A132" s="1483"/>
      <c r="B132" s="1483"/>
      <c r="C132" s="985"/>
      <c r="D132" s="2084"/>
      <c r="E132" s="1080"/>
      <c r="F132" s="2082"/>
      <c r="G132" s="912"/>
      <c r="H132" s="912"/>
      <c r="I132" s="2601"/>
      <c r="J132" s="2601"/>
      <c r="K132" s="2602"/>
      <c r="L132" s="2603"/>
      <c r="M132" s="2604"/>
      <c r="N132" s="2593"/>
      <c r="O132" s="2589"/>
      <c r="P132" s="2590"/>
      <c r="Q132" s="2591"/>
      <c r="R132" s="2600"/>
      <c r="S132" s="2592"/>
      <c r="T132" s="2593"/>
      <c r="U132" s="2594"/>
      <c r="V132" s="2595"/>
      <c r="W132" s="2596"/>
      <c r="X132" s="2597"/>
      <c r="Y132" s="2596"/>
      <c r="Z132" s="2598"/>
      <c r="AA132" s="2598"/>
      <c r="AB132" s="2598"/>
      <c r="AC132" s="1076"/>
      <c r="AD132" s="1076"/>
      <c r="AE132" s="410"/>
      <c r="AF132" s="809"/>
      <c r="AG132" s="1076"/>
      <c r="AH132" s="2404"/>
      <c r="AI132" s="2404"/>
      <c r="AJ132" s="2607"/>
      <c r="AK132" s="927"/>
      <c r="AL132" s="1076"/>
      <c r="AM132" s="927"/>
      <c r="AN132" s="685"/>
      <c r="AO132" s="517"/>
      <c r="AP132" s="413"/>
      <c r="AQ132" s="414"/>
      <c r="AR132" s="812"/>
      <c r="AS132" s="812"/>
      <c r="AT132" s="410"/>
      <c r="AU132" s="982"/>
      <c r="AV132" s="976"/>
      <c r="AW132" s="820"/>
      <c r="AX132" s="810"/>
      <c r="AY132" s="983"/>
      <c r="AZ132" s="983"/>
      <c r="BA132" s="819"/>
      <c r="BB132" s="820"/>
      <c r="BC132" s="811"/>
      <c r="BD132" s="410"/>
      <c r="BE132" s="410"/>
      <c r="BF132" s="410"/>
      <c r="BG132" s="410"/>
      <c r="BH132" s="974"/>
      <c r="BI132" s="974"/>
      <c r="BJ132" s="410"/>
      <c r="BK132" s="2073"/>
      <c r="BL132" s="410"/>
      <c r="BM132" s="410"/>
      <c r="BN132" s="410"/>
      <c r="BO132" s="685"/>
      <c r="BP132" s="399"/>
      <c r="BR132" s="405"/>
      <c r="BS132" s="405"/>
      <c r="BT132" s="405"/>
      <c r="BU132" s="405"/>
      <c r="BV132" s="405"/>
      <c r="BW132" s="405"/>
      <c r="BX132" s="405"/>
      <c r="BY132" s="405"/>
      <c r="BZ132" s="405"/>
      <c r="CA132" s="405"/>
      <c r="CB132" s="405"/>
      <c r="CC132" s="405"/>
      <c r="CD132" s="405"/>
      <c r="CE132" s="405"/>
      <c r="CF132" s="405"/>
    </row>
    <row r="133" spans="1:84" ht="13.5" customHeight="1">
      <c r="A133" s="1483"/>
      <c r="B133" s="1483"/>
      <c r="C133" s="985"/>
      <c r="D133" s="2084"/>
      <c r="E133" s="1080"/>
      <c r="F133" s="2082"/>
      <c r="G133" s="912"/>
      <c r="H133" s="912"/>
      <c r="I133" s="2601"/>
      <c r="J133" s="2601"/>
      <c r="K133" s="2602"/>
      <c r="L133" s="2602"/>
      <c r="M133" s="2604"/>
      <c r="N133" s="2593"/>
      <c r="O133" s="2589"/>
      <c r="P133" s="2590"/>
      <c r="Q133" s="2591"/>
      <c r="R133" s="2600"/>
      <c r="S133" s="2592"/>
      <c r="T133" s="2593"/>
      <c r="U133" s="2594"/>
      <c r="V133" s="2595"/>
      <c r="W133" s="2596"/>
      <c r="X133" s="2597"/>
      <c r="Y133" s="2596"/>
      <c r="Z133" s="2598"/>
      <c r="AA133" s="2598"/>
      <c r="AB133" s="2598"/>
      <c r="AC133" s="1076"/>
      <c r="AD133" s="1076"/>
      <c r="AE133" s="410"/>
      <c r="AF133" s="809"/>
      <c r="AG133" s="1076"/>
      <c r="AH133" s="2404"/>
      <c r="AI133" s="2404"/>
      <c r="AJ133" s="2607"/>
      <c r="AK133" s="927"/>
      <c r="AL133" s="1076"/>
      <c r="AM133" s="927"/>
      <c r="AN133" s="685"/>
      <c r="AO133" s="517"/>
      <c r="AP133" s="413"/>
      <c r="AQ133" s="414"/>
      <c r="AR133" s="812"/>
      <c r="AS133" s="812"/>
      <c r="AT133" s="410"/>
      <c r="AU133" s="982"/>
      <c r="AV133" s="976"/>
      <c r="AW133" s="820"/>
      <c r="AX133" s="810"/>
      <c r="AY133" s="983"/>
      <c r="AZ133" s="983"/>
      <c r="BA133" s="819"/>
      <c r="BB133" s="820"/>
      <c r="BC133" s="811"/>
      <c r="BD133" s="410"/>
      <c r="BE133" s="410"/>
      <c r="BF133" s="410"/>
      <c r="BG133" s="410"/>
      <c r="BH133" s="974"/>
      <c r="BI133" s="974"/>
      <c r="BJ133" s="410"/>
      <c r="BK133" s="2073"/>
      <c r="BL133" s="410"/>
      <c r="BM133" s="410"/>
      <c r="BN133" s="410"/>
      <c r="BO133" s="685"/>
      <c r="BP133" s="399"/>
      <c r="BR133" s="405"/>
      <c r="BS133" s="405"/>
      <c r="BT133" s="405"/>
      <c r="BU133" s="405"/>
      <c r="BV133" s="405"/>
      <c r="BW133" s="405"/>
      <c r="BX133" s="405"/>
      <c r="BY133" s="405"/>
      <c r="BZ133" s="405"/>
      <c r="CA133" s="405"/>
      <c r="CB133" s="405"/>
      <c r="CC133" s="405"/>
      <c r="CD133" s="405"/>
      <c r="CE133" s="405"/>
      <c r="CF133" s="404"/>
    </row>
    <row r="134" spans="1:84" ht="13.5" customHeight="1">
      <c r="A134" s="1483"/>
      <c r="B134" s="1483"/>
      <c r="C134" s="985"/>
      <c r="D134" s="2084"/>
      <c r="E134" s="1080"/>
      <c r="F134" s="2082"/>
      <c r="G134" s="912"/>
      <c r="H134" s="912"/>
      <c r="I134" s="2601"/>
      <c r="J134" s="2601"/>
      <c r="K134" s="2602"/>
      <c r="L134" s="2602"/>
      <c r="M134" s="2604"/>
      <c r="N134" s="2593"/>
      <c r="O134" s="2589"/>
      <c r="P134" s="2590"/>
      <c r="Q134" s="2591"/>
      <c r="R134" s="2600"/>
      <c r="S134" s="2592"/>
      <c r="T134" s="2593"/>
      <c r="U134" s="2594"/>
      <c r="V134" s="2595"/>
      <c r="W134" s="2596"/>
      <c r="X134" s="2597"/>
      <c r="Y134" s="2596"/>
      <c r="Z134" s="2598"/>
      <c r="AA134" s="2598"/>
      <c r="AB134" s="2598"/>
      <c r="AC134" s="1076"/>
      <c r="AD134" s="1076"/>
      <c r="AE134" s="410"/>
      <c r="AF134" s="809"/>
      <c r="AG134" s="1076"/>
      <c r="AH134" s="2404"/>
      <c r="AI134" s="2404"/>
      <c r="AJ134" s="2607"/>
      <c r="AK134" s="927"/>
      <c r="AL134" s="1076"/>
      <c r="AM134" s="927"/>
      <c r="AN134" s="685"/>
      <c r="AO134" s="517"/>
      <c r="AP134" s="413"/>
      <c r="AQ134" s="414"/>
      <c r="AR134" s="812"/>
      <c r="AS134" s="812"/>
      <c r="AT134" s="410"/>
      <c r="AU134" s="982"/>
      <c r="AV134" s="976"/>
      <c r="AW134" s="820"/>
      <c r="AX134" s="810"/>
      <c r="AY134" s="983"/>
      <c r="AZ134" s="983"/>
      <c r="BA134" s="819"/>
      <c r="BB134" s="820"/>
      <c r="BC134" s="811"/>
      <c r="BD134" s="410"/>
      <c r="BE134" s="410"/>
      <c r="BF134" s="410"/>
      <c r="BG134" s="410"/>
      <c r="BH134" s="974"/>
      <c r="BI134" s="974"/>
      <c r="BJ134" s="410"/>
      <c r="BK134" s="2073"/>
      <c r="BL134" s="410"/>
      <c r="BM134" s="410"/>
      <c r="BN134" s="410"/>
      <c r="BO134" s="685"/>
      <c r="BP134" s="399"/>
      <c r="BR134" s="405"/>
      <c r="BS134" s="405"/>
      <c r="BT134" s="405"/>
      <c r="BU134" s="405"/>
      <c r="BV134" s="405"/>
      <c r="BW134" s="405"/>
      <c r="BX134" s="405"/>
      <c r="BY134" s="405"/>
      <c r="BZ134" s="405"/>
      <c r="CA134" s="405"/>
      <c r="CB134" s="405"/>
      <c r="CC134" s="405"/>
      <c r="CD134" s="405"/>
      <c r="CE134" s="405"/>
      <c r="CF134" s="404"/>
    </row>
    <row r="135" spans="1:84" ht="13.5" customHeight="1">
      <c r="A135" s="1483"/>
      <c r="B135" s="1483"/>
      <c r="C135" s="985"/>
      <c r="D135" s="2084"/>
      <c r="E135" s="1080"/>
      <c r="F135" s="2082"/>
      <c r="G135" s="912"/>
      <c r="H135" s="912"/>
      <c r="I135" s="2601"/>
      <c r="J135" s="2601"/>
      <c r="K135" s="2602"/>
      <c r="L135" s="2603"/>
      <c r="M135" s="2604"/>
      <c r="N135" s="2593"/>
      <c r="O135" s="2589"/>
      <c r="P135" s="2590"/>
      <c r="Q135" s="2591"/>
      <c r="R135" s="2600"/>
      <c r="S135" s="2592"/>
      <c r="T135" s="2593"/>
      <c r="U135" s="2594"/>
      <c r="V135" s="2595"/>
      <c r="W135" s="2596"/>
      <c r="X135" s="2597"/>
      <c r="Y135" s="2596"/>
      <c r="Z135" s="2598"/>
      <c r="AA135" s="2598"/>
      <c r="AB135" s="2598"/>
      <c r="AC135" s="1076"/>
      <c r="AD135" s="1076"/>
      <c r="AE135" s="410"/>
      <c r="AF135" s="809"/>
      <c r="AG135" s="1076"/>
      <c r="AH135" s="2404"/>
      <c r="AI135" s="2404"/>
      <c r="AJ135" s="2607"/>
      <c r="AK135" s="927"/>
      <c r="AL135" s="1076"/>
      <c r="AM135" s="927"/>
      <c r="AN135" s="685"/>
      <c r="AO135" s="517"/>
      <c r="AP135" s="413"/>
      <c r="AQ135" s="414"/>
      <c r="AR135" s="812"/>
      <c r="AS135" s="812"/>
      <c r="AT135" s="410"/>
      <c r="AU135" s="982"/>
      <c r="AV135" s="976"/>
      <c r="AW135" s="820"/>
      <c r="AX135" s="810"/>
      <c r="AY135" s="983"/>
      <c r="AZ135" s="983"/>
      <c r="BA135" s="819"/>
      <c r="BB135" s="820"/>
      <c r="BC135" s="811"/>
      <c r="BD135" s="410"/>
      <c r="BE135" s="410"/>
      <c r="BF135" s="410"/>
      <c r="BG135" s="410"/>
      <c r="BH135" s="974"/>
      <c r="BI135" s="974"/>
      <c r="BJ135" s="410"/>
      <c r="BK135" s="2073"/>
      <c r="BL135" s="410"/>
      <c r="BM135" s="410"/>
      <c r="BN135" s="410"/>
      <c r="BO135" s="685"/>
      <c r="BP135" s="399"/>
      <c r="BR135" s="405"/>
      <c r="BS135" s="405"/>
      <c r="BT135" s="405"/>
      <c r="BU135" s="405"/>
      <c r="BV135" s="405"/>
      <c r="BW135" s="405"/>
      <c r="BX135" s="405"/>
      <c r="BY135" s="405"/>
      <c r="BZ135" s="405"/>
      <c r="CA135" s="405"/>
      <c r="CB135" s="405"/>
      <c r="CC135" s="405"/>
      <c r="CD135" s="405"/>
      <c r="CE135" s="405"/>
      <c r="CF135" s="404"/>
    </row>
    <row r="136" spans="1:84" ht="13.5" customHeight="1">
      <c r="A136" s="1483"/>
      <c r="B136" s="1483"/>
      <c r="C136" s="985"/>
      <c r="D136" s="2084"/>
      <c r="E136" s="1080"/>
      <c r="F136" s="2082"/>
      <c r="G136" s="912"/>
      <c r="H136" s="912"/>
      <c r="I136" s="2601"/>
      <c r="J136" s="2601"/>
      <c r="K136" s="2602"/>
      <c r="L136" s="2602"/>
      <c r="M136" s="2604"/>
      <c r="N136" s="2593"/>
      <c r="O136" s="2589"/>
      <c r="P136" s="2590"/>
      <c r="Q136" s="2591"/>
      <c r="R136" s="2600"/>
      <c r="S136" s="2592"/>
      <c r="T136" s="2593"/>
      <c r="U136" s="2594"/>
      <c r="V136" s="2595"/>
      <c r="W136" s="2596"/>
      <c r="X136" s="2597"/>
      <c r="Y136" s="2596"/>
      <c r="Z136" s="2598"/>
      <c r="AA136" s="2598"/>
      <c r="AB136" s="2598"/>
      <c r="AC136" s="1076"/>
      <c r="AD136" s="1076"/>
      <c r="AE136" s="410"/>
      <c r="AF136" s="809"/>
      <c r="AG136" s="1076"/>
      <c r="AH136" s="2404"/>
      <c r="AI136" s="2404"/>
      <c r="AJ136" s="2607"/>
      <c r="AK136" s="927"/>
      <c r="AL136" s="1076"/>
      <c r="AM136" s="927"/>
      <c r="AN136" s="685"/>
      <c r="AO136" s="517"/>
      <c r="AP136" s="413"/>
      <c r="AQ136" s="414"/>
      <c r="AR136" s="812"/>
      <c r="AS136" s="812"/>
      <c r="AT136" s="410"/>
      <c r="AU136" s="982"/>
      <c r="AV136" s="976"/>
      <c r="AW136" s="820"/>
      <c r="AX136" s="810"/>
      <c r="AY136" s="983"/>
      <c r="AZ136" s="983"/>
      <c r="BA136" s="819"/>
      <c r="BB136" s="820"/>
      <c r="BC136" s="811"/>
      <c r="BD136" s="410"/>
      <c r="BE136" s="410"/>
      <c r="BF136" s="410"/>
      <c r="BG136" s="410"/>
      <c r="BH136" s="974"/>
      <c r="BI136" s="974"/>
      <c r="BJ136" s="410"/>
      <c r="BK136" s="2073"/>
      <c r="BL136" s="410"/>
      <c r="BM136" s="410"/>
      <c r="BN136" s="410"/>
      <c r="BO136" s="685"/>
      <c r="BP136" s="399"/>
      <c r="BR136" s="405"/>
      <c r="BS136" s="405"/>
      <c r="BT136" s="405"/>
      <c r="BU136" s="405"/>
      <c r="BV136" s="405"/>
      <c r="BW136" s="405"/>
      <c r="BX136" s="405"/>
      <c r="BY136" s="405"/>
      <c r="BZ136" s="405"/>
      <c r="CA136" s="405"/>
      <c r="CB136" s="405"/>
      <c r="CC136" s="405"/>
      <c r="CD136" s="405"/>
      <c r="CE136" s="405"/>
      <c r="CF136" s="404"/>
    </row>
    <row r="137" spans="1:84" ht="13.5" customHeight="1">
      <c r="A137" s="1483"/>
      <c r="B137" s="1483"/>
      <c r="C137" s="985"/>
      <c r="D137" s="2084"/>
      <c r="E137" s="1080"/>
      <c r="F137" s="2082"/>
      <c r="G137" s="912"/>
      <c r="H137" s="912"/>
      <c r="I137" s="2601"/>
      <c r="J137" s="2601"/>
      <c r="K137" s="2602"/>
      <c r="L137" s="2602"/>
      <c r="M137" s="2604"/>
      <c r="N137" s="2593"/>
      <c r="O137" s="2589"/>
      <c r="P137" s="2590"/>
      <c r="Q137" s="2591"/>
      <c r="R137" s="2600"/>
      <c r="S137" s="2592"/>
      <c r="T137" s="2593"/>
      <c r="U137" s="2594"/>
      <c r="V137" s="2595"/>
      <c r="W137" s="2596"/>
      <c r="X137" s="2597"/>
      <c r="Y137" s="2596"/>
      <c r="Z137" s="2598"/>
      <c r="AA137" s="2598"/>
      <c r="AB137" s="2598"/>
      <c r="AC137" s="1076"/>
      <c r="AD137" s="1076"/>
      <c r="AE137" s="410"/>
      <c r="AF137" s="809"/>
      <c r="AG137" s="1076"/>
      <c r="AH137" s="2404"/>
      <c r="AI137" s="2404"/>
      <c r="AJ137" s="2607"/>
      <c r="AK137" s="927"/>
      <c r="AL137" s="1076"/>
      <c r="AM137" s="927"/>
      <c r="AN137" s="685"/>
      <c r="AO137" s="517"/>
      <c r="AP137" s="413"/>
      <c r="AQ137" s="414"/>
      <c r="AR137" s="812"/>
      <c r="AS137" s="812"/>
      <c r="AT137" s="410"/>
      <c r="AU137" s="982"/>
      <c r="AV137" s="976"/>
      <c r="AW137" s="820"/>
      <c r="AX137" s="810"/>
      <c r="AY137" s="983"/>
      <c r="AZ137" s="983"/>
      <c r="BA137" s="819"/>
      <c r="BB137" s="820"/>
      <c r="BC137" s="811"/>
      <c r="BD137" s="410"/>
      <c r="BE137" s="410"/>
      <c r="BF137" s="410"/>
      <c r="BG137" s="410"/>
      <c r="BH137" s="974"/>
      <c r="BI137" s="974"/>
      <c r="BJ137" s="410"/>
      <c r="BK137" s="2073"/>
      <c r="BL137" s="410"/>
      <c r="BM137" s="410"/>
      <c r="BN137" s="410"/>
      <c r="BO137" s="685"/>
      <c r="BP137" s="399"/>
      <c r="BR137" s="405"/>
      <c r="BS137" s="405"/>
      <c r="BT137" s="405"/>
      <c r="BU137" s="405"/>
      <c r="BV137" s="405"/>
      <c r="BW137" s="405"/>
      <c r="BX137" s="405"/>
      <c r="BY137" s="405"/>
      <c r="BZ137" s="405"/>
      <c r="CA137" s="405"/>
      <c r="CB137" s="405"/>
      <c r="CC137" s="405"/>
      <c r="CD137" s="405"/>
      <c r="CE137" s="405"/>
      <c r="CF137" s="404"/>
    </row>
    <row r="138" spans="1:84" ht="13.5" customHeight="1">
      <c r="A138" s="1483"/>
      <c r="B138" s="1483"/>
      <c r="C138" s="2467"/>
      <c r="D138" s="2084"/>
      <c r="E138" s="1080"/>
      <c r="F138" s="2082"/>
      <c r="G138" s="912"/>
      <c r="H138" s="912"/>
      <c r="I138" s="2601"/>
      <c r="J138" s="2601"/>
      <c r="K138" s="2602"/>
      <c r="L138" s="2603"/>
      <c r="M138" s="2604"/>
      <c r="N138" s="2593"/>
      <c r="O138" s="2589"/>
      <c r="P138" s="2590"/>
      <c r="Q138" s="2591"/>
      <c r="R138" s="2600"/>
      <c r="S138" s="2592"/>
      <c r="T138" s="2593"/>
      <c r="U138" s="2594"/>
      <c r="V138" s="2595"/>
      <c r="W138" s="2596"/>
      <c r="X138" s="2597"/>
      <c r="Y138" s="2596"/>
      <c r="Z138" s="2598"/>
      <c r="AA138" s="2598"/>
      <c r="AB138" s="2598"/>
      <c r="AC138" s="1076"/>
      <c r="AD138" s="1076"/>
      <c r="AE138" s="410"/>
      <c r="AF138" s="809"/>
      <c r="AG138" s="1076"/>
      <c r="AH138" s="2404"/>
      <c r="AI138" s="2404"/>
      <c r="AJ138" s="2607"/>
      <c r="AK138" s="927"/>
      <c r="AL138" s="1076"/>
      <c r="AM138" s="927"/>
      <c r="AN138" s="685"/>
      <c r="AO138" s="517"/>
      <c r="AP138" s="413"/>
      <c r="AQ138" s="414"/>
      <c r="AR138" s="812"/>
      <c r="AS138" s="812"/>
      <c r="AT138" s="410"/>
      <c r="AU138" s="982"/>
      <c r="AV138" s="976"/>
      <c r="AW138" s="820"/>
      <c r="AX138" s="810"/>
      <c r="AY138" s="983"/>
      <c r="AZ138" s="983"/>
      <c r="BA138" s="819"/>
      <c r="BB138" s="820"/>
      <c r="BC138" s="811"/>
      <c r="BD138" s="410"/>
      <c r="BE138" s="410"/>
      <c r="BF138" s="410"/>
      <c r="BG138" s="410"/>
      <c r="BH138" s="974"/>
      <c r="BI138" s="974"/>
      <c r="BJ138" s="410"/>
      <c r="BK138" s="2073"/>
      <c r="BL138" s="410"/>
      <c r="BM138" s="410"/>
      <c r="BN138" s="410"/>
      <c r="BO138" s="685"/>
      <c r="BP138" s="399"/>
      <c r="BR138" s="405"/>
      <c r="BS138" s="405"/>
      <c r="BT138" s="405"/>
      <c r="BU138" s="405"/>
      <c r="BV138" s="405"/>
      <c r="BW138" s="405"/>
      <c r="BX138" s="405"/>
      <c r="BY138" s="405"/>
      <c r="BZ138" s="405"/>
      <c r="CA138" s="405"/>
      <c r="CB138" s="405"/>
      <c r="CC138" s="405"/>
      <c r="CD138" s="405"/>
      <c r="CE138" s="405"/>
      <c r="CF138" s="404"/>
    </row>
    <row r="139" spans="1:84" ht="13.5" customHeight="1">
      <c r="A139" s="1483"/>
      <c r="B139" s="1483"/>
      <c r="C139" s="2467"/>
      <c r="D139" s="2084"/>
      <c r="E139" s="1080"/>
      <c r="F139" s="2082"/>
      <c r="G139" s="912"/>
      <c r="H139" s="912"/>
      <c r="I139" s="2601"/>
      <c r="J139" s="2601"/>
      <c r="K139" s="2602"/>
      <c r="L139" s="2602"/>
      <c r="M139" s="2604"/>
      <c r="N139" s="2593"/>
      <c r="O139" s="2589"/>
      <c r="P139" s="2590"/>
      <c r="Q139" s="2591"/>
      <c r="R139" s="2600"/>
      <c r="S139" s="2592"/>
      <c r="T139" s="2593"/>
      <c r="U139" s="2594"/>
      <c r="V139" s="2595"/>
      <c r="W139" s="2596"/>
      <c r="X139" s="2597"/>
      <c r="Y139" s="2596"/>
      <c r="Z139" s="2598"/>
      <c r="AA139" s="2598"/>
      <c r="AB139" s="2598"/>
      <c r="AC139" s="1076"/>
      <c r="AD139" s="1076"/>
      <c r="AE139" s="410"/>
      <c r="AF139" s="809"/>
      <c r="AG139" s="1076"/>
      <c r="AH139" s="2404"/>
      <c r="AI139" s="2404"/>
      <c r="AJ139" s="2607"/>
      <c r="AK139" s="927"/>
      <c r="AL139" s="1076"/>
      <c r="AM139" s="927"/>
      <c r="AN139" s="685"/>
      <c r="AO139" s="517"/>
      <c r="AP139" s="413"/>
      <c r="AQ139" s="414"/>
      <c r="AR139" s="812"/>
      <c r="AS139" s="812"/>
      <c r="AT139" s="410"/>
      <c r="AU139" s="982"/>
      <c r="AV139" s="976"/>
      <c r="AW139" s="820"/>
      <c r="AX139" s="810"/>
      <c r="AY139" s="983"/>
      <c r="AZ139" s="983"/>
      <c r="BA139" s="819"/>
      <c r="BB139" s="820"/>
      <c r="BC139" s="811"/>
      <c r="BD139" s="410"/>
      <c r="BE139" s="410"/>
      <c r="BF139" s="410"/>
      <c r="BG139" s="410"/>
      <c r="BH139" s="974"/>
      <c r="BI139" s="974"/>
      <c r="BJ139" s="410"/>
      <c r="BK139" s="2073"/>
      <c r="BL139" s="410"/>
      <c r="BM139" s="410"/>
      <c r="BN139" s="410"/>
      <c r="BO139" s="685"/>
      <c r="BP139" s="399"/>
      <c r="BR139" s="405"/>
      <c r="BS139" s="405"/>
      <c r="BT139" s="405"/>
      <c r="BU139" s="405"/>
      <c r="BV139" s="405"/>
      <c r="BW139" s="405"/>
      <c r="BX139" s="405"/>
      <c r="BY139" s="405"/>
      <c r="BZ139" s="405"/>
      <c r="CA139" s="405"/>
      <c r="CB139" s="405"/>
      <c r="CC139" s="405"/>
      <c r="CD139" s="405"/>
      <c r="CE139" s="405"/>
      <c r="CF139" s="404"/>
    </row>
    <row r="140" spans="1:84" ht="13.5" customHeight="1">
      <c r="A140" s="1483"/>
      <c r="B140" s="1483"/>
      <c r="C140" s="2467"/>
      <c r="D140" s="2084"/>
      <c r="E140" s="1080"/>
      <c r="F140" s="2082"/>
      <c r="G140" s="912"/>
      <c r="H140" s="912"/>
      <c r="I140" s="2601"/>
      <c r="J140" s="2601"/>
      <c r="K140" s="2602"/>
      <c r="L140" s="2602"/>
      <c r="M140" s="2604"/>
      <c r="N140" s="2593"/>
      <c r="O140" s="2589"/>
      <c r="P140" s="2590"/>
      <c r="Q140" s="2591"/>
      <c r="R140" s="2600"/>
      <c r="S140" s="2592"/>
      <c r="T140" s="2593"/>
      <c r="U140" s="2594"/>
      <c r="V140" s="2595"/>
      <c r="W140" s="2596"/>
      <c r="X140" s="2597"/>
      <c r="Y140" s="2596"/>
      <c r="Z140" s="2598"/>
      <c r="AA140" s="2598"/>
      <c r="AB140" s="2598"/>
      <c r="AC140" s="1076"/>
      <c r="AD140" s="1076"/>
      <c r="AE140" s="410"/>
      <c r="AF140" s="809"/>
      <c r="AG140" s="1076"/>
      <c r="AH140" s="2404"/>
      <c r="AI140" s="2404"/>
      <c r="AJ140" s="2607"/>
      <c r="AK140" s="927"/>
      <c r="AL140" s="1076"/>
      <c r="AM140" s="927"/>
      <c r="AN140" s="685"/>
      <c r="AO140" s="517"/>
      <c r="AP140" s="413"/>
      <c r="AQ140" s="414"/>
      <c r="AR140" s="812"/>
      <c r="AS140" s="812"/>
      <c r="AT140" s="410"/>
      <c r="AU140" s="982"/>
      <c r="AV140" s="976"/>
      <c r="AW140" s="820"/>
      <c r="AX140" s="810"/>
      <c r="AY140" s="983"/>
      <c r="AZ140" s="983"/>
      <c r="BA140" s="819"/>
      <c r="BB140" s="820"/>
      <c r="BC140" s="811"/>
      <c r="BD140" s="410"/>
      <c r="BE140" s="410"/>
      <c r="BF140" s="410"/>
      <c r="BG140" s="410"/>
      <c r="BH140" s="974"/>
      <c r="BI140" s="974"/>
      <c r="BJ140" s="410"/>
      <c r="BK140" s="2073"/>
      <c r="BL140" s="410"/>
      <c r="BM140" s="410"/>
      <c r="BN140" s="410"/>
      <c r="BO140" s="685"/>
      <c r="BP140" s="399"/>
      <c r="BR140" s="405"/>
      <c r="BS140" s="405"/>
      <c r="BT140" s="405"/>
      <c r="BU140" s="405"/>
      <c r="BV140" s="405"/>
      <c r="BW140" s="405"/>
      <c r="BX140" s="405"/>
      <c r="BY140" s="405"/>
      <c r="BZ140" s="405"/>
      <c r="CA140" s="405"/>
      <c r="CB140" s="405"/>
      <c r="CC140" s="405"/>
      <c r="CD140" s="405"/>
      <c r="CE140" s="405"/>
      <c r="CF140" s="404"/>
    </row>
    <row r="141" spans="1:84" ht="13.5" customHeight="1">
      <c r="A141" s="1483"/>
      <c r="B141" s="1483"/>
      <c r="C141" s="2467"/>
      <c r="D141" s="2084"/>
      <c r="E141" s="1080"/>
      <c r="F141" s="2082"/>
      <c r="G141" s="912"/>
      <c r="H141" s="912"/>
      <c r="I141" s="2601"/>
      <c r="J141" s="2601"/>
      <c r="K141" s="2602"/>
      <c r="L141" s="2602"/>
      <c r="M141" s="2604"/>
      <c r="N141" s="2593"/>
      <c r="O141" s="2589"/>
      <c r="P141" s="2590"/>
      <c r="Q141" s="2591"/>
      <c r="R141" s="2600"/>
      <c r="S141" s="2592"/>
      <c r="T141" s="2593"/>
      <c r="U141" s="2594"/>
      <c r="V141" s="2595"/>
      <c r="W141" s="2596"/>
      <c r="X141" s="2597"/>
      <c r="Y141" s="2596"/>
      <c r="Z141" s="2598"/>
      <c r="AA141" s="2598"/>
      <c r="AB141" s="2598"/>
      <c r="AC141" s="1076"/>
      <c r="AD141" s="1076"/>
      <c r="AE141" s="410"/>
      <c r="AF141" s="809"/>
      <c r="AG141" s="1076"/>
      <c r="AH141" s="2404"/>
      <c r="AI141" s="2404"/>
      <c r="AJ141" s="2607"/>
      <c r="AK141" s="927"/>
      <c r="AL141" s="1076"/>
      <c r="AM141" s="927"/>
      <c r="AN141" s="685"/>
      <c r="AO141" s="517"/>
      <c r="AP141" s="413"/>
      <c r="AQ141" s="414"/>
      <c r="AR141" s="812"/>
      <c r="AS141" s="812"/>
      <c r="AT141" s="410"/>
      <c r="AU141" s="982"/>
      <c r="AV141" s="976"/>
      <c r="AW141" s="820"/>
      <c r="AX141" s="810"/>
      <c r="AY141" s="983"/>
      <c r="AZ141" s="983"/>
      <c r="BA141" s="819"/>
      <c r="BB141" s="820"/>
      <c r="BC141" s="811"/>
      <c r="BD141" s="410"/>
      <c r="BE141" s="410"/>
      <c r="BF141" s="410"/>
      <c r="BG141" s="410"/>
      <c r="BH141" s="974"/>
      <c r="BI141" s="974"/>
      <c r="BJ141" s="410"/>
      <c r="BK141" s="2073"/>
      <c r="BL141" s="410"/>
      <c r="BM141" s="410"/>
      <c r="BN141" s="410"/>
      <c r="BO141" s="685"/>
      <c r="BP141" s="399"/>
      <c r="BR141" s="405"/>
      <c r="BS141" s="405"/>
      <c r="BT141" s="405"/>
      <c r="BU141" s="405"/>
      <c r="BV141" s="405"/>
      <c r="BW141" s="405"/>
      <c r="BX141" s="405"/>
      <c r="BY141" s="405"/>
      <c r="BZ141" s="405"/>
      <c r="CA141" s="405"/>
      <c r="CB141" s="405"/>
      <c r="CC141" s="405"/>
      <c r="CD141" s="405"/>
      <c r="CE141" s="405"/>
      <c r="CF141" s="404"/>
    </row>
    <row r="142" spans="1:84" ht="13.5" customHeight="1">
      <c r="A142" s="1483"/>
      <c r="B142" s="1483"/>
      <c r="C142" s="2467"/>
      <c r="D142" s="2084"/>
      <c r="E142" s="1080"/>
      <c r="F142" s="2082"/>
      <c r="G142" s="912"/>
      <c r="H142" s="912"/>
      <c r="I142" s="2601"/>
      <c r="J142" s="2601"/>
      <c r="K142" s="2602"/>
      <c r="L142" s="2602"/>
      <c r="M142" s="2604"/>
      <c r="N142" s="2593"/>
      <c r="O142" s="2589"/>
      <c r="P142" s="2590"/>
      <c r="Q142" s="2591"/>
      <c r="R142" s="2600"/>
      <c r="S142" s="2592"/>
      <c r="T142" s="2593"/>
      <c r="U142" s="2594"/>
      <c r="V142" s="2595"/>
      <c r="W142" s="2596"/>
      <c r="X142" s="2597"/>
      <c r="Y142" s="2596"/>
      <c r="Z142" s="2598"/>
      <c r="AA142" s="2598"/>
      <c r="AB142" s="2598"/>
      <c r="AC142" s="1076"/>
      <c r="AD142" s="1076"/>
      <c r="AE142" s="410"/>
      <c r="AF142" s="809"/>
      <c r="AG142" s="1076"/>
      <c r="AH142" s="2404"/>
      <c r="AI142" s="2404"/>
      <c r="AJ142" s="2607"/>
      <c r="AK142" s="927"/>
      <c r="AL142" s="1076"/>
      <c r="AM142" s="927"/>
      <c r="AN142" s="685"/>
      <c r="AO142" s="517"/>
      <c r="AP142" s="413"/>
      <c r="AQ142" s="414"/>
      <c r="AR142" s="812"/>
      <c r="AS142" s="812"/>
      <c r="AT142" s="410"/>
      <c r="AU142" s="982"/>
      <c r="AV142" s="976"/>
      <c r="AW142" s="820"/>
      <c r="AX142" s="810"/>
      <c r="AY142" s="983"/>
      <c r="AZ142" s="983"/>
      <c r="BA142" s="819"/>
      <c r="BB142" s="820"/>
      <c r="BC142" s="811"/>
      <c r="BD142" s="410"/>
      <c r="BE142" s="410"/>
      <c r="BF142" s="410"/>
      <c r="BG142" s="410"/>
      <c r="BH142" s="974"/>
      <c r="BI142" s="974"/>
      <c r="BJ142" s="410"/>
      <c r="BK142" s="2073"/>
      <c r="BL142" s="410"/>
      <c r="BM142" s="410"/>
      <c r="BN142" s="410"/>
      <c r="BO142" s="685"/>
      <c r="BP142" s="399"/>
      <c r="BR142" s="405"/>
      <c r="BS142" s="405"/>
      <c r="BT142" s="405"/>
      <c r="BU142" s="405"/>
      <c r="BV142" s="405"/>
      <c r="BW142" s="405"/>
      <c r="BX142" s="405"/>
      <c r="BY142" s="405"/>
      <c r="BZ142" s="405"/>
      <c r="CA142" s="405"/>
      <c r="CB142" s="405"/>
      <c r="CC142" s="405"/>
      <c r="CD142" s="405"/>
      <c r="CE142" s="405"/>
    </row>
    <row r="143" spans="1:84" ht="13.5" customHeight="1">
      <c r="A143" s="1483"/>
      <c r="B143" s="1483"/>
      <c r="C143" s="2467"/>
      <c r="D143" s="2084"/>
      <c r="E143" s="1080"/>
      <c r="F143" s="2082"/>
      <c r="G143" s="912"/>
      <c r="H143" s="912"/>
      <c r="I143" s="2601"/>
      <c r="J143" s="2601"/>
      <c r="K143" s="2603"/>
      <c r="L143" s="2603"/>
      <c r="M143" s="2604"/>
      <c r="N143" s="2593"/>
      <c r="O143" s="2589"/>
      <c r="P143" s="2590"/>
      <c r="Q143" s="2591"/>
      <c r="R143" s="2600"/>
      <c r="S143" s="2592"/>
      <c r="T143" s="2593"/>
      <c r="U143" s="2594"/>
      <c r="V143" s="2595"/>
      <c r="W143" s="2596"/>
      <c r="X143" s="2597"/>
      <c r="Y143" s="2596"/>
      <c r="Z143" s="2598"/>
      <c r="AA143" s="2598"/>
      <c r="AB143" s="2598"/>
      <c r="AC143" s="1076"/>
      <c r="AD143" s="1076"/>
      <c r="AE143" s="410"/>
      <c r="AF143" s="809"/>
      <c r="AG143" s="1076"/>
      <c r="AH143" s="2404"/>
      <c r="AI143" s="2404"/>
      <c r="AJ143" s="2607"/>
      <c r="AK143" s="927"/>
      <c r="AL143" s="1076"/>
      <c r="AM143" s="927"/>
      <c r="AN143" s="685"/>
      <c r="AO143" s="517"/>
      <c r="AP143" s="413"/>
      <c r="AQ143" s="414"/>
      <c r="AR143" s="812"/>
      <c r="AS143" s="812"/>
      <c r="AT143" s="410"/>
      <c r="AU143" s="982"/>
      <c r="AV143" s="976"/>
      <c r="AW143" s="820"/>
      <c r="AX143" s="810"/>
      <c r="AY143" s="983"/>
      <c r="AZ143" s="983"/>
      <c r="BA143" s="819"/>
      <c r="BB143" s="820"/>
      <c r="BC143" s="811"/>
      <c r="BD143" s="410"/>
      <c r="BE143" s="410"/>
      <c r="BF143" s="410"/>
      <c r="BG143" s="410"/>
      <c r="BH143" s="974"/>
      <c r="BI143" s="974"/>
      <c r="BJ143" s="410"/>
      <c r="BK143" s="2073"/>
      <c r="BL143" s="410"/>
      <c r="BM143" s="410"/>
      <c r="BN143" s="410"/>
      <c r="BO143" s="685"/>
      <c r="BP143" s="399"/>
      <c r="BR143" s="405"/>
      <c r="BS143" s="405"/>
      <c r="BT143" s="405"/>
      <c r="BU143" s="405"/>
      <c r="BV143" s="405"/>
      <c r="BW143" s="405"/>
      <c r="BX143" s="405"/>
      <c r="BY143" s="405"/>
      <c r="BZ143" s="405"/>
      <c r="CA143" s="405"/>
      <c r="CB143" s="405"/>
      <c r="CC143" s="405"/>
      <c r="CD143" s="405"/>
      <c r="CE143" s="405"/>
    </row>
    <row r="144" spans="1:84" ht="13.5" customHeight="1">
      <c r="A144" s="1483"/>
      <c r="B144" s="1483"/>
      <c r="C144" s="2467"/>
      <c r="D144" s="2084"/>
      <c r="E144" s="1080"/>
      <c r="F144" s="2082"/>
      <c r="G144" s="912"/>
      <c r="H144" s="912"/>
      <c r="I144" s="2601"/>
      <c r="J144" s="2601"/>
      <c r="K144" s="2602"/>
      <c r="L144" s="2602"/>
      <c r="M144" s="2604"/>
      <c r="N144" s="2593"/>
      <c r="O144" s="2589"/>
      <c r="P144" s="2590"/>
      <c r="Q144" s="2591"/>
      <c r="R144" s="2600"/>
      <c r="S144" s="2592"/>
      <c r="T144" s="2593"/>
      <c r="U144" s="2594"/>
      <c r="V144" s="2595"/>
      <c r="W144" s="2596"/>
      <c r="X144" s="2597"/>
      <c r="Y144" s="2596"/>
      <c r="Z144" s="2598"/>
      <c r="AA144" s="2598"/>
      <c r="AB144" s="2598"/>
      <c r="AC144" s="1076"/>
      <c r="AD144" s="1076"/>
      <c r="AE144" s="410"/>
      <c r="AF144" s="809"/>
      <c r="AG144" s="1076"/>
      <c r="AH144" s="2404"/>
      <c r="AI144" s="2404"/>
      <c r="AJ144" s="2607"/>
      <c r="AK144" s="927"/>
      <c r="AL144" s="1076"/>
      <c r="AM144" s="927"/>
      <c r="AN144" s="685"/>
      <c r="AO144" s="517"/>
      <c r="AP144" s="413"/>
      <c r="AQ144" s="414"/>
      <c r="AR144" s="812"/>
      <c r="AS144" s="812"/>
      <c r="AT144" s="410"/>
      <c r="AU144" s="982"/>
      <c r="AV144" s="976"/>
      <c r="AW144" s="820"/>
      <c r="AX144" s="810"/>
      <c r="AY144" s="983"/>
      <c r="AZ144" s="983"/>
      <c r="BA144" s="819"/>
      <c r="BB144" s="820"/>
      <c r="BC144" s="811"/>
      <c r="BD144" s="410"/>
      <c r="BE144" s="410"/>
      <c r="BF144" s="410"/>
      <c r="BG144" s="410"/>
      <c r="BH144" s="974"/>
      <c r="BI144" s="974"/>
      <c r="BJ144" s="410"/>
      <c r="BK144" s="2073"/>
      <c r="BL144" s="410"/>
      <c r="BM144" s="410"/>
      <c r="BN144" s="410"/>
      <c r="BO144" s="685"/>
      <c r="BP144" s="399"/>
      <c r="BR144" s="405"/>
      <c r="BS144" s="405"/>
      <c r="BT144" s="405"/>
      <c r="BU144" s="405"/>
      <c r="BV144" s="405"/>
      <c r="BW144" s="405"/>
      <c r="BX144" s="405"/>
      <c r="BY144" s="405"/>
      <c r="BZ144" s="405"/>
      <c r="CA144" s="405"/>
      <c r="CB144" s="405"/>
      <c r="CC144" s="405"/>
      <c r="CD144" s="405"/>
      <c r="CE144" s="405"/>
    </row>
    <row r="145" spans="1:83" ht="13.5" customHeight="1">
      <c r="A145" s="1483"/>
      <c r="B145" s="1483"/>
      <c r="C145" s="2467"/>
      <c r="D145" s="2084"/>
      <c r="E145" s="1080"/>
      <c r="F145" s="2082"/>
      <c r="G145" s="912"/>
      <c r="H145" s="912"/>
      <c r="I145" s="2601"/>
      <c r="J145" s="2601"/>
      <c r="K145" s="2603"/>
      <c r="L145" s="2603"/>
      <c r="M145" s="2604"/>
      <c r="N145" s="2593"/>
      <c r="O145" s="2589"/>
      <c r="P145" s="2590"/>
      <c r="Q145" s="2591"/>
      <c r="R145" s="2600"/>
      <c r="S145" s="2592"/>
      <c r="T145" s="2593"/>
      <c r="U145" s="2594"/>
      <c r="V145" s="2595"/>
      <c r="W145" s="2596"/>
      <c r="X145" s="2597"/>
      <c r="Y145" s="2596"/>
      <c r="Z145" s="2598"/>
      <c r="AA145" s="2598"/>
      <c r="AB145" s="2598"/>
      <c r="AC145" s="1076"/>
      <c r="AD145" s="1076"/>
      <c r="AE145" s="410"/>
      <c r="AF145" s="809"/>
      <c r="AG145" s="1076"/>
      <c r="AH145" s="2404"/>
      <c r="AI145" s="2404"/>
      <c r="AJ145" s="2607"/>
      <c r="AK145" s="927"/>
      <c r="AL145" s="1076"/>
      <c r="AM145" s="927"/>
      <c r="AN145" s="685"/>
      <c r="AO145" s="517"/>
      <c r="AP145" s="413"/>
      <c r="AQ145" s="414"/>
      <c r="AR145" s="812"/>
      <c r="AS145" s="812"/>
      <c r="AT145" s="410"/>
      <c r="AU145" s="982"/>
      <c r="AV145" s="976"/>
      <c r="AW145" s="820"/>
      <c r="AX145" s="810"/>
      <c r="AY145" s="983"/>
      <c r="AZ145" s="983"/>
      <c r="BA145" s="819"/>
      <c r="BB145" s="820"/>
      <c r="BC145" s="811"/>
      <c r="BD145" s="410"/>
      <c r="BE145" s="410"/>
      <c r="BF145" s="410"/>
      <c r="BG145" s="410"/>
      <c r="BH145" s="974"/>
      <c r="BI145" s="974"/>
      <c r="BJ145" s="410"/>
      <c r="BK145" s="2073"/>
      <c r="BL145" s="410"/>
      <c r="BM145" s="410"/>
      <c r="BN145" s="410"/>
      <c r="BO145" s="685"/>
      <c r="BP145" s="399"/>
      <c r="BR145" s="405"/>
      <c r="BS145" s="405"/>
      <c r="BT145" s="405"/>
      <c r="BU145" s="405"/>
      <c r="BV145" s="405"/>
      <c r="BW145" s="405"/>
      <c r="BX145" s="405"/>
      <c r="BY145" s="405"/>
      <c r="BZ145" s="405"/>
      <c r="CA145" s="405"/>
      <c r="CB145" s="405"/>
      <c r="CC145" s="405"/>
      <c r="CD145" s="405"/>
      <c r="CE145" s="405"/>
    </row>
    <row r="146" spans="1:83" ht="13.5" customHeight="1">
      <c r="A146" s="1483"/>
      <c r="B146" s="1483"/>
      <c r="C146" s="2467"/>
      <c r="D146" s="2084"/>
      <c r="E146" s="1080"/>
      <c r="F146" s="2082"/>
      <c r="G146" s="912"/>
      <c r="H146" s="912"/>
      <c r="I146" s="2601"/>
      <c r="J146" s="2601"/>
      <c r="K146" s="2602"/>
      <c r="L146" s="2602"/>
      <c r="M146" s="2604"/>
      <c r="N146" s="2593"/>
      <c r="O146" s="2589"/>
      <c r="P146" s="2590"/>
      <c r="Q146" s="2591"/>
      <c r="R146" s="2600"/>
      <c r="S146" s="2592"/>
      <c r="T146" s="2593"/>
      <c r="U146" s="2594"/>
      <c r="V146" s="2595"/>
      <c r="W146" s="2596"/>
      <c r="X146" s="2597"/>
      <c r="Y146" s="2596"/>
      <c r="Z146" s="2598"/>
      <c r="AA146" s="2598"/>
      <c r="AB146" s="2598"/>
      <c r="AC146" s="1076"/>
      <c r="AD146" s="1076"/>
      <c r="AE146" s="410"/>
      <c r="AF146" s="809"/>
      <c r="AG146" s="1076"/>
      <c r="AH146" s="2404"/>
      <c r="AI146" s="2404"/>
      <c r="AJ146" s="2607"/>
      <c r="AK146" s="927"/>
      <c r="AL146" s="1076"/>
      <c r="AM146" s="927"/>
      <c r="AN146" s="685"/>
      <c r="AO146" s="517"/>
      <c r="AP146" s="413"/>
      <c r="AQ146" s="414"/>
      <c r="AR146" s="812"/>
      <c r="AS146" s="812"/>
      <c r="AT146" s="410"/>
      <c r="AU146" s="982"/>
      <c r="AV146" s="976"/>
      <c r="AW146" s="820"/>
      <c r="AX146" s="810"/>
      <c r="AY146" s="983"/>
      <c r="AZ146" s="983"/>
      <c r="BA146" s="819"/>
      <c r="BB146" s="820"/>
      <c r="BC146" s="811"/>
      <c r="BD146" s="410"/>
      <c r="BE146" s="410"/>
      <c r="BF146" s="410"/>
      <c r="BG146" s="410"/>
      <c r="BH146" s="974"/>
      <c r="BI146" s="974"/>
      <c r="BJ146" s="410"/>
      <c r="BK146" s="2073"/>
      <c r="BL146" s="410"/>
      <c r="BM146" s="410"/>
      <c r="BN146" s="410"/>
      <c r="BO146" s="685"/>
      <c r="BP146" s="399"/>
      <c r="BR146" s="405"/>
      <c r="BS146" s="405"/>
      <c r="BT146" s="405"/>
      <c r="BU146" s="405"/>
      <c r="BV146" s="405"/>
      <c r="BW146" s="405"/>
      <c r="BX146" s="405"/>
      <c r="BY146" s="405"/>
      <c r="BZ146" s="405"/>
      <c r="CA146" s="405"/>
      <c r="CB146" s="405"/>
      <c r="CC146" s="405"/>
      <c r="CD146" s="405"/>
      <c r="CE146" s="405"/>
    </row>
    <row r="147" spans="1:83" ht="13.5" customHeight="1">
      <c r="A147" s="1483"/>
      <c r="B147" s="1483"/>
      <c r="C147" s="2467"/>
      <c r="D147" s="2084"/>
      <c r="E147" s="1080"/>
      <c r="F147" s="2082"/>
      <c r="G147" s="912"/>
      <c r="H147" s="912"/>
      <c r="I147" s="2601"/>
      <c r="J147" s="2601"/>
      <c r="K147" s="2603"/>
      <c r="L147" s="2602"/>
      <c r="M147" s="2604"/>
      <c r="N147" s="2593"/>
      <c r="O147" s="2589"/>
      <c r="P147" s="2590"/>
      <c r="Q147" s="2591"/>
      <c r="R147" s="2600"/>
      <c r="S147" s="2592"/>
      <c r="T147" s="2593"/>
      <c r="U147" s="2594"/>
      <c r="V147" s="2595"/>
      <c r="W147" s="2596"/>
      <c r="X147" s="2597"/>
      <c r="Y147" s="2596"/>
      <c r="Z147" s="2598"/>
      <c r="AA147" s="2598"/>
      <c r="AB147" s="2598"/>
      <c r="AC147" s="1076"/>
      <c r="AD147" s="1076"/>
      <c r="AE147" s="410"/>
      <c r="AF147" s="809"/>
      <c r="AG147" s="1076"/>
      <c r="AH147" s="2404"/>
      <c r="AI147" s="2404"/>
      <c r="AJ147" s="2607"/>
      <c r="AK147" s="927"/>
      <c r="AL147" s="1076"/>
      <c r="AM147" s="927"/>
      <c r="AN147" s="685"/>
      <c r="AO147" s="517"/>
      <c r="AP147" s="413"/>
      <c r="AQ147" s="414"/>
      <c r="AR147" s="812"/>
      <c r="AS147" s="812"/>
      <c r="AT147" s="410"/>
      <c r="AU147" s="982"/>
      <c r="AV147" s="976"/>
      <c r="AW147" s="820"/>
      <c r="AX147" s="810"/>
      <c r="AY147" s="983"/>
      <c r="AZ147" s="983"/>
      <c r="BA147" s="819"/>
      <c r="BB147" s="820"/>
      <c r="BC147" s="811"/>
      <c r="BD147" s="410"/>
      <c r="BE147" s="410"/>
      <c r="BF147" s="410"/>
      <c r="BG147" s="410"/>
      <c r="BH147" s="974"/>
      <c r="BI147" s="974"/>
      <c r="BJ147" s="410"/>
      <c r="BK147" s="2073"/>
      <c r="BL147" s="410"/>
      <c r="BM147" s="410"/>
      <c r="BN147" s="410"/>
      <c r="BO147" s="685"/>
      <c r="BP147" s="399"/>
      <c r="BR147" s="405"/>
      <c r="BS147" s="405"/>
      <c r="BT147" s="405"/>
      <c r="BU147" s="405"/>
      <c r="BV147" s="405"/>
      <c r="BW147" s="405"/>
      <c r="BX147" s="405"/>
      <c r="BY147" s="405"/>
      <c r="BZ147" s="405"/>
      <c r="CA147" s="405"/>
      <c r="CB147" s="405"/>
      <c r="CC147" s="405"/>
      <c r="CD147" s="405"/>
      <c r="CE147" s="405"/>
    </row>
    <row r="148" spans="1:83" ht="13.5" customHeight="1">
      <c r="A148" s="1483"/>
      <c r="B148" s="1483"/>
      <c r="C148" s="2467"/>
      <c r="D148" s="2084"/>
      <c r="E148" s="1080"/>
      <c r="F148" s="2082"/>
      <c r="G148" s="912"/>
      <c r="H148" s="912"/>
      <c r="I148" s="2601"/>
      <c r="J148" s="2601"/>
      <c r="K148" s="2602"/>
      <c r="L148" s="2602"/>
      <c r="M148" s="2604"/>
      <c r="N148" s="2593"/>
      <c r="O148" s="2589"/>
      <c r="P148" s="2590"/>
      <c r="Q148" s="2591"/>
      <c r="R148" s="2600"/>
      <c r="S148" s="2592"/>
      <c r="T148" s="2593"/>
      <c r="U148" s="2594"/>
      <c r="V148" s="2595"/>
      <c r="W148" s="2596"/>
      <c r="X148" s="2597"/>
      <c r="Y148" s="2596"/>
      <c r="Z148" s="2598"/>
      <c r="AA148" s="2598"/>
      <c r="AB148" s="2598"/>
      <c r="AC148" s="1076"/>
      <c r="AD148" s="1076"/>
      <c r="AE148" s="410"/>
      <c r="AF148" s="809"/>
      <c r="AG148" s="1076"/>
      <c r="AH148" s="2404"/>
      <c r="AI148" s="2404"/>
      <c r="AJ148" s="2607"/>
      <c r="AK148" s="927"/>
      <c r="AL148" s="1076"/>
      <c r="AM148" s="927"/>
      <c r="AN148" s="685"/>
      <c r="AO148" s="517"/>
      <c r="AP148" s="413"/>
      <c r="AQ148" s="414"/>
      <c r="AR148" s="812"/>
      <c r="AS148" s="812"/>
      <c r="AT148" s="410"/>
      <c r="AU148" s="982"/>
      <c r="AV148" s="976"/>
      <c r="AW148" s="820"/>
      <c r="AX148" s="810"/>
      <c r="AY148" s="983"/>
      <c r="AZ148" s="983"/>
      <c r="BA148" s="819"/>
      <c r="BB148" s="820"/>
      <c r="BC148" s="811"/>
      <c r="BD148" s="410"/>
      <c r="BE148" s="410"/>
      <c r="BF148" s="410"/>
      <c r="BG148" s="410"/>
      <c r="BH148" s="974"/>
      <c r="BI148" s="974"/>
      <c r="BJ148" s="410"/>
      <c r="BK148" s="2073"/>
      <c r="BL148" s="410"/>
      <c r="BM148" s="410"/>
      <c r="BN148" s="410"/>
      <c r="BO148" s="685"/>
      <c r="BP148" s="399"/>
      <c r="BR148" s="405"/>
      <c r="BS148" s="405"/>
      <c r="BT148" s="405"/>
      <c r="BU148" s="405"/>
      <c r="BV148" s="405"/>
      <c r="BW148" s="405"/>
      <c r="BX148" s="405"/>
      <c r="BY148" s="405"/>
      <c r="BZ148" s="405"/>
      <c r="CA148" s="405"/>
      <c r="CB148" s="405"/>
      <c r="CC148" s="405"/>
      <c r="CD148" s="405"/>
      <c r="CE148" s="405"/>
    </row>
    <row r="149" spans="1:83" ht="13.5" customHeight="1">
      <c r="A149" s="1483"/>
      <c r="B149" s="1483"/>
      <c r="C149" s="2467"/>
      <c r="D149" s="2084"/>
      <c r="E149" s="1080"/>
      <c r="F149" s="2082"/>
      <c r="G149" s="912"/>
      <c r="H149" s="912"/>
      <c r="I149" s="2601"/>
      <c r="J149" s="2601"/>
      <c r="K149" s="2603"/>
      <c r="L149" s="2602"/>
      <c r="M149" s="2604"/>
      <c r="N149" s="2593"/>
      <c r="O149" s="2589"/>
      <c r="P149" s="2590"/>
      <c r="Q149" s="2591"/>
      <c r="R149" s="2600"/>
      <c r="S149" s="2592"/>
      <c r="T149" s="2593"/>
      <c r="U149" s="2594"/>
      <c r="V149" s="2595"/>
      <c r="W149" s="2596"/>
      <c r="X149" s="2597"/>
      <c r="Y149" s="2596"/>
      <c r="Z149" s="2598"/>
      <c r="AA149" s="2598"/>
      <c r="AB149" s="2598"/>
      <c r="AC149" s="1076"/>
      <c r="AD149" s="1076"/>
      <c r="AE149" s="410"/>
      <c r="AF149" s="809"/>
      <c r="AG149" s="1076"/>
      <c r="AH149" s="2404"/>
      <c r="AI149" s="2404"/>
      <c r="AJ149" s="2607"/>
      <c r="AK149" s="927"/>
      <c r="AL149" s="1076"/>
      <c r="AM149" s="927"/>
      <c r="AN149" s="685"/>
      <c r="AO149" s="517"/>
      <c r="AP149" s="413"/>
      <c r="AQ149" s="414"/>
      <c r="AR149" s="812"/>
      <c r="AS149" s="812"/>
      <c r="AT149" s="410"/>
      <c r="AU149" s="982"/>
      <c r="AV149" s="976"/>
      <c r="AW149" s="820"/>
      <c r="AX149" s="810"/>
      <c r="AY149" s="983"/>
      <c r="AZ149" s="983"/>
      <c r="BA149" s="819"/>
      <c r="BB149" s="820"/>
      <c r="BC149" s="811"/>
      <c r="BD149" s="410"/>
      <c r="BE149" s="410"/>
      <c r="BF149" s="410"/>
      <c r="BG149" s="410"/>
      <c r="BH149" s="974"/>
      <c r="BI149" s="974"/>
      <c r="BJ149" s="410"/>
      <c r="BK149" s="2073"/>
      <c r="BL149" s="410"/>
      <c r="BM149" s="410"/>
      <c r="BN149" s="410"/>
      <c r="BO149" s="685"/>
      <c r="BP149" s="399"/>
      <c r="BR149" s="405"/>
      <c r="BS149" s="405"/>
      <c r="BT149" s="405"/>
      <c r="BU149" s="405"/>
      <c r="BV149" s="405"/>
      <c r="BW149" s="405"/>
      <c r="BX149" s="405"/>
      <c r="BY149" s="405"/>
      <c r="BZ149" s="405"/>
      <c r="CA149" s="405"/>
      <c r="CB149" s="405"/>
      <c r="CC149" s="405"/>
      <c r="CD149" s="405"/>
      <c r="CE149" s="405"/>
    </row>
    <row r="150" spans="1:83" ht="13.5" customHeight="1">
      <c r="A150" s="1483"/>
      <c r="B150" s="1483"/>
      <c r="C150" s="2467"/>
      <c r="D150" s="2084"/>
      <c r="E150" s="1080"/>
      <c r="F150" s="2082"/>
      <c r="G150" s="912"/>
      <c r="H150" s="912"/>
      <c r="I150" s="2601"/>
      <c r="J150" s="2601"/>
      <c r="K150" s="2602"/>
      <c r="L150" s="2603"/>
      <c r="M150" s="2604"/>
      <c r="N150" s="2593"/>
      <c r="O150" s="2589"/>
      <c r="P150" s="2590"/>
      <c r="Q150" s="2591"/>
      <c r="R150" s="2600"/>
      <c r="S150" s="2592"/>
      <c r="T150" s="2593"/>
      <c r="U150" s="2594"/>
      <c r="V150" s="2595"/>
      <c r="W150" s="2596"/>
      <c r="X150" s="2597"/>
      <c r="Y150" s="2596"/>
      <c r="Z150" s="2598"/>
      <c r="AA150" s="2598"/>
      <c r="AB150" s="2598"/>
      <c r="AC150" s="1076"/>
      <c r="AD150" s="1076"/>
      <c r="AE150" s="410"/>
      <c r="AF150" s="809"/>
      <c r="AG150" s="1076"/>
      <c r="AH150" s="2404"/>
      <c r="AI150" s="2404"/>
      <c r="AJ150" s="2607"/>
      <c r="AK150" s="927"/>
      <c r="AL150" s="1076"/>
      <c r="AM150" s="927"/>
      <c r="AN150" s="685"/>
      <c r="AO150" s="517"/>
      <c r="AP150" s="413"/>
      <c r="AQ150" s="414"/>
      <c r="AR150" s="812"/>
      <c r="AS150" s="812"/>
      <c r="AT150" s="410"/>
      <c r="AU150" s="982"/>
      <c r="AV150" s="976"/>
      <c r="AW150" s="820"/>
      <c r="AX150" s="810"/>
      <c r="AY150" s="983"/>
      <c r="AZ150" s="983"/>
      <c r="BA150" s="819"/>
      <c r="BB150" s="820"/>
      <c r="BC150" s="811"/>
      <c r="BD150" s="410"/>
      <c r="BE150" s="410"/>
      <c r="BF150" s="410"/>
      <c r="BG150" s="410"/>
      <c r="BH150" s="974"/>
      <c r="BI150" s="974"/>
      <c r="BJ150" s="410"/>
      <c r="BK150" s="2073"/>
      <c r="BL150" s="410"/>
      <c r="BM150" s="410"/>
      <c r="BN150" s="410"/>
      <c r="BO150" s="685"/>
      <c r="BP150" s="399"/>
      <c r="BR150" s="405"/>
      <c r="BS150" s="405"/>
      <c r="BT150" s="405"/>
      <c r="BU150" s="405"/>
      <c r="BV150" s="405"/>
      <c r="BW150" s="405"/>
      <c r="BX150" s="405"/>
      <c r="BY150" s="405"/>
      <c r="BZ150" s="405"/>
      <c r="CA150" s="405"/>
      <c r="CB150" s="405"/>
      <c r="CC150" s="405"/>
      <c r="CD150" s="405"/>
      <c r="CE150" s="405"/>
    </row>
    <row r="151" spans="1:83" ht="13.5" customHeight="1">
      <c r="A151" s="1483"/>
      <c r="B151" s="1483"/>
      <c r="C151" s="2467"/>
      <c r="D151" s="2084"/>
      <c r="E151" s="1080"/>
      <c r="F151" s="2082"/>
      <c r="G151" s="912"/>
      <c r="H151" s="912"/>
      <c r="I151" s="2601"/>
      <c r="J151" s="2601"/>
      <c r="K151" s="2602"/>
      <c r="L151" s="2603"/>
      <c r="M151" s="2604"/>
      <c r="N151" s="2593"/>
      <c r="O151" s="2589"/>
      <c r="P151" s="2590"/>
      <c r="Q151" s="2591"/>
      <c r="R151" s="2600"/>
      <c r="S151" s="2592"/>
      <c r="T151" s="2593"/>
      <c r="U151" s="2594"/>
      <c r="V151" s="2595"/>
      <c r="W151" s="2596"/>
      <c r="X151" s="2597"/>
      <c r="Y151" s="2596"/>
      <c r="Z151" s="2598"/>
      <c r="AA151" s="2598"/>
      <c r="AB151" s="2598"/>
      <c r="AC151" s="1076"/>
      <c r="AD151" s="1076"/>
      <c r="AE151" s="410"/>
      <c r="AF151" s="809"/>
      <c r="AG151" s="1076"/>
      <c r="AH151" s="2404"/>
      <c r="AI151" s="2404"/>
      <c r="AJ151" s="2607"/>
      <c r="AK151" s="927"/>
      <c r="AL151" s="1076"/>
      <c r="AM151" s="927"/>
      <c r="AN151" s="685"/>
      <c r="AO151" s="517"/>
      <c r="AP151" s="413"/>
      <c r="AQ151" s="414"/>
      <c r="AR151" s="812"/>
      <c r="AS151" s="812"/>
      <c r="AT151" s="410"/>
      <c r="AU151" s="982"/>
      <c r="AV151" s="976"/>
      <c r="AW151" s="820"/>
      <c r="AX151" s="810"/>
      <c r="AY151" s="983"/>
      <c r="AZ151" s="983"/>
      <c r="BA151" s="819"/>
      <c r="BB151" s="820"/>
      <c r="BC151" s="811"/>
      <c r="BD151" s="410"/>
      <c r="BE151" s="410"/>
      <c r="BF151" s="410"/>
      <c r="BG151" s="410"/>
      <c r="BH151" s="974"/>
      <c r="BI151" s="974"/>
      <c r="BJ151" s="410"/>
      <c r="BK151" s="2073"/>
      <c r="BL151" s="410"/>
      <c r="BM151" s="410"/>
      <c r="BN151" s="410"/>
      <c r="BO151" s="685"/>
      <c r="BP151" s="399"/>
      <c r="BR151" s="405"/>
      <c r="BS151" s="405"/>
      <c r="BT151" s="405"/>
      <c r="BU151" s="405"/>
      <c r="BV151" s="405"/>
      <c r="BW151" s="405"/>
      <c r="BX151" s="405"/>
      <c r="BY151" s="405"/>
      <c r="BZ151" s="405"/>
      <c r="CA151" s="405"/>
      <c r="CB151" s="405"/>
      <c r="CC151" s="405"/>
      <c r="CD151" s="405"/>
      <c r="CE151" s="405"/>
    </row>
    <row r="152" spans="1:83" ht="13.5" customHeight="1">
      <c r="A152" s="1483"/>
      <c r="B152" s="1483"/>
      <c r="C152" s="2467"/>
      <c r="D152" s="2084"/>
      <c r="E152" s="1080"/>
      <c r="F152" s="2082"/>
      <c r="G152" s="912"/>
      <c r="H152" s="912"/>
      <c r="I152" s="2601"/>
      <c r="J152" s="2601"/>
      <c r="K152" s="2602"/>
      <c r="L152" s="2602"/>
      <c r="M152" s="2604"/>
      <c r="N152" s="2593"/>
      <c r="O152" s="2589"/>
      <c r="P152" s="2590"/>
      <c r="Q152" s="2591"/>
      <c r="R152" s="2600"/>
      <c r="S152" s="2592"/>
      <c r="T152" s="2593"/>
      <c r="U152" s="2594"/>
      <c r="V152" s="2595"/>
      <c r="W152" s="2596"/>
      <c r="X152" s="2597"/>
      <c r="Y152" s="2596"/>
      <c r="Z152" s="2598"/>
      <c r="AA152" s="2598"/>
      <c r="AB152" s="2598"/>
      <c r="AC152" s="1076"/>
      <c r="AD152" s="1076"/>
      <c r="AE152" s="410"/>
      <c r="AF152" s="809"/>
      <c r="AG152" s="1076"/>
      <c r="AH152" s="2404"/>
      <c r="AI152" s="2404"/>
      <c r="AJ152" s="2607"/>
      <c r="AK152" s="927"/>
      <c r="AL152" s="1076"/>
      <c r="AM152" s="927"/>
      <c r="AN152" s="685"/>
      <c r="AO152" s="517"/>
      <c r="AP152" s="413"/>
      <c r="AQ152" s="414"/>
      <c r="AR152" s="812"/>
      <c r="AS152" s="812"/>
      <c r="AT152" s="410"/>
      <c r="AU152" s="982"/>
      <c r="AV152" s="976"/>
      <c r="AW152" s="820"/>
      <c r="AX152" s="810"/>
      <c r="AY152" s="983"/>
      <c r="AZ152" s="983"/>
      <c r="BA152" s="819"/>
      <c r="BB152" s="820"/>
      <c r="BC152" s="811"/>
      <c r="BD152" s="410"/>
      <c r="BE152" s="410"/>
      <c r="BF152" s="410"/>
      <c r="BG152" s="410"/>
      <c r="BH152" s="974"/>
      <c r="BI152" s="974"/>
      <c r="BJ152" s="410"/>
      <c r="BK152" s="2073"/>
      <c r="BL152" s="410"/>
      <c r="BM152" s="410"/>
      <c r="BN152" s="410"/>
      <c r="BO152" s="685"/>
      <c r="BP152" s="399"/>
      <c r="BR152" s="405"/>
      <c r="BS152" s="405"/>
      <c r="BT152" s="405"/>
      <c r="BU152" s="405"/>
      <c r="BV152" s="405"/>
      <c r="BW152" s="405"/>
      <c r="BX152" s="405"/>
      <c r="BY152" s="405"/>
      <c r="BZ152" s="405"/>
      <c r="CA152" s="405"/>
      <c r="CB152" s="405"/>
      <c r="CC152" s="405"/>
      <c r="CD152" s="405"/>
      <c r="CE152" s="405"/>
    </row>
    <row r="153" spans="1:83" ht="13.5" customHeight="1">
      <c r="A153" s="1483"/>
      <c r="B153" s="1483"/>
      <c r="C153" s="2467"/>
      <c r="D153" s="2084"/>
      <c r="E153" s="1080"/>
      <c r="F153" s="2082"/>
      <c r="G153" s="912"/>
      <c r="H153" s="912"/>
      <c r="I153" s="2601"/>
      <c r="J153" s="2601"/>
      <c r="K153" s="2602"/>
      <c r="L153" s="2602"/>
      <c r="M153" s="2604"/>
      <c r="N153" s="2593"/>
      <c r="O153" s="2589"/>
      <c r="P153" s="2590"/>
      <c r="Q153" s="2591"/>
      <c r="R153" s="2600"/>
      <c r="S153" s="2592"/>
      <c r="T153" s="2593"/>
      <c r="U153" s="2594"/>
      <c r="V153" s="2595"/>
      <c r="W153" s="2596"/>
      <c r="X153" s="2597"/>
      <c r="Y153" s="2596"/>
      <c r="Z153" s="2598"/>
      <c r="AA153" s="2598"/>
      <c r="AB153" s="2598"/>
      <c r="AC153" s="1076"/>
      <c r="AD153" s="1076"/>
      <c r="AE153" s="410"/>
      <c r="AF153" s="809"/>
      <c r="AG153" s="1076"/>
      <c r="AH153" s="2404"/>
      <c r="AI153" s="2404"/>
      <c r="AJ153" s="2607"/>
      <c r="AK153" s="927"/>
      <c r="AL153" s="1076"/>
      <c r="AM153" s="927"/>
      <c r="AN153" s="685"/>
      <c r="AO153" s="517"/>
      <c r="AP153" s="413"/>
      <c r="AQ153" s="414"/>
      <c r="AR153" s="812"/>
      <c r="AS153" s="812"/>
      <c r="AT153" s="410"/>
      <c r="AU153" s="982"/>
      <c r="AV153" s="976"/>
      <c r="AW153" s="820"/>
      <c r="AX153" s="810"/>
      <c r="AY153" s="983"/>
      <c r="AZ153" s="983"/>
      <c r="BA153" s="819"/>
      <c r="BB153" s="820"/>
      <c r="BC153" s="811"/>
      <c r="BD153" s="410"/>
      <c r="BE153" s="410"/>
      <c r="BF153" s="410"/>
      <c r="BG153" s="410"/>
      <c r="BH153" s="974"/>
      <c r="BI153" s="974"/>
      <c r="BJ153" s="410"/>
      <c r="BK153" s="2073"/>
      <c r="BL153" s="410"/>
      <c r="BM153" s="410"/>
      <c r="BN153" s="410"/>
      <c r="BO153" s="685"/>
      <c r="BP153" s="399"/>
      <c r="BR153" s="405"/>
      <c r="BS153" s="405"/>
      <c r="BT153" s="405"/>
      <c r="BU153" s="405"/>
      <c r="BV153" s="405"/>
      <c r="BW153" s="405"/>
      <c r="BX153" s="405"/>
      <c r="BY153" s="405"/>
      <c r="BZ153" s="405"/>
      <c r="CA153" s="405"/>
      <c r="CB153" s="405"/>
      <c r="CC153" s="405"/>
      <c r="CD153" s="405"/>
      <c r="CE153" s="405"/>
    </row>
    <row r="154" spans="1:83" ht="13.5" customHeight="1">
      <c r="A154" s="1483"/>
      <c r="B154" s="1483"/>
      <c r="C154" s="2467"/>
      <c r="D154" s="2084"/>
      <c r="E154" s="1080"/>
      <c r="F154" s="2082"/>
      <c r="G154" s="912"/>
      <c r="H154" s="912"/>
      <c r="I154" s="2601"/>
      <c r="J154" s="2601"/>
      <c r="K154" s="2602"/>
      <c r="L154" s="2603"/>
      <c r="M154" s="2604"/>
      <c r="N154" s="2593"/>
      <c r="O154" s="2589"/>
      <c r="P154" s="2590"/>
      <c r="Q154" s="2591"/>
      <c r="R154" s="2600"/>
      <c r="S154" s="2592"/>
      <c r="T154" s="2593"/>
      <c r="U154" s="2594"/>
      <c r="V154" s="2595"/>
      <c r="W154" s="2596"/>
      <c r="X154" s="2597"/>
      <c r="Y154" s="2596"/>
      <c r="Z154" s="2598"/>
      <c r="AA154" s="2598"/>
      <c r="AB154" s="2598"/>
      <c r="AC154" s="1076"/>
      <c r="AD154" s="1076"/>
      <c r="AE154" s="410"/>
      <c r="AF154" s="809"/>
      <c r="AG154" s="1076"/>
      <c r="AH154" s="2404"/>
      <c r="AI154" s="2404"/>
      <c r="AJ154" s="2607"/>
      <c r="AK154" s="927"/>
      <c r="AL154" s="1076"/>
      <c r="AM154" s="927"/>
      <c r="AN154" s="685"/>
      <c r="AO154" s="517"/>
      <c r="AP154" s="413"/>
      <c r="AQ154" s="414"/>
      <c r="AR154" s="812"/>
      <c r="AS154" s="812"/>
      <c r="AT154" s="410"/>
      <c r="AU154" s="982"/>
      <c r="AV154" s="976"/>
      <c r="AW154" s="820"/>
      <c r="AX154" s="810"/>
      <c r="AY154" s="983"/>
      <c r="AZ154" s="983"/>
      <c r="BA154" s="819"/>
      <c r="BB154" s="820"/>
      <c r="BC154" s="811"/>
      <c r="BD154" s="410"/>
      <c r="BE154" s="410"/>
      <c r="BF154" s="410"/>
      <c r="BG154" s="410"/>
      <c r="BH154" s="974"/>
      <c r="BI154" s="974"/>
      <c r="BJ154" s="410"/>
      <c r="BK154" s="2073"/>
      <c r="BL154" s="410"/>
      <c r="BM154" s="410"/>
      <c r="BN154" s="410"/>
      <c r="BO154" s="685"/>
      <c r="BP154" s="399"/>
      <c r="BR154" s="405"/>
      <c r="BS154" s="405"/>
      <c r="BT154" s="405"/>
      <c r="BU154" s="405"/>
      <c r="BV154" s="405"/>
      <c r="BW154" s="405"/>
      <c r="BX154" s="405"/>
      <c r="BY154" s="405"/>
      <c r="BZ154" s="405"/>
      <c r="CA154" s="405"/>
      <c r="CB154" s="405"/>
      <c r="CC154" s="405"/>
      <c r="CD154" s="405"/>
      <c r="CE154" s="405"/>
    </row>
    <row r="155" spans="1:83" ht="13.5" customHeight="1">
      <c r="A155" s="1483"/>
      <c r="B155" s="1483"/>
      <c r="C155" s="2467"/>
      <c r="D155" s="2084"/>
      <c r="E155" s="1080"/>
      <c r="F155" s="2082"/>
      <c r="G155" s="912"/>
      <c r="H155" s="912"/>
      <c r="I155" s="2601"/>
      <c r="J155" s="2601"/>
      <c r="K155" s="2602"/>
      <c r="L155" s="2603"/>
      <c r="M155" s="2604"/>
      <c r="N155" s="2593"/>
      <c r="O155" s="2589"/>
      <c r="P155" s="2590"/>
      <c r="Q155" s="2591"/>
      <c r="R155" s="2600"/>
      <c r="S155" s="2592"/>
      <c r="T155" s="2593"/>
      <c r="U155" s="2594"/>
      <c r="V155" s="2595"/>
      <c r="W155" s="2596"/>
      <c r="X155" s="2597"/>
      <c r="Y155" s="2596"/>
      <c r="Z155" s="2598"/>
      <c r="AA155" s="2598"/>
      <c r="AB155" s="2598"/>
      <c r="AC155" s="1076"/>
      <c r="AD155" s="1076"/>
      <c r="AE155" s="410"/>
      <c r="AF155" s="809"/>
      <c r="AG155" s="1076"/>
      <c r="AH155" s="2404"/>
      <c r="AI155" s="2404"/>
      <c r="AJ155" s="2607"/>
      <c r="AK155" s="927"/>
      <c r="AL155" s="1076"/>
      <c r="AM155" s="927"/>
      <c r="AN155" s="685"/>
      <c r="AO155" s="517"/>
      <c r="AP155" s="413"/>
      <c r="AQ155" s="414"/>
      <c r="AR155" s="812"/>
      <c r="AS155" s="812"/>
      <c r="AT155" s="410"/>
      <c r="AU155" s="982"/>
      <c r="AV155" s="976"/>
      <c r="AW155" s="820"/>
      <c r="AX155" s="810"/>
      <c r="AY155" s="983"/>
      <c r="AZ155" s="983"/>
      <c r="BA155" s="819"/>
      <c r="BB155" s="820"/>
      <c r="BC155" s="811"/>
      <c r="BD155" s="410"/>
      <c r="BE155" s="410"/>
      <c r="BF155" s="410"/>
      <c r="BG155" s="410"/>
      <c r="BH155" s="974"/>
      <c r="BI155" s="974"/>
      <c r="BJ155" s="410"/>
      <c r="BK155" s="2073"/>
      <c r="BL155" s="410"/>
      <c r="BM155" s="410"/>
      <c r="BN155" s="410"/>
      <c r="BO155" s="685"/>
      <c r="BP155" s="399"/>
      <c r="BR155" s="405"/>
      <c r="BS155" s="405"/>
      <c r="BT155" s="405"/>
      <c r="BU155" s="405"/>
      <c r="BV155" s="405"/>
      <c r="BW155" s="405"/>
      <c r="BX155" s="405"/>
      <c r="BY155" s="405"/>
      <c r="BZ155" s="405"/>
      <c r="CA155" s="405"/>
      <c r="CB155" s="405"/>
      <c r="CC155" s="405"/>
      <c r="CD155" s="405"/>
      <c r="CE155" s="405"/>
    </row>
    <row r="156" spans="1:83" ht="13.5" customHeight="1">
      <c r="A156" s="1483"/>
      <c r="B156" s="1483"/>
      <c r="C156" s="2467"/>
      <c r="D156" s="2084"/>
      <c r="E156" s="1080"/>
      <c r="F156" s="2082"/>
      <c r="G156" s="912"/>
      <c r="H156" s="912"/>
      <c r="I156" s="2601"/>
      <c r="J156" s="2601"/>
      <c r="K156" s="2602"/>
      <c r="L156" s="2602"/>
      <c r="M156" s="2604"/>
      <c r="N156" s="2593"/>
      <c r="O156" s="2589"/>
      <c r="P156" s="2590"/>
      <c r="Q156" s="2591"/>
      <c r="R156" s="2600"/>
      <c r="S156" s="2592"/>
      <c r="T156" s="2593"/>
      <c r="U156" s="2594"/>
      <c r="V156" s="2595"/>
      <c r="W156" s="2596"/>
      <c r="X156" s="2597"/>
      <c r="Y156" s="2596"/>
      <c r="Z156" s="2598"/>
      <c r="AA156" s="2598"/>
      <c r="AB156" s="2598"/>
      <c r="AC156" s="1076"/>
      <c r="AD156" s="1076"/>
      <c r="AE156" s="410"/>
      <c r="AF156" s="809"/>
      <c r="AG156" s="1076"/>
      <c r="AH156" s="2404"/>
      <c r="AI156" s="2404"/>
      <c r="AJ156" s="2607"/>
      <c r="AK156" s="927"/>
      <c r="AL156" s="1076"/>
      <c r="AM156" s="927"/>
      <c r="AN156" s="685"/>
      <c r="AO156" s="517"/>
      <c r="AP156" s="413"/>
      <c r="AQ156" s="414"/>
      <c r="AR156" s="812"/>
      <c r="AS156" s="812"/>
      <c r="AT156" s="410"/>
      <c r="AU156" s="982"/>
      <c r="AV156" s="976"/>
      <c r="AW156" s="820"/>
      <c r="AX156" s="810"/>
      <c r="AY156" s="983"/>
      <c r="AZ156" s="983"/>
      <c r="BA156" s="819"/>
      <c r="BB156" s="820"/>
      <c r="BC156" s="811"/>
      <c r="BD156" s="410"/>
      <c r="BE156" s="410"/>
      <c r="BF156" s="410"/>
      <c r="BG156" s="410"/>
      <c r="BH156" s="974"/>
      <c r="BI156" s="974"/>
      <c r="BJ156" s="410"/>
      <c r="BK156" s="2073"/>
      <c r="BL156" s="410"/>
      <c r="BM156" s="410"/>
      <c r="BN156" s="410"/>
      <c r="BO156" s="685"/>
      <c r="BP156" s="399"/>
      <c r="BR156" s="405"/>
      <c r="BS156" s="405"/>
      <c r="BT156" s="405"/>
      <c r="BU156" s="405"/>
      <c r="BV156" s="405"/>
      <c r="BW156" s="405"/>
      <c r="BX156" s="405"/>
      <c r="BY156" s="405"/>
      <c r="BZ156" s="405"/>
      <c r="CA156" s="405"/>
      <c r="CB156" s="405"/>
      <c r="CC156" s="405"/>
      <c r="CD156" s="405"/>
      <c r="CE156" s="405"/>
    </row>
    <row r="157" spans="1:83" ht="13.5" customHeight="1">
      <c r="A157" s="1483"/>
      <c r="B157" s="1483"/>
      <c r="C157" s="2467"/>
      <c r="D157" s="2084"/>
      <c r="E157" s="1080"/>
      <c r="F157" s="2082"/>
      <c r="G157" s="912"/>
      <c r="H157" s="912"/>
      <c r="I157" s="2601"/>
      <c r="J157" s="2601"/>
      <c r="K157" s="2602"/>
      <c r="L157" s="2602"/>
      <c r="M157" s="2604"/>
      <c r="N157" s="2593"/>
      <c r="O157" s="2589"/>
      <c r="P157" s="2590"/>
      <c r="Q157" s="2591"/>
      <c r="R157" s="2600"/>
      <c r="S157" s="2592"/>
      <c r="T157" s="2593"/>
      <c r="U157" s="2594"/>
      <c r="V157" s="2595"/>
      <c r="W157" s="2596"/>
      <c r="X157" s="2597"/>
      <c r="Y157" s="2596"/>
      <c r="Z157" s="2598"/>
      <c r="AA157" s="2598"/>
      <c r="AB157" s="2598"/>
      <c r="AC157" s="1076"/>
      <c r="AD157" s="1076"/>
      <c r="AE157" s="410"/>
      <c r="AF157" s="809"/>
      <c r="AG157" s="1076"/>
      <c r="AH157" s="2404"/>
      <c r="AI157" s="2404"/>
      <c r="AJ157" s="2607"/>
      <c r="AK157" s="927"/>
      <c r="AL157" s="1076"/>
      <c r="AM157" s="927"/>
      <c r="AN157" s="685"/>
      <c r="AO157" s="517"/>
      <c r="AP157" s="413"/>
      <c r="AQ157" s="414"/>
      <c r="AR157" s="812"/>
      <c r="AS157" s="812"/>
      <c r="AT157" s="410"/>
      <c r="AU157" s="982"/>
      <c r="AV157" s="976"/>
      <c r="AW157" s="820"/>
      <c r="AX157" s="810"/>
      <c r="AY157" s="983"/>
      <c r="AZ157" s="983"/>
      <c r="BA157" s="819"/>
      <c r="BB157" s="820"/>
      <c r="BC157" s="811"/>
      <c r="BD157" s="410"/>
      <c r="BE157" s="410"/>
      <c r="BF157" s="410"/>
      <c r="BG157" s="410"/>
      <c r="BH157" s="974"/>
      <c r="BI157" s="974"/>
      <c r="BJ157" s="410"/>
      <c r="BK157" s="2073"/>
      <c r="BL157" s="410"/>
      <c r="BM157" s="410"/>
      <c r="BN157" s="410"/>
      <c r="BO157" s="685"/>
      <c r="BP157" s="399"/>
      <c r="BR157" s="405"/>
      <c r="BS157" s="405"/>
      <c r="BT157" s="405"/>
      <c r="BU157" s="405"/>
      <c r="BV157" s="405"/>
      <c r="BW157" s="405"/>
      <c r="BX157" s="405"/>
      <c r="BY157" s="405"/>
      <c r="BZ157" s="405"/>
      <c r="CA157" s="405"/>
      <c r="CB157" s="405"/>
      <c r="CC157" s="405"/>
      <c r="CD157" s="405"/>
      <c r="CE157" s="405"/>
    </row>
    <row r="158" spans="1:83" ht="13.5" customHeight="1">
      <c r="A158" s="1483"/>
      <c r="B158" s="1483"/>
      <c r="C158" s="2467"/>
      <c r="D158" s="2084"/>
      <c r="E158" s="1080"/>
      <c r="F158" s="2082"/>
      <c r="G158" s="912"/>
      <c r="H158" s="912"/>
      <c r="I158" s="2601"/>
      <c r="J158" s="2601"/>
      <c r="K158" s="2602"/>
      <c r="L158" s="2602"/>
      <c r="M158" s="2604"/>
      <c r="N158" s="2593"/>
      <c r="O158" s="2589"/>
      <c r="P158" s="2590"/>
      <c r="Q158" s="2591"/>
      <c r="R158" s="2600"/>
      <c r="S158" s="2592"/>
      <c r="T158" s="2593"/>
      <c r="U158" s="2594"/>
      <c r="V158" s="2595"/>
      <c r="W158" s="2596"/>
      <c r="X158" s="2597"/>
      <c r="Y158" s="2596"/>
      <c r="Z158" s="2598"/>
      <c r="AA158" s="2598"/>
      <c r="AB158" s="2598"/>
      <c r="AC158" s="1076"/>
      <c r="AD158" s="1076"/>
      <c r="AE158" s="410"/>
      <c r="AF158" s="809"/>
      <c r="AG158" s="1076"/>
      <c r="AH158" s="2404"/>
      <c r="AI158" s="2404"/>
      <c r="AJ158" s="2607"/>
      <c r="AK158" s="927"/>
      <c r="AL158" s="1076"/>
      <c r="AM158" s="927"/>
      <c r="AN158" s="685"/>
      <c r="AO158" s="517"/>
      <c r="AP158" s="413"/>
      <c r="AQ158" s="414"/>
      <c r="AR158" s="812"/>
      <c r="AS158" s="812"/>
      <c r="AT158" s="410"/>
      <c r="AU158" s="982"/>
      <c r="AV158" s="976"/>
      <c r="AW158" s="820"/>
      <c r="AX158" s="810"/>
      <c r="AY158" s="983"/>
      <c r="AZ158" s="983"/>
      <c r="BA158" s="819"/>
      <c r="BB158" s="820"/>
      <c r="BC158" s="811"/>
      <c r="BD158" s="410"/>
      <c r="BE158" s="410"/>
      <c r="BF158" s="410"/>
      <c r="BG158" s="410"/>
      <c r="BH158" s="974"/>
      <c r="BI158" s="974"/>
      <c r="BJ158" s="410"/>
      <c r="BK158" s="2073"/>
      <c r="BL158" s="410"/>
      <c r="BM158" s="410"/>
      <c r="BN158" s="410"/>
      <c r="BO158" s="685"/>
      <c r="BP158" s="399"/>
      <c r="BR158" s="405"/>
      <c r="BS158" s="405"/>
      <c r="BT158" s="405"/>
      <c r="BU158" s="405"/>
      <c r="BV158" s="405"/>
      <c r="BW158" s="405"/>
      <c r="BX158" s="405"/>
      <c r="BY158" s="405"/>
      <c r="BZ158" s="405"/>
      <c r="CA158" s="405"/>
      <c r="CB158" s="405"/>
      <c r="CC158" s="405"/>
      <c r="CD158" s="405"/>
      <c r="CE158" s="405"/>
    </row>
    <row r="159" spans="1:83" ht="13.5" customHeight="1">
      <c r="A159" s="1483"/>
      <c r="B159" s="1483"/>
      <c r="C159" s="2467"/>
      <c r="D159" s="2084"/>
      <c r="E159" s="1080"/>
      <c r="F159" s="2082"/>
      <c r="G159" s="912"/>
      <c r="H159" s="912"/>
      <c r="I159" s="2601"/>
      <c r="J159" s="2601"/>
      <c r="K159" s="2603"/>
      <c r="L159" s="2602"/>
      <c r="M159" s="2604"/>
      <c r="N159" s="2593"/>
      <c r="O159" s="2589"/>
      <c r="P159" s="2590"/>
      <c r="Q159" s="2591"/>
      <c r="R159" s="2600"/>
      <c r="S159" s="2592"/>
      <c r="T159" s="2593"/>
      <c r="U159" s="2594"/>
      <c r="V159" s="2595"/>
      <c r="W159" s="2596"/>
      <c r="X159" s="2597"/>
      <c r="Y159" s="2596"/>
      <c r="Z159" s="2598"/>
      <c r="AA159" s="2598"/>
      <c r="AB159" s="2598"/>
      <c r="AC159" s="1076"/>
      <c r="AD159" s="1076"/>
      <c r="AE159" s="410"/>
      <c r="AF159" s="809"/>
      <c r="AG159" s="1076"/>
      <c r="AH159" s="2404"/>
      <c r="AI159" s="2404"/>
      <c r="AJ159" s="2607"/>
      <c r="AK159" s="927"/>
      <c r="AL159" s="1076"/>
      <c r="AM159" s="927"/>
      <c r="AN159" s="685"/>
      <c r="AO159" s="517"/>
      <c r="AP159" s="413"/>
      <c r="AQ159" s="414"/>
      <c r="AR159" s="812"/>
      <c r="AS159" s="812"/>
      <c r="AT159" s="410"/>
      <c r="AU159" s="982"/>
      <c r="AV159" s="976"/>
      <c r="AW159" s="820"/>
      <c r="AX159" s="810"/>
      <c r="AY159" s="983"/>
      <c r="AZ159" s="983"/>
      <c r="BA159" s="819"/>
      <c r="BB159" s="820"/>
      <c r="BC159" s="811"/>
      <c r="BD159" s="410"/>
      <c r="BE159" s="410"/>
      <c r="BF159" s="410"/>
      <c r="BG159" s="410"/>
      <c r="BH159" s="974"/>
      <c r="BI159" s="974"/>
      <c r="BJ159" s="410"/>
      <c r="BK159" s="2073"/>
      <c r="BL159" s="410"/>
      <c r="BM159" s="410"/>
      <c r="BN159" s="410"/>
      <c r="BO159" s="685"/>
      <c r="BP159" s="399"/>
      <c r="BR159" s="405"/>
      <c r="BS159" s="405"/>
      <c r="BT159" s="405"/>
      <c r="BU159" s="405"/>
      <c r="BV159" s="405"/>
      <c r="BW159" s="405"/>
      <c r="BX159" s="405"/>
      <c r="BY159" s="405"/>
      <c r="BZ159" s="405"/>
      <c r="CA159" s="405"/>
      <c r="CB159" s="405"/>
      <c r="CC159" s="405"/>
      <c r="CD159" s="405"/>
      <c r="CE159" s="405"/>
    </row>
    <row r="160" spans="1:83" s="407" customFormat="1" ht="12" customHeight="1">
      <c r="A160" s="1483"/>
      <c r="B160" s="1483"/>
      <c r="C160" s="2467"/>
      <c r="D160" s="2084"/>
      <c r="E160" s="1080"/>
      <c r="F160" s="2082"/>
      <c r="G160" s="912"/>
      <c r="H160" s="912"/>
      <c r="I160" s="2601"/>
      <c r="J160" s="2601"/>
      <c r="K160" s="2602"/>
      <c r="L160" s="2602"/>
      <c r="M160" s="2604"/>
      <c r="N160" s="2593"/>
      <c r="O160" s="2589"/>
      <c r="P160" s="2590"/>
      <c r="Q160" s="2591"/>
      <c r="R160" s="2600"/>
      <c r="S160" s="2592"/>
      <c r="T160" s="2593"/>
      <c r="U160" s="2594"/>
      <c r="V160" s="2595"/>
      <c r="W160" s="2596"/>
      <c r="X160" s="2597"/>
      <c r="Y160" s="2596"/>
      <c r="Z160" s="2598"/>
      <c r="AA160" s="2598"/>
      <c r="AB160" s="2598"/>
      <c r="AC160" s="1076"/>
      <c r="AD160" s="1076"/>
      <c r="AE160" s="410"/>
      <c r="AF160" s="809"/>
      <c r="AG160" s="1076"/>
      <c r="AH160" s="2404"/>
      <c r="AI160" s="2404"/>
      <c r="AJ160" s="2607"/>
      <c r="AK160" s="927"/>
      <c r="AL160" s="1076"/>
      <c r="AM160" s="927"/>
      <c r="AN160" s="685"/>
      <c r="AO160" s="517"/>
      <c r="AP160" s="413"/>
      <c r="AQ160" s="414"/>
      <c r="AR160" s="812"/>
      <c r="AS160" s="812"/>
      <c r="AT160" s="410"/>
      <c r="AU160" s="982"/>
      <c r="AV160" s="976"/>
      <c r="AW160" s="820"/>
      <c r="AX160" s="810"/>
      <c r="AY160" s="983"/>
      <c r="AZ160" s="983"/>
      <c r="BA160" s="819"/>
      <c r="BB160" s="820"/>
      <c r="BC160" s="811"/>
      <c r="BD160" s="410"/>
      <c r="BE160" s="410"/>
      <c r="BF160" s="410"/>
      <c r="BG160" s="410"/>
      <c r="BH160" s="974"/>
      <c r="BI160" s="974"/>
      <c r="BJ160" s="410"/>
      <c r="BK160" s="2073"/>
      <c r="BL160" s="410"/>
      <c r="BM160" s="410"/>
      <c r="BN160" s="410"/>
      <c r="BO160" s="685"/>
      <c r="BP160" s="399"/>
      <c r="BR160" s="405"/>
      <c r="BS160" s="405"/>
      <c r="BT160" s="405"/>
      <c r="BU160" s="405"/>
      <c r="BV160" s="405"/>
      <c r="BW160" s="405"/>
      <c r="BX160" s="405"/>
      <c r="BY160" s="405"/>
      <c r="BZ160" s="405"/>
      <c r="CA160" s="405"/>
      <c r="CB160" s="405"/>
      <c r="CC160" s="405"/>
      <c r="CD160" s="405"/>
      <c r="CE160" s="405"/>
    </row>
    <row r="161" spans="1:84" s="407" customFormat="1" ht="12" customHeight="1">
      <c r="A161" s="1483"/>
      <c r="B161" s="1483"/>
      <c r="C161" s="2467"/>
      <c r="D161" s="2084"/>
      <c r="E161" s="1080"/>
      <c r="F161" s="2082"/>
      <c r="G161" s="912"/>
      <c r="H161" s="912"/>
      <c r="I161" s="2601"/>
      <c r="J161" s="2601"/>
      <c r="K161" s="2603"/>
      <c r="L161" s="2602"/>
      <c r="M161" s="2604"/>
      <c r="N161" s="2593"/>
      <c r="O161" s="2589"/>
      <c r="P161" s="2590"/>
      <c r="Q161" s="2591"/>
      <c r="R161" s="2600"/>
      <c r="S161" s="2592"/>
      <c r="T161" s="2593"/>
      <c r="U161" s="2594"/>
      <c r="V161" s="2595"/>
      <c r="W161" s="2596"/>
      <c r="X161" s="2597"/>
      <c r="Y161" s="2596"/>
      <c r="Z161" s="2598"/>
      <c r="AA161" s="2598"/>
      <c r="AB161" s="2598"/>
      <c r="AC161" s="1076"/>
      <c r="AD161" s="1076"/>
      <c r="AE161" s="410"/>
      <c r="AF161" s="809"/>
      <c r="AG161" s="1076"/>
      <c r="AH161" s="2404"/>
      <c r="AI161" s="2404"/>
      <c r="AJ161" s="2607"/>
      <c r="AK161" s="927"/>
      <c r="AL161" s="1076"/>
      <c r="AM161" s="927"/>
      <c r="AN161" s="685"/>
      <c r="AO161" s="517"/>
      <c r="AP161" s="413"/>
      <c r="AQ161" s="414"/>
      <c r="AR161" s="812"/>
      <c r="AS161" s="812"/>
      <c r="AT161" s="410"/>
      <c r="AU161" s="982"/>
      <c r="AV161" s="976"/>
      <c r="AW161" s="820"/>
      <c r="AX161" s="810"/>
      <c r="AY161" s="983"/>
      <c r="AZ161" s="983"/>
      <c r="BA161" s="819"/>
      <c r="BB161" s="820"/>
      <c r="BC161" s="811"/>
      <c r="BD161" s="410"/>
      <c r="BE161" s="410"/>
      <c r="BF161" s="410"/>
      <c r="BG161" s="410"/>
      <c r="BH161" s="974"/>
      <c r="BI161" s="974"/>
      <c r="BJ161" s="410"/>
      <c r="BK161" s="2073"/>
      <c r="BL161" s="410"/>
      <c r="BM161" s="410"/>
      <c r="BN161" s="410"/>
      <c r="BO161" s="685"/>
      <c r="BP161" s="399"/>
      <c r="BR161" s="405"/>
      <c r="BS161" s="405"/>
      <c r="BT161" s="405"/>
      <c r="BU161" s="405"/>
      <c r="BV161" s="405"/>
      <c r="BW161" s="405"/>
      <c r="BX161" s="405"/>
      <c r="BY161" s="405"/>
      <c r="BZ161" s="405"/>
      <c r="CA161" s="405"/>
      <c r="CB161" s="405"/>
      <c r="CC161" s="405"/>
      <c r="CD161" s="405"/>
      <c r="CE161" s="405"/>
    </row>
    <row r="162" spans="1:84" ht="13.5" customHeight="1">
      <c r="A162" s="1483"/>
      <c r="B162" s="1483"/>
      <c r="C162" s="985"/>
      <c r="D162" s="2084"/>
      <c r="E162" s="1080"/>
      <c r="F162" s="2082"/>
      <c r="G162" s="912"/>
      <c r="H162" s="912"/>
      <c r="I162" s="2601"/>
      <c r="J162" s="2601"/>
      <c r="K162" s="2602"/>
      <c r="L162" s="2602"/>
      <c r="M162" s="2604"/>
      <c r="N162" s="2593"/>
      <c r="O162" s="2589"/>
      <c r="P162" s="2590"/>
      <c r="Q162" s="2591"/>
      <c r="R162" s="2600"/>
      <c r="S162" s="2592"/>
      <c r="T162" s="2593"/>
      <c r="U162" s="2594"/>
      <c r="V162" s="2595"/>
      <c r="W162" s="2596"/>
      <c r="X162" s="2597"/>
      <c r="Y162" s="2596"/>
      <c r="Z162" s="2598"/>
      <c r="AA162" s="2598"/>
      <c r="AB162" s="2598"/>
      <c r="AC162" s="406"/>
      <c r="AD162" s="685"/>
      <c r="AE162" s="410"/>
      <c r="AF162" s="809"/>
      <c r="AG162" s="1076"/>
      <c r="AH162" s="2404"/>
      <c r="AI162" s="2404"/>
      <c r="AJ162" s="2607"/>
      <c r="AK162" s="927"/>
      <c r="AL162" s="1076"/>
      <c r="AM162" s="927"/>
      <c r="AN162" s="685"/>
      <c r="AO162" s="517"/>
      <c r="AP162" s="413"/>
      <c r="AQ162" s="414"/>
      <c r="AR162" s="812"/>
      <c r="AS162" s="812"/>
      <c r="AT162" s="410"/>
      <c r="AU162" s="982"/>
      <c r="AV162" s="976"/>
      <c r="AW162" s="820"/>
      <c r="AX162" s="810"/>
      <c r="AY162" s="983"/>
      <c r="AZ162" s="983"/>
      <c r="BA162" s="819"/>
      <c r="BB162" s="820"/>
      <c r="BC162" s="811"/>
      <c r="BD162" s="410"/>
      <c r="BE162" s="410"/>
      <c r="BF162" s="410"/>
      <c r="BG162" s="410"/>
      <c r="BH162" s="974"/>
      <c r="BI162" s="974"/>
      <c r="BJ162" s="410"/>
      <c r="BK162" s="2073"/>
      <c r="BL162" s="410"/>
      <c r="BM162" s="410"/>
      <c r="BN162" s="410"/>
      <c r="BO162" s="685"/>
      <c r="BP162" s="399"/>
      <c r="BR162" s="2500"/>
      <c r="BS162" s="405"/>
      <c r="BT162" s="405"/>
      <c r="BU162" s="405"/>
      <c r="BV162" s="2500"/>
      <c r="BW162" s="405"/>
      <c r="BX162" s="405"/>
      <c r="BY162" s="405"/>
      <c r="BZ162" s="2500"/>
      <c r="CA162" s="405"/>
      <c r="CB162" s="405"/>
      <c r="CC162" s="405"/>
      <c r="CD162" s="2500"/>
      <c r="CE162" s="405"/>
      <c r="CF162" s="404"/>
    </row>
    <row r="163" spans="1:84" ht="13.5" customHeight="1">
      <c r="A163" s="1483"/>
      <c r="B163" s="1483"/>
      <c r="C163" s="985"/>
      <c r="D163" s="2084"/>
      <c r="E163" s="1080"/>
      <c r="F163" s="2082"/>
      <c r="G163" s="912"/>
      <c r="H163" s="912"/>
      <c r="I163" s="2601"/>
      <c r="J163" s="2601"/>
      <c r="K163" s="2602"/>
      <c r="L163" s="2602"/>
      <c r="M163" s="2604"/>
      <c r="N163" s="2593"/>
      <c r="O163" s="2589"/>
      <c r="P163" s="2590"/>
      <c r="Q163" s="2591"/>
      <c r="R163" s="2600"/>
      <c r="S163" s="2592"/>
      <c r="T163" s="2593"/>
      <c r="U163" s="2594"/>
      <c r="V163" s="2595"/>
      <c r="W163" s="2596"/>
      <c r="X163" s="2597"/>
      <c r="Y163" s="2596"/>
      <c r="Z163" s="2598"/>
      <c r="AA163" s="2598"/>
      <c r="AB163" s="2598"/>
      <c r="AC163" s="406"/>
      <c r="AD163" s="685"/>
      <c r="AE163" s="410"/>
      <c r="AF163" s="809"/>
      <c r="AG163" s="1076"/>
      <c r="AH163" s="2404"/>
      <c r="AI163" s="2404"/>
      <c r="AJ163" s="2607"/>
      <c r="AK163" s="927"/>
      <c r="AL163" s="1076"/>
      <c r="AM163" s="927"/>
      <c r="AN163" s="685"/>
      <c r="AO163" s="517"/>
      <c r="AP163" s="413"/>
      <c r="AQ163" s="414"/>
      <c r="AR163" s="812"/>
      <c r="AS163" s="812"/>
      <c r="AT163" s="410"/>
      <c r="AU163" s="982"/>
      <c r="AV163" s="976"/>
      <c r="AW163" s="820"/>
      <c r="AX163" s="810"/>
      <c r="AY163" s="983"/>
      <c r="AZ163" s="983"/>
      <c r="BA163" s="819"/>
      <c r="BB163" s="820"/>
      <c r="BC163" s="811"/>
      <c r="BD163" s="410"/>
      <c r="BE163" s="410"/>
      <c r="BF163" s="410"/>
      <c r="BG163" s="410"/>
      <c r="BH163" s="974"/>
      <c r="BI163" s="974"/>
      <c r="BJ163" s="410"/>
      <c r="BK163" s="2073"/>
      <c r="BL163" s="410"/>
      <c r="BM163" s="410"/>
      <c r="BN163" s="410"/>
      <c r="BO163" s="685"/>
      <c r="BP163" s="399"/>
      <c r="BR163" s="405"/>
      <c r="BS163" s="405"/>
      <c r="BT163" s="405"/>
      <c r="BU163" s="405"/>
      <c r="BV163" s="2500"/>
      <c r="BW163" s="405"/>
      <c r="BX163" s="405"/>
      <c r="BY163" s="405"/>
      <c r="BZ163" s="405"/>
      <c r="CA163" s="405"/>
      <c r="CB163" s="405"/>
      <c r="CC163" s="405"/>
      <c r="CD163" s="2501"/>
      <c r="CE163" s="405"/>
      <c r="CF163" s="404"/>
    </row>
    <row r="164" spans="1:84" ht="13.5" customHeight="1">
      <c r="A164" s="1483"/>
      <c r="B164" s="1483"/>
      <c r="C164" s="985"/>
      <c r="D164" s="2084"/>
      <c r="E164" s="1080"/>
      <c r="F164" s="2082"/>
      <c r="G164" s="912"/>
      <c r="H164" s="912"/>
      <c r="I164" s="2601"/>
      <c r="J164" s="2601"/>
      <c r="K164" s="2602"/>
      <c r="L164" s="2602"/>
      <c r="M164" s="2604"/>
      <c r="N164" s="2593"/>
      <c r="O164" s="2589"/>
      <c r="P164" s="2590"/>
      <c r="Q164" s="2591"/>
      <c r="R164" s="2600"/>
      <c r="S164" s="2592"/>
      <c r="T164" s="2593"/>
      <c r="U164" s="2594"/>
      <c r="V164" s="2595"/>
      <c r="W164" s="2596"/>
      <c r="X164" s="2597"/>
      <c r="Y164" s="2596"/>
      <c r="Z164" s="2598"/>
      <c r="AA164" s="2598"/>
      <c r="AB164" s="2598"/>
      <c r="AC164" s="1076"/>
      <c r="AD164" s="1076"/>
      <c r="AE164" s="410"/>
      <c r="AF164" s="809"/>
      <c r="AG164" s="1076"/>
      <c r="AH164" s="2404"/>
      <c r="AI164" s="2404"/>
      <c r="AJ164" s="2607"/>
      <c r="AK164" s="927"/>
      <c r="AL164" s="1076"/>
      <c r="AM164" s="927"/>
      <c r="AN164" s="685"/>
      <c r="AO164" s="517"/>
      <c r="AP164" s="413"/>
      <c r="AQ164" s="414"/>
      <c r="AR164" s="812"/>
      <c r="AS164" s="812"/>
      <c r="AT164" s="410"/>
      <c r="AU164" s="982"/>
      <c r="AV164" s="976"/>
      <c r="AW164" s="820"/>
      <c r="AX164" s="810"/>
      <c r="AY164" s="983"/>
      <c r="AZ164" s="983"/>
      <c r="BA164" s="819"/>
      <c r="BB164" s="820"/>
      <c r="BC164" s="811"/>
      <c r="BD164" s="410"/>
      <c r="BE164" s="410"/>
      <c r="BF164" s="410"/>
      <c r="BG164" s="410"/>
      <c r="BH164" s="974"/>
      <c r="BI164" s="974"/>
      <c r="BJ164" s="410"/>
      <c r="BK164" s="2073"/>
      <c r="BL164" s="410"/>
      <c r="BM164" s="410"/>
      <c r="BN164" s="410"/>
      <c r="BO164" s="685"/>
      <c r="BP164" s="399"/>
      <c r="BR164" s="405"/>
      <c r="BS164" s="405"/>
      <c r="BT164" s="405"/>
      <c r="BU164" s="405"/>
      <c r="BV164" s="2500"/>
      <c r="BW164" s="405"/>
      <c r="BX164" s="405"/>
      <c r="BY164" s="405"/>
      <c r="BZ164" s="405"/>
      <c r="CA164" s="405"/>
      <c r="CB164" s="405"/>
      <c r="CC164" s="405"/>
      <c r="CD164" s="405"/>
      <c r="CE164" s="405"/>
      <c r="CF164" s="404"/>
    </row>
    <row r="165" spans="1:84" ht="13.5" customHeight="1">
      <c r="A165" s="1483"/>
      <c r="B165" s="1483"/>
      <c r="C165" s="985"/>
      <c r="D165" s="2084"/>
      <c r="E165" s="1080"/>
      <c r="F165" s="2082"/>
      <c r="G165" s="912"/>
      <c r="H165" s="912"/>
      <c r="I165" s="2601"/>
      <c r="J165" s="2601"/>
      <c r="K165" s="2602"/>
      <c r="L165" s="2602"/>
      <c r="M165" s="2604"/>
      <c r="N165" s="2593"/>
      <c r="O165" s="2589"/>
      <c r="P165" s="2590"/>
      <c r="Q165" s="2591"/>
      <c r="R165" s="2600"/>
      <c r="S165" s="2592"/>
      <c r="T165" s="2593"/>
      <c r="U165" s="2594"/>
      <c r="V165" s="2595"/>
      <c r="W165" s="2596"/>
      <c r="X165" s="2597"/>
      <c r="Y165" s="2596"/>
      <c r="Z165" s="2598"/>
      <c r="AA165" s="2598"/>
      <c r="AB165" s="2598"/>
      <c r="AC165" s="1076"/>
      <c r="AD165" s="1076"/>
      <c r="AE165" s="410"/>
      <c r="AF165" s="809"/>
      <c r="AG165" s="1076"/>
      <c r="AH165" s="2404"/>
      <c r="AI165" s="2404"/>
      <c r="AJ165" s="2607"/>
      <c r="AK165" s="927"/>
      <c r="AL165" s="1076"/>
      <c r="AM165" s="927"/>
      <c r="AN165" s="685"/>
      <c r="AO165" s="517"/>
      <c r="AP165" s="413"/>
      <c r="AQ165" s="414"/>
      <c r="AR165" s="812"/>
      <c r="AS165" s="812"/>
      <c r="AT165" s="410"/>
      <c r="AU165" s="982"/>
      <c r="AV165" s="976"/>
      <c r="AW165" s="820"/>
      <c r="AX165" s="810"/>
      <c r="AY165" s="983"/>
      <c r="AZ165" s="983"/>
      <c r="BA165" s="819"/>
      <c r="BB165" s="820"/>
      <c r="BC165" s="811"/>
      <c r="BD165" s="410"/>
      <c r="BE165" s="410"/>
      <c r="BF165" s="410"/>
      <c r="BG165" s="410"/>
      <c r="BH165" s="974"/>
      <c r="BI165" s="974"/>
      <c r="BJ165" s="410"/>
      <c r="BK165" s="2073"/>
      <c r="BL165" s="410"/>
      <c r="BM165" s="410"/>
      <c r="BN165" s="410"/>
      <c r="BO165" s="685"/>
      <c r="BP165" s="399"/>
      <c r="BR165" s="2501"/>
      <c r="BS165" s="405"/>
      <c r="BT165" s="405"/>
      <c r="BU165" s="405"/>
      <c r="BV165" s="2500"/>
      <c r="BW165" s="405"/>
      <c r="BX165" s="405"/>
      <c r="BY165" s="405"/>
      <c r="BZ165" s="405"/>
      <c r="CA165" s="405"/>
      <c r="CB165" s="405"/>
      <c r="CC165" s="405"/>
      <c r="CD165" s="405"/>
      <c r="CE165" s="405"/>
      <c r="CF165" s="404"/>
    </row>
    <row r="166" spans="1:84" ht="13.5" customHeight="1">
      <c r="A166" s="1483"/>
      <c r="B166" s="1483"/>
      <c r="C166" s="985"/>
      <c r="D166" s="2084"/>
      <c r="E166" s="1080"/>
      <c r="F166" s="2082"/>
      <c r="G166" s="912"/>
      <c r="H166" s="912"/>
      <c r="I166" s="2601"/>
      <c r="J166" s="2601"/>
      <c r="K166" s="2602"/>
      <c r="L166" s="2603"/>
      <c r="M166" s="2604"/>
      <c r="N166" s="2593"/>
      <c r="O166" s="2589"/>
      <c r="P166" s="2590"/>
      <c r="Q166" s="2591"/>
      <c r="R166" s="2600"/>
      <c r="S166" s="2592"/>
      <c r="T166" s="2593"/>
      <c r="U166" s="2594"/>
      <c r="V166" s="2595"/>
      <c r="W166" s="2596"/>
      <c r="X166" s="2597"/>
      <c r="Y166" s="2596"/>
      <c r="Z166" s="2598"/>
      <c r="AA166" s="2598"/>
      <c r="AB166" s="2598"/>
      <c r="AC166" s="1076"/>
      <c r="AD166" s="1076"/>
      <c r="AE166" s="410"/>
      <c r="AF166" s="809"/>
      <c r="AG166" s="1076"/>
      <c r="AH166" s="2404"/>
      <c r="AI166" s="2404"/>
      <c r="AJ166" s="2607"/>
      <c r="AK166" s="927"/>
      <c r="AL166" s="1076"/>
      <c r="AM166" s="927"/>
      <c r="AN166" s="685"/>
      <c r="AO166" s="517"/>
      <c r="AP166" s="413"/>
      <c r="AQ166" s="414"/>
      <c r="AR166" s="812"/>
      <c r="AS166" s="812"/>
      <c r="AT166" s="410"/>
      <c r="AU166" s="982"/>
      <c r="AV166" s="976"/>
      <c r="AW166" s="820"/>
      <c r="AX166" s="810"/>
      <c r="AY166" s="983"/>
      <c r="AZ166" s="983"/>
      <c r="BA166" s="819"/>
      <c r="BB166" s="820"/>
      <c r="BC166" s="811"/>
      <c r="BD166" s="410"/>
      <c r="BE166" s="410"/>
      <c r="BF166" s="410"/>
      <c r="BG166" s="410"/>
      <c r="BH166" s="974"/>
      <c r="BI166" s="974"/>
      <c r="BJ166" s="410"/>
      <c r="BK166" s="2073"/>
      <c r="BL166" s="410"/>
      <c r="BM166" s="410"/>
      <c r="BN166" s="410"/>
      <c r="BO166" s="685"/>
      <c r="BP166" s="399"/>
      <c r="BR166" s="405"/>
      <c r="BS166" s="405"/>
      <c r="BT166" s="405"/>
      <c r="BU166" s="405"/>
      <c r="BV166" s="2500"/>
      <c r="BW166" s="405"/>
      <c r="BX166" s="405"/>
      <c r="BY166" s="405"/>
      <c r="BZ166" s="405"/>
      <c r="CA166" s="405"/>
      <c r="CB166" s="405"/>
      <c r="CC166" s="405"/>
      <c r="CD166" s="405"/>
      <c r="CE166" s="405"/>
      <c r="CF166" s="404"/>
    </row>
    <row r="167" spans="1:84" ht="13.5" customHeight="1">
      <c r="A167" s="1483"/>
      <c r="B167" s="1483"/>
      <c r="C167" s="985"/>
      <c r="D167" s="2084"/>
      <c r="E167" s="1080"/>
      <c r="F167" s="2082"/>
      <c r="G167" s="912"/>
      <c r="H167" s="912"/>
      <c r="I167" s="2601"/>
      <c r="J167" s="2601"/>
      <c r="K167" s="2602"/>
      <c r="L167" s="2603"/>
      <c r="M167" s="2604"/>
      <c r="N167" s="2593"/>
      <c r="O167" s="2589"/>
      <c r="P167" s="2590"/>
      <c r="Q167" s="2591"/>
      <c r="R167" s="2600"/>
      <c r="S167" s="2592"/>
      <c r="T167" s="2593"/>
      <c r="U167" s="2594"/>
      <c r="V167" s="2595"/>
      <c r="W167" s="2596"/>
      <c r="X167" s="2597"/>
      <c r="Y167" s="2596"/>
      <c r="Z167" s="2598"/>
      <c r="AA167" s="2598"/>
      <c r="AB167" s="2598"/>
      <c r="AC167" s="1076"/>
      <c r="AD167" s="1076"/>
      <c r="AE167" s="410"/>
      <c r="AF167" s="809"/>
      <c r="AG167" s="1076"/>
      <c r="AH167" s="2404"/>
      <c r="AI167" s="2404"/>
      <c r="AJ167" s="2607"/>
      <c r="AK167" s="927"/>
      <c r="AL167" s="1076"/>
      <c r="AM167" s="927"/>
      <c r="AN167" s="685"/>
      <c r="AO167" s="517"/>
      <c r="AP167" s="413"/>
      <c r="AQ167" s="414"/>
      <c r="AR167" s="812"/>
      <c r="AS167" s="812"/>
      <c r="AT167" s="410"/>
      <c r="AU167" s="982"/>
      <c r="AV167" s="976"/>
      <c r="AW167" s="820"/>
      <c r="AX167" s="810"/>
      <c r="AY167" s="983"/>
      <c r="AZ167" s="983"/>
      <c r="BA167" s="819"/>
      <c r="BB167" s="820"/>
      <c r="BC167" s="811"/>
      <c r="BD167" s="410"/>
      <c r="BE167" s="410"/>
      <c r="BF167" s="410"/>
      <c r="BG167" s="410"/>
      <c r="BH167" s="974"/>
      <c r="BI167" s="974"/>
      <c r="BJ167" s="410"/>
      <c r="BK167" s="2073"/>
      <c r="BL167" s="410"/>
      <c r="BM167" s="410"/>
      <c r="BN167" s="410"/>
      <c r="BO167" s="685"/>
      <c r="BP167" s="399"/>
      <c r="BR167" s="405"/>
      <c r="BS167" s="405"/>
      <c r="BT167" s="405"/>
      <c r="BU167" s="405"/>
      <c r="BV167" s="2500"/>
      <c r="BW167" s="405"/>
      <c r="BX167" s="405"/>
      <c r="BY167" s="405"/>
      <c r="BZ167" s="405"/>
      <c r="CA167" s="405"/>
      <c r="CB167" s="405"/>
      <c r="CC167" s="405"/>
      <c r="CD167" s="405"/>
      <c r="CE167" s="405"/>
      <c r="CF167" s="404"/>
    </row>
    <row r="168" spans="1:84" ht="13.5" customHeight="1">
      <c r="A168" s="1483"/>
      <c r="B168" s="1483"/>
      <c r="C168" s="985"/>
      <c r="D168" s="2084"/>
      <c r="E168" s="1080"/>
      <c r="F168" s="2082"/>
      <c r="G168" s="912"/>
      <c r="H168" s="912"/>
      <c r="I168" s="2601"/>
      <c r="J168" s="2601"/>
      <c r="K168" s="2602"/>
      <c r="L168" s="2603"/>
      <c r="M168" s="2604"/>
      <c r="N168" s="2593"/>
      <c r="O168" s="2589"/>
      <c r="P168" s="2590"/>
      <c r="Q168" s="2591"/>
      <c r="R168" s="2600"/>
      <c r="S168" s="2592"/>
      <c r="T168" s="2593"/>
      <c r="U168" s="2594"/>
      <c r="V168" s="2595"/>
      <c r="W168" s="2596"/>
      <c r="X168" s="2597"/>
      <c r="Y168" s="2596"/>
      <c r="Z168" s="2598"/>
      <c r="AA168" s="2598"/>
      <c r="AB168" s="2598"/>
      <c r="AC168" s="1076"/>
      <c r="AD168" s="1076"/>
      <c r="AE168" s="410"/>
      <c r="AF168" s="809"/>
      <c r="AG168" s="1076"/>
      <c r="AH168" s="2404"/>
      <c r="AI168" s="2404"/>
      <c r="AJ168" s="2607"/>
      <c r="AK168" s="927"/>
      <c r="AL168" s="1076"/>
      <c r="AM168" s="927"/>
      <c r="AN168" s="685"/>
      <c r="AO168" s="517"/>
      <c r="AP168" s="413"/>
      <c r="AQ168" s="414"/>
      <c r="AR168" s="812"/>
      <c r="AS168" s="812"/>
      <c r="AT168" s="410"/>
      <c r="AU168" s="982"/>
      <c r="AV168" s="976"/>
      <c r="AW168" s="820"/>
      <c r="AX168" s="810"/>
      <c r="AY168" s="983"/>
      <c r="AZ168" s="983"/>
      <c r="BA168" s="819"/>
      <c r="BB168" s="820"/>
      <c r="BC168" s="811"/>
      <c r="BD168" s="410"/>
      <c r="BE168" s="410"/>
      <c r="BF168" s="410"/>
      <c r="BG168" s="410"/>
      <c r="BH168" s="974"/>
      <c r="BI168" s="974"/>
      <c r="BJ168" s="410"/>
      <c r="BK168" s="2073"/>
      <c r="BL168" s="410"/>
      <c r="BM168" s="410"/>
      <c r="BN168" s="410"/>
      <c r="BO168" s="685"/>
      <c r="BP168" s="399"/>
      <c r="BR168" s="405"/>
      <c r="BS168" s="405"/>
      <c r="BT168" s="405"/>
      <c r="BU168" s="405"/>
      <c r="BV168" s="2500"/>
      <c r="BW168" s="405"/>
      <c r="BX168" s="405"/>
      <c r="BY168" s="405"/>
      <c r="BZ168" s="405"/>
      <c r="CA168" s="405"/>
      <c r="CB168" s="405"/>
      <c r="CC168" s="405"/>
      <c r="CD168" s="405"/>
      <c r="CE168" s="405"/>
      <c r="CF168" s="404"/>
    </row>
    <row r="169" spans="1:84" ht="13.5" customHeight="1">
      <c r="A169" s="1483"/>
      <c r="B169" s="1483"/>
      <c r="C169" s="985"/>
      <c r="D169" s="2084"/>
      <c r="E169" s="1080"/>
      <c r="F169" s="2082"/>
      <c r="G169" s="912"/>
      <c r="H169" s="912"/>
      <c r="I169" s="2601"/>
      <c r="J169" s="2601"/>
      <c r="K169" s="2602"/>
      <c r="L169" s="2602"/>
      <c r="M169" s="2604"/>
      <c r="N169" s="2593"/>
      <c r="O169" s="2589"/>
      <c r="P169" s="2590"/>
      <c r="Q169" s="2591"/>
      <c r="R169" s="2600"/>
      <c r="S169" s="2592"/>
      <c r="T169" s="2593"/>
      <c r="U169" s="2594"/>
      <c r="V169" s="2595"/>
      <c r="W169" s="2596"/>
      <c r="X169" s="2597"/>
      <c r="Y169" s="2596"/>
      <c r="Z169" s="2598"/>
      <c r="AA169" s="2598"/>
      <c r="AB169" s="2598"/>
      <c r="AC169" s="1076"/>
      <c r="AD169" s="1076"/>
      <c r="AE169" s="410"/>
      <c r="AF169" s="809"/>
      <c r="AG169" s="1076"/>
      <c r="AH169" s="2404"/>
      <c r="AI169" s="2404"/>
      <c r="AJ169" s="2607"/>
      <c r="AK169" s="927"/>
      <c r="AL169" s="1076"/>
      <c r="AM169" s="927"/>
      <c r="AN169" s="685"/>
      <c r="AO169" s="517"/>
      <c r="AP169" s="413"/>
      <c r="AQ169" s="414"/>
      <c r="AR169" s="812"/>
      <c r="AS169" s="812"/>
      <c r="AT169" s="410"/>
      <c r="AU169" s="982"/>
      <c r="AV169" s="976"/>
      <c r="AW169" s="820"/>
      <c r="AX169" s="810"/>
      <c r="AY169" s="983"/>
      <c r="AZ169" s="983"/>
      <c r="BA169" s="819"/>
      <c r="BB169" s="820"/>
      <c r="BC169" s="811"/>
      <c r="BD169" s="410"/>
      <c r="BE169" s="410"/>
      <c r="BF169" s="410"/>
      <c r="BG169" s="410"/>
      <c r="BH169" s="974"/>
      <c r="BI169" s="974"/>
      <c r="BJ169" s="410"/>
      <c r="BK169" s="2073"/>
      <c r="BL169" s="410"/>
      <c r="BM169" s="410"/>
      <c r="BN169" s="410"/>
      <c r="BO169" s="685"/>
      <c r="BP169" s="399"/>
      <c r="BR169" s="405"/>
      <c r="BS169" s="405"/>
      <c r="BT169" s="405"/>
      <c r="BU169" s="405"/>
      <c r="BV169" s="2500"/>
      <c r="BW169" s="405"/>
      <c r="BX169" s="405"/>
      <c r="BY169" s="405"/>
      <c r="BZ169" s="405"/>
      <c r="CA169" s="405"/>
      <c r="CB169" s="405"/>
      <c r="CC169" s="405"/>
      <c r="CD169" s="405"/>
      <c r="CE169" s="405"/>
      <c r="CF169" s="404"/>
    </row>
    <row r="170" spans="1:84" ht="13.5" customHeight="1">
      <c r="A170" s="1483"/>
      <c r="B170" s="1483"/>
      <c r="C170" s="985"/>
      <c r="D170" s="2084"/>
      <c r="E170" s="1080"/>
      <c r="F170" s="2082"/>
      <c r="G170" s="912"/>
      <c r="H170" s="912"/>
      <c r="I170" s="2601"/>
      <c r="J170" s="2601"/>
      <c r="K170" s="2602"/>
      <c r="L170" s="2602"/>
      <c r="M170" s="2604"/>
      <c r="N170" s="2593"/>
      <c r="O170" s="2589"/>
      <c r="P170" s="2590"/>
      <c r="Q170" s="2591"/>
      <c r="R170" s="2600"/>
      <c r="S170" s="2592"/>
      <c r="T170" s="2593"/>
      <c r="U170" s="2594"/>
      <c r="V170" s="2595"/>
      <c r="W170" s="2596"/>
      <c r="X170" s="2597"/>
      <c r="Y170" s="2596"/>
      <c r="Z170" s="2598"/>
      <c r="AA170" s="2598"/>
      <c r="AB170" s="2598"/>
      <c r="AC170" s="406"/>
      <c r="AD170" s="685"/>
      <c r="AE170" s="410"/>
      <c r="AF170" s="809"/>
      <c r="AG170" s="1076"/>
      <c r="AH170" s="2404"/>
      <c r="AI170" s="2404"/>
      <c r="AJ170" s="2607"/>
      <c r="AK170" s="927"/>
      <c r="AL170" s="1076"/>
      <c r="AM170" s="927"/>
      <c r="AN170" s="685"/>
      <c r="AO170" s="517"/>
      <c r="AP170" s="413"/>
      <c r="AQ170" s="414"/>
      <c r="AR170" s="812"/>
      <c r="AS170" s="812"/>
      <c r="AT170" s="410"/>
      <c r="AU170" s="982"/>
      <c r="AV170" s="976"/>
      <c r="AW170" s="820"/>
      <c r="AX170" s="810"/>
      <c r="AY170" s="983"/>
      <c r="AZ170" s="983"/>
      <c r="BA170" s="819"/>
      <c r="BB170" s="820"/>
      <c r="BC170" s="811"/>
      <c r="BD170" s="410"/>
      <c r="BE170" s="410"/>
      <c r="BF170" s="410"/>
      <c r="BG170" s="410"/>
      <c r="BH170" s="974"/>
      <c r="BI170" s="974"/>
      <c r="BJ170" s="410"/>
      <c r="BK170" s="2073"/>
      <c r="BL170" s="410"/>
      <c r="BM170" s="410"/>
      <c r="BN170" s="410"/>
      <c r="BO170" s="685"/>
      <c r="BP170" s="399"/>
      <c r="BR170" s="2500"/>
      <c r="BS170" s="405"/>
      <c r="BT170" s="405"/>
      <c r="BU170" s="405"/>
      <c r="BV170" s="2500"/>
      <c r="BW170" s="405"/>
      <c r="BX170" s="405"/>
      <c r="BY170" s="405"/>
      <c r="BZ170" s="2500"/>
      <c r="CA170" s="405"/>
      <c r="CB170" s="405"/>
      <c r="CC170" s="405"/>
      <c r="CD170" s="2500"/>
      <c r="CE170" s="405"/>
      <c r="CF170" s="404"/>
    </row>
    <row r="171" spans="1:84" ht="13.5" customHeight="1">
      <c r="A171" s="1483"/>
      <c r="B171" s="1483"/>
      <c r="C171" s="985"/>
      <c r="D171" s="2084"/>
      <c r="E171" s="1080"/>
      <c r="F171" s="2082"/>
      <c r="G171" s="912"/>
      <c r="H171" s="912"/>
      <c r="I171" s="2601"/>
      <c r="J171" s="2601"/>
      <c r="K171" s="2602"/>
      <c r="L171" s="2602"/>
      <c r="M171" s="2604"/>
      <c r="N171" s="2593"/>
      <c r="O171" s="2589"/>
      <c r="P171" s="2590"/>
      <c r="Q171" s="2591"/>
      <c r="R171" s="2600"/>
      <c r="S171" s="2592"/>
      <c r="T171" s="2593"/>
      <c r="U171" s="2594"/>
      <c r="V171" s="2595"/>
      <c r="W171" s="2596"/>
      <c r="X171" s="2597"/>
      <c r="Y171" s="2596"/>
      <c r="Z171" s="2598"/>
      <c r="AA171" s="2598"/>
      <c r="AB171" s="2598"/>
      <c r="AC171" s="406"/>
      <c r="AD171" s="685"/>
      <c r="AE171" s="410"/>
      <c r="AF171" s="809"/>
      <c r="AG171" s="1076"/>
      <c r="AH171" s="2404"/>
      <c r="AI171" s="2404"/>
      <c r="AJ171" s="2607"/>
      <c r="AK171" s="927"/>
      <c r="AL171" s="1076"/>
      <c r="AM171" s="927"/>
      <c r="AN171" s="685"/>
      <c r="AO171" s="517"/>
      <c r="AP171" s="413"/>
      <c r="AQ171" s="414"/>
      <c r="AR171" s="812"/>
      <c r="AS171" s="812"/>
      <c r="AT171" s="410"/>
      <c r="AU171" s="982"/>
      <c r="AV171" s="976"/>
      <c r="AW171" s="820"/>
      <c r="AX171" s="810"/>
      <c r="AY171" s="983"/>
      <c r="AZ171" s="983"/>
      <c r="BA171" s="819"/>
      <c r="BB171" s="820"/>
      <c r="BC171" s="811"/>
      <c r="BD171" s="410"/>
      <c r="BE171" s="410"/>
      <c r="BF171" s="410"/>
      <c r="BG171" s="410"/>
      <c r="BH171" s="974"/>
      <c r="BI171" s="974"/>
      <c r="BJ171" s="410"/>
      <c r="BK171" s="2073"/>
      <c r="BL171" s="410"/>
      <c r="BM171" s="410"/>
      <c r="BN171" s="410"/>
      <c r="BO171" s="685"/>
      <c r="BP171" s="399"/>
      <c r="BR171" s="405"/>
      <c r="BS171" s="405"/>
      <c r="BT171" s="405"/>
      <c r="BU171" s="405"/>
      <c r="BV171" s="2500"/>
      <c r="BW171" s="405"/>
      <c r="BX171" s="405"/>
      <c r="BY171" s="405"/>
      <c r="BZ171" s="405"/>
      <c r="CA171" s="405"/>
      <c r="CB171" s="405"/>
      <c r="CC171" s="405"/>
      <c r="CD171" s="2501"/>
      <c r="CE171" s="405"/>
      <c r="CF171" s="404"/>
    </row>
    <row r="172" spans="1:84" ht="13.5" customHeight="1">
      <c r="A172" s="1483"/>
      <c r="B172" s="1483"/>
      <c r="C172" s="985"/>
      <c r="D172" s="2084"/>
      <c r="E172" s="1080"/>
      <c r="F172" s="2082"/>
      <c r="G172" s="912"/>
      <c r="H172" s="912"/>
      <c r="I172" s="2601"/>
      <c r="J172" s="2601"/>
      <c r="K172" s="2602"/>
      <c r="L172" s="2602"/>
      <c r="M172" s="2604"/>
      <c r="N172" s="2593"/>
      <c r="O172" s="2589"/>
      <c r="P172" s="2590"/>
      <c r="Q172" s="2591"/>
      <c r="R172" s="2600"/>
      <c r="S172" s="2592"/>
      <c r="T172" s="2593"/>
      <c r="U172" s="2594"/>
      <c r="V172" s="2595"/>
      <c r="W172" s="2596"/>
      <c r="X172" s="2597"/>
      <c r="Y172" s="2596"/>
      <c r="Z172" s="2598"/>
      <c r="AA172" s="2598"/>
      <c r="AB172" s="2598"/>
      <c r="AC172" s="1076"/>
      <c r="AD172" s="1076"/>
      <c r="AE172" s="410"/>
      <c r="AF172" s="809"/>
      <c r="AG172" s="1076"/>
      <c r="AH172" s="2404"/>
      <c r="AI172" s="2404"/>
      <c r="AJ172" s="2607"/>
      <c r="AK172" s="927"/>
      <c r="AL172" s="1076"/>
      <c r="AM172" s="927"/>
      <c r="AN172" s="685"/>
      <c r="AO172" s="517"/>
      <c r="AP172" s="413"/>
      <c r="AQ172" s="414"/>
      <c r="AR172" s="812"/>
      <c r="AS172" s="812"/>
      <c r="AT172" s="410"/>
      <c r="AU172" s="982"/>
      <c r="AV172" s="976"/>
      <c r="AW172" s="820"/>
      <c r="AX172" s="810"/>
      <c r="AY172" s="983"/>
      <c r="AZ172" s="983"/>
      <c r="BA172" s="819"/>
      <c r="BB172" s="820"/>
      <c r="BC172" s="811"/>
      <c r="BD172" s="410"/>
      <c r="BE172" s="410"/>
      <c r="BF172" s="410"/>
      <c r="BG172" s="410"/>
      <c r="BH172" s="974"/>
      <c r="BI172" s="974"/>
      <c r="BJ172" s="410"/>
      <c r="BK172" s="2073"/>
      <c r="BL172" s="410"/>
      <c r="BM172" s="410"/>
      <c r="BN172" s="410"/>
      <c r="BO172" s="685"/>
      <c r="BP172" s="399"/>
      <c r="BR172" s="405"/>
      <c r="BS172" s="405"/>
      <c r="BT172" s="405"/>
      <c r="BU172" s="405"/>
      <c r="BV172" s="2500"/>
      <c r="BW172" s="405"/>
      <c r="BX172" s="405"/>
      <c r="BY172" s="405"/>
      <c r="BZ172" s="405"/>
      <c r="CA172" s="405"/>
      <c r="CB172" s="405"/>
      <c r="CC172" s="405"/>
      <c r="CD172" s="405"/>
      <c r="CE172" s="405"/>
      <c r="CF172" s="404"/>
    </row>
    <row r="173" spans="1:84" ht="13.5" customHeight="1">
      <c r="A173" s="1483"/>
      <c r="B173" s="1483"/>
      <c r="C173" s="985"/>
      <c r="D173" s="2084"/>
      <c r="E173" s="1080"/>
      <c r="F173" s="2082"/>
      <c r="G173" s="912"/>
      <c r="H173" s="912"/>
      <c r="I173" s="2601"/>
      <c r="J173" s="2601"/>
      <c r="K173" s="2602"/>
      <c r="L173" s="2602"/>
      <c r="M173" s="2604"/>
      <c r="N173" s="2593"/>
      <c r="O173" s="2589"/>
      <c r="P173" s="2590"/>
      <c r="Q173" s="2591"/>
      <c r="R173" s="2600"/>
      <c r="S173" s="2592"/>
      <c r="T173" s="2593"/>
      <c r="U173" s="2594"/>
      <c r="V173" s="2595"/>
      <c r="W173" s="2596"/>
      <c r="X173" s="2597"/>
      <c r="Y173" s="2596"/>
      <c r="Z173" s="2598"/>
      <c r="AA173" s="2598"/>
      <c r="AB173" s="2598"/>
      <c r="AC173" s="1076"/>
      <c r="AD173" s="1076"/>
      <c r="AE173" s="410"/>
      <c r="AF173" s="809"/>
      <c r="AG173" s="1076"/>
      <c r="AH173" s="2404"/>
      <c r="AI173" s="2404"/>
      <c r="AJ173" s="2607"/>
      <c r="AK173" s="927"/>
      <c r="AL173" s="1076"/>
      <c r="AM173" s="927"/>
      <c r="AN173" s="685"/>
      <c r="AO173" s="517"/>
      <c r="AP173" s="413"/>
      <c r="AQ173" s="414"/>
      <c r="AR173" s="812"/>
      <c r="AS173" s="812"/>
      <c r="AT173" s="410"/>
      <c r="AU173" s="982"/>
      <c r="AV173" s="976"/>
      <c r="AW173" s="820"/>
      <c r="AX173" s="810"/>
      <c r="AY173" s="983"/>
      <c r="AZ173" s="983"/>
      <c r="BA173" s="819"/>
      <c r="BB173" s="820"/>
      <c r="BC173" s="811"/>
      <c r="BD173" s="410"/>
      <c r="BE173" s="410"/>
      <c r="BF173" s="410"/>
      <c r="BG173" s="410"/>
      <c r="BH173" s="974"/>
      <c r="BI173" s="974"/>
      <c r="BJ173" s="410"/>
      <c r="BK173" s="2073"/>
      <c r="BL173" s="410"/>
      <c r="BM173" s="410"/>
      <c r="BN173" s="410"/>
      <c r="BO173" s="685"/>
      <c r="BP173" s="399"/>
      <c r="BR173" s="2501"/>
      <c r="BS173" s="405"/>
      <c r="BT173" s="405"/>
      <c r="BU173" s="405"/>
      <c r="BV173" s="2500"/>
      <c r="BW173" s="405"/>
      <c r="BX173" s="405"/>
      <c r="BY173" s="405"/>
      <c r="BZ173" s="405"/>
      <c r="CA173" s="405"/>
      <c r="CB173" s="405"/>
      <c r="CC173" s="405"/>
      <c r="CD173" s="405"/>
      <c r="CE173" s="405"/>
      <c r="CF173" s="404"/>
    </row>
    <row r="174" spans="1:84" ht="13.5" customHeight="1">
      <c r="A174" s="1483"/>
      <c r="B174" s="1483"/>
      <c r="C174" s="985"/>
      <c r="D174" s="2084"/>
      <c r="E174" s="1080"/>
      <c r="F174" s="2082"/>
      <c r="G174" s="912"/>
      <c r="H174" s="912"/>
      <c r="I174" s="2601"/>
      <c r="J174" s="2601"/>
      <c r="K174" s="2602"/>
      <c r="L174" s="2603"/>
      <c r="M174" s="2604"/>
      <c r="N174" s="2593"/>
      <c r="O174" s="2589"/>
      <c r="P174" s="2590"/>
      <c r="Q174" s="2591"/>
      <c r="R174" s="2600"/>
      <c r="S174" s="2592"/>
      <c r="T174" s="2593"/>
      <c r="U174" s="2594"/>
      <c r="V174" s="2595"/>
      <c r="W174" s="2596"/>
      <c r="X174" s="2597"/>
      <c r="Y174" s="2596"/>
      <c r="Z174" s="2598"/>
      <c r="AA174" s="2598"/>
      <c r="AB174" s="2598"/>
      <c r="AC174" s="1076"/>
      <c r="AD174" s="1076"/>
      <c r="AE174" s="410"/>
      <c r="AF174" s="809"/>
      <c r="AG174" s="1076"/>
      <c r="AH174" s="2404"/>
      <c r="AI174" s="2404"/>
      <c r="AJ174" s="2607"/>
      <c r="AK174" s="927"/>
      <c r="AL174" s="1076"/>
      <c r="AM174" s="927"/>
      <c r="AN174" s="685"/>
      <c r="AO174" s="517"/>
      <c r="AP174" s="413"/>
      <c r="AQ174" s="414"/>
      <c r="AR174" s="812"/>
      <c r="AS174" s="812"/>
      <c r="AT174" s="410"/>
      <c r="AU174" s="982"/>
      <c r="AV174" s="976"/>
      <c r="AW174" s="820"/>
      <c r="AX174" s="810"/>
      <c r="AY174" s="983"/>
      <c r="AZ174" s="983"/>
      <c r="BA174" s="819"/>
      <c r="BB174" s="820"/>
      <c r="BC174" s="811"/>
      <c r="BD174" s="410"/>
      <c r="BE174" s="410"/>
      <c r="BF174" s="410"/>
      <c r="BG174" s="410"/>
      <c r="BH174" s="974"/>
      <c r="BI174" s="974"/>
      <c r="BJ174" s="410"/>
      <c r="BK174" s="2073"/>
      <c r="BL174" s="410"/>
      <c r="BM174" s="410"/>
      <c r="BN174" s="410"/>
      <c r="BO174" s="685"/>
      <c r="BP174" s="399"/>
      <c r="BR174" s="405"/>
      <c r="BS174" s="405"/>
      <c r="BT174" s="405"/>
      <c r="BU174" s="405"/>
      <c r="BV174" s="2500"/>
      <c r="BW174" s="405"/>
      <c r="BX174" s="405"/>
      <c r="BY174" s="405"/>
      <c r="BZ174" s="405"/>
      <c r="CA174" s="405"/>
      <c r="CB174" s="405"/>
      <c r="CC174" s="405"/>
      <c r="CD174" s="405"/>
      <c r="CE174" s="405"/>
      <c r="CF174" s="404"/>
    </row>
    <row r="175" spans="1:84" ht="13.5" customHeight="1">
      <c r="A175" s="1483"/>
      <c r="B175" s="1483"/>
      <c r="C175" s="985"/>
      <c r="D175" s="2084"/>
      <c r="E175" s="1080"/>
      <c r="F175" s="2082"/>
      <c r="G175" s="912"/>
      <c r="H175" s="912"/>
      <c r="I175" s="2601"/>
      <c r="J175" s="2601"/>
      <c r="K175" s="2602"/>
      <c r="L175" s="2603"/>
      <c r="M175" s="2604"/>
      <c r="N175" s="2593"/>
      <c r="O175" s="2589"/>
      <c r="P175" s="2590"/>
      <c r="Q175" s="2591"/>
      <c r="R175" s="2600"/>
      <c r="S175" s="2592"/>
      <c r="T175" s="2593"/>
      <c r="U175" s="2594"/>
      <c r="V175" s="2595"/>
      <c r="W175" s="2596"/>
      <c r="X175" s="2597"/>
      <c r="Y175" s="2596"/>
      <c r="Z175" s="2598"/>
      <c r="AA175" s="2598"/>
      <c r="AB175" s="2598"/>
      <c r="AC175" s="1076"/>
      <c r="AD175" s="1076"/>
      <c r="AE175" s="410"/>
      <c r="AF175" s="809"/>
      <c r="AG175" s="1076"/>
      <c r="AH175" s="2404"/>
      <c r="AI175" s="2404"/>
      <c r="AJ175" s="2607"/>
      <c r="AK175" s="927"/>
      <c r="AL175" s="1076"/>
      <c r="AM175" s="927"/>
      <c r="AN175" s="685"/>
      <c r="AO175" s="517"/>
      <c r="AP175" s="413"/>
      <c r="AQ175" s="414"/>
      <c r="AR175" s="812"/>
      <c r="AS175" s="812"/>
      <c r="AT175" s="410"/>
      <c r="AU175" s="982"/>
      <c r="AV175" s="976"/>
      <c r="AW175" s="820"/>
      <c r="AX175" s="810"/>
      <c r="AY175" s="983"/>
      <c r="AZ175" s="983"/>
      <c r="BA175" s="819"/>
      <c r="BB175" s="820"/>
      <c r="BC175" s="811"/>
      <c r="BD175" s="410"/>
      <c r="BE175" s="410"/>
      <c r="BF175" s="410"/>
      <c r="BG175" s="410"/>
      <c r="BH175" s="974"/>
      <c r="BI175" s="974"/>
      <c r="BJ175" s="410"/>
      <c r="BK175" s="2073"/>
      <c r="BL175" s="410"/>
      <c r="BM175" s="410"/>
      <c r="BN175" s="410"/>
      <c r="BO175" s="685"/>
      <c r="BP175" s="399"/>
      <c r="BR175" s="405"/>
      <c r="BS175" s="405"/>
      <c r="BT175" s="405"/>
      <c r="BU175" s="405"/>
      <c r="BV175" s="2500"/>
      <c r="BW175" s="405"/>
      <c r="BX175" s="405"/>
      <c r="BY175" s="405"/>
      <c r="BZ175" s="405"/>
      <c r="CA175" s="405"/>
      <c r="CB175" s="405"/>
      <c r="CC175" s="405"/>
      <c r="CD175" s="405"/>
      <c r="CE175" s="405"/>
      <c r="CF175" s="404"/>
    </row>
    <row r="176" spans="1:84" ht="13.5" customHeight="1">
      <c r="A176" s="1483"/>
      <c r="B176" s="1483"/>
      <c r="C176" s="985"/>
      <c r="D176" s="2084"/>
      <c r="E176" s="1080"/>
      <c r="F176" s="2082"/>
      <c r="G176" s="912"/>
      <c r="H176" s="912"/>
      <c r="I176" s="2601"/>
      <c r="J176" s="2601"/>
      <c r="K176" s="2602"/>
      <c r="L176" s="2603"/>
      <c r="M176" s="2604"/>
      <c r="N176" s="2593"/>
      <c r="O176" s="2589"/>
      <c r="P176" s="2590"/>
      <c r="Q176" s="2591"/>
      <c r="R176" s="2600"/>
      <c r="S176" s="2592"/>
      <c r="T176" s="2593"/>
      <c r="U176" s="2594"/>
      <c r="V176" s="2595"/>
      <c r="W176" s="2596"/>
      <c r="X176" s="2597"/>
      <c r="Y176" s="2596"/>
      <c r="Z176" s="2598"/>
      <c r="AA176" s="2598"/>
      <c r="AB176" s="2598"/>
      <c r="AC176" s="1076"/>
      <c r="AD176" s="1076"/>
      <c r="AE176" s="410"/>
      <c r="AF176" s="809"/>
      <c r="AG176" s="1076"/>
      <c r="AH176" s="2404"/>
      <c r="AI176" s="2404"/>
      <c r="AJ176" s="2607"/>
      <c r="AK176" s="927"/>
      <c r="AL176" s="1076"/>
      <c r="AM176" s="927"/>
      <c r="AN176" s="685"/>
      <c r="AO176" s="517"/>
      <c r="AP176" s="413"/>
      <c r="AQ176" s="414"/>
      <c r="AR176" s="812"/>
      <c r="AS176" s="812"/>
      <c r="AT176" s="410"/>
      <c r="AU176" s="982"/>
      <c r="AV176" s="976"/>
      <c r="AW176" s="820"/>
      <c r="AX176" s="810"/>
      <c r="AY176" s="983"/>
      <c r="AZ176" s="983"/>
      <c r="BA176" s="819"/>
      <c r="BB176" s="820"/>
      <c r="BC176" s="811"/>
      <c r="BD176" s="410"/>
      <c r="BE176" s="410"/>
      <c r="BF176" s="410"/>
      <c r="BG176" s="410"/>
      <c r="BH176" s="974"/>
      <c r="BI176" s="974"/>
      <c r="BJ176" s="410"/>
      <c r="BK176" s="2073"/>
      <c r="BL176" s="410"/>
      <c r="BM176" s="410"/>
      <c r="BN176" s="410"/>
      <c r="BO176" s="685"/>
      <c r="BP176" s="399"/>
      <c r="BR176" s="405"/>
      <c r="BS176" s="405"/>
      <c r="BT176" s="405"/>
      <c r="BU176" s="405"/>
      <c r="BV176" s="2500"/>
      <c r="BW176" s="405"/>
      <c r="BX176" s="405"/>
      <c r="BY176" s="405"/>
      <c r="BZ176" s="405"/>
      <c r="CA176" s="405"/>
      <c r="CB176" s="405"/>
      <c r="CC176" s="405"/>
      <c r="CD176" s="405"/>
      <c r="CE176" s="405"/>
      <c r="CF176" s="404"/>
    </row>
    <row r="177" spans="1:84" ht="13.5" customHeight="1">
      <c r="A177" s="1483"/>
      <c r="B177" s="1483"/>
      <c r="C177" s="985"/>
      <c r="D177" s="2084"/>
      <c r="E177" s="1080"/>
      <c r="F177" s="2082"/>
      <c r="G177" s="912"/>
      <c r="H177" s="912"/>
      <c r="I177" s="2601"/>
      <c r="J177" s="2601"/>
      <c r="K177" s="2602"/>
      <c r="L177" s="2602"/>
      <c r="M177" s="2604"/>
      <c r="N177" s="2593"/>
      <c r="O177" s="2589"/>
      <c r="P177" s="2590"/>
      <c r="Q177" s="2591"/>
      <c r="R177" s="2600"/>
      <c r="S177" s="2592"/>
      <c r="T177" s="2593"/>
      <c r="U177" s="2594"/>
      <c r="V177" s="2595"/>
      <c r="W177" s="2596"/>
      <c r="X177" s="2597"/>
      <c r="Y177" s="2596"/>
      <c r="Z177" s="2598"/>
      <c r="AA177" s="2598"/>
      <c r="AB177" s="2598"/>
      <c r="AC177" s="1076"/>
      <c r="AD177" s="1076"/>
      <c r="AE177" s="410"/>
      <c r="AF177" s="809"/>
      <c r="AG177" s="1076"/>
      <c r="AH177" s="2404"/>
      <c r="AI177" s="2404"/>
      <c r="AJ177" s="2607"/>
      <c r="AK177" s="927"/>
      <c r="AL177" s="1076"/>
      <c r="AM177" s="927"/>
      <c r="AN177" s="685"/>
      <c r="AO177" s="517"/>
      <c r="AP177" s="413"/>
      <c r="AQ177" s="414"/>
      <c r="AR177" s="812"/>
      <c r="AS177" s="812"/>
      <c r="AT177" s="410"/>
      <c r="AU177" s="982"/>
      <c r="AV177" s="976"/>
      <c r="AW177" s="820"/>
      <c r="AX177" s="810"/>
      <c r="AY177" s="983"/>
      <c r="AZ177" s="983"/>
      <c r="BA177" s="819"/>
      <c r="BB177" s="820"/>
      <c r="BC177" s="811"/>
      <c r="BD177" s="410"/>
      <c r="BE177" s="410"/>
      <c r="BF177" s="410"/>
      <c r="BG177" s="410"/>
      <c r="BH177" s="974"/>
      <c r="BI177" s="974"/>
      <c r="BJ177" s="410"/>
      <c r="BK177" s="2073"/>
      <c r="BL177" s="410"/>
      <c r="BM177" s="410"/>
      <c r="BN177" s="410"/>
      <c r="BO177" s="685"/>
      <c r="BP177" s="399"/>
      <c r="BR177" s="405"/>
      <c r="BS177" s="405"/>
      <c r="BT177" s="405"/>
      <c r="BU177" s="405"/>
      <c r="BV177" s="2500"/>
      <c r="BW177" s="405"/>
      <c r="BX177" s="405"/>
      <c r="BY177" s="405"/>
      <c r="BZ177" s="405"/>
      <c r="CA177" s="405"/>
      <c r="CB177" s="405"/>
      <c r="CC177" s="405"/>
      <c r="CD177" s="405"/>
      <c r="CE177" s="405"/>
      <c r="CF177" s="404"/>
    </row>
    <row r="178" spans="1:84" ht="12" customHeight="1">
      <c r="A178" s="1483"/>
      <c r="B178" s="1483"/>
      <c r="C178" s="985"/>
      <c r="D178" s="2084"/>
      <c r="E178" s="1080"/>
      <c r="F178" s="2082"/>
      <c r="G178" s="912"/>
      <c r="H178" s="912"/>
      <c r="I178" s="2601"/>
      <c r="J178" s="2601"/>
      <c r="K178" s="2602"/>
      <c r="L178" s="2602"/>
      <c r="M178" s="2604"/>
      <c r="N178" s="2593"/>
      <c r="O178" s="2589"/>
      <c r="P178" s="2590"/>
      <c r="Q178" s="2591"/>
      <c r="R178" s="2600"/>
      <c r="S178" s="2592"/>
      <c r="T178" s="2593"/>
      <c r="U178" s="2594"/>
      <c r="V178" s="2595"/>
      <c r="W178" s="2596"/>
      <c r="X178" s="2597"/>
      <c r="Y178" s="2596"/>
      <c r="Z178" s="2598"/>
      <c r="AA178" s="2598"/>
      <c r="AB178" s="2598"/>
      <c r="AC178" s="1076"/>
      <c r="AD178" s="1076"/>
      <c r="AE178" s="410"/>
      <c r="AF178" s="809"/>
      <c r="AG178" s="1076"/>
      <c r="AH178" s="2404"/>
      <c r="AI178" s="2404"/>
      <c r="AJ178" s="2607"/>
      <c r="AK178" s="927"/>
      <c r="AL178" s="1076"/>
      <c r="AM178" s="927"/>
      <c r="AN178" s="685"/>
      <c r="AO178" s="517"/>
      <c r="AP178" s="413"/>
      <c r="AQ178" s="414"/>
      <c r="AR178" s="812"/>
      <c r="AS178" s="812"/>
      <c r="AT178" s="410"/>
      <c r="AU178" s="982"/>
      <c r="AV178" s="976"/>
      <c r="AW178" s="820"/>
      <c r="AX178" s="810"/>
      <c r="AY178" s="983"/>
      <c r="AZ178" s="983"/>
      <c r="BA178" s="819"/>
      <c r="BB178" s="820"/>
      <c r="BC178" s="811"/>
      <c r="BD178" s="410"/>
      <c r="BE178" s="410"/>
      <c r="BF178" s="410"/>
      <c r="BG178" s="410"/>
      <c r="BH178" s="974"/>
      <c r="BI178" s="974"/>
      <c r="BJ178" s="410"/>
      <c r="BK178" s="2073"/>
      <c r="BL178" s="410"/>
      <c r="BM178" s="410"/>
      <c r="BN178" s="410"/>
      <c r="BO178" s="685"/>
      <c r="BP178" s="399"/>
      <c r="BR178" s="405"/>
      <c r="BS178" s="405"/>
      <c r="BT178" s="405"/>
      <c r="BU178" s="405"/>
      <c r="BV178" s="2500"/>
      <c r="BW178" s="405"/>
      <c r="BX178" s="405"/>
      <c r="BY178" s="405"/>
      <c r="BZ178" s="405"/>
      <c r="CA178" s="405"/>
      <c r="CB178" s="405"/>
      <c r="CC178" s="405"/>
      <c r="CD178" s="405"/>
      <c r="CE178" s="405"/>
      <c r="CF178" s="404"/>
    </row>
    <row r="179" spans="1:84" ht="13.5" customHeight="1">
      <c r="A179" s="1483"/>
      <c r="B179" s="1483"/>
      <c r="C179" s="985"/>
      <c r="D179" s="2084"/>
      <c r="E179" s="1080"/>
      <c r="F179" s="2082"/>
      <c r="G179" s="912"/>
      <c r="H179" s="912"/>
      <c r="I179" s="2601"/>
      <c r="J179" s="2601"/>
      <c r="K179" s="2602"/>
      <c r="L179" s="2602"/>
      <c r="M179" s="2604"/>
      <c r="N179" s="2593"/>
      <c r="O179" s="2589"/>
      <c r="P179" s="2590"/>
      <c r="Q179" s="2591"/>
      <c r="R179" s="2600"/>
      <c r="S179" s="2592"/>
      <c r="T179" s="2593"/>
      <c r="U179" s="2594"/>
      <c r="V179" s="2595"/>
      <c r="W179" s="2596"/>
      <c r="X179" s="2597"/>
      <c r="Y179" s="2596"/>
      <c r="Z179" s="2598"/>
      <c r="AA179" s="2598"/>
      <c r="AB179" s="2598"/>
      <c r="AC179" s="1076"/>
      <c r="AD179" s="1076"/>
      <c r="AE179" s="410"/>
      <c r="AF179" s="809"/>
      <c r="AG179" s="1076"/>
      <c r="AH179" s="2404"/>
      <c r="AI179" s="2404"/>
      <c r="AJ179" s="2607"/>
      <c r="AK179" s="927"/>
      <c r="AL179" s="1076"/>
      <c r="AM179" s="927"/>
      <c r="AN179" s="685"/>
      <c r="AO179" s="517"/>
      <c r="AP179" s="413"/>
      <c r="AQ179" s="414"/>
      <c r="AR179" s="812"/>
      <c r="AS179" s="812"/>
      <c r="AT179" s="410"/>
      <c r="AU179" s="982"/>
      <c r="AV179" s="976"/>
      <c r="AW179" s="820"/>
      <c r="AX179" s="810"/>
      <c r="AY179" s="983"/>
      <c r="AZ179" s="983"/>
      <c r="BA179" s="819"/>
      <c r="BB179" s="820"/>
      <c r="BC179" s="811"/>
      <c r="BD179" s="410"/>
      <c r="BE179" s="410"/>
      <c r="BF179" s="410"/>
      <c r="BG179" s="410"/>
      <c r="BH179" s="974"/>
      <c r="BI179" s="974"/>
      <c r="BJ179" s="410"/>
      <c r="BK179" s="2073"/>
      <c r="BL179" s="410"/>
      <c r="BM179" s="410"/>
      <c r="BN179" s="410"/>
      <c r="BO179" s="685"/>
      <c r="BP179" s="399"/>
      <c r="BR179" s="405"/>
      <c r="BS179" s="405"/>
      <c r="BT179" s="405"/>
      <c r="BU179" s="405"/>
      <c r="BV179" s="2500"/>
      <c r="BW179" s="405"/>
      <c r="BX179" s="405"/>
      <c r="BY179" s="405"/>
      <c r="BZ179" s="405"/>
      <c r="CA179" s="405"/>
      <c r="CB179" s="405"/>
      <c r="CC179" s="405"/>
      <c r="CD179" s="405"/>
      <c r="CE179" s="405"/>
      <c r="CF179" s="404"/>
    </row>
    <row r="180" spans="1:84" ht="13.5" customHeight="1">
      <c r="A180" s="1483"/>
      <c r="B180" s="1483"/>
      <c r="C180" s="985"/>
      <c r="D180" s="2084"/>
      <c r="E180" s="1080"/>
      <c r="F180" s="2082"/>
      <c r="G180" s="912"/>
      <c r="H180" s="912"/>
      <c r="I180" s="2601"/>
      <c r="J180" s="2601"/>
      <c r="K180" s="2602"/>
      <c r="L180" s="2602"/>
      <c r="M180" s="2604"/>
      <c r="N180" s="2593"/>
      <c r="O180" s="2589"/>
      <c r="P180" s="2590"/>
      <c r="Q180" s="2591"/>
      <c r="R180" s="2600"/>
      <c r="S180" s="2592"/>
      <c r="T180" s="2593"/>
      <c r="U180" s="2594"/>
      <c r="V180" s="2595"/>
      <c r="W180" s="2596"/>
      <c r="X180" s="2597"/>
      <c r="Y180" s="2596"/>
      <c r="Z180" s="2598"/>
      <c r="AA180" s="2598"/>
      <c r="AB180" s="2598"/>
      <c r="AC180" s="1076"/>
      <c r="AD180" s="1076"/>
      <c r="AE180" s="410"/>
      <c r="AF180" s="809"/>
      <c r="AG180" s="1076"/>
      <c r="AH180" s="2404"/>
      <c r="AI180" s="2404"/>
      <c r="AJ180" s="2607"/>
      <c r="AK180" s="927"/>
      <c r="AL180" s="1076"/>
      <c r="AM180" s="927"/>
      <c r="AN180" s="685"/>
      <c r="AO180" s="517"/>
      <c r="AP180" s="413"/>
      <c r="AQ180" s="414"/>
      <c r="AR180" s="812"/>
      <c r="AS180" s="812"/>
      <c r="AT180" s="410"/>
      <c r="AU180" s="982"/>
      <c r="AV180" s="976"/>
      <c r="AW180" s="820"/>
      <c r="AX180" s="810"/>
      <c r="AY180" s="983"/>
      <c r="AZ180" s="983"/>
      <c r="BA180" s="819"/>
      <c r="BB180" s="820"/>
      <c r="BC180" s="811"/>
      <c r="BD180" s="410"/>
      <c r="BE180" s="410"/>
      <c r="BF180" s="410"/>
      <c r="BG180" s="410"/>
      <c r="BH180" s="974"/>
      <c r="BI180" s="974"/>
      <c r="BJ180" s="410"/>
      <c r="BK180" s="2073"/>
      <c r="BL180" s="410"/>
      <c r="BM180" s="410"/>
      <c r="BN180" s="410"/>
      <c r="BO180" s="685"/>
      <c r="BP180" s="399"/>
      <c r="BR180" s="405"/>
      <c r="BS180" s="405"/>
      <c r="BT180" s="405"/>
      <c r="BU180" s="405"/>
      <c r="BV180" s="2500"/>
      <c r="BW180" s="405"/>
      <c r="BX180" s="405"/>
      <c r="BY180" s="405"/>
      <c r="BZ180" s="405"/>
      <c r="CA180" s="405"/>
      <c r="CB180" s="405"/>
      <c r="CC180" s="405"/>
      <c r="CD180" s="405"/>
      <c r="CE180" s="405"/>
      <c r="CF180" s="404"/>
    </row>
    <row r="181" spans="1:84" ht="13.5" customHeight="1">
      <c r="A181" s="1483"/>
      <c r="B181" s="1483"/>
      <c r="C181" s="985"/>
      <c r="D181" s="2084"/>
      <c r="E181" s="1080"/>
      <c r="F181" s="2082"/>
      <c r="G181" s="912"/>
      <c r="H181" s="912"/>
      <c r="I181" s="2601"/>
      <c r="J181" s="2601"/>
      <c r="K181" s="2602"/>
      <c r="L181" s="2602"/>
      <c r="M181" s="2604"/>
      <c r="N181" s="2593"/>
      <c r="O181" s="2589"/>
      <c r="P181" s="2590"/>
      <c r="Q181" s="2591"/>
      <c r="R181" s="2600"/>
      <c r="S181" s="2592"/>
      <c r="T181" s="2593"/>
      <c r="U181" s="2594"/>
      <c r="V181" s="2595"/>
      <c r="W181" s="2596"/>
      <c r="X181" s="2597"/>
      <c r="Y181" s="2596"/>
      <c r="Z181" s="2598"/>
      <c r="AA181" s="2598"/>
      <c r="AB181" s="2598"/>
      <c r="AC181" s="1076"/>
      <c r="AD181" s="1076"/>
      <c r="AE181" s="410"/>
      <c r="AF181" s="809"/>
      <c r="AG181" s="1076"/>
      <c r="AH181" s="2404"/>
      <c r="AI181" s="2404"/>
      <c r="AJ181" s="2607"/>
      <c r="AK181" s="927"/>
      <c r="AL181" s="1076"/>
      <c r="AM181" s="927"/>
      <c r="AN181" s="685"/>
      <c r="AO181" s="517"/>
      <c r="AP181" s="413"/>
      <c r="AQ181" s="414"/>
      <c r="AR181" s="812"/>
      <c r="AS181" s="812"/>
      <c r="AT181" s="410"/>
      <c r="AU181" s="982"/>
      <c r="AV181" s="976"/>
      <c r="AW181" s="820"/>
      <c r="AX181" s="810"/>
      <c r="AY181" s="983"/>
      <c r="AZ181" s="983"/>
      <c r="BA181" s="819"/>
      <c r="BB181" s="820"/>
      <c r="BC181" s="811"/>
      <c r="BD181" s="410"/>
      <c r="BE181" s="410"/>
      <c r="BF181" s="410"/>
      <c r="BG181" s="410"/>
      <c r="BH181" s="974"/>
      <c r="BI181" s="974"/>
      <c r="BJ181" s="410"/>
      <c r="BK181" s="2073"/>
      <c r="BL181" s="410"/>
      <c r="BM181" s="410"/>
      <c r="BN181" s="410"/>
      <c r="BO181" s="685"/>
      <c r="BP181" s="399"/>
      <c r="BR181" s="405"/>
      <c r="BS181" s="405"/>
      <c r="BT181" s="405"/>
      <c r="BU181" s="405"/>
      <c r="BV181" s="2500"/>
      <c r="BW181" s="405"/>
      <c r="BX181" s="405"/>
      <c r="BY181" s="405"/>
      <c r="BZ181" s="405"/>
      <c r="CA181" s="405"/>
      <c r="CB181" s="405"/>
      <c r="CC181" s="405"/>
      <c r="CD181" s="405"/>
      <c r="CE181" s="405"/>
      <c r="CF181" s="404"/>
    </row>
    <row r="182" spans="1:84" ht="13.5" customHeight="1">
      <c r="A182" s="1483"/>
      <c r="B182" s="1483"/>
      <c r="C182" s="985"/>
      <c r="D182" s="2084"/>
      <c r="E182" s="1080"/>
      <c r="F182" s="2082"/>
      <c r="G182" s="912"/>
      <c r="H182" s="912"/>
      <c r="I182" s="2601"/>
      <c r="J182" s="2601"/>
      <c r="K182" s="2602"/>
      <c r="L182" s="2602"/>
      <c r="M182" s="2604"/>
      <c r="N182" s="2593"/>
      <c r="O182" s="2589"/>
      <c r="P182" s="2590"/>
      <c r="Q182" s="2591"/>
      <c r="R182" s="2600"/>
      <c r="S182" s="2592"/>
      <c r="T182" s="2593"/>
      <c r="U182" s="2594"/>
      <c r="V182" s="2595"/>
      <c r="W182" s="2596"/>
      <c r="X182" s="2597"/>
      <c r="Y182" s="2596"/>
      <c r="Z182" s="2598"/>
      <c r="AA182" s="2598"/>
      <c r="AB182" s="2598"/>
      <c r="AC182" s="1076"/>
      <c r="AD182" s="1076"/>
      <c r="AE182" s="410"/>
      <c r="AF182" s="809"/>
      <c r="AG182" s="1076"/>
      <c r="AH182" s="2404"/>
      <c r="AI182" s="2404"/>
      <c r="AJ182" s="2607"/>
      <c r="AK182" s="927"/>
      <c r="AL182" s="1076"/>
      <c r="AM182" s="927"/>
      <c r="AN182" s="685"/>
      <c r="AO182" s="517"/>
      <c r="AP182" s="413"/>
      <c r="AQ182" s="414"/>
      <c r="AR182" s="812"/>
      <c r="AS182" s="812"/>
      <c r="AT182" s="410"/>
      <c r="AU182" s="982"/>
      <c r="AV182" s="976"/>
      <c r="AW182" s="820"/>
      <c r="AX182" s="810"/>
      <c r="AY182" s="983"/>
      <c r="AZ182" s="983"/>
      <c r="BA182" s="819"/>
      <c r="BB182" s="820"/>
      <c r="BC182" s="811"/>
      <c r="BD182" s="410"/>
      <c r="BE182" s="410"/>
      <c r="BF182" s="410"/>
      <c r="BG182" s="410"/>
      <c r="BH182" s="974"/>
      <c r="BI182" s="974"/>
      <c r="BJ182" s="410"/>
      <c r="BK182" s="2073"/>
      <c r="BL182" s="410"/>
      <c r="BM182" s="410"/>
      <c r="BN182" s="410"/>
      <c r="BO182" s="685"/>
      <c r="BP182" s="399"/>
      <c r="BR182" s="405"/>
      <c r="BS182" s="405"/>
      <c r="BT182" s="405"/>
      <c r="BU182" s="405"/>
      <c r="BV182" s="405"/>
      <c r="BW182" s="405"/>
      <c r="BX182" s="405"/>
      <c r="BY182" s="405"/>
      <c r="BZ182" s="405"/>
      <c r="CA182" s="405"/>
      <c r="CB182" s="405"/>
      <c r="CC182" s="405"/>
      <c r="CD182" s="405"/>
      <c r="CE182" s="405"/>
      <c r="CF182" s="404"/>
    </row>
    <row r="183" spans="1:84" ht="13.5" customHeight="1">
      <c r="A183" s="1483"/>
      <c r="B183" s="1483"/>
      <c r="C183" s="985"/>
      <c r="D183" s="2084"/>
      <c r="E183" s="1080"/>
      <c r="F183" s="2082"/>
      <c r="G183" s="912"/>
      <c r="H183" s="912"/>
      <c r="I183" s="2601"/>
      <c r="J183" s="2601"/>
      <c r="K183" s="2602"/>
      <c r="L183" s="2603"/>
      <c r="M183" s="2604"/>
      <c r="N183" s="2593"/>
      <c r="O183" s="2589"/>
      <c r="P183" s="2590"/>
      <c r="Q183" s="2591"/>
      <c r="R183" s="2600"/>
      <c r="S183" s="2592"/>
      <c r="T183" s="2593"/>
      <c r="U183" s="2594"/>
      <c r="V183" s="2595"/>
      <c r="W183" s="2596"/>
      <c r="X183" s="2597"/>
      <c r="Y183" s="2596"/>
      <c r="Z183" s="2598"/>
      <c r="AA183" s="2598"/>
      <c r="AB183" s="2598"/>
      <c r="AC183" s="1076"/>
      <c r="AD183" s="1076"/>
      <c r="AE183" s="410"/>
      <c r="AF183" s="809"/>
      <c r="AG183" s="1076"/>
      <c r="AH183" s="2404"/>
      <c r="AI183" s="2404"/>
      <c r="AJ183" s="2607"/>
      <c r="AK183" s="927"/>
      <c r="AL183" s="1076"/>
      <c r="AM183" s="927"/>
      <c r="AN183" s="685"/>
      <c r="AO183" s="517"/>
      <c r="AP183" s="413"/>
      <c r="AQ183" s="414"/>
      <c r="AR183" s="812"/>
      <c r="AS183" s="812"/>
      <c r="AT183" s="410"/>
      <c r="AU183" s="982"/>
      <c r="AV183" s="976"/>
      <c r="AW183" s="820"/>
      <c r="AX183" s="810"/>
      <c r="AY183" s="983"/>
      <c r="AZ183" s="983"/>
      <c r="BA183" s="819"/>
      <c r="BB183" s="820"/>
      <c r="BC183" s="811"/>
      <c r="BD183" s="410"/>
      <c r="BE183" s="410"/>
      <c r="BF183" s="410"/>
      <c r="BG183" s="410"/>
      <c r="BH183" s="974"/>
      <c r="BI183" s="974"/>
      <c r="BJ183" s="410"/>
      <c r="BK183" s="2073"/>
      <c r="BL183" s="410"/>
      <c r="BM183" s="410"/>
      <c r="BN183" s="410"/>
      <c r="BO183" s="685"/>
      <c r="BP183" s="399"/>
      <c r="BR183" s="405"/>
      <c r="BS183" s="405"/>
      <c r="BT183" s="405"/>
      <c r="BU183" s="405"/>
      <c r="BV183" s="405"/>
      <c r="BW183" s="405"/>
      <c r="BX183" s="405"/>
      <c r="BY183" s="405"/>
      <c r="BZ183" s="405"/>
      <c r="CA183" s="405"/>
      <c r="CB183" s="405"/>
      <c r="CC183" s="405"/>
      <c r="CD183" s="405"/>
      <c r="CE183" s="405"/>
      <c r="CF183" s="404"/>
    </row>
    <row r="184" spans="1:84" ht="13.5" customHeight="1">
      <c r="A184" s="1483"/>
      <c r="B184" s="1483"/>
      <c r="C184" s="985"/>
      <c r="D184" s="2084"/>
      <c r="E184" s="1080"/>
      <c r="F184" s="2082"/>
      <c r="G184" s="912"/>
      <c r="H184" s="912"/>
      <c r="I184" s="2601"/>
      <c r="J184" s="2601"/>
      <c r="K184" s="2602"/>
      <c r="L184" s="2602"/>
      <c r="M184" s="2604"/>
      <c r="N184" s="2593"/>
      <c r="O184" s="2589"/>
      <c r="P184" s="2590"/>
      <c r="Q184" s="2591"/>
      <c r="R184" s="2600"/>
      <c r="S184" s="2592"/>
      <c r="T184" s="2593"/>
      <c r="U184" s="2594"/>
      <c r="V184" s="2595"/>
      <c r="W184" s="2596"/>
      <c r="X184" s="2597"/>
      <c r="Y184" s="2596"/>
      <c r="Z184" s="2598"/>
      <c r="AA184" s="2598"/>
      <c r="AB184" s="2598"/>
      <c r="AC184" s="1076"/>
      <c r="AD184" s="1076"/>
      <c r="AE184" s="410"/>
      <c r="AF184" s="809"/>
      <c r="AG184" s="1076"/>
      <c r="AH184" s="2404"/>
      <c r="AI184" s="2404"/>
      <c r="AJ184" s="2607"/>
      <c r="AK184" s="927"/>
      <c r="AL184" s="1076"/>
      <c r="AM184" s="927"/>
      <c r="AN184" s="685"/>
      <c r="AO184" s="517"/>
      <c r="AP184" s="413"/>
      <c r="AQ184" s="414"/>
      <c r="AR184" s="812"/>
      <c r="AS184" s="812"/>
      <c r="AT184" s="410"/>
      <c r="AU184" s="982"/>
      <c r="AV184" s="976"/>
      <c r="AW184" s="820"/>
      <c r="AX184" s="810"/>
      <c r="AY184" s="983"/>
      <c r="AZ184" s="983"/>
      <c r="BA184" s="819"/>
      <c r="BB184" s="820"/>
      <c r="BC184" s="811"/>
      <c r="BD184" s="410"/>
      <c r="BE184" s="410"/>
      <c r="BF184" s="410"/>
      <c r="BG184" s="410"/>
      <c r="BH184" s="974"/>
      <c r="BI184" s="974"/>
      <c r="BJ184" s="410"/>
      <c r="BK184" s="2073"/>
      <c r="BL184" s="410"/>
      <c r="BM184" s="410"/>
      <c r="BN184" s="410"/>
      <c r="BO184" s="685"/>
      <c r="BP184" s="399"/>
      <c r="BR184" s="405"/>
      <c r="BS184" s="405"/>
      <c r="BT184" s="405"/>
      <c r="BU184" s="405"/>
      <c r="BV184" s="405"/>
      <c r="BW184" s="405"/>
      <c r="BX184" s="405"/>
      <c r="BY184" s="405"/>
      <c r="BZ184" s="405"/>
      <c r="CA184" s="405"/>
      <c r="CB184" s="405"/>
      <c r="CC184" s="405"/>
      <c r="CD184" s="2501"/>
      <c r="CE184" s="405"/>
      <c r="CF184" s="404"/>
    </row>
    <row r="185" spans="1:84" ht="13.5" customHeight="1">
      <c r="A185" s="1483"/>
      <c r="B185" s="1483"/>
      <c r="C185" s="985"/>
      <c r="D185" s="2084"/>
      <c r="E185" s="1080"/>
      <c r="F185" s="2082"/>
      <c r="G185" s="912"/>
      <c r="H185" s="912"/>
      <c r="I185" s="2601"/>
      <c r="J185" s="2601"/>
      <c r="K185" s="2602"/>
      <c r="L185" s="2602"/>
      <c r="M185" s="2604"/>
      <c r="N185" s="2593"/>
      <c r="O185" s="2589"/>
      <c r="P185" s="2590"/>
      <c r="Q185" s="2591"/>
      <c r="R185" s="2600"/>
      <c r="S185" s="2592"/>
      <c r="T185" s="2593"/>
      <c r="U185" s="2594"/>
      <c r="V185" s="2595"/>
      <c r="W185" s="2596"/>
      <c r="X185" s="2597"/>
      <c r="Y185" s="2596"/>
      <c r="Z185" s="2598"/>
      <c r="AA185" s="2598"/>
      <c r="AB185" s="2598"/>
      <c r="AC185" s="1076"/>
      <c r="AD185" s="1076"/>
      <c r="AE185" s="410"/>
      <c r="AF185" s="809"/>
      <c r="AG185" s="1076"/>
      <c r="AH185" s="2404"/>
      <c r="AI185" s="2404"/>
      <c r="AJ185" s="2607"/>
      <c r="AK185" s="927"/>
      <c r="AL185" s="1076"/>
      <c r="AM185" s="927"/>
      <c r="AN185" s="685"/>
      <c r="AO185" s="517"/>
      <c r="AP185" s="413"/>
      <c r="AQ185" s="414"/>
      <c r="AR185" s="812"/>
      <c r="AS185" s="812"/>
      <c r="AT185" s="410"/>
      <c r="AU185" s="982"/>
      <c r="AV185" s="976"/>
      <c r="AW185" s="820"/>
      <c r="AX185" s="810"/>
      <c r="AY185" s="983"/>
      <c r="AZ185" s="983"/>
      <c r="BA185" s="819"/>
      <c r="BB185" s="820"/>
      <c r="BC185" s="811"/>
      <c r="BD185" s="410"/>
      <c r="BE185" s="410"/>
      <c r="BF185" s="410"/>
      <c r="BG185" s="410"/>
      <c r="BH185" s="974"/>
      <c r="BI185" s="974"/>
      <c r="BJ185" s="410"/>
      <c r="BK185" s="2073"/>
      <c r="BL185" s="410"/>
      <c r="BM185" s="410"/>
      <c r="BN185" s="410"/>
      <c r="BO185" s="685"/>
      <c r="BP185" s="399"/>
      <c r="BR185" s="405"/>
      <c r="BS185" s="405"/>
      <c r="BT185" s="405"/>
      <c r="BU185" s="405"/>
      <c r="BV185" s="405"/>
      <c r="BW185" s="405"/>
      <c r="BX185" s="405"/>
      <c r="BY185" s="405"/>
      <c r="BZ185" s="405"/>
      <c r="CA185" s="405"/>
      <c r="CB185" s="405"/>
      <c r="CC185" s="405"/>
      <c r="CD185" s="405"/>
      <c r="CE185" s="405"/>
      <c r="CF185" s="404"/>
    </row>
    <row r="186" spans="1:84" ht="13.5" customHeight="1">
      <c r="A186" s="1483"/>
      <c r="B186" s="1483"/>
      <c r="C186" s="985"/>
      <c r="D186" s="2084"/>
      <c r="E186" s="1080"/>
      <c r="F186" s="2082"/>
      <c r="G186" s="912"/>
      <c r="H186" s="912"/>
      <c r="I186" s="2601"/>
      <c r="J186" s="2601"/>
      <c r="K186" s="2602"/>
      <c r="L186" s="2602"/>
      <c r="M186" s="2604"/>
      <c r="N186" s="2593"/>
      <c r="O186" s="2589"/>
      <c r="P186" s="2590"/>
      <c r="Q186" s="2591"/>
      <c r="R186" s="2600"/>
      <c r="S186" s="2592"/>
      <c r="T186" s="2593"/>
      <c r="U186" s="2594"/>
      <c r="V186" s="2595"/>
      <c r="W186" s="2596"/>
      <c r="X186" s="2597"/>
      <c r="Y186" s="2596"/>
      <c r="Z186" s="2598"/>
      <c r="AA186" s="2598"/>
      <c r="AB186" s="2598"/>
      <c r="AC186" s="1076"/>
      <c r="AD186" s="1076"/>
      <c r="AE186" s="410"/>
      <c r="AF186" s="809"/>
      <c r="AG186" s="1076"/>
      <c r="AH186" s="2404"/>
      <c r="AI186" s="2404"/>
      <c r="AJ186" s="2607"/>
      <c r="AK186" s="927"/>
      <c r="AL186" s="1076"/>
      <c r="AM186" s="927"/>
      <c r="AN186" s="685"/>
      <c r="AO186" s="517"/>
      <c r="AP186" s="413"/>
      <c r="AQ186" s="414"/>
      <c r="AR186" s="812"/>
      <c r="AS186" s="812"/>
      <c r="AT186" s="410"/>
      <c r="AU186" s="982"/>
      <c r="AV186" s="976"/>
      <c r="AW186" s="820"/>
      <c r="AX186" s="810"/>
      <c r="AY186" s="983"/>
      <c r="AZ186" s="983"/>
      <c r="BA186" s="819"/>
      <c r="BB186" s="820"/>
      <c r="BC186" s="811"/>
      <c r="BD186" s="410"/>
      <c r="BE186" s="410"/>
      <c r="BF186" s="410"/>
      <c r="BG186" s="410"/>
      <c r="BH186" s="974"/>
      <c r="BI186" s="974"/>
      <c r="BJ186" s="410"/>
      <c r="BK186" s="2073"/>
      <c r="BL186" s="410"/>
      <c r="BM186" s="410"/>
      <c r="BN186" s="410"/>
      <c r="BO186" s="685"/>
      <c r="BP186" s="399"/>
      <c r="BR186" s="405"/>
      <c r="BS186" s="405"/>
      <c r="BT186" s="405"/>
      <c r="BU186" s="405"/>
      <c r="BV186" s="405"/>
      <c r="BW186" s="405"/>
      <c r="BX186" s="405"/>
      <c r="BY186" s="405"/>
      <c r="BZ186" s="405"/>
      <c r="CA186" s="405"/>
      <c r="CB186" s="405"/>
      <c r="CC186" s="405"/>
      <c r="CD186" s="405"/>
      <c r="CE186" s="405"/>
      <c r="CF186" s="404"/>
    </row>
    <row r="187" spans="1:84" ht="13.5" customHeight="1">
      <c r="A187" s="1483"/>
      <c r="B187" s="1483"/>
      <c r="C187" s="985"/>
      <c r="D187" s="2084"/>
      <c r="E187" s="1080"/>
      <c r="F187" s="2082"/>
      <c r="G187" s="912"/>
      <c r="H187" s="912"/>
      <c r="I187" s="2601"/>
      <c r="J187" s="2601"/>
      <c r="K187" s="2602"/>
      <c r="L187" s="2602"/>
      <c r="M187" s="2604"/>
      <c r="N187" s="2593"/>
      <c r="O187" s="2589"/>
      <c r="P187" s="2590"/>
      <c r="Q187" s="2591"/>
      <c r="R187" s="2600"/>
      <c r="S187" s="2592"/>
      <c r="T187" s="2593"/>
      <c r="U187" s="2594"/>
      <c r="V187" s="2595"/>
      <c r="W187" s="2596"/>
      <c r="X187" s="2597"/>
      <c r="Y187" s="2596"/>
      <c r="Z187" s="2598"/>
      <c r="AA187" s="2598"/>
      <c r="AB187" s="2598"/>
      <c r="AC187" s="1076"/>
      <c r="AD187" s="1076"/>
      <c r="AE187" s="410"/>
      <c r="AF187" s="809"/>
      <c r="AG187" s="1076"/>
      <c r="AH187" s="2404"/>
      <c r="AI187" s="2404"/>
      <c r="AJ187" s="2607"/>
      <c r="AK187" s="927"/>
      <c r="AL187" s="1076"/>
      <c r="AM187" s="927"/>
      <c r="AN187" s="685"/>
      <c r="AO187" s="517"/>
      <c r="AP187" s="413"/>
      <c r="AQ187" s="414"/>
      <c r="AR187" s="812"/>
      <c r="AS187" s="812"/>
      <c r="AT187" s="410"/>
      <c r="AU187" s="982"/>
      <c r="AV187" s="976"/>
      <c r="AW187" s="820"/>
      <c r="AX187" s="810"/>
      <c r="AY187" s="983"/>
      <c r="AZ187" s="983"/>
      <c r="BA187" s="819"/>
      <c r="BB187" s="820"/>
      <c r="BC187" s="811"/>
      <c r="BD187" s="410"/>
      <c r="BE187" s="410"/>
      <c r="BF187" s="410"/>
      <c r="BG187" s="410"/>
      <c r="BH187" s="974"/>
      <c r="BI187" s="974"/>
      <c r="BJ187" s="410"/>
      <c r="BK187" s="2073"/>
      <c r="BL187" s="410"/>
      <c r="BM187" s="410"/>
      <c r="BN187" s="410"/>
      <c r="BO187" s="685"/>
      <c r="BP187" s="399"/>
      <c r="BR187" s="405"/>
      <c r="BS187" s="405"/>
      <c r="BT187" s="405"/>
      <c r="BU187" s="405"/>
      <c r="BV187" s="405"/>
      <c r="BW187" s="405"/>
      <c r="BX187" s="405"/>
      <c r="BY187" s="405"/>
      <c r="BZ187" s="405"/>
      <c r="CA187" s="405"/>
      <c r="CB187" s="405"/>
      <c r="CC187" s="405"/>
      <c r="CD187" s="405"/>
      <c r="CE187" s="405"/>
      <c r="CF187" s="404"/>
    </row>
    <row r="188" spans="1:84" ht="13.5" customHeight="1">
      <c r="A188" s="1483"/>
      <c r="B188" s="1483"/>
      <c r="C188" s="985"/>
      <c r="D188" s="2084"/>
      <c r="E188" s="1080"/>
      <c r="F188" s="2082"/>
      <c r="G188" s="912"/>
      <c r="H188" s="912"/>
      <c r="I188" s="2601"/>
      <c r="J188" s="2601"/>
      <c r="K188" s="2602"/>
      <c r="L188" s="2603"/>
      <c r="M188" s="2604"/>
      <c r="N188" s="2593"/>
      <c r="O188" s="2589"/>
      <c r="P188" s="2590"/>
      <c r="Q188" s="2591"/>
      <c r="R188" s="2600"/>
      <c r="S188" s="2592"/>
      <c r="T188" s="2593"/>
      <c r="U188" s="2594"/>
      <c r="V188" s="2595"/>
      <c r="W188" s="2596"/>
      <c r="X188" s="2597"/>
      <c r="Y188" s="2596"/>
      <c r="Z188" s="2598"/>
      <c r="AA188" s="2598"/>
      <c r="AB188" s="2598"/>
      <c r="AC188" s="1076"/>
      <c r="AD188" s="1076"/>
      <c r="AE188" s="410"/>
      <c r="AF188" s="809"/>
      <c r="AG188" s="1076"/>
      <c r="AH188" s="2404"/>
      <c r="AI188" s="2404"/>
      <c r="AJ188" s="2607"/>
      <c r="AK188" s="927"/>
      <c r="AL188" s="1076"/>
      <c r="AM188" s="927"/>
      <c r="AN188" s="685"/>
      <c r="AO188" s="517"/>
      <c r="AP188" s="413"/>
      <c r="AQ188" s="414"/>
      <c r="AR188" s="812"/>
      <c r="AS188" s="812"/>
      <c r="AT188" s="410"/>
      <c r="AU188" s="982"/>
      <c r="AV188" s="976"/>
      <c r="AW188" s="820"/>
      <c r="AX188" s="810"/>
      <c r="AY188" s="983"/>
      <c r="AZ188" s="983"/>
      <c r="BA188" s="819"/>
      <c r="BB188" s="820"/>
      <c r="BC188" s="811"/>
      <c r="BD188" s="410"/>
      <c r="BE188" s="410"/>
      <c r="BF188" s="410"/>
      <c r="BG188" s="410"/>
      <c r="BH188" s="974"/>
      <c r="BI188" s="974"/>
      <c r="BJ188" s="410"/>
      <c r="BK188" s="2073"/>
      <c r="BL188" s="410"/>
      <c r="BM188" s="410"/>
      <c r="BN188" s="410"/>
      <c r="BO188" s="685"/>
      <c r="BP188" s="399"/>
      <c r="BR188" s="405"/>
      <c r="BS188" s="405"/>
      <c r="BT188" s="405"/>
      <c r="BU188" s="405"/>
      <c r="BV188" s="405"/>
      <c r="BW188" s="405"/>
      <c r="BX188" s="405"/>
      <c r="BY188" s="405"/>
      <c r="BZ188" s="405"/>
      <c r="CA188" s="405"/>
      <c r="CB188" s="405"/>
      <c r="CC188" s="405"/>
      <c r="CD188" s="405"/>
      <c r="CE188" s="405"/>
      <c r="CF188" s="404"/>
    </row>
    <row r="189" spans="1:84" ht="13.5" customHeight="1">
      <c r="A189" s="1483"/>
      <c r="B189" s="1483"/>
      <c r="C189" s="985"/>
      <c r="D189" s="2084"/>
      <c r="E189" s="1080"/>
      <c r="F189" s="2082"/>
      <c r="G189" s="912"/>
      <c r="H189" s="912"/>
      <c r="I189" s="2601"/>
      <c r="J189" s="2601"/>
      <c r="K189" s="2602"/>
      <c r="L189" s="2603"/>
      <c r="M189" s="2604"/>
      <c r="N189" s="2593"/>
      <c r="O189" s="2589"/>
      <c r="P189" s="2590"/>
      <c r="Q189" s="2591"/>
      <c r="R189" s="2600"/>
      <c r="S189" s="2592"/>
      <c r="T189" s="2593"/>
      <c r="U189" s="2594"/>
      <c r="V189" s="2595"/>
      <c r="W189" s="2596"/>
      <c r="X189" s="2597"/>
      <c r="Y189" s="2596"/>
      <c r="Z189" s="2598"/>
      <c r="AA189" s="2598"/>
      <c r="AB189" s="2598"/>
      <c r="AC189" s="1076"/>
      <c r="AD189" s="1076"/>
      <c r="AE189" s="410"/>
      <c r="AF189" s="809"/>
      <c r="AG189" s="1076"/>
      <c r="AH189" s="2404"/>
      <c r="AI189" s="2404"/>
      <c r="AJ189" s="2607"/>
      <c r="AK189" s="927"/>
      <c r="AL189" s="1076"/>
      <c r="AM189" s="927"/>
      <c r="AN189" s="685"/>
      <c r="AO189" s="517"/>
      <c r="AP189" s="413"/>
      <c r="AQ189" s="414"/>
      <c r="AR189" s="812"/>
      <c r="AS189" s="812"/>
      <c r="AT189" s="410"/>
      <c r="AU189" s="982"/>
      <c r="AV189" s="976"/>
      <c r="AW189" s="820"/>
      <c r="AX189" s="810"/>
      <c r="AY189" s="983"/>
      <c r="AZ189" s="983"/>
      <c r="BA189" s="819"/>
      <c r="BB189" s="820"/>
      <c r="BC189" s="811"/>
      <c r="BD189" s="410"/>
      <c r="BE189" s="410"/>
      <c r="BF189" s="410"/>
      <c r="BG189" s="410"/>
      <c r="BH189" s="974"/>
      <c r="BI189" s="974"/>
      <c r="BJ189" s="410"/>
      <c r="BK189" s="2073"/>
      <c r="BL189" s="410"/>
      <c r="BM189" s="410"/>
      <c r="BN189" s="410"/>
      <c r="BO189" s="685"/>
      <c r="BP189" s="399"/>
      <c r="BR189" s="405"/>
      <c r="BS189" s="405"/>
      <c r="BT189" s="405"/>
      <c r="BU189" s="405"/>
      <c r="BV189" s="405"/>
      <c r="BW189" s="405"/>
      <c r="BX189" s="405"/>
      <c r="BY189" s="405"/>
      <c r="BZ189" s="405"/>
      <c r="CA189" s="405"/>
      <c r="CB189" s="405"/>
      <c r="CC189" s="405"/>
      <c r="CD189" s="405"/>
      <c r="CE189" s="405"/>
      <c r="CF189" s="404"/>
    </row>
    <row r="190" spans="1:84" ht="13.5" customHeight="1">
      <c r="A190" s="1483"/>
      <c r="B190" s="1483"/>
      <c r="C190" s="985"/>
      <c r="D190" s="2084"/>
      <c r="E190" s="1080"/>
      <c r="F190" s="2082"/>
      <c r="G190" s="912"/>
      <c r="H190" s="912"/>
      <c r="I190" s="2601"/>
      <c r="J190" s="2601"/>
      <c r="K190" s="2602"/>
      <c r="L190" s="2603"/>
      <c r="M190" s="2604"/>
      <c r="N190" s="2593"/>
      <c r="O190" s="2589"/>
      <c r="P190" s="2590"/>
      <c r="Q190" s="2591"/>
      <c r="R190" s="2600"/>
      <c r="S190" s="2592"/>
      <c r="T190" s="2593"/>
      <c r="U190" s="2594"/>
      <c r="V190" s="2595"/>
      <c r="W190" s="2596"/>
      <c r="X190" s="2597"/>
      <c r="Y190" s="2596"/>
      <c r="Z190" s="2598"/>
      <c r="AA190" s="2598"/>
      <c r="AB190" s="2598"/>
      <c r="AC190" s="1076"/>
      <c r="AD190" s="1076"/>
      <c r="AE190" s="410"/>
      <c r="AF190" s="809"/>
      <c r="AG190" s="1076"/>
      <c r="AH190" s="2404"/>
      <c r="AI190" s="2404"/>
      <c r="AJ190" s="2607"/>
      <c r="AK190" s="927"/>
      <c r="AL190" s="1076"/>
      <c r="AM190" s="927"/>
      <c r="AN190" s="685"/>
      <c r="AO190" s="517"/>
      <c r="AP190" s="413"/>
      <c r="AQ190" s="414"/>
      <c r="AR190" s="812"/>
      <c r="AS190" s="812"/>
      <c r="AT190" s="410"/>
      <c r="AU190" s="982"/>
      <c r="AV190" s="976"/>
      <c r="AW190" s="820"/>
      <c r="AX190" s="810"/>
      <c r="AY190" s="983"/>
      <c r="AZ190" s="983"/>
      <c r="BA190" s="819"/>
      <c r="BB190" s="820"/>
      <c r="BC190" s="811"/>
      <c r="BD190" s="410"/>
      <c r="BE190" s="410"/>
      <c r="BF190" s="410"/>
      <c r="BG190" s="410"/>
      <c r="BH190" s="974"/>
      <c r="BI190" s="974"/>
      <c r="BJ190" s="410"/>
      <c r="BK190" s="2073"/>
      <c r="BL190" s="410"/>
      <c r="BM190" s="410"/>
      <c r="BN190" s="410"/>
      <c r="BO190" s="685"/>
      <c r="BP190" s="399"/>
      <c r="BR190" s="405"/>
      <c r="BS190" s="405"/>
      <c r="BT190" s="405"/>
      <c r="BU190" s="405"/>
      <c r="BV190" s="405"/>
      <c r="BW190" s="405"/>
      <c r="BX190" s="405"/>
      <c r="BY190" s="405"/>
      <c r="BZ190" s="405"/>
      <c r="CA190" s="405"/>
      <c r="CB190" s="405"/>
      <c r="CC190" s="405"/>
      <c r="CD190" s="405"/>
      <c r="CE190" s="405"/>
      <c r="CF190" s="404"/>
    </row>
    <row r="191" spans="1:84" ht="13.5" customHeight="1">
      <c r="A191" s="1483"/>
      <c r="B191" s="1483"/>
      <c r="C191" s="985"/>
      <c r="D191" s="2084"/>
      <c r="E191" s="1080"/>
      <c r="F191" s="2082"/>
      <c r="G191" s="912"/>
      <c r="H191" s="912"/>
      <c r="I191" s="2601"/>
      <c r="J191" s="2601"/>
      <c r="K191" s="2602"/>
      <c r="L191" s="2602"/>
      <c r="M191" s="2604"/>
      <c r="N191" s="2593"/>
      <c r="O191" s="2589"/>
      <c r="P191" s="2590"/>
      <c r="Q191" s="2591"/>
      <c r="R191" s="2600"/>
      <c r="S191" s="2592"/>
      <c r="T191" s="2593"/>
      <c r="U191" s="2594"/>
      <c r="V191" s="2595"/>
      <c r="W191" s="2596"/>
      <c r="X191" s="2597"/>
      <c r="Y191" s="2596"/>
      <c r="Z191" s="2598"/>
      <c r="AA191" s="2598"/>
      <c r="AB191" s="2598"/>
      <c r="AC191" s="406"/>
      <c r="AD191" s="685"/>
      <c r="AE191" s="410"/>
      <c r="AF191" s="809"/>
      <c r="AG191" s="1076"/>
      <c r="AH191" s="2404"/>
      <c r="AI191" s="2404"/>
      <c r="AJ191" s="2607"/>
      <c r="AK191" s="927"/>
      <c r="AL191" s="1076"/>
      <c r="AM191" s="927"/>
      <c r="AN191" s="685"/>
      <c r="AO191" s="517"/>
      <c r="AP191" s="413"/>
      <c r="AQ191" s="414"/>
      <c r="AR191" s="812"/>
      <c r="AS191" s="812"/>
      <c r="AT191" s="410"/>
      <c r="AU191" s="982"/>
      <c r="AV191" s="976"/>
      <c r="AW191" s="820"/>
      <c r="AX191" s="810"/>
      <c r="AY191" s="983"/>
      <c r="AZ191" s="983"/>
      <c r="BA191" s="819"/>
      <c r="BB191" s="820"/>
      <c r="BC191" s="811"/>
      <c r="BD191" s="410"/>
      <c r="BE191" s="410"/>
      <c r="BF191" s="410"/>
      <c r="BG191" s="410"/>
      <c r="BH191" s="974"/>
      <c r="BI191" s="974"/>
      <c r="BJ191" s="410"/>
      <c r="BK191" s="2073"/>
      <c r="BL191" s="410"/>
      <c r="BM191" s="410"/>
      <c r="BN191" s="410"/>
      <c r="BO191" s="685"/>
      <c r="BP191" s="399"/>
      <c r="BR191" s="405"/>
      <c r="BS191" s="405"/>
      <c r="BT191" s="405"/>
      <c r="BU191" s="405"/>
      <c r="BV191" s="405"/>
      <c r="BW191" s="405"/>
      <c r="BX191" s="405"/>
      <c r="BY191" s="405"/>
      <c r="BZ191" s="405"/>
      <c r="CA191" s="405"/>
      <c r="CB191" s="405"/>
      <c r="CC191" s="405"/>
      <c r="CD191" s="405"/>
      <c r="CE191" s="405"/>
      <c r="CF191" s="404"/>
    </row>
    <row r="192" spans="1:84" ht="13.5" customHeight="1">
      <c r="A192" s="1483"/>
      <c r="B192" s="1483"/>
      <c r="C192" s="985"/>
      <c r="D192" s="2084"/>
      <c r="E192" s="1080"/>
      <c r="F192" s="2082"/>
      <c r="G192" s="912"/>
      <c r="H192" s="912"/>
      <c r="I192" s="2601"/>
      <c r="J192" s="2601"/>
      <c r="K192" s="2602"/>
      <c r="L192" s="2603"/>
      <c r="M192" s="2604"/>
      <c r="N192" s="2593"/>
      <c r="O192" s="2589"/>
      <c r="P192" s="2590"/>
      <c r="Q192" s="2591"/>
      <c r="R192" s="2600"/>
      <c r="S192" s="2592"/>
      <c r="T192" s="2593"/>
      <c r="U192" s="2594"/>
      <c r="V192" s="2595"/>
      <c r="W192" s="2596"/>
      <c r="X192" s="2597"/>
      <c r="Y192" s="2596"/>
      <c r="Z192" s="2598"/>
      <c r="AA192" s="2598"/>
      <c r="AB192" s="2598"/>
      <c r="AC192" s="1076"/>
      <c r="AD192" s="1076"/>
      <c r="AE192" s="410"/>
      <c r="AF192" s="809"/>
      <c r="AG192" s="1076"/>
      <c r="AH192" s="2404"/>
      <c r="AI192" s="2404"/>
      <c r="AJ192" s="2607"/>
      <c r="AK192" s="927"/>
      <c r="AL192" s="1076"/>
      <c r="AM192" s="927"/>
      <c r="AN192" s="685"/>
      <c r="AO192" s="517"/>
      <c r="AP192" s="413"/>
      <c r="AQ192" s="414"/>
      <c r="AR192" s="812"/>
      <c r="AS192" s="812"/>
      <c r="AT192" s="410"/>
      <c r="AU192" s="982"/>
      <c r="AV192" s="976"/>
      <c r="AW192" s="820"/>
      <c r="AX192" s="810"/>
      <c r="AY192" s="983"/>
      <c r="AZ192" s="983"/>
      <c r="BA192" s="819"/>
      <c r="BB192" s="820"/>
      <c r="BC192" s="811"/>
      <c r="BD192" s="410"/>
      <c r="BE192" s="410"/>
      <c r="BF192" s="410"/>
      <c r="BG192" s="410"/>
      <c r="BH192" s="974"/>
      <c r="BI192" s="974"/>
      <c r="BJ192" s="410"/>
      <c r="BK192" s="2073"/>
      <c r="BL192" s="410"/>
      <c r="BM192" s="410"/>
      <c r="BN192" s="410"/>
      <c r="BO192" s="685"/>
      <c r="BP192" s="399"/>
      <c r="BR192" s="405"/>
      <c r="BS192" s="405"/>
      <c r="BT192" s="405"/>
      <c r="BU192" s="405"/>
      <c r="BV192" s="405"/>
      <c r="BW192" s="405"/>
      <c r="BX192" s="405"/>
      <c r="BY192" s="405"/>
      <c r="BZ192" s="405"/>
      <c r="CA192" s="405"/>
      <c r="CB192" s="405"/>
      <c r="CC192" s="405"/>
      <c r="CD192" s="405"/>
      <c r="CE192" s="405"/>
      <c r="CF192" s="404"/>
    </row>
    <row r="193" spans="1:84" ht="13.5" customHeight="1">
      <c r="A193" s="1483"/>
      <c r="B193" s="1483"/>
      <c r="C193" s="985"/>
      <c r="D193" s="2084"/>
      <c r="E193" s="1080"/>
      <c r="F193" s="2082"/>
      <c r="G193" s="912"/>
      <c r="H193" s="912"/>
      <c r="I193" s="2601"/>
      <c r="J193" s="2601"/>
      <c r="K193" s="2602"/>
      <c r="L193" s="2602"/>
      <c r="M193" s="2604"/>
      <c r="N193" s="2593"/>
      <c r="O193" s="2589"/>
      <c r="P193" s="2590"/>
      <c r="Q193" s="2591"/>
      <c r="R193" s="2600"/>
      <c r="S193" s="2592"/>
      <c r="T193" s="2593"/>
      <c r="U193" s="2594"/>
      <c r="V193" s="2595"/>
      <c r="W193" s="2596"/>
      <c r="X193" s="2597"/>
      <c r="Y193" s="2596"/>
      <c r="Z193" s="2598"/>
      <c r="AA193" s="2598"/>
      <c r="AB193" s="2598"/>
      <c r="AC193" s="1076"/>
      <c r="AD193" s="1076"/>
      <c r="AE193" s="410"/>
      <c r="AF193" s="809"/>
      <c r="AG193" s="1076"/>
      <c r="AH193" s="2404"/>
      <c r="AI193" s="2404"/>
      <c r="AJ193" s="2607"/>
      <c r="AK193" s="927"/>
      <c r="AL193" s="1076"/>
      <c r="AM193" s="927"/>
      <c r="AN193" s="685"/>
      <c r="AO193" s="517"/>
      <c r="AP193" s="413"/>
      <c r="AQ193" s="414"/>
      <c r="AR193" s="812"/>
      <c r="AS193" s="812"/>
      <c r="AT193" s="410"/>
      <c r="AU193" s="982"/>
      <c r="AV193" s="976"/>
      <c r="AW193" s="820"/>
      <c r="AX193" s="810"/>
      <c r="AY193" s="983"/>
      <c r="AZ193" s="983"/>
      <c r="BA193" s="819"/>
      <c r="BB193" s="820"/>
      <c r="BC193" s="811"/>
      <c r="BD193" s="410"/>
      <c r="BE193" s="410"/>
      <c r="BF193" s="410"/>
      <c r="BG193" s="410"/>
      <c r="BH193" s="974"/>
      <c r="BI193" s="974"/>
      <c r="BJ193" s="410"/>
      <c r="BK193" s="2073"/>
      <c r="BL193" s="410"/>
      <c r="BM193" s="410"/>
      <c r="BN193" s="410"/>
      <c r="BO193" s="685"/>
      <c r="BP193" s="399"/>
      <c r="BR193" s="405"/>
      <c r="BS193" s="405"/>
      <c r="BT193" s="405"/>
      <c r="BU193" s="405"/>
      <c r="BV193" s="405"/>
      <c r="BW193" s="405"/>
      <c r="BX193" s="405"/>
      <c r="BY193" s="405"/>
      <c r="BZ193" s="405"/>
      <c r="CA193" s="405"/>
      <c r="CB193" s="405"/>
      <c r="CC193" s="405"/>
      <c r="CD193" s="405"/>
      <c r="CE193" s="405"/>
      <c r="CF193" s="404"/>
    </row>
    <row r="194" spans="1:84" ht="13.5" customHeight="1">
      <c r="A194" s="1483"/>
      <c r="B194" s="1483"/>
      <c r="C194" s="985"/>
      <c r="D194" s="2084"/>
      <c r="E194" s="1080"/>
      <c r="F194" s="2082"/>
      <c r="G194" s="912"/>
      <c r="H194" s="912"/>
      <c r="I194" s="2601"/>
      <c r="J194" s="2601"/>
      <c r="K194" s="2602"/>
      <c r="L194" s="2603"/>
      <c r="M194" s="2604"/>
      <c r="N194" s="2593"/>
      <c r="O194" s="2589"/>
      <c r="P194" s="2590"/>
      <c r="Q194" s="2591"/>
      <c r="R194" s="2600"/>
      <c r="S194" s="2592"/>
      <c r="T194" s="2593"/>
      <c r="U194" s="2594"/>
      <c r="V194" s="2595"/>
      <c r="W194" s="2596"/>
      <c r="X194" s="2597"/>
      <c r="Y194" s="2596"/>
      <c r="Z194" s="2598"/>
      <c r="AA194" s="2598"/>
      <c r="AB194" s="2598"/>
      <c r="AC194" s="1076"/>
      <c r="AD194" s="1076"/>
      <c r="AE194" s="410"/>
      <c r="AF194" s="809"/>
      <c r="AG194" s="1076"/>
      <c r="AH194" s="2404"/>
      <c r="AI194" s="2404"/>
      <c r="AJ194" s="2607"/>
      <c r="AK194" s="927"/>
      <c r="AL194" s="1076"/>
      <c r="AM194" s="927"/>
      <c r="AN194" s="685"/>
      <c r="AO194" s="517"/>
      <c r="AP194" s="413"/>
      <c r="AQ194" s="414"/>
      <c r="AR194" s="812"/>
      <c r="AS194" s="812"/>
      <c r="AT194" s="410"/>
      <c r="AU194" s="982"/>
      <c r="AV194" s="976"/>
      <c r="AW194" s="820"/>
      <c r="AX194" s="810"/>
      <c r="AY194" s="983"/>
      <c r="AZ194" s="983"/>
      <c r="BA194" s="819"/>
      <c r="BB194" s="820"/>
      <c r="BC194" s="811"/>
      <c r="BD194" s="410"/>
      <c r="BE194" s="410"/>
      <c r="BF194" s="410"/>
      <c r="BG194" s="410"/>
      <c r="BH194" s="974"/>
      <c r="BI194" s="974"/>
      <c r="BJ194" s="410"/>
      <c r="BK194" s="2073"/>
      <c r="BL194" s="410"/>
      <c r="BM194" s="410"/>
      <c r="BN194" s="410"/>
      <c r="BO194" s="685"/>
      <c r="BP194" s="399"/>
      <c r="BR194" s="405"/>
      <c r="BS194" s="405"/>
      <c r="BT194" s="405"/>
      <c r="BU194" s="405"/>
      <c r="BV194" s="405"/>
      <c r="BW194" s="405"/>
      <c r="BX194" s="405"/>
      <c r="BY194" s="405"/>
      <c r="BZ194" s="405"/>
      <c r="CA194" s="405"/>
      <c r="CB194" s="405"/>
      <c r="CC194" s="405"/>
      <c r="CD194" s="405"/>
      <c r="CE194" s="405"/>
      <c r="CF194" s="404"/>
    </row>
    <row r="195" spans="1:84" ht="13.5" customHeight="1">
      <c r="A195" s="1483"/>
      <c r="B195" s="1483"/>
      <c r="C195" s="985"/>
      <c r="D195" s="2084"/>
      <c r="E195" s="1080"/>
      <c r="F195" s="2082"/>
      <c r="G195" s="912"/>
      <c r="H195" s="912"/>
      <c r="I195" s="2601"/>
      <c r="J195" s="2601"/>
      <c r="K195" s="2602"/>
      <c r="L195" s="2602"/>
      <c r="M195" s="2604"/>
      <c r="N195" s="2593"/>
      <c r="O195" s="2589"/>
      <c r="P195" s="2590"/>
      <c r="Q195" s="2591"/>
      <c r="R195" s="2600"/>
      <c r="S195" s="2592"/>
      <c r="T195" s="2593"/>
      <c r="U195" s="2594"/>
      <c r="V195" s="2595"/>
      <c r="W195" s="2596"/>
      <c r="X195" s="2597"/>
      <c r="Y195" s="2596"/>
      <c r="Z195" s="2598"/>
      <c r="AA195" s="2598"/>
      <c r="AB195" s="2598"/>
      <c r="AC195" s="1076"/>
      <c r="AD195" s="1076"/>
      <c r="AE195" s="410"/>
      <c r="AF195" s="809"/>
      <c r="AG195" s="1076"/>
      <c r="AH195" s="2404"/>
      <c r="AI195" s="2404"/>
      <c r="AJ195" s="2607"/>
      <c r="AK195" s="927"/>
      <c r="AL195" s="1076"/>
      <c r="AM195" s="927"/>
      <c r="AN195" s="685"/>
      <c r="AO195" s="517"/>
      <c r="AP195" s="413"/>
      <c r="AQ195" s="414"/>
      <c r="AR195" s="812"/>
      <c r="AS195" s="812"/>
      <c r="AT195" s="410"/>
      <c r="AU195" s="982"/>
      <c r="AV195" s="976"/>
      <c r="AW195" s="820"/>
      <c r="AX195" s="810"/>
      <c r="AY195" s="983"/>
      <c r="AZ195" s="983"/>
      <c r="BA195" s="819"/>
      <c r="BB195" s="820"/>
      <c r="BC195" s="811"/>
      <c r="BD195" s="410"/>
      <c r="BE195" s="410"/>
      <c r="BF195" s="410"/>
      <c r="BG195" s="410"/>
      <c r="BH195" s="974"/>
      <c r="BI195" s="974"/>
      <c r="BJ195" s="410"/>
      <c r="BK195" s="2073"/>
      <c r="BL195" s="410"/>
      <c r="BM195" s="410"/>
      <c r="BN195" s="410"/>
      <c r="BO195" s="685"/>
      <c r="BP195" s="399"/>
      <c r="BR195" s="405"/>
      <c r="BS195" s="405"/>
      <c r="BT195" s="405"/>
      <c r="BU195" s="405"/>
      <c r="BV195" s="405"/>
      <c r="BW195" s="405"/>
      <c r="BX195" s="405"/>
      <c r="BY195" s="405"/>
      <c r="BZ195" s="405"/>
      <c r="CA195" s="405"/>
      <c r="CB195" s="405"/>
      <c r="CC195" s="405"/>
      <c r="CD195" s="405"/>
      <c r="CE195" s="405"/>
      <c r="CF195" s="404"/>
    </row>
    <row r="196" spans="1:84" ht="13.5" customHeight="1">
      <c r="A196" s="1483"/>
      <c r="B196" s="1483"/>
      <c r="C196" s="985"/>
      <c r="D196" s="2084"/>
      <c r="E196" s="1080"/>
      <c r="F196" s="2082"/>
      <c r="G196" s="912"/>
      <c r="H196" s="912"/>
      <c r="I196" s="2601"/>
      <c r="J196" s="2601"/>
      <c r="K196" s="2602"/>
      <c r="L196" s="2602"/>
      <c r="M196" s="2604"/>
      <c r="N196" s="2593"/>
      <c r="O196" s="2589"/>
      <c r="P196" s="2590"/>
      <c r="Q196" s="2591"/>
      <c r="R196" s="2600"/>
      <c r="S196" s="2592"/>
      <c r="T196" s="2593"/>
      <c r="U196" s="2594"/>
      <c r="V196" s="2595"/>
      <c r="W196" s="2596"/>
      <c r="X196" s="2597"/>
      <c r="Y196" s="2596"/>
      <c r="Z196" s="2598"/>
      <c r="AA196" s="2598"/>
      <c r="AB196" s="2598"/>
      <c r="AC196" s="1076"/>
      <c r="AD196" s="1076"/>
      <c r="AE196" s="410"/>
      <c r="AF196" s="809"/>
      <c r="AG196" s="1076"/>
      <c r="AH196" s="2404"/>
      <c r="AI196" s="2404"/>
      <c r="AJ196" s="2607"/>
      <c r="AK196" s="927"/>
      <c r="AL196" s="1076"/>
      <c r="AM196" s="927"/>
      <c r="AN196" s="685"/>
      <c r="AO196" s="517"/>
      <c r="AP196" s="413"/>
      <c r="AQ196" s="414"/>
      <c r="AR196" s="812"/>
      <c r="AS196" s="812"/>
      <c r="AT196" s="410"/>
      <c r="AU196" s="982"/>
      <c r="AV196" s="976"/>
      <c r="AW196" s="820"/>
      <c r="AX196" s="810"/>
      <c r="AY196" s="983"/>
      <c r="AZ196" s="983"/>
      <c r="BA196" s="819"/>
      <c r="BB196" s="820"/>
      <c r="BC196" s="811"/>
      <c r="BD196" s="410"/>
      <c r="BE196" s="410"/>
      <c r="BF196" s="410"/>
      <c r="BG196" s="410"/>
      <c r="BH196" s="974"/>
      <c r="BI196" s="974"/>
      <c r="BJ196" s="410"/>
      <c r="BK196" s="2073"/>
      <c r="BL196" s="410"/>
      <c r="BM196" s="410"/>
      <c r="BN196" s="410"/>
      <c r="BO196" s="685"/>
      <c r="BP196" s="399"/>
      <c r="BR196" s="405"/>
      <c r="BS196" s="405"/>
      <c r="BT196" s="405"/>
      <c r="BU196" s="405"/>
      <c r="BV196" s="405"/>
      <c r="BW196" s="405"/>
      <c r="BX196" s="405"/>
      <c r="BY196" s="405"/>
      <c r="BZ196" s="405"/>
      <c r="CA196" s="405"/>
      <c r="CB196" s="405"/>
      <c r="CC196" s="405"/>
      <c r="CD196" s="405"/>
      <c r="CE196" s="405"/>
      <c r="CF196" s="404"/>
    </row>
    <row r="197" spans="1:84" s="407" customFormat="1" ht="13.5" customHeight="1">
      <c r="A197" s="1483"/>
      <c r="B197" s="1483"/>
      <c r="C197" s="985"/>
      <c r="D197" s="2084"/>
      <c r="E197" s="1080"/>
      <c r="F197" s="2082"/>
      <c r="G197" s="912"/>
      <c r="H197" s="912"/>
      <c r="I197" s="2601"/>
      <c r="J197" s="2601"/>
      <c r="K197" s="2602"/>
      <c r="L197" s="2603"/>
      <c r="M197" s="2604"/>
      <c r="N197" s="2593"/>
      <c r="O197" s="2589"/>
      <c r="P197" s="2590"/>
      <c r="Q197" s="2591"/>
      <c r="R197" s="2600"/>
      <c r="S197" s="2592"/>
      <c r="T197" s="2593"/>
      <c r="U197" s="2594"/>
      <c r="V197" s="2595"/>
      <c r="W197" s="2596"/>
      <c r="X197" s="2597"/>
      <c r="Y197" s="2596"/>
      <c r="Z197" s="2598"/>
      <c r="AA197" s="2598"/>
      <c r="AB197" s="2598"/>
      <c r="AC197" s="1076"/>
      <c r="AD197" s="1076"/>
      <c r="AE197" s="410"/>
      <c r="AF197" s="809"/>
      <c r="AG197" s="1076"/>
      <c r="AH197" s="2404"/>
      <c r="AI197" s="2404"/>
      <c r="AJ197" s="2607"/>
      <c r="AK197" s="927"/>
      <c r="AL197" s="1076"/>
      <c r="AM197" s="927"/>
      <c r="AN197" s="685"/>
      <c r="AO197" s="517"/>
      <c r="AP197" s="413"/>
      <c r="AQ197" s="414"/>
      <c r="AR197" s="812"/>
      <c r="AS197" s="812"/>
      <c r="AT197" s="410"/>
      <c r="AU197" s="982"/>
      <c r="AV197" s="976"/>
      <c r="AW197" s="820"/>
      <c r="AX197" s="810"/>
      <c r="AY197" s="983"/>
      <c r="AZ197" s="983"/>
      <c r="BA197" s="819"/>
      <c r="BB197" s="820"/>
      <c r="BC197" s="811"/>
      <c r="BD197" s="410"/>
      <c r="BE197" s="410"/>
      <c r="BF197" s="410"/>
      <c r="BG197" s="410"/>
      <c r="BH197" s="974"/>
      <c r="BI197" s="974"/>
      <c r="BJ197" s="410"/>
      <c r="BK197" s="2073"/>
      <c r="BL197" s="410"/>
      <c r="BM197" s="410"/>
      <c r="BN197" s="410"/>
      <c r="BO197" s="685"/>
      <c r="BP197" s="399"/>
      <c r="BR197" s="405"/>
      <c r="BS197" s="405"/>
      <c r="BT197" s="405"/>
      <c r="BU197" s="405"/>
      <c r="BV197" s="405"/>
      <c r="BW197" s="405"/>
      <c r="BX197" s="405"/>
      <c r="BY197" s="405"/>
      <c r="BZ197" s="405"/>
      <c r="CA197" s="405"/>
      <c r="CB197" s="405"/>
      <c r="CC197" s="405"/>
      <c r="CD197" s="405"/>
      <c r="CE197" s="405"/>
      <c r="CF197" s="405"/>
    </row>
    <row r="198" spans="1:84" ht="13.5" customHeight="1">
      <c r="A198" s="1483"/>
      <c r="B198" s="1483"/>
      <c r="C198" s="985"/>
      <c r="D198" s="2084"/>
      <c r="E198" s="1080"/>
      <c r="F198" s="2082"/>
      <c r="G198" s="912"/>
      <c r="H198" s="912"/>
      <c r="I198" s="2601"/>
      <c r="J198" s="2601"/>
      <c r="K198" s="2602"/>
      <c r="L198" s="2602"/>
      <c r="M198" s="2604"/>
      <c r="N198" s="2593"/>
      <c r="O198" s="2589"/>
      <c r="P198" s="2590"/>
      <c r="Q198" s="2591"/>
      <c r="R198" s="2600"/>
      <c r="S198" s="2592"/>
      <c r="T198" s="2593"/>
      <c r="U198" s="2594"/>
      <c r="V198" s="2595"/>
      <c r="W198" s="2596"/>
      <c r="X198" s="2597"/>
      <c r="Y198" s="2596"/>
      <c r="Z198" s="2598"/>
      <c r="AA198" s="2598"/>
      <c r="AB198" s="2598"/>
      <c r="AC198" s="1076"/>
      <c r="AD198" s="1076"/>
      <c r="AE198" s="410"/>
      <c r="AF198" s="809"/>
      <c r="AG198" s="1076"/>
      <c r="AH198" s="2404"/>
      <c r="AI198" s="2404"/>
      <c r="AJ198" s="2607"/>
      <c r="AK198" s="927"/>
      <c r="AL198" s="1076"/>
      <c r="AM198" s="927"/>
      <c r="AN198" s="685"/>
      <c r="AO198" s="517"/>
      <c r="AP198" s="413"/>
      <c r="AQ198" s="414"/>
      <c r="AR198" s="812"/>
      <c r="AS198" s="812"/>
      <c r="AT198" s="410"/>
      <c r="AU198" s="982"/>
      <c r="AV198" s="976"/>
      <c r="AW198" s="820"/>
      <c r="AX198" s="810"/>
      <c r="AY198" s="983"/>
      <c r="AZ198" s="983"/>
      <c r="BA198" s="819"/>
      <c r="BB198" s="820"/>
      <c r="BC198" s="811"/>
      <c r="BD198" s="410"/>
      <c r="BE198" s="410"/>
      <c r="BF198" s="410"/>
      <c r="BG198" s="410"/>
      <c r="BH198" s="974"/>
      <c r="BI198" s="974"/>
      <c r="BJ198" s="410"/>
      <c r="BK198" s="2073"/>
      <c r="BL198" s="410"/>
      <c r="BM198" s="410"/>
      <c r="BN198" s="410"/>
      <c r="BO198" s="685"/>
      <c r="BP198" s="399"/>
      <c r="BR198" s="405"/>
      <c r="BS198" s="405"/>
      <c r="BT198" s="405"/>
      <c r="BU198" s="405"/>
      <c r="BV198" s="405"/>
      <c r="BW198" s="405"/>
      <c r="BX198" s="405"/>
      <c r="BY198" s="405"/>
      <c r="BZ198" s="405"/>
      <c r="CA198" s="405"/>
      <c r="CB198" s="405"/>
      <c r="CC198" s="405"/>
      <c r="CD198" s="405"/>
      <c r="CE198" s="405"/>
      <c r="CF198" s="404"/>
    </row>
    <row r="199" spans="1:84" ht="13.5" customHeight="1">
      <c r="A199" s="1483"/>
      <c r="B199" s="1483"/>
      <c r="C199" s="985"/>
      <c r="D199" s="2084"/>
      <c r="E199" s="1080"/>
      <c r="F199" s="2082"/>
      <c r="G199" s="912"/>
      <c r="H199" s="912"/>
      <c r="I199" s="2601"/>
      <c r="J199" s="2601"/>
      <c r="K199" s="2602"/>
      <c r="L199" s="2602"/>
      <c r="M199" s="2604"/>
      <c r="N199" s="2593"/>
      <c r="O199" s="2589"/>
      <c r="P199" s="2590"/>
      <c r="Q199" s="2591"/>
      <c r="R199" s="2600"/>
      <c r="S199" s="2592"/>
      <c r="T199" s="2593"/>
      <c r="U199" s="2594"/>
      <c r="V199" s="2595"/>
      <c r="W199" s="2596"/>
      <c r="X199" s="2597"/>
      <c r="Y199" s="2596"/>
      <c r="Z199" s="2598"/>
      <c r="AA199" s="2598"/>
      <c r="AB199" s="2598"/>
      <c r="AC199" s="1076"/>
      <c r="AD199" s="1076"/>
      <c r="AE199" s="410"/>
      <c r="AF199" s="809"/>
      <c r="AG199" s="1076"/>
      <c r="AH199" s="2404"/>
      <c r="AI199" s="2404"/>
      <c r="AJ199" s="2607"/>
      <c r="AK199" s="927"/>
      <c r="AL199" s="1076"/>
      <c r="AM199" s="927"/>
      <c r="AN199" s="685"/>
      <c r="AO199" s="517"/>
      <c r="AP199" s="413"/>
      <c r="AQ199" s="414"/>
      <c r="AR199" s="812"/>
      <c r="AS199" s="812"/>
      <c r="AT199" s="410"/>
      <c r="AU199" s="982"/>
      <c r="AV199" s="976"/>
      <c r="AW199" s="820"/>
      <c r="AX199" s="810"/>
      <c r="AY199" s="983"/>
      <c r="AZ199" s="983"/>
      <c r="BA199" s="819"/>
      <c r="BB199" s="820"/>
      <c r="BC199" s="811"/>
      <c r="BD199" s="410"/>
      <c r="BE199" s="410"/>
      <c r="BF199" s="410"/>
      <c r="BG199" s="410"/>
      <c r="BH199" s="974"/>
      <c r="BI199" s="974"/>
      <c r="BJ199" s="410"/>
      <c r="BK199" s="2073"/>
      <c r="BL199" s="410"/>
      <c r="BM199" s="410"/>
      <c r="BN199" s="410"/>
      <c r="BO199" s="685"/>
      <c r="BP199" s="399"/>
      <c r="BR199" s="405"/>
      <c r="BS199" s="405"/>
      <c r="BT199" s="405"/>
      <c r="BU199" s="405"/>
      <c r="BV199" s="405"/>
      <c r="BW199" s="405"/>
      <c r="BX199" s="405"/>
      <c r="BY199" s="405"/>
      <c r="BZ199" s="405"/>
      <c r="CA199" s="405"/>
      <c r="CB199" s="405"/>
      <c r="CC199" s="405"/>
      <c r="CD199" s="405"/>
      <c r="CE199" s="405"/>
      <c r="CF199" s="404"/>
    </row>
    <row r="200" spans="1:84" ht="13.5" customHeight="1">
      <c r="A200" s="1483"/>
      <c r="B200" s="1483"/>
      <c r="C200" s="985"/>
      <c r="D200" s="2084"/>
      <c r="E200" s="1080"/>
      <c r="F200" s="2082"/>
      <c r="G200" s="912"/>
      <c r="H200" s="912"/>
      <c r="I200" s="2601"/>
      <c r="J200" s="2601"/>
      <c r="K200" s="2602"/>
      <c r="L200" s="2603"/>
      <c r="M200" s="2604"/>
      <c r="N200" s="2593"/>
      <c r="O200" s="2589"/>
      <c r="P200" s="2590"/>
      <c r="Q200" s="2591"/>
      <c r="R200" s="2600"/>
      <c r="S200" s="2592"/>
      <c r="T200" s="2593"/>
      <c r="U200" s="2594"/>
      <c r="V200" s="2595"/>
      <c r="W200" s="2596"/>
      <c r="X200" s="2597"/>
      <c r="Y200" s="2596"/>
      <c r="Z200" s="2598"/>
      <c r="AA200" s="2598"/>
      <c r="AB200" s="2598"/>
      <c r="AC200" s="1076"/>
      <c r="AD200" s="1076"/>
      <c r="AE200" s="410"/>
      <c r="AF200" s="809"/>
      <c r="AG200" s="1076"/>
      <c r="AH200" s="2404"/>
      <c r="AI200" s="2404"/>
      <c r="AJ200" s="2607"/>
      <c r="AK200" s="927"/>
      <c r="AL200" s="1076"/>
      <c r="AM200" s="927"/>
      <c r="AN200" s="685"/>
      <c r="AO200" s="517"/>
      <c r="AP200" s="413"/>
      <c r="AQ200" s="414"/>
      <c r="AR200" s="812"/>
      <c r="AS200" s="812"/>
      <c r="AT200" s="410"/>
      <c r="AU200" s="982"/>
      <c r="AV200" s="976"/>
      <c r="AW200" s="820"/>
      <c r="AX200" s="810"/>
      <c r="AY200" s="983"/>
      <c r="AZ200" s="983"/>
      <c r="BA200" s="819"/>
      <c r="BB200" s="820"/>
      <c r="BC200" s="811"/>
      <c r="BD200" s="410"/>
      <c r="BE200" s="410"/>
      <c r="BF200" s="410"/>
      <c r="BG200" s="410"/>
      <c r="BH200" s="974"/>
      <c r="BI200" s="974"/>
      <c r="BJ200" s="410"/>
      <c r="BK200" s="2073"/>
      <c r="BL200" s="410"/>
      <c r="BM200" s="410"/>
      <c r="BN200" s="410"/>
      <c r="BO200" s="685"/>
      <c r="BP200" s="399"/>
      <c r="BR200" s="405"/>
      <c r="BS200" s="405"/>
      <c r="BT200" s="405"/>
      <c r="BU200" s="405"/>
      <c r="BV200" s="405"/>
      <c r="BW200" s="405"/>
      <c r="BX200" s="405"/>
      <c r="BY200" s="405"/>
      <c r="BZ200" s="405"/>
      <c r="CA200" s="405"/>
      <c r="CB200" s="405"/>
      <c r="CC200" s="405"/>
      <c r="CD200" s="405"/>
      <c r="CE200" s="405"/>
      <c r="CF200" s="404"/>
    </row>
    <row r="201" spans="1:84" ht="13.5" customHeight="1">
      <c r="A201" s="1483"/>
      <c r="B201" s="1483"/>
      <c r="C201" s="985"/>
      <c r="D201" s="2084"/>
      <c r="E201" s="1080"/>
      <c r="F201" s="2082"/>
      <c r="G201" s="912"/>
      <c r="H201" s="912"/>
      <c r="I201" s="2601"/>
      <c r="J201" s="2601"/>
      <c r="K201" s="2602"/>
      <c r="L201" s="2602"/>
      <c r="M201" s="2604"/>
      <c r="N201" s="2593"/>
      <c r="O201" s="2589"/>
      <c r="P201" s="2590"/>
      <c r="Q201" s="2591"/>
      <c r="R201" s="2600"/>
      <c r="S201" s="2592"/>
      <c r="T201" s="2593"/>
      <c r="U201" s="2594"/>
      <c r="V201" s="2595"/>
      <c r="W201" s="2596"/>
      <c r="X201" s="2597"/>
      <c r="Y201" s="2596"/>
      <c r="Z201" s="2598"/>
      <c r="AA201" s="2598"/>
      <c r="AB201" s="2598"/>
      <c r="AC201" s="1076"/>
      <c r="AD201" s="1076"/>
      <c r="AE201" s="410"/>
      <c r="AF201" s="809"/>
      <c r="AG201" s="1076"/>
      <c r="AH201" s="2404"/>
      <c r="AI201" s="2404"/>
      <c r="AJ201" s="2607"/>
      <c r="AK201" s="927"/>
      <c r="AL201" s="1076"/>
      <c r="AM201" s="927"/>
      <c r="AN201" s="685"/>
      <c r="AO201" s="517"/>
      <c r="AP201" s="413"/>
      <c r="AQ201" s="414"/>
      <c r="AR201" s="812"/>
      <c r="AS201" s="812"/>
      <c r="AT201" s="410"/>
      <c r="AU201" s="982"/>
      <c r="AV201" s="976"/>
      <c r="AW201" s="820"/>
      <c r="AX201" s="810"/>
      <c r="AY201" s="983"/>
      <c r="AZ201" s="983"/>
      <c r="BA201" s="819"/>
      <c r="BB201" s="820"/>
      <c r="BC201" s="811"/>
      <c r="BD201" s="410"/>
      <c r="BE201" s="410"/>
      <c r="BF201" s="410"/>
      <c r="BG201" s="410"/>
      <c r="BH201" s="974"/>
      <c r="BI201" s="974"/>
      <c r="BJ201" s="410"/>
      <c r="BK201" s="2073"/>
      <c r="BL201" s="410"/>
      <c r="BM201" s="410"/>
      <c r="BN201" s="410"/>
      <c r="BO201" s="685"/>
      <c r="BP201" s="399"/>
      <c r="BR201" s="405"/>
      <c r="BS201" s="405"/>
      <c r="BT201" s="405"/>
      <c r="BU201" s="405"/>
      <c r="BV201" s="405"/>
      <c r="BW201" s="405"/>
      <c r="BX201" s="405"/>
      <c r="BY201" s="405"/>
      <c r="BZ201" s="405"/>
      <c r="CA201" s="405"/>
      <c r="CB201" s="405"/>
      <c r="CC201" s="405"/>
      <c r="CD201" s="405"/>
      <c r="CE201" s="405"/>
      <c r="CF201" s="404"/>
    </row>
    <row r="202" spans="1:84" ht="13.5" customHeight="1">
      <c r="A202" s="1483"/>
      <c r="B202" s="1483"/>
      <c r="C202" s="985"/>
      <c r="D202" s="2084"/>
      <c r="E202" s="1080"/>
      <c r="F202" s="2082"/>
      <c r="G202" s="912"/>
      <c r="H202" s="912"/>
      <c r="I202" s="2601"/>
      <c r="J202" s="2601"/>
      <c r="K202" s="2602"/>
      <c r="L202" s="2602"/>
      <c r="M202" s="2604"/>
      <c r="N202" s="2593"/>
      <c r="O202" s="2589"/>
      <c r="P202" s="2590"/>
      <c r="Q202" s="2591"/>
      <c r="R202" s="2600"/>
      <c r="S202" s="2592"/>
      <c r="T202" s="2593"/>
      <c r="U202" s="2594"/>
      <c r="V202" s="2595"/>
      <c r="W202" s="2596"/>
      <c r="X202" s="2597"/>
      <c r="Y202" s="2596"/>
      <c r="Z202" s="2598"/>
      <c r="AA202" s="2598"/>
      <c r="AB202" s="2598"/>
      <c r="AC202" s="1076"/>
      <c r="AD202" s="1076"/>
      <c r="AE202" s="410"/>
      <c r="AF202" s="809"/>
      <c r="AG202" s="1076"/>
      <c r="AH202" s="2404"/>
      <c r="AI202" s="2404"/>
      <c r="AJ202" s="2607"/>
      <c r="AK202" s="927"/>
      <c r="AL202" s="1076"/>
      <c r="AM202" s="927"/>
      <c r="AN202" s="685"/>
      <c r="AO202" s="517"/>
      <c r="AP202" s="413"/>
      <c r="AQ202" s="414"/>
      <c r="AR202" s="812"/>
      <c r="AS202" s="812"/>
      <c r="AT202" s="410"/>
      <c r="AU202" s="982"/>
      <c r="AV202" s="976"/>
      <c r="AW202" s="820"/>
      <c r="AX202" s="810"/>
      <c r="AY202" s="983"/>
      <c r="AZ202" s="983"/>
      <c r="BA202" s="819"/>
      <c r="BB202" s="820"/>
      <c r="BC202" s="811"/>
      <c r="BD202" s="410"/>
      <c r="BE202" s="410"/>
      <c r="BF202" s="410"/>
      <c r="BG202" s="410"/>
      <c r="BH202" s="974"/>
      <c r="BI202" s="974"/>
      <c r="BJ202" s="410"/>
      <c r="BK202" s="2073"/>
      <c r="BL202" s="410"/>
      <c r="BM202" s="410"/>
      <c r="BN202" s="410"/>
      <c r="BO202" s="685"/>
      <c r="BP202" s="399"/>
      <c r="BR202" s="405"/>
      <c r="BS202" s="405"/>
      <c r="BT202" s="405"/>
      <c r="BU202" s="405"/>
      <c r="BV202" s="405"/>
      <c r="BW202" s="405"/>
      <c r="BX202" s="405"/>
      <c r="BY202" s="405"/>
      <c r="BZ202" s="405"/>
      <c r="CA202" s="405"/>
      <c r="CB202" s="405"/>
      <c r="CC202" s="405"/>
      <c r="CD202" s="405"/>
      <c r="CE202" s="405"/>
      <c r="CF202" s="404"/>
    </row>
    <row r="203" spans="1:84" ht="13.5" customHeight="1">
      <c r="A203" s="1483"/>
      <c r="B203" s="1483"/>
      <c r="C203" s="2467"/>
      <c r="D203" s="2084"/>
      <c r="E203" s="1080"/>
      <c r="F203" s="2082"/>
      <c r="G203" s="912"/>
      <c r="H203" s="912"/>
      <c r="I203" s="2601"/>
      <c r="J203" s="2601"/>
      <c r="K203" s="2602"/>
      <c r="L203" s="2603"/>
      <c r="M203" s="2604"/>
      <c r="N203" s="2593"/>
      <c r="O203" s="2589"/>
      <c r="P203" s="2590"/>
      <c r="Q203" s="2591"/>
      <c r="R203" s="2600"/>
      <c r="S203" s="2592"/>
      <c r="T203" s="2593"/>
      <c r="U203" s="2594"/>
      <c r="V203" s="2595"/>
      <c r="W203" s="2596"/>
      <c r="X203" s="2597"/>
      <c r="Y203" s="2596"/>
      <c r="Z203" s="2598"/>
      <c r="AA203" s="2598"/>
      <c r="AB203" s="2598"/>
      <c r="AC203" s="1076"/>
      <c r="AD203" s="1076"/>
      <c r="AE203" s="410"/>
      <c r="AF203" s="809"/>
      <c r="AG203" s="1076"/>
      <c r="AH203" s="2404"/>
      <c r="AI203" s="2404"/>
      <c r="AJ203" s="2607"/>
      <c r="AK203" s="927"/>
      <c r="AL203" s="1076"/>
      <c r="AM203" s="927"/>
      <c r="AN203" s="685"/>
      <c r="AO203" s="517"/>
      <c r="AP203" s="413"/>
      <c r="AQ203" s="414"/>
      <c r="AR203" s="812"/>
      <c r="AS203" s="812"/>
      <c r="AT203" s="410"/>
      <c r="AU203" s="982"/>
      <c r="AV203" s="976"/>
      <c r="AW203" s="820"/>
      <c r="AX203" s="810"/>
      <c r="AY203" s="983"/>
      <c r="AZ203" s="983"/>
      <c r="BA203" s="819"/>
      <c r="BB203" s="820"/>
      <c r="BC203" s="811"/>
      <c r="BD203" s="410"/>
      <c r="BE203" s="410"/>
      <c r="BF203" s="410"/>
      <c r="BG203" s="410"/>
      <c r="BH203" s="974"/>
      <c r="BI203" s="974"/>
      <c r="BJ203" s="410"/>
      <c r="BK203" s="2073"/>
      <c r="BL203" s="410"/>
      <c r="BM203" s="410"/>
      <c r="BN203" s="410"/>
      <c r="BO203" s="685"/>
      <c r="BP203" s="399"/>
      <c r="BR203" s="405"/>
      <c r="BS203" s="405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4"/>
    </row>
    <row r="204" spans="1:84" ht="13.5" customHeight="1">
      <c r="A204" s="1483"/>
      <c r="B204" s="1483"/>
      <c r="C204" s="2467"/>
      <c r="D204" s="2084"/>
      <c r="E204" s="1080"/>
      <c r="F204" s="2082"/>
      <c r="G204" s="912"/>
      <c r="H204" s="912"/>
      <c r="I204" s="2601"/>
      <c r="J204" s="2601"/>
      <c r="K204" s="2602"/>
      <c r="L204" s="2602"/>
      <c r="M204" s="2604"/>
      <c r="N204" s="2593"/>
      <c r="O204" s="2589"/>
      <c r="P204" s="2590"/>
      <c r="Q204" s="2591"/>
      <c r="R204" s="2600"/>
      <c r="S204" s="2592"/>
      <c r="T204" s="2593"/>
      <c r="U204" s="2594"/>
      <c r="V204" s="2595"/>
      <c r="W204" s="2596"/>
      <c r="X204" s="2597"/>
      <c r="Y204" s="2596"/>
      <c r="Z204" s="2598"/>
      <c r="AA204" s="2598"/>
      <c r="AB204" s="2598"/>
      <c r="AC204" s="1076"/>
      <c r="AD204" s="1076"/>
      <c r="AE204" s="410"/>
      <c r="AF204" s="809"/>
      <c r="AG204" s="1076"/>
      <c r="AH204" s="2404"/>
      <c r="AI204" s="2404"/>
      <c r="AJ204" s="2607"/>
      <c r="AK204" s="927"/>
      <c r="AL204" s="1076"/>
      <c r="AM204" s="927"/>
      <c r="AN204" s="685"/>
      <c r="AO204" s="517"/>
      <c r="AP204" s="413"/>
      <c r="AQ204" s="414"/>
      <c r="AR204" s="812"/>
      <c r="AS204" s="812"/>
      <c r="AT204" s="410"/>
      <c r="AU204" s="982"/>
      <c r="AV204" s="976"/>
      <c r="AW204" s="820"/>
      <c r="AX204" s="810"/>
      <c r="AY204" s="983"/>
      <c r="AZ204" s="983"/>
      <c r="BA204" s="819"/>
      <c r="BB204" s="820"/>
      <c r="BC204" s="811"/>
      <c r="BD204" s="410"/>
      <c r="BE204" s="410"/>
      <c r="BF204" s="410"/>
      <c r="BG204" s="410"/>
      <c r="BH204" s="974"/>
      <c r="BI204" s="974"/>
      <c r="BJ204" s="410"/>
      <c r="BK204" s="2073"/>
      <c r="BL204" s="410"/>
      <c r="BM204" s="410"/>
      <c r="BN204" s="410"/>
      <c r="BO204" s="685"/>
      <c r="BP204" s="399"/>
      <c r="BR204" s="405"/>
      <c r="BS204" s="405"/>
      <c r="BT204" s="405"/>
      <c r="BU204" s="405"/>
      <c r="BV204" s="405"/>
      <c r="BW204" s="405"/>
      <c r="BX204" s="405"/>
      <c r="BY204" s="405"/>
      <c r="BZ204" s="405"/>
      <c r="CA204" s="405"/>
      <c r="CB204" s="405"/>
      <c r="CC204" s="405"/>
      <c r="CD204" s="405"/>
      <c r="CE204" s="405"/>
      <c r="CF204" s="404"/>
    </row>
    <row r="205" spans="1:84" ht="13.5" customHeight="1">
      <c r="A205" s="1483"/>
      <c r="B205" s="1483"/>
      <c r="C205" s="2467"/>
      <c r="D205" s="2084"/>
      <c r="E205" s="1080"/>
      <c r="F205" s="2082"/>
      <c r="G205" s="912"/>
      <c r="H205" s="912"/>
      <c r="I205" s="2601"/>
      <c r="J205" s="2601"/>
      <c r="K205" s="2602"/>
      <c r="L205" s="2602"/>
      <c r="M205" s="2604"/>
      <c r="N205" s="2593"/>
      <c r="O205" s="2589"/>
      <c r="P205" s="2590"/>
      <c r="Q205" s="2591"/>
      <c r="R205" s="2600"/>
      <c r="S205" s="2592"/>
      <c r="T205" s="2593"/>
      <c r="U205" s="2594"/>
      <c r="V205" s="2595"/>
      <c r="W205" s="2596"/>
      <c r="X205" s="2597"/>
      <c r="Y205" s="2596"/>
      <c r="Z205" s="2598"/>
      <c r="AA205" s="2598"/>
      <c r="AB205" s="2598"/>
      <c r="AC205" s="1076"/>
      <c r="AD205" s="1076"/>
      <c r="AE205" s="410"/>
      <c r="AF205" s="809"/>
      <c r="AG205" s="1076"/>
      <c r="AH205" s="2404"/>
      <c r="AI205" s="2404"/>
      <c r="AJ205" s="2607"/>
      <c r="AK205" s="927"/>
      <c r="AL205" s="1076"/>
      <c r="AM205" s="927"/>
      <c r="AN205" s="685"/>
      <c r="AO205" s="517"/>
      <c r="AP205" s="413"/>
      <c r="AQ205" s="414"/>
      <c r="AR205" s="812"/>
      <c r="AS205" s="812"/>
      <c r="AT205" s="410"/>
      <c r="AU205" s="982"/>
      <c r="AV205" s="976"/>
      <c r="AW205" s="820"/>
      <c r="AX205" s="810"/>
      <c r="AY205" s="983"/>
      <c r="AZ205" s="983"/>
      <c r="BA205" s="819"/>
      <c r="BB205" s="820"/>
      <c r="BC205" s="811"/>
      <c r="BD205" s="410"/>
      <c r="BE205" s="410"/>
      <c r="BF205" s="410"/>
      <c r="BG205" s="410"/>
      <c r="BH205" s="974"/>
      <c r="BI205" s="974"/>
      <c r="BJ205" s="410"/>
      <c r="BK205" s="2073"/>
      <c r="BL205" s="410"/>
      <c r="BM205" s="410"/>
      <c r="BN205" s="410"/>
      <c r="BO205" s="685"/>
      <c r="BP205" s="399"/>
      <c r="BR205" s="405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4"/>
    </row>
    <row r="206" spans="1:84" ht="13.5" customHeight="1">
      <c r="A206" s="1483"/>
      <c r="B206" s="1483"/>
      <c r="C206" s="2467"/>
      <c r="D206" s="2084"/>
      <c r="E206" s="1080"/>
      <c r="F206" s="2082"/>
      <c r="G206" s="912"/>
      <c r="H206" s="912"/>
      <c r="I206" s="2601"/>
      <c r="J206" s="2601"/>
      <c r="K206" s="2602"/>
      <c r="L206" s="2602"/>
      <c r="M206" s="2604"/>
      <c r="N206" s="2593"/>
      <c r="O206" s="2589"/>
      <c r="P206" s="2590"/>
      <c r="Q206" s="2591"/>
      <c r="R206" s="2600"/>
      <c r="S206" s="2592"/>
      <c r="T206" s="2593"/>
      <c r="U206" s="2594"/>
      <c r="V206" s="2595"/>
      <c r="W206" s="2596"/>
      <c r="X206" s="2597"/>
      <c r="Y206" s="2596"/>
      <c r="Z206" s="2598"/>
      <c r="AA206" s="2598"/>
      <c r="AB206" s="2598"/>
      <c r="AC206" s="1076"/>
      <c r="AD206" s="1076"/>
      <c r="AE206" s="410"/>
      <c r="AF206" s="809"/>
      <c r="AG206" s="1076"/>
      <c r="AH206" s="2404"/>
      <c r="AI206" s="2404"/>
      <c r="AJ206" s="2607"/>
      <c r="AK206" s="927"/>
      <c r="AL206" s="1076"/>
      <c r="AM206" s="927"/>
      <c r="AN206" s="685"/>
      <c r="AO206" s="517"/>
      <c r="AP206" s="413"/>
      <c r="AQ206" s="414"/>
      <c r="AR206" s="812"/>
      <c r="AS206" s="812"/>
      <c r="AT206" s="410"/>
      <c r="AU206" s="982"/>
      <c r="AV206" s="976"/>
      <c r="AW206" s="820"/>
      <c r="AX206" s="810"/>
      <c r="AY206" s="983"/>
      <c r="AZ206" s="983"/>
      <c r="BA206" s="819"/>
      <c r="BB206" s="820"/>
      <c r="BC206" s="811"/>
      <c r="BD206" s="410"/>
      <c r="BE206" s="410"/>
      <c r="BF206" s="410"/>
      <c r="BG206" s="410"/>
      <c r="BH206" s="974"/>
      <c r="BI206" s="974"/>
      <c r="BJ206" s="410"/>
      <c r="BK206" s="2073"/>
      <c r="BL206" s="410"/>
      <c r="BM206" s="410"/>
      <c r="BN206" s="410"/>
      <c r="BO206" s="685"/>
      <c r="BP206" s="399"/>
      <c r="BR206" s="405"/>
      <c r="BS206" s="405"/>
      <c r="BT206" s="405"/>
      <c r="BU206" s="405"/>
      <c r="BV206" s="405"/>
      <c r="BW206" s="405"/>
      <c r="BX206" s="405"/>
      <c r="BY206" s="405"/>
      <c r="BZ206" s="405"/>
      <c r="CA206" s="405"/>
      <c r="CB206" s="405"/>
      <c r="CC206" s="405"/>
      <c r="CD206" s="405"/>
      <c r="CE206" s="405"/>
      <c r="CF206" s="404"/>
    </row>
    <row r="207" spans="1:84" ht="13.5" customHeight="1">
      <c r="A207" s="1483"/>
      <c r="B207" s="1483"/>
      <c r="C207" s="2467"/>
      <c r="D207" s="2084"/>
      <c r="E207" s="1080"/>
      <c r="F207" s="2082"/>
      <c r="G207" s="912"/>
      <c r="H207" s="912"/>
      <c r="I207" s="2601"/>
      <c r="J207" s="2601"/>
      <c r="K207" s="2602"/>
      <c r="L207" s="2602"/>
      <c r="M207" s="2604"/>
      <c r="N207" s="2593"/>
      <c r="O207" s="2589"/>
      <c r="P207" s="2590"/>
      <c r="Q207" s="2591"/>
      <c r="R207" s="2600"/>
      <c r="S207" s="2592"/>
      <c r="T207" s="2593"/>
      <c r="U207" s="2594"/>
      <c r="V207" s="2595"/>
      <c r="W207" s="2596"/>
      <c r="X207" s="2597"/>
      <c r="Y207" s="2596"/>
      <c r="Z207" s="2598"/>
      <c r="AA207" s="2598"/>
      <c r="AB207" s="2598"/>
      <c r="AC207" s="1076"/>
      <c r="AD207" s="1076"/>
      <c r="AE207" s="410"/>
      <c r="AF207" s="809"/>
      <c r="AG207" s="1076"/>
      <c r="AH207" s="2404"/>
      <c r="AI207" s="2404"/>
      <c r="AJ207" s="2607"/>
      <c r="AK207" s="927"/>
      <c r="AL207" s="1076"/>
      <c r="AM207" s="927"/>
      <c r="AN207" s="685"/>
      <c r="AO207" s="517"/>
      <c r="AP207" s="413"/>
      <c r="AQ207" s="414"/>
      <c r="AR207" s="812"/>
      <c r="AS207" s="812"/>
      <c r="AT207" s="410"/>
      <c r="AU207" s="982"/>
      <c r="AV207" s="976"/>
      <c r="AW207" s="820"/>
      <c r="AX207" s="810"/>
      <c r="AY207" s="983"/>
      <c r="AZ207" s="983"/>
      <c r="BA207" s="819"/>
      <c r="BB207" s="820"/>
      <c r="BC207" s="811"/>
      <c r="BD207" s="410"/>
      <c r="BE207" s="410"/>
      <c r="BF207" s="410"/>
      <c r="BG207" s="410"/>
      <c r="BH207" s="974"/>
      <c r="BI207" s="974"/>
      <c r="BJ207" s="410"/>
      <c r="BK207" s="2073"/>
      <c r="BL207" s="410"/>
      <c r="BM207" s="410"/>
      <c r="BN207" s="410"/>
      <c r="BO207" s="685"/>
      <c r="BP207" s="399"/>
      <c r="BR207" s="405"/>
      <c r="BS207" s="405"/>
      <c r="BT207" s="405"/>
      <c r="BU207" s="405"/>
      <c r="BV207" s="405"/>
      <c r="BW207" s="405"/>
      <c r="BX207" s="405"/>
      <c r="BY207" s="405"/>
      <c r="BZ207" s="405"/>
      <c r="CA207" s="405"/>
      <c r="CB207" s="405"/>
      <c r="CC207" s="405"/>
      <c r="CD207" s="405"/>
      <c r="CE207" s="405"/>
    </row>
    <row r="208" spans="1:84" ht="13.5" customHeight="1">
      <c r="A208" s="1483"/>
      <c r="B208" s="1483"/>
      <c r="C208" s="2467"/>
      <c r="D208" s="2084"/>
      <c r="E208" s="1080"/>
      <c r="F208" s="2082"/>
      <c r="G208" s="912"/>
      <c r="H208" s="912"/>
      <c r="I208" s="2601"/>
      <c r="J208" s="2601"/>
      <c r="K208" s="2603"/>
      <c r="L208" s="2603"/>
      <c r="M208" s="2604"/>
      <c r="N208" s="2593"/>
      <c r="O208" s="2589"/>
      <c r="P208" s="2590"/>
      <c r="Q208" s="2591"/>
      <c r="R208" s="2600"/>
      <c r="S208" s="2592"/>
      <c r="T208" s="2593"/>
      <c r="U208" s="2594"/>
      <c r="V208" s="2595"/>
      <c r="W208" s="2596"/>
      <c r="X208" s="2597"/>
      <c r="Y208" s="2596"/>
      <c r="Z208" s="2598"/>
      <c r="AA208" s="2598"/>
      <c r="AB208" s="2598"/>
      <c r="AC208" s="1076"/>
      <c r="AD208" s="1076"/>
      <c r="AE208" s="410"/>
      <c r="AF208" s="809"/>
      <c r="AG208" s="1076"/>
      <c r="AH208" s="2404"/>
      <c r="AI208" s="2404"/>
      <c r="AJ208" s="2607"/>
      <c r="AK208" s="927"/>
      <c r="AL208" s="1076"/>
      <c r="AM208" s="927"/>
      <c r="AN208" s="685"/>
      <c r="AO208" s="517"/>
      <c r="AP208" s="413"/>
      <c r="AQ208" s="414"/>
      <c r="AR208" s="812"/>
      <c r="AS208" s="812"/>
      <c r="AT208" s="410"/>
      <c r="AU208" s="982"/>
      <c r="AV208" s="976"/>
      <c r="AW208" s="820"/>
      <c r="AX208" s="810"/>
      <c r="AY208" s="983"/>
      <c r="AZ208" s="983"/>
      <c r="BA208" s="819"/>
      <c r="BB208" s="820"/>
      <c r="BC208" s="811"/>
      <c r="BD208" s="410"/>
      <c r="BE208" s="410"/>
      <c r="BF208" s="410"/>
      <c r="BG208" s="410"/>
      <c r="BH208" s="974"/>
      <c r="BI208" s="974"/>
      <c r="BJ208" s="410"/>
      <c r="BK208" s="2073"/>
      <c r="BL208" s="410"/>
      <c r="BM208" s="410"/>
      <c r="BN208" s="410"/>
      <c r="BO208" s="685"/>
      <c r="BP208" s="399"/>
      <c r="BR208" s="405"/>
      <c r="BS208" s="405"/>
      <c r="BT208" s="405"/>
      <c r="BU208" s="405"/>
      <c r="BV208" s="405"/>
      <c r="BW208" s="405"/>
      <c r="BX208" s="405"/>
      <c r="BY208" s="405"/>
      <c r="BZ208" s="405"/>
      <c r="CA208" s="405"/>
      <c r="CB208" s="405"/>
      <c r="CC208" s="405"/>
      <c r="CD208" s="405"/>
      <c r="CE208" s="405"/>
    </row>
    <row r="209" spans="1:83" ht="13.5" customHeight="1">
      <c r="A209" s="1483"/>
      <c r="B209" s="1483"/>
      <c r="C209" s="2467"/>
      <c r="D209" s="2084"/>
      <c r="E209" s="1080"/>
      <c r="F209" s="2082"/>
      <c r="G209" s="912"/>
      <c r="H209" s="912"/>
      <c r="I209" s="2601"/>
      <c r="J209" s="2601"/>
      <c r="K209" s="2602"/>
      <c r="L209" s="2602"/>
      <c r="M209" s="2604"/>
      <c r="N209" s="2593"/>
      <c r="O209" s="2589"/>
      <c r="P209" s="2590"/>
      <c r="Q209" s="2591"/>
      <c r="R209" s="2600"/>
      <c r="S209" s="2592"/>
      <c r="T209" s="2593"/>
      <c r="U209" s="2594"/>
      <c r="V209" s="2595"/>
      <c r="W209" s="2596"/>
      <c r="X209" s="2597"/>
      <c r="Y209" s="2596"/>
      <c r="Z209" s="2598"/>
      <c r="AA209" s="2598"/>
      <c r="AB209" s="2598"/>
      <c r="AC209" s="1076"/>
      <c r="AD209" s="1076"/>
      <c r="AE209" s="410"/>
      <c r="AF209" s="809"/>
      <c r="AG209" s="1076"/>
      <c r="AH209" s="2404"/>
      <c r="AI209" s="2404"/>
      <c r="AJ209" s="2607"/>
      <c r="AK209" s="927"/>
      <c r="AL209" s="1076"/>
      <c r="AM209" s="927"/>
      <c r="AN209" s="685"/>
      <c r="AO209" s="517"/>
      <c r="AP209" s="413"/>
      <c r="AQ209" s="414"/>
      <c r="AR209" s="812"/>
      <c r="AS209" s="812"/>
      <c r="AT209" s="410"/>
      <c r="AU209" s="982"/>
      <c r="AV209" s="976"/>
      <c r="AW209" s="820"/>
      <c r="AX209" s="810"/>
      <c r="AY209" s="983"/>
      <c r="AZ209" s="983"/>
      <c r="BA209" s="819"/>
      <c r="BB209" s="820"/>
      <c r="BC209" s="811"/>
      <c r="BD209" s="410"/>
      <c r="BE209" s="410"/>
      <c r="BF209" s="410"/>
      <c r="BG209" s="410"/>
      <c r="BH209" s="974"/>
      <c r="BI209" s="974"/>
      <c r="BJ209" s="410"/>
      <c r="BK209" s="2073"/>
      <c r="BL209" s="410"/>
      <c r="BM209" s="410"/>
      <c r="BN209" s="410"/>
      <c r="BO209" s="685"/>
      <c r="BP209" s="399"/>
      <c r="BR209" s="405"/>
      <c r="BS209" s="405"/>
      <c r="BT209" s="405"/>
      <c r="BU209" s="405"/>
      <c r="BV209" s="405"/>
      <c r="BW209" s="405"/>
      <c r="BX209" s="405"/>
      <c r="BY209" s="405"/>
      <c r="BZ209" s="405"/>
      <c r="CA209" s="405"/>
      <c r="CB209" s="405"/>
      <c r="CC209" s="405"/>
      <c r="CD209" s="405"/>
      <c r="CE209" s="405"/>
    </row>
    <row r="210" spans="1:83" ht="13.5" customHeight="1">
      <c r="A210" s="1483"/>
      <c r="B210" s="1483"/>
      <c r="C210" s="2467"/>
      <c r="D210" s="2084"/>
      <c r="E210" s="1080"/>
      <c r="F210" s="2082"/>
      <c r="G210" s="912"/>
      <c r="H210" s="912"/>
      <c r="I210" s="2601"/>
      <c r="J210" s="2601"/>
      <c r="K210" s="2603"/>
      <c r="L210" s="2603"/>
      <c r="M210" s="2604"/>
      <c r="N210" s="2593"/>
      <c r="O210" s="2589"/>
      <c r="P210" s="2590"/>
      <c r="Q210" s="2591"/>
      <c r="R210" s="2600"/>
      <c r="S210" s="2592"/>
      <c r="T210" s="2593"/>
      <c r="U210" s="2594"/>
      <c r="V210" s="2595"/>
      <c r="W210" s="2596"/>
      <c r="X210" s="2597"/>
      <c r="Y210" s="2596"/>
      <c r="Z210" s="2598"/>
      <c r="AA210" s="2598"/>
      <c r="AB210" s="2598"/>
      <c r="AC210" s="1076"/>
      <c r="AD210" s="1076"/>
      <c r="AE210" s="410"/>
      <c r="AF210" s="809"/>
      <c r="AG210" s="1076"/>
      <c r="AH210" s="2404"/>
      <c r="AI210" s="2404"/>
      <c r="AJ210" s="2607"/>
      <c r="AK210" s="927"/>
      <c r="AL210" s="1076"/>
      <c r="AM210" s="927"/>
      <c r="AN210" s="685"/>
      <c r="AO210" s="517"/>
      <c r="AP210" s="413"/>
      <c r="AQ210" s="414"/>
      <c r="AR210" s="812"/>
      <c r="AS210" s="812"/>
      <c r="AT210" s="410"/>
      <c r="AU210" s="982"/>
      <c r="AV210" s="976"/>
      <c r="AW210" s="820"/>
      <c r="AX210" s="810"/>
      <c r="AY210" s="983"/>
      <c r="AZ210" s="983"/>
      <c r="BA210" s="819"/>
      <c r="BB210" s="820"/>
      <c r="BC210" s="811"/>
      <c r="BD210" s="410"/>
      <c r="BE210" s="410"/>
      <c r="BF210" s="410"/>
      <c r="BG210" s="410"/>
      <c r="BH210" s="974"/>
      <c r="BI210" s="974"/>
      <c r="BJ210" s="410"/>
      <c r="BK210" s="2073"/>
      <c r="BL210" s="410"/>
      <c r="BM210" s="410"/>
      <c r="BN210" s="410"/>
      <c r="BO210" s="685"/>
      <c r="BP210" s="399"/>
      <c r="BR210" s="405"/>
      <c r="BS210" s="405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</row>
    <row r="211" spans="1:83" ht="13.5" customHeight="1">
      <c r="A211" s="1483"/>
      <c r="B211" s="1483"/>
      <c r="C211" s="2467"/>
      <c r="D211" s="2084"/>
      <c r="E211" s="1080"/>
      <c r="F211" s="2082"/>
      <c r="G211" s="912"/>
      <c r="H211" s="912"/>
      <c r="I211" s="2601"/>
      <c r="J211" s="2601"/>
      <c r="K211" s="2602"/>
      <c r="L211" s="2602"/>
      <c r="M211" s="2604"/>
      <c r="N211" s="2593"/>
      <c r="O211" s="2589"/>
      <c r="P211" s="2590"/>
      <c r="Q211" s="2591"/>
      <c r="R211" s="2600"/>
      <c r="S211" s="2592"/>
      <c r="T211" s="2593"/>
      <c r="U211" s="2594"/>
      <c r="V211" s="2595"/>
      <c r="W211" s="2596"/>
      <c r="X211" s="2597"/>
      <c r="Y211" s="2596"/>
      <c r="Z211" s="2598"/>
      <c r="AA211" s="2598"/>
      <c r="AB211" s="2598"/>
      <c r="AC211" s="1076"/>
      <c r="AD211" s="1076"/>
      <c r="AE211" s="410"/>
      <c r="AF211" s="809"/>
      <c r="AG211" s="1076"/>
      <c r="AH211" s="2404"/>
      <c r="AI211" s="2404"/>
      <c r="AJ211" s="2607"/>
      <c r="AK211" s="927"/>
      <c r="AL211" s="1076"/>
      <c r="AM211" s="927"/>
      <c r="AN211" s="685"/>
      <c r="AO211" s="517"/>
      <c r="AP211" s="413"/>
      <c r="AQ211" s="414"/>
      <c r="AR211" s="812"/>
      <c r="AS211" s="812"/>
      <c r="AT211" s="410"/>
      <c r="AU211" s="982"/>
      <c r="AV211" s="976"/>
      <c r="AW211" s="820"/>
      <c r="AX211" s="810"/>
      <c r="AY211" s="983"/>
      <c r="AZ211" s="983"/>
      <c r="BA211" s="819"/>
      <c r="BB211" s="820"/>
      <c r="BC211" s="811"/>
      <c r="BD211" s="410"/>
      <c r="BE211" s="410"/>
      <c r="BF211" s="410"/>
      <c r="BG211" s="410"/>
      <c r="BH211" s="974"/>
      <c r="BI211" s="974"/>
      <c r="BJ211" s="410"/>
      <c r="BK211" s="2073"/>
      <c r="BL211" s="410"/>
      <c r="BM211" s="410"/>
      <c r="BN211" s="410"/>
      <c r="BO211" s="685"/>
      <c r="BP211" s="399"/>
      <c r="BR211" s="405"/>
      <c r="BS211" s="405"/>
      <c r="BT211" s="405"/>
      <c r="BU211" s="405"/>
      <c r="BV211" s="405"/>
      <c r="BW211" s="405"/>
      <c r="BX211" s="405"/>
      <c r="BY211" s="405"/>
      <c r="BZ211" s="405"/>
      <c r="CA211" s="405"/>
      <c r="CB211" s="405"/>
      <c r="CC211" s="405"/>
      <c r="CD211" s="405"/>
      <c r="CE211" s="405"/>
    </row>
    <row r="212" spans="1:83" ht="13.5" customHeight="1">
      <c r="A212" s="1483"/>
      <c r="B212" s="1483"/>
      <c r="C212" s="2467"/>
      <c r="D212" s="2084"/>
      <c r="E212" s="1080"/>
      <c r="F212" s="2082"/>
      <c r="G212" s="912"/>
      <c r="H212" s="912"/>
      <c r="I212" s="2601"/>
      <c r="J212" s="2601"/>
      <c r="K212" s="2603"/>
      <c r="L212" s="2602"/>
      <c r="M212" s="2604"/>
      <c r="N212" s="2593"/>
      <c r="O212" s="2589"/>
      <c r="P212" s="2590"/>
      <c r="Q212" s="2591"/>
      <c r="R212" s="2600"/>
      <c r="S212" s="2592"/>
      <c r="T212" s="2593"/>
      <c r="U212" s="2594"/>
      <c r="V212" s="2595"/>
      <c r="W212" s="2596"/>
      <c r="X212" s="2597"/>
      <c r="Y212" s="2596"/>
      <c r="Z212" s="2598"/>
      <c r="AA212" s="2598"/>
      <c r="AB212" s="2598"/>
      <c r="AC212" s="1076"/>
      <c r="AD212" s="1076"/>
      <c r="AE212" s="410"/>
      <c r="AF212" s="809"/>
      <c r="AG212" s="1076"/>
      <c r="AH212" s="2404"/>
      <c r="AI212" s="2404"/>
      <c r="AJ212" s="2607"/>
      <c r="AK212" s="927"/>
      <c r="AL212" s="1076"/>
      <c r="AM212" s="927"/>
      <c r="AN212" s="685"/>
      <c r="AO212" s="517"/>
      <c r="AP212" s="413"/>
      <c r="AQ212" s="414"/>
      <c r="AR212" s="812"/>
      <c r="AS212" s="812"/>
      <c r="AT212" s="410"/>
      <c r="AU212" s="982"/>
      <c r="AV212" s="976"/>
      <c r="AW212" s="820"/>
      <c r="AX212" s="810"/>
      <c r="AY212" s="983"/>
      <c r="AZ212" s="983"/>
      <c r="BA212" s="819"/>
      <c r="BB212" s="820"/>
      <c r="BC212" s="811"/>
      <c r="BD212" s="410"/>
      <c r="BE212" s="410"/>
      <c r="BF212" s="410"/>
      <c r="BG212" s="410"/>
      <c r="BH212" s="974"/>
      <c r="BI212" s="974"/>
      <c r="BJ212" s="410"/>
      <c r="BK212" s="2073"/>
      <c r="BL212" s="410"/>
      <c r="BM212" s="410"/>
      <c r="BN212" s="410"/>
      <c r="BO212" s="685"/>
      <c r="BP212" s="399"/>
      <c r="BR212" s="405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</row>
    <row r="213" spans="1:83" ht="13.5" customHeight="1">
      <c r="A213" s="1483"/>
      <c r="B213" s="1483"/>
      <c r="C213" s="2467"/>
      <c r="D213" s="2084"/>
      <c r="E213" s="1080"/>
      <c r="F213" s="2082"/>
      <c r="G213" s="912"/>
      <c r="H213" s="912"/>
      <c r="I213" s="2601"/>
      <c r="J213" s="2601"/>
      <c r="K213" s="2602"/>
      <c r="L213" s="2602"/>
      <c r="M213" s="2604"/>
      <c r="N213" s="2593"/>
      <c r="O213" s="2589"/>
      <c r="P213" s="2590"/>
      <c r="Q213" s="2591"/>
      <c r="R213" s="2600"/>
      <c r="S213" s="2592"/>
      <c r="T213" s="2593"/>
      <c r="U213" s="2594"/>
      <c r="V213" s="2595"/>
      <c r="W213" s="2596"/>
      <c r="X213" s="2597"/>
      <c r="Y213" s="2596"/>
      <c r="Z213" s="2598"/>
      <c r="AA213" s="2598"/>
      <c r="AB213" s="2598"/>
      <c r="AC213" s="1076"/>
      <c r="AD213" s="1076"/>
      <c r="AE213" s="410"/>
      <c r="AF213" s="809"/>
      <c r="AG213" s="1076"/>
      <c r="AH213" s="2404"/>
      <c r="AI213" s="2404"/>
      <c r="AJ213" s="2607"/>
      <c r="AK213" s="927"/>
      <c r="AL213" s="1076"/>
      <c r="AM213" s="927"/>
      <c r="AN213" s="685"/>
      <c r="AO213" s="517"/>
      <c r="AP213" s="413"/>
      <c r="AQ213" s="414"/>
      <c r="AR213" s="812"/>
      <c r="AS213" s="812"/>
      <c r="AT213" s="410"/>
      <c r="AU213" s="982"/>
      <c r="AV213" s="976"/>
      <c r="AW213" s="820"/>
      <c r="AX213" s="810"/>
      <c r="AY213" s="983"/>
      <c r="AZ213" s="983"/>
      <c r="BA213" s="819"/>
      <c r="BB213" s="820"/>
      <c r="BC213" s="811"/>
      <c r="BD213" s="410"/>
      <c r="BE213" s="410"/>
      <c r="BF213" s="410"/>
      <c r="BG213" s="410"/>
      <c r="BH213" s="974"/>
      <c r="BI213" s="974"/>
      <c r="BJ213" s="410"/>
      <c r="BK213" s="2073"/>
      <c r="BL213" s="410"/>
      <c r="BM213" s="410"/>
      <c r="BN213" s="410"/>
      <c r="BO213" s="685"/>
      <c r="BP213" s="399"/>
      <c r="BR213" s="405"/>
      <c r="BS213" s="405"/>
      <c r="BT213" s="405"/>
      <c r="BU213" s="405"/>
      <c r="BV213" s="405"/>
      <c r="BW213" s="405"/>
      <c r="BX213" s="405"/>
      <c r="BY213" s="405"/>
      <c r="BZ213" s="405"/>
      <c r="CA213" s="405"/>
      <c r="CB213" s="405"/>
      <c r="CC213" s="405"/>
      <c r="CD213" s="405"/>
      <c r="CE213" s="405"/>
    </row>
    <row r="214" spans="1:83" ht="13.5" customHeight="1">
      <c r="A214" s="1483"/>
      <c r="B214" s="1483"/>
      <c r="C214" s="2467"/>
      <c r="D214" s="2084"/>
      <c r="E214" s="1080"/>
      <c r="F214" s="2082"/>
      <c r="G214" s="912"/>
      <c r="H214" s="912"/>
      <c r="I214" s="2601"/>
      <c r="J214" s="2601"/>
      <c r="K214" s="2603"/>
      <c r="L214" s="2602"/>
      <c r="M214" s="2604"/>
      <c r="N214" s="2593"/>
      <c r="O214" s="2589"/>
      <c r="P214" s="2590"/>
      <c r="Q214" s="2591"/>
      <c r="R214" s="2600"/>
      <c r="S214" s="2592"/>
      <c r="T214" s="2593"/>
      <c r="U214" s="2594"/>
      <c r="V214" s="2595"/>
      <c r="W214" s="2596"/>
      <c r="X214" s="2597"/>
      <c r="Y214" s="2596"/>
      <c r="Z214" s="2598"/>
      <c r="AA214" s="2598"/>
      <c r="AB214" s="2598"/>
      <c r="AC214" s="1076"/>
      <c r="AD214" s="1076"/>
      <c r="AE214" s="410"/>
      <c r="AF214" s="809"/>
      <c r="AG214" s="1076"/>
      <c r="AH214" s="2404"/>
      <c r="AI214" s="2404"/>
      <c r="AJ214" s="2607"/>
      <c r="AK214" s="927"/>
      <c r="AL214" s="1076"/>
      <c r="AM214" s="927"/>
      <c r="AN214" s="685"/>
      <c r="AO214" s="517"/>
      <c r="AP214" s="413"/>
      <c r="AQ214" s="414"/>
      <c r="AR214" s="812"/>
      <c r="AS214" s="812"/>
      <c r="AT214" s="410"/>
      <c r="AU214" s="982"/>
      <c r="AV214" s="976"/>
      <c r="AW214" s="820"/>
      <c r="AX214" s="810"/>
      <c r="AY214" s="983"/>
      <c r="AZ214" s="983"/>
      <c r="BA214" s="819"/>
      <c r="BB214" s="820"/>
      <c r="BC214" s="811"/>
      <c r="BD214" s="410"/>
      <c r="BE214" s="410"/>
      <c r="BF214" s="410"/>
      <c r="BG214" s="410"/>
      <c r="BH214" s="974"/>
      <c r="BI214" s="974"/>
      <c r="BJ214" s="410"/>
      <c r="BK214" s="2073"/>
      <c r="BL214" s="410"/>
      <c r="BM214" s="410"/>
      <c r="BN214" s="410"/>
      <c r="BO214" s="685"/>
      <c r="BP214" s="399"/>
      <c r="BR214" s="405"/>
      <c r="BS214" s="405"/>
      <c r="BT214" s="405"/>
      <c r="BU214" s="405"/>
      <c r="BV214" s="405"/>
      <c r="BW214" s="405"/>
      <c r="BX214" s="405"/>
      <c r="BY214" s="405"/>
      <c r="BZ214" s="405"/>
      <c r="CA214" s="405"/>
      <c r="CB214" s="405"/>
      <c r="CC214" s="405"/>
      <c r="CD214" s="405"/>
      <c r="CE214" s="405"/>
    </row>
    <row r="215" spans="1:83" ht="13.5" customHeight="1">
      <c r="A215" s="1483"/>
      <c r="B215" s="1483"/>
      <c r="C215" s="2467"/>
      <c r="D215" s="2084"/>
      <c r="E215" s="1080"/>
      <c r="F215" s="2082"/>
      <c r="G215" s="912"/>
      <c r="H215" s="912"/>
      <c r="I215" s="2601"/>
      <c r="J215" s="2601"/>
      <c r="K215" s="2602"/>
      <c r="L215" s="2603"/>
      <c r="M215" s="2604"/>
      <c r="N215" s="2593"/>
      <c r="O215" s="2589"/>
      <c r="P215" s="2590"/>
      <c r="Q215" s="2591"/>
      <c r="R215" s="2600"/>
      <c r="S215" s="2592"/>
      <c r="T215" s="2593"/>
      <c r="U215" s="2594"/>
      <c r="V215" s="2595"/>
      <c r="W215" s="2596"/>
      <c r="X215" s="2597"/>
      <c r="Y215" s="2596"/>
      <c r="Z215" s="2598"/>
      <c r="AA215" s="2598"/>
      <c r="AB215" s="2598"/>
      <c r="AC215" s="1076"/>
      <c r="AD215" s="1076"/>
      <c r="AE215" s="410"/>
      <c r="AF215" s="809"/>
      <c r="AG215" s="1076"/>
      <c r="AH215" s="2404"/>
      <c r="AI215" s="2404"/>
      <c r="AJ215" s="2607"/>
      <c r="AK215" s="927"/>
      <c r="AL215" s="1076"/>
      <c r="AM215" s="927"/>
      <c r="AN215" s="685"/>
      <c r="AO215" s="517"/>
      <c r="AP215" s="413"/>
      <c r="AQ215" s="414"/>
      <c r="AR215" s="812"/>
      <c r="AS215" s="812"/>
      <c r="AT215" s="410"/>
      <c r="AU215" s="982"/>
      <c r="AV215" s="976"/>
      <c r="AW215" s="820"/>
      <c r="AX215" s="810"/>
      <c r="AY215" s="983"/>
      <c r="AZ215" s="983"/>
      <c r="BA215" s="819"/>
      <c r="BB215" s="820"/>
      <c r="BC215" s="811"/>
      <c r="BD215" s="410"/>
      <c r="BE215" s="410"/>
      <c r="BF215" s="410"/>
      <c r="BG215" s="410"/>
      <c r="BH215" s="974"/>
      <c r="BI215" s="974"/>
      <c r="BJ215" s="410"/>
      <c r="BK215" s="2073"/>
      <c r="BL215" s="410"/>
      <c r="BM215" s="410"/>
      <c r="BN215" s="410"/>
      <c r="BO215" s="685"/>
      <c r="BP215" s="399"/>
      <c r="BR215" s="405"/>
      <c r="BS215" s="405"/>
      <c r="BT215" s="405"/>
      <c r="BU215" s="405"/>
      <c r="BV215" s="405"/>
      <c r="BW215" s="405"/>
      <c r="BX215" s="405"/>
      <c r="BY215" s="405"/>
      <c r="BZ215" s="405"/>
      <c r="CA215" s="405"/>
      <c r="CB215" s="405"/>
      <c r="CC215" s="405"/>
      <c r="CD215" s="405"/>
      <c r="CE215" s="405"/>
    </row>
    <row r="216" spans="1:83" ht="13.5" customHeight="1">
      <c r="A216" s="1483"/>
      <c r="B216" s="1483"/>
      <c r="C216" s="2467"/>
      <c r="D216" s="2084"/>
      <c r="E216" s="1080"/>
      <c r="F216" s="2082"/>
      <c r="G216" s="912"/>
      <c r="H216" s="912"/>
      <c r="I216" s="2601"/>
      <c r="J216" s="2601"/>
      <c r="K216" s="2602"/>
      <c r="L216" s="2603"/>
      <c r="M216" s="2604"/>
      <c r="N216" s="2593"/>
      <c r="O216" s="2589"/>
      <c r="P216" s="2590"/>
      <c r="Q216" s="2591"/>
      <c r="R216" s="2600"/>
      <c r="S216" s="2592"/>
      <c r="T216" s="2593"/>
      <c r="U216" s="2594"/>
      <c r="V216" s="2595"/>
      <c r="W216" s="2596"/>
      <c r="X216" s="2597"/>
      <c r="Y216" s="2596"/>
      <c r="Z216" s="2598"/>
      <c r="AA216" s="2598"/>
      <c r="AB216" s="2598"/>
      <c r="AC216" s="1076"/>
      <c r="AD216" s="1076"/>
      <c r="AE216" s="410"/>
      <c r="AF216" s="809"/>
      <c r="AG216" s="1076"/>
      <c r="AH216" s="2404"/>
      <c r="AI216" s="2404"/>
      <c r="AJ216" s="2607"/>
      <c r="AK216" s="927"/>
      <c r="AL216" s="1076"/>
      <c r="AM216" s="927"/>
      <c r="AN216" s="685"/>
      <c r="AO216" s="517"/>
      <c r="AP216" s="413"/>
      <c r="AQ216" s="414"/>
      <c r="AR216" s="812"/>
      <c r="AS216" s="812"/>
      <c r="AT216" s="410"/>
      <c r="AU216" s="982"/>
      <c r="AV216" s="976"/>
      <c r="AW216" s="820"/>
      <c r="AX216" s="810"/>
      <c r="AY216" s="983"/>
      <c r="AZ216" s="983"/>
      <c r="BA216" s="819"/>
      <c r="BB216" s="820"/>
      <c r="BC216" s="811"/>
      <c r="BD216" s="410"/>
      <c r="BE216" s="410"/>
      <c r="BF216" s="410"/>
      <c r="BG216" s="410"/>
      <c r="BH216" s="974"/>
      <c r="BI216" s="974"/>
      <c r="BJ216" s="410"/>
      <c r="BK216" s="2073"/>
      <c r="BL216" s="410"/>
      <c r="BM216" s="410"/>
      <c r="BN216" s="410"/>
      <c r="BO216" s="685"/>
      <c r="BP216" s="399"/>
      <c r="BR216" s="405"/>
      <c r="BS216" s="405"/>
      <c r="BT216" s="405"/>
      <c r="BU216" s="405"/>
      <c r="BV216" s="405"/>
      <c r="BW216" s="405"/>
      <c r="BX216" s="405"/>
      <c r="BY216" s="405"/>
      <c r="BZ216" s="405"/>
      <c r="CA216" s="405"/>
      <c r="CB216" s="405"/>
      <c r="CC216" s="405"/>
      <c r="CD216" s="405"/>
      <c r="CE216" s="405"/>
    </row>
    <row r="217" spans="1:83" ht="13.5" customHeight="1">
      <c r="A217" s="1483"/>
      <c r="B217" s="1483"/>
      <c r="C217" s="2467"/>
      <c r="D217" s="2084"/>
      <c r="E217" s="1080"/>
      <c r="F217" s="2082"/>
      <c r="G217" s="912"/>
      <c r="H217" s="912"/>
      <c r="I217" s="2601"/>
      <c r="J217" s="2601"/>
      <c r="K217" s="2602"/>
      <c r="L217" s="2602"/>
      <c r="M217" s="2604"/>
      <c r="N217" s="2593"/>
      <c r="O217" s="2589"/>
      <c r="P217" s="2590"/>
      <c r="Q217" s="2591"/>
      <c r="R217" s="2600"/>
      <c r="S217" s="2592"/>
      <c r="T217" s="2593"/>
      <c r="U217" s="2594"/>
      <c r="V217" s="2595"/>
      <c r="W217" s="2596"/>
      <c r="X217" s="2597"/>
      <c r="Y217" s="2596"/>
      <c r="Z217" s="2598"/>
      <c r="AA217" s="2598"/>
      <c r="AB217" s="2598"/>
      <c r="AC217" s="1076"/>
      <c r="AD217" s="1076"/>
      <c r="AE217" s="410"/>
      <c r="AF217" s="809"/>
      <c r="AG217" s="1076"/>
      <c r="AH217" s="2404"/>
      <c r="AI217" s="2404"/>
      <c r="AJ217" s="2607"/>
      <c r="AK217" s="927"/>
      <c r="AL217" s="1076"/>
      <c r="AM217" s="927"/>
      <c r="AN217" s="685"/>
      <c r="AO217" s="517"/>
      <c r="AP217" s="413"/>
      <c r="AQ217" s="414"/>
      <c r="AR217" s="812"/>
      <c r="AS217" s="812"/>
      <c r="AT217" s="410"/>
      <c r="AU217" s="982"/>
      <c r="AV217" s="976"/>
      <c r="AW217" s="820"/>
      <c r="AX217" s="810"/>
      <c r="AY217" s="983"/>
      <c r="AZ217" s="983"/>
      <c r="BA217" s="819"/>
      <c r="BB217" s="820"/>
      <c r="BC217" s="811"/>
      <c r="BD217" s="410"/>
      <c r="BE217" s="410"/>
      <c r="BF217" s="410"/>
      <c r="BG217" s="410"/>
      <c r="BH217" s="974"/>
      <c r="BI217" s="974"/>
      <c r="BJ217" s="410"/>
      <c r="BK217" s="2073"/>
      <c r="BL217" s="410"/>
      <c r="BM217" s="410"/>
      <c r="BN217" s="410"/>
      <c r="BO217" s="685"/>
      <c r="BP217" s="399"/>
      <c r="BR217" s="405"/>
      <c r="BS217" s="405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</row>
    <row r="218" spans="1:83" ht="13.5" customHeight="1">
      <c r="A218" s="2083"/>
      <c r="B218" s="1483"/>
      <c r="C218" s="2467"/>
      <c r="D218" s="2084"/>
      <c r="E218" s="1080"/>
      <c r="F218" s="2082"/>
      <c r="G218" s="912"/>
      <c r="H218" s="912"/>
      <c r="I218" s="2601"/>
      <c r="J218" s="2601"/>
      <c r="K218" s="2602"/>
      <c r="L218" s="2602"/>
      <c r="M218" s="2604"/>
      <c r="N218" s="2593"/>
      <c r="O218" s="2589"/>
      <c r="P218" s="2590"/>
      <c r="Q218" s="2591"/>
      <c r="R218" s="2600"/>
      <c r="S218" s="2592"/>
      <c r="T218" s="2593"/>
      <c r="U218" s="2594"/>
      <c r="V218" s="2595"/>
      <c r="W218" s="2596"/>
      <c r="X218" s="2597"/>
      <c r="Y218" s="2596"/>
      <c r="Z218" s="2598"/>
      <c r="AA218" s="2598"/>
      <c r="AB218" s="2598"/>
      <c r="AC218" s="1076"/>
      <c r="AD218" s="1076"/>
      <c r="AE218" s="410"/>
      <c r="AF218" s="809"/>
      <c r="AG218" s="1076"/>
      <c r="AH218" s="2404"/>
      <c r="AI218" s="2404"/>
      <c r="AJ218" s="2607"/>
      <c r="AK218" s="927"/>
      <c r="AL218" s="1076"/>
      <c r="AM218" s="927"/>
      <c r="AN218" s="685"/>
      <c r="AO218" s="517"/>
      <c r="AP218" s="413"/>
      <c r="AQ218" s="414"/>
      <c r="AR218" s="812"/>
      <c r="AS218" s="812"/>
      <c r="AT218" s="410"/>
      <c r="AU218" s="982"/>
      <c r="AV218" s="976"/>
      <c r="AW218" s="820"/>
      <c r="AX218" s="810"/>
      <c r="AY218" s="983"/>
      <c r="AZ218" s="983"/>
      <c r="BA218" s="819"/>
      <c r="BB218" s="820"/>
      <c r="BC218" s="811"/>
      <c r="BD218" s="410"/>
      <c r="BE218" s="410"/>
      <c r="BF218" s="410"/>
      <c r="BG218" s="410"/>
      <c r="BH218" s="974"/>
      <c r="BI218" s="974"/>
      <c r="BJ218" s="410"/>
      <c r="BK218" s="2073"/>
      <c r="BL218" s="410"/>
      <c r="BM218" s="410"/>
      <c r="BN218" s="410"/>
      <c r="BO218" s="685"/>
      <c r="BP218" s="399"/>
      <c r="BR218" s="405"/>
      <c r="BS218" s="405"/>
      <c r="BT218" s="405"/>
      <c r="BU218" s="405"/>
      <c r="BV218" s="405"/>
      <c r="BW218" s="405"/>
      <c r="BX218" s="405"/>
      <c r="BY218" s="405"/>
      <c r="BZ218" s="405"/>
      <c r="CA218" s="405"/>
      <c r="CB218" s="405"/>
      <c r="CC218" s="405"/>
      <c r="CD218" s="405"/>
      <c r="CE218" s="405"/>
    </row>
    <row r="219" spans="1:83" ht="13.5" customHeight="1">
      <c r="A219" s="2083"/>
      <c r="B219" s="1483"/>
      <c r="C219" s="2467"/>
      <c r="D219" s="2084"/>
      <c r="E219" s="1080"/>
      <c r="F219" s="2082"/>
      <c r="G219" s="912"/>
      <c r="H219" s="912"/>
      <c r="I219" s="2601"/>
      <c r="J219" s="2601"/>
      <c r="K219" s="2602"/>
      <c r="L219" s="2603"/>
      <c r="M219" s="2604"/>
      <c r="N219" s="2593"/>
      <c r="O219" s="2589"/>
      <c r="P219" s="2590"/>
      <c r="Q219" s="2591"/>
      <c r="R219" s="2600"/>
      <c r="S219" s="2592"/>
      <c r="T219" s="2593"/>
      <c r="U219" s="2594"/>
      <c r="V219" s="2595"/>
      <c r="W219" s="2596"/>
      <c r="X219" s="2597"/>
      <c r="Y219" s="2596"/>
      <c r="Z219" s="2598"/>
      <c r="AA219" s="2598"/>
      <c r="AB219" s="2598"/>
      <c r="AC219" s="1076"/>
      <c r="AD219" s="1076"/>
      <c r="AE219" s="410"/>
      <c r="AF219" s="809"/>
      <c r="AG219" s="1076"/>
      <c r="AH219" s="2404"/>
      <c r="AI219" s="2404"/>
      <c r="AJ219" s="2607"/>
      <c r="AK219" s="927"/>
      <c r="AL219" s="1076"/>
      <c r="AM219" s="927"/>
      <c r="AN219" s="685"/>
      <c r="AO219" s="517"/>
      <c r="AP219" s="413"/>
      <c r="AQ219" s="414"/>
      <c r="AR219" s="812"/>
      <c r="AS219" s="812"/>
      <c r="AT219" s="410"/>
      <c r="AU219" s="982"/>
      <c r="AV219" s="976"/>
      <c r="AW219" s="820"/>
      <c r="AX219" s="810"/>
      <c r="AY219" s="983"/>
      <c r="AZ219" s="983"/>
      <c r="BA219" s="819"/>
      <c r="BB219" s="820"/>
      <c r="BC219" s="811"/>
      <c r="BD219" s="410"/>
      <c r="BE219" s="410"/>
      <c r="BF219" s="410"/>
      <c r="BG219" s="410"/>
      <c r="BH219" s="974"/>
      <c r="BI219" s="974"/>
      <c r="BJ219" s="410"/>
      <c r="BK219" s="2073"/>
      <c r="BL219" s="410"/>
      <c r="BM219" s="410"/>
      <c r="BN219" s="410"/>
      <c r="BO219" s="685"/>
      <c r="BP219" s="399"/>
      <c r="BR219" s="405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</row>
    <row r="220" spans="1:83" ht="13.5" customHeight="1">
      <c r="A220" s="1483"/>
      <c r="B220" s="1483"/>
      <c r="C220" s="2467"/>
      <c r="D220" s="2084"/>
      <c r="E220" s="1080"/>
      <c r="F220" s="2082"/>
      <c r="G220" s="912"/>
      <c r="H220" s="912"/>
      <c r="I220" s="2601"/>
      <c r="J220" s="2601"/>
      <c r="K220" s="2602"/>
      <c r="L220" s="2603"/>
      <c r="M220" s="2604"/>
      <c r="N220" s="2593"/>
      <c r="O220" s="2589"/>
      <c r="P220" s="2590"/>
      <c r="Q220" s="2591"/>
      <c r="R220" s="2600"/>
      <c r="S220" s="2592"/>
      <c r="T220" s="2593"/>
      <c r="U220" s="2594"/>
      <c r="V220" s="2595"/>
      <c r="W220" s="2596"/>
      <c r="X220" s="2597"/>
      <c r="Y220" s="2596"/>
      <c r="Z220" s="2598"/>
      <c r="AA220" s="2598"/>
      <c r="AB220" s="2598"/>
      <c r="AC220" s="1076"/>
      <c r="AD220" s="1076"/>
      <c r="AE220" s="410"/>
      <c r="AF220" s="809"/>
      <c r="AG220" s="1076"/>
      <c r="AH220" s="2404"/>
      <c r="AI220" s="2404"/>
      <c r="AJ220" s="2607"/>
      <c r="AK220" s="927"/>
      <c r="AL220" s="1076"/>
      <c r="AM220" s="927"/>
      <c r="AN220" s="685"/>
      <c r="AO220" s="517"/>
      <c r="AP220" s="413"/>
      <c r="AQ220" s="414"/>
      <c r="AR220" s="812"/>
      <c r="AS220" s="812"/>
      <c r="AT220" s="410"/>
      <c r="AU220" s="982"/>
      <c r="AV220" s="976"/>
      <c r="AW220" s="820"/>
      <c r="AX220" s="810"/>
      <c r="AY220" s="983"/>
      <c r="AZ220" s="983"/>
      <c r="BA220" s="819"/>
      <c r="BB220" s="820"/>
      <c r="BC220" s="811"/>
      <c r="BD220" s="410"/>
      <c r="BE220" s="410"/>
      <c r="BF220" s="410"/>
      <c r="BG220" s="410"/>
      <c r="BH220" s="974"/>
      <c r="BI220" s="974"/>
      <c r="BJ220" s="410"/>
      <c r="BK220" s="2073"/>
      <c r="BL220" s="410"/>
      <c r="BM220" s="410"/>
      <c r="BN220" s="410"/>
      <c r="BO220" s="685"/>
      <c r="BP220" s="399"/>
      <c r="BR220" s="405"/>
      <c r="BS220" s="405"/>
      <c r="BT220" s="405"/>
      <c r="BU220" s="405"/>
      <c r="BV220" s="405"/>
      <c r="BW220" s="405"/>
      <c r="BX220" s="405"/>
      <c r="BY220" s="405"/>
      <c r="BZ220" s="405"/>
      <c r="CA220" s="405"/>
      <c r="CB220" s="405"/>
      <c r="CC220" s="405"/>
      <c r="CD220" s="405"/>
      <c r="CE220" s="405"/>
    </row>
    <row r="221" spans="1:83" ht="13.5" customHeight="1">
      <c r="A221" s="1483"/>
      <c r="B221" s="1483"/>
      <c r="C221" s="2467"/>
      <c r="D221" s="2084"/>
      <c r="E221" s="1080"/>
      <c r="F221" s="2082"/>
      <c r="G221" s="912"/>
      <c r="H221" s="912"/>
      <c r="I221" s="2601"/>
      <c r="J221" s="2601"/>
      <c r="K221" s="2602"/>
      <c r="L221" s="2602"/>
      <c r="M221" s="2604"/>
      <c r="N221" s="2593"/>
      <c r="O221" s="2589"/>
      <c r="P221" s="2590"/>
      <c r="Q221" s="2591"/>
      <c r="R221" s="2600"/>
      <c r="S221" s="2592"/>
      <c r="T221" s="2593"/>
      <c r="U221" s="2594"/>
      <c r="V221" s="2595"/>
      <c r="W221" s="2596"/>
      <c r="X221" s="2597"/>
      <c r="Y221" s="2596"/>
      <c r="Z221" s="2598"/>
      <c r="AA221" s="2598"/>
      <c r="AB221" s="2598"/>
      <c r="AC221" s="1076"/>
      <c r="AD221" s="1076"/>
      <c r="AE221" s="410"/>
      <c r="AF221" s="809"/>
      <c r="AG221" s="1076"/>
      <c r="AH221" s="2404"/>
      <c r="AI221" s="2404"/>
      <c r="AJ221" s="2607"/>
      <c r="AK221" s="927"/>
      <c r="AL221" s="1076"/>
      <c r="AM221" s="927"/>
      <c r="AN221" s="685"/>
      <c r="AO221" s="517"/>
      <c r="AP221" s="413"/>
      <c r="AQ221" s="414"/>
      <c r="AR221" s="812"/>
      <c r="AS221" s="812"/>
      <c r="AT221" s="410"/>
      <c r="AU221" s="982"/>
      <c r="AV221" s="976"/>
      <c r="AW221" s="820"/>
      <c r="AX221" s="810"/>
      <c r="AY221" s="983"/>
      <c r="AZ221" s="983"/>
      <c r="BA221" s="819"/>
      <c r="BB221" s="820"/>
      <c r="BC221" s="811"/>
      <c r="BD221" s="410"/>
      <c r="BE221" s="410"/>
      <c r="BF221" s="410"/>
      <c r="BG221" s="410"/>
      <c r="BH221" s="974"/>
      <c r="BI221" s="974"/>
      <c r="BJ221" s="410"/>
      <c r="BK221" s="2073"/>
      <c r="BL221" s="410"/>
      <c r="BM221" s="410"/>
      <c r="BN221" s="410"/>
      <c r="BO221" s="685"/>
      <c r="BP221" s="399"/>
      <c r="BR221" s="405"/>
      <c r="BS221" s="405"/>
      <c r="BT221" s="405"/>
      <c r="BU221" s="405"/>
      <c r="BV221" s="405"/>
      <c r="BW221" s="405"/>
      <c r="BX221" s="405"/>
      <c r="BY221" s="405"/>
      <c r="BZ221" s="405"/>
      <c r="CA221" s="405"/>
      <c r="CB221" s="405"/>
      <c r="CC221" s="405"/>
      <c r="CD221" s="405"/>
      <c r="CE221" s="405"/>
    </row>
    <row r="222" spans="1:83" ht="13.5" customHeight="1">
      <c r="A222" s="1483"/>
      <c r="B222" s="1483"/>
      <c r="C222" s="2467"/>
      <c r="D222" s="2084"/>
      <c r="E222" s="1080"/>
      <c r="F222" s="2082"/>
      <c r="G222" s="912"/>
      <c r="H222" s="912"/>
      <c r="I222" s="2601"/>
      <c r="J222" s="2601"/>
      <c r="K222" s="2602"/>
      <c r="L222" s="2602"/>
      <c r="M222" s="2604"/>
      <c r="N222" s="2593"/>
      <c r="O222" s="2589"/>
      <c r="P222" s="2590"/>
      <c r="Q222" s="2591"/>
      <c r="R222" s="2600"/>
      <c r="S222" s="2592"/>
      <c r="T222" s="2593"/>
      <c r="U222" s="2594"/>
      <c r="V222" s="2595"/>
      <c r="W222" s="2596"/>
      <c r="X222" s="2597"/>
      <c r="Y222" s="2596"/>
      <c r="Z222" s="2598"/>
      <c r="AA222" s="2598"/>
      <c r="AB222" s="2598"/>
      <c r="AC222" s="1076"/>
      <c r="AD222" s="1076"/>
      <c r="AE222" s="410"/>
      <c r="AF222" s="809"/>
      <c r="AG222" s="1076"/>
      <c r="AH222" s="2404"/>
      <c r="AI222" s="2404"/>
      <c r="AJ222" s="2607"/>
      <c r="AK222" s="927"/>
      <c r="AL222" s="1076"/>
      <c r="AM222" s="927"/>
      <c r="AN222" s="685"/>
      <c r="AO222" s="517"/>
      <c r="AP222" s="413"/>
      <c r="AQ222" s="414"/>
      <c r="AR222" s="812"/>
      <c r="AS222" s="812"/>
      <c r="AT222" s="410"/>
      <c r="AU222" s="982"/>
      <c r="AV222" s="976"/>
      <c r="AW222" s="820"/>
      <c r="AX222" s="810"/>
      <c r="AY222" s="983"/>
      <c r="AZ222" s="983"/>
      <c r="BA222" s="819"/>
      <c r="BB222" s="820"/>
      <c r="BC222" s="811"/>
      <c r="BD222" s="410"/>
      <c r="BE222" s="410"/>
      <c r="BF222" s="410"/>
      <c r="BG222" s="410"/>
      <c r="BH222" s="974"/>
      <c r="BI222" s="974"/>
      <c r="BJ222" s="410"/>
      <c r="BK222" s="2073"/>
      <c r="BL222" s="410"/>
      <c r="BM222" s="410"/>
      <c r="BN222" s="410"/>
      <c r="BO222" s="685"/>
      <c r="BP222" s="399"/>
      <c r="BR222" s="405"/>
      <c r="BS222" s="405"/>
      <c r="BT222" s="405"/>
      <c r="BU222" s="405"/>
      <c r="BV222" s="405"/>
      <c r="BW222" s="405"/>
      <c r="BX222" s="405"/>
      <c r="BY222" s="405"/>
      <c r="BZ222" s="405"/>
      <c r="CA222" s="405"/>
      <c r="CB222" s="405"/>
      <c r="CC222" s="405"/>
      <c r="CD222" s="405"/>
      <c r="CE222" s="405"/>
    </row>
    <row r="223" spans="1:83" ht="13.5" customHeight="1">
      <c r="A223" s="1483"/>
      <c r="B223" s="1483"/>
      <c r="C223" s="2467"/>
      <c r="D223" s="2084"/>
      <c r="E223" s="1080"/>
      <c r="F223" s="2082"/>
      <c r="G223" s="912"/>
      <c r="H223" s="912"/>
      <c r="I223" s="2601"/>
      <c r="J223" s="2601"/>
      <c r="K223" s="2602"/>
      <c r="L223" s="2602"/>
      <c r="M223" s="2604"/>
      <c r="N223" s="2593"/>
      <c r="O223" s="2589"/>
      <c r="P223" s="2590"/>
      <c r="Q223" s="2591"/>
      <c r="R223" s="2600"/>
      <c r="S223" s="2592"/>
      <c r="T223" s="2593"/>
      <c r="U223" s="2594"/>
      <c r="V223" s="2595"/>
      <c r="W223" s="2596"/>
      <c r="X223" s="2597"/>
      <c r="Y223" s="2596"/>
      <c r="Z223" s="2598"/>
      <c r="AA223" s="2598"/>
      <c r="AB223" s="2598"/>
      <c r="AC223" s="1076"/>
      <c r="AD223" s="1076"/>
      <c r="AE223" s="410"/>
      <c r="AF223" s="809"/>
      <c r="AG223" s="1076"/>
      <c r="AH223" s="2404"/>
      <c r="AI223" s="2404"/>
      <c r="AJ223" s="2607"/>
      <c r="AK223" s="927"/>
      <c r="AL223" s="1076"/>
      <c r="AM223" s="927"/>
      <c r="AN223" s="685"/>
      <c r="AO223" s="517"/>
      <c r="AP223" s="413"/>
      <c r="AQ223" s="414"/>
      <c r="AR223" s="812"/>
      <c r="AS223" s="812"/>
      <c r="AT223" s="410"/>
      <c r="AU223" s="982"/>
      <c r="AV223" s="976"/>
      <c r="AW223" s="820"/>
      <c r="AX223" s="810"/>
      <c r="AY223" s="983"/>
      <c r="AZ223" s="983"/>
      <c r="BA223" s="819"/>
      <c r="BB223" s="820"/>
      <c r="BC223" s="811"/>
      <c r="BD223" s="410"/>
      <c r="BE223" s="410"/>
      <c r="BF223" s="410"/>
      <c r="BG223" s="410"/>
      <c r="BH223" s="974"/>
      <c r="BI223" s="974"/>
      <c r="BJ223" s="410"/>
      <c r="BK223" s="2073"/>
      <c r="BL223" s="410"/>
      <c r="BM223" s="410"/>
      <c r="BN223" s="410"/>
      <c r="BO223" s="685"/>
      <c r="BP223" s="399"/>
      <c r="BR223" s="405"/>
      <c r="BS223" s="405"/>
      <c r="BT223" s="405"/>
      <c r="BU223" s="405"/>
      <c r="BV223" s="405"/>
      <c r="BW223" s="405"/>
      <c r="BX223" s="405"/>
      <c r="BY223" s="405"/>
      <c r="BZ223" s="405"/>
      <c r="CA223" s="405"/>
      <c r="CB223" s="405"/>
      <c r="CC223" s="405"/>
      <c r="CD223" s="405"/>
      <c r="CE223" s="405"/>
    </row>
    <row r="224" spans="1:83" ht="13.5" customHeight="1">
      <c r="A224" s="1483"/>
      <c r="B224" s="1483"/>
      <c r="C224" s="2467"/>
      <c r="D224" s="2084"/>
      <c r="E224" s="1080"/>
      <c r="F224" s="2082"/>
      <c r="G224" s="912"/>
      <c r="H224" s="912"/>
      <c r="I224" s="2601"/>
      <c r="J224" s="2601"/>
      <c r="K224" s="2603"/>
      <c r="L224" s="2602"/>
      <c r="M224" s="2604"/>
      <c r="N224" s="2593"/>
      <c r="O224" s="2589"/>
      <c r="P224" s="2590"/>
      <c r="Q224" s="2591"/>
      <c r="R224" s="2600"/>
      <c r="S224" s="2592"/>
      <c r="T224" s="2593"/>
      <c r="U224" s="2594"/>
      <c r="V224" s="2595"/>
      <c r="W224" s="2596"/>
      <c r="X224" s="2597"/>
      <c r="Y224" s="2596"/>
      <c r="Z224" s="2598"/>
      <c r="AA224" s="2598"/>
      <c r="AB224" s="2598"/>
      <c r="AC224" s="1076"/>
      <c r="AD224" s="1076"/>
      <c r="AE224" s="410"/>
      <c r="AF224" s="809"/>
      <c r="AG224" s="1076"/>
      <c r="AH224" s="2404"/>
      <c r="AI224" s="2404"/>
      <c r="AJ224" s="2607"/>
      <c r="AK224" s="927"/>
      <c r="AL224" s="1076"/>
      <c r="AM224" s="927"/>
      <c r="AN224" s="685"/>
      <c r="AO224" s="517"/>
      <c r="AP224" s="413"/>
      <c r="AQ224" s="414"/>
      <c r="AR224" s="812"/>
      <c r="AS224" s="812"/>
      <c r="AT224" s="410"/>
      <c r="AU224" s="982"/>
      <c r="AV224" s="976"/>
      <c r="AW224" s="820"/>
      <c r="AX224" s="810"/>
      <c r="AY224" s="983"/>
      <c r="AZ224" s="983"/>
      <c r="BA224" s="819"/>
      <c r="BB224" s="820"/>
      <c r="BC224" s="811"/>
      <c r="BD224" s="410"/>
      <c r="BE224" s="410"/>
      <c r="BF224" s="410"/>
      <c r="BG224" s="410"/>
      <c r="BH224" s="974"/>
      <c r="BI224" s="974"/>
      <c r="BJ224" s="410"/>
      <c r="BK224" s="2073"/>
      <c r="BL224" s="410"/>
      <c r="BM224" s="410"/>
      <c r="BN224" s="410"/>
      <c r="BO224" s="685"/>
      <c r="BP224" s="399"/>
      <c r="BR224" s="405"/>
      <c r="BS224" s="405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</row>
    <row r="225" spans="1:84" s="407" customFormat="1" ht="12" customHeight="1">
      <c r="A225" s="1483"/>
      <c r="B225" s="1483"/>
      <c r="C225" s="2467"/>
      <c r="D225" s="2084"/>
      <c r="E225" s="1080"/>
      <c r="F225" s="2082"/>
      <c r="G225" s="912"/>
      <c r="H225" s="912"/>
      <c r="I225" s="2601"/>
      <c r="J225" s="2601"/>
      <c r="K225" s="2602"/>
      <c r="L225" s="2602"/>
      <c r="M225" s="2604"/>
      <c r="N225" s="2593"/>
      <c r="O225" s="2589"/>
      <c r="P225" s="2590"/>
      <c r="Q225" s="2591"/>
      <c r="R225" s="2600"/>
      <c r="S225" s="2592"/>
      <c r="T225" s="2593"/>
      <c r="U225" s="2594"/>
      <c r="V225" s="2595"/>
      <c r="W225" s="2596"/>
      <c r="X225" s="2597"/>
      <c r="Y225" s="2596"/>
      <c r="Z225" s="2598"/>
      <c r="AA225" s="2598"/>
      <c r="AB225" s="2598"/>
      <c r="AC225" s="1076"/>
      <c r="AD225" s="1076"/>
      <c r="AE225" s="410"/>
      <c r="AF225" s="809"/>
      <c r="AG225" s="1076"/>
      <c r="AH225" s="2404"/>
      <c r="AI225" s="2404"/>
      <c r="AJ225" s="2607"/>
      <c r="AK225" s="927"/>
      <c r="AL225" s="1076"/>
      <c r="AM225" s="927"/>
      <c r="AN225" s="685"/>
      <c r="AO225" s="517"/>
      <c r="AP225" s="413"/>
      <c r="AQ225" s="414"/>
      <c r="AR225" s="812"/>
      <c r="AS225" s="812"/>
      <c r="AT225" s="410"/>
      <c r="AU225" s="982"/>
      <c r="AV225" s="976"/>
      <c r="AW225" s="820"/>
      <c r="AX225" s="810"/>
      <c r="AY225" s="983"/>
      <c r="AZ225" s="983"/>
      <c r="BA225" s="819"/>
      <c r="BB225" s="820"/>
      <c r="BC225" s="811"/>
      <c r="BD225" s="410"/>
      <c r="BE225" s="410"/>
      <c r="BF225" s="410"/>
      <c r="BG225" s="410"/>
      <c r="BH225" s="974"/>
      <c r="BI225" s="974"/>
      <c r="BJ225" s="410"/>
      <c r="BK225" s="2073"/>
      <c r="BL225" s="410"/>
      <c r="BM225" s="410"/>
      <c r="BN225" s="410"/>
      <c r="BO225" s="685"/>
      <c r="BP225" s="399"/>
      <c r="BR225" s="405"/>
      <c r="BS225" s="405"/>
      <c r="BT225" s="405"/>
      <c r="BU225" s="405"/>
      <c r="BV225" s="405"/>
      <c r="BW225" s="405"/>
      <c r="BX225" s="405"/>
      <c r="BY225" s="405"/>
      <c r="BZ225" s="405"/>
      <c r="CA225" s="405"/>
      <c r="CB225" s="405"/>
      <c r="CC225" s="405"/>
      <c r="CD225" s="405"/>
      <c r="CE225" s="405"/>
    </row>
    <row r="226" spans="1:84" s="407" customFormat="1" ht="12" customHeight="1">
      <c r="A226" s="1483"/>
      <c r="B226" s="1483"/>
      <c r="C226" s="2467"/>
      <c r="D226" s="2084"/>
      <c r="E226" s="1080"/>
      <c r="F226" s="2082"/>
      <c r="G226" s="912"/>
      <c r="H226" s="912"/>
      <c r="I226" s="2601"/>
      <c r="J226" s="2601"/>
      <c r="K226" s="2603"/>
      <c r="L226" s="2602"/>
      <c r="M226" s="2604"/>
      <c r="N226" s="2593"/>
      <c r="O226" s="2589"/>
      <c r="P226" s="2590"/>
      <c r="Q226" s="2591"/>
      <c r="R226" s="2600"/>
      <c r="S226" s="2592"/>
      <c r="T226" s="2593"/>
      <c r="U226" s="2594"/>
      <c r="V226" s="2595"/>
      <c r="W226" s="2596"/>
      <c r="X226" s="2597"/>
      <c r="Y226" s="2596"/>
      <c r="Z226" s="2598"/>
      <c r="AA226" s="2598"/>
      <c r="AB226" s="2598"/>
      <c r="AC226" s="1076"/>
      <c r="AD226" s="1076"/>
      <c r="AE226" s="410"/>
      <c r="AF226" s="809"/>
      <c r="AG226" s="1076"/>
      <c r="AH226" s="2404"/>
      <c r="AI226" s="2404"/>
      <c r="AJ226" s="2607"/>
      <c r="AK226" s="927"/>
      <c r="AL226" s="1076"/>
      <c r="AM226" s="927"/>
      <c r="AN226" s="685"/>
      <c r="AO226" s="517"/>
      <c r="AP226" s="413"/>
      <c r="AQ226" s="414"/>
      <c r="AR226" s="812"/>
      <c r="AS226" s="812"/>
      <c r="AT226" s="410"/>
      <c r="AU226" s="982"/>
      <c r="AV226" s="976"/>
      <c r="AW226" s="820"/>
      <c r="AX226" s="810"/>
      <c r="AY226" s="983"/>
      <c r="AZ226" s="983"/>
      <c r="BA226" s="819"/>
      <c r="BB226" s="820"/>
      <c r="BC226" s="811"/>
      <c r="BD226" s="410"/>
      <c r="BE226" s="410"/>
      <c r="BF226" s="410"/>
      <c r="BG226" s="410"/>
      <c r="BH226" s="974"/>
      <c r="BI226" s="974"/>
      <c r="BJ226" s="410"/>
      <c r="BK226" s="2073"/>
      <c r="BL226" s="410"/>
      <c r="BM226" s="410"/>
      <c r="BN226" s="410"/>
      <c r="BO226" s="685"/>
      <c r="BP226" s="399"/>
      <c r="BR226" s="405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</row>
    <row r="227" spans="1:84" ht="13.5" customHeight="1">
      <c r="A227" s="1483"/>
      <c r="B227" s="1483"/>
      <c r="C227" s="985"/>
      <c r="D227" s="2084"/>
      <c r="E227" s="1080"/>
      <c r="F227" s="2082"/>
      <c r="G227" s="912"/>
      <c r="H227" s="912"/>
      <c r="I227" s="2601"/>
      <c r="J227" s="2601"/>
      <c r="K227" s="2602"/>
      <c r="L227" s="2602"/>
      <c r="M227" s="2604"/>
      <c r="N227" s="2593"/>
      <c r="O227" s="2589"/>
      <c r="P227" s="2590"/>
      <c r="Q227" s="2591"/>
      <c r="R227" s="2600"/>
      <c r="S227" s="2592"/>
      <c r="T227" s="2593"/>
      <c r="U227" s="2594"/>
      <c r="V227" s="2595"/>
      <c r="W227" s="2596"/>
      <c r="X227" s="2597"/>
      <c r="Y227" s="2596"/>
      <c r="Z227" s="2598"/>
      <c r="AA227" s="2598"/>
      <c r="AB227" s="2598"/>
      <c r="AC227" s="406"/>
      <c r="AD227" s="685"/>
      <c r="AE227" s="410"/>
      <c r="AF227" s="809"/>
      <c r="AG227" s="1076"/>
      <c r="AH227" s="2404"/>
      <c r="AI227" s="2404"/>
      <c r="AJ227" s="2607"/>
      <c r="AK227" s="927"/>
      <c r="AL227" s="1076"/>
      <c r="AM227" s="927"/>
      <c r="AN227" s="685"/>
      <c r="AO227" s="517"/>
      <c r="AP227" s="413"/>
      <c r="AQ227" s="414"/>
      <c r="AR227" s="812"/>
      <c r="AS227" s="812"/>
      <c r="AT227" s="410"/>
      <c r="AU227" s="982"/>
      <c r="AV227" s="976"/>
      <c r="AW227" s="820"/>
      <c r="AX227" s="810"/>
      <c r="AY227" s="983"/>
      <c r="AZ227" s="983"/>
      <c r="BA227" s="819"/>
      <c r="BB227" s="820"/>
      <c r="BC227" s="811"/>
      <c r="BD227" s="410"/>
      <c r="BE227" s="410"/>
      <c r="BF227" s="410"/>
      <c r="BG227" s="410"/>
      <c r="BH227" s="974"/>
      <c r="BI227" s="974"/>
      <c r="BJ227" s="410"/>
      <c r="BK227" s="2073"/>
      <c r="BL227" s="410"/>
      <c r="BM227" s="410"/>
      <c r="BN227" s="410"/>
      <c r="BO227" s="685"/>
      <c r="BP227" s="399"/>
      <c r="BR227" s="2500"/>
      <c r="BS227" s="405"/>
      <c r="BT227" s="405"/>
      <c r="BU227" s="405"/>
      <c r="BV227" s="2500"/>
      <c r="BW227" s="405"/>
      <c r="BX227" s="405"/>
      <c r="BY227" s="405"/>
      <c r="BZ227" s="2500"/>
      <c r="CA227" s="405"/>
      <c r="CB227" s="405"/>
      <c r="CC227" s="405"/>
      <c r="CD227" s="2500"/>
      <c r="CE227" s="405"/>
      <c r="CF227" s="404"/>
    </row>
    <row r="228" spans="1:84" ht="13.5" customHeight="1">
      <c r="A228" s="1483"/>
      <c r="B228" s="1483"/>
      <c r="C228" s="985"/>
      <c r="D228" s="2084"/>
      <c r="E228" s="1080"/>
      <c r="F228" s="2082"/>
      <c r="G228" s="912"/>
      <c r="H228" s="912"/>
      <c r="I228" s="2601"/>
      <c r="J228" s="2601"/>
      <c r="K228" s="2602"/>
      <c r="L228" s="2602"/>
      <c r="M228" s="2604"/>
      <c r="N228" s="2593"/>
      <c r="O228" s="2589"/>
      <c r="P228" s="2590"/>
      <c r="Q228" s="2591"/>
      <c r="R228" s="2600"/>
      <c r="S228" s="2592"/>
      <c r="T228" s="2593"/>
      <c r="U228" s="2594"/>
      <c r="V228" s="2595"/>
      <c r="W228" s="2596"/>
      <c r="X228" s="2597"/>
      <c r="Y228" s="2596"/>
      <c r="Z228" s="2598"/>
      <c r="AA228" s="2598"/>
      <c r="AB228" s="2598"/>
      <c r="AC228" s="406"/>
      <c r="AD228" s="685"/>
      <c r="AE228" s="410"/>
      <c r="AF228" s="809"/>
      <c r="AG228" s="1076"/>
      <c r="AH228" s="2404"/>
      <c r="AI228" s="2404"/>
      <c r="AJ228" s="2607"/>
      <c r="AK228" s="927"/>
      <c r="AL228" s="1076"/>
      <c r="AM228" s="927"/>
      <c r="AN228" s="685"/>
      <c r="AO228" s="517"/>
      <c r="AP228" s="413"/>
      <c r="AQ228" s="414"/>
      <c r="AR228" s="812"/>
      <c r="AS228" s="812"/>
      <c r="AT228" s="410"/>
      <c r="AU228" s="982"/>
      <c r="AV228" s="976"/>
      <c r="AW228" s="820"/>
      <c r="AX228" s="810"/>
      <c r="AY228" s="983"/>
      <c r="AZ228" s="983"/>
      <c r="BA228" s="819"/>
      <c r="BB228" s="820"/>
      <c r="BC228" s="811"/>
      <c r="BD228" s="410"/>
      <c r="BE228" s="410"/>
      <c r="BF228" s="410"/>
      <c r="BG228" s="410"/>
      <c r="BH228" s="974"/>
      <c r="BI228" s="974"/>
      <c r="BJ228" s="410"/>
      <c r="BK228" s="2073"/>
      <c r="BL228" s="410"/>
      <c r="BM228" s="410"/>
      <c r="BN228" s="410"/>
      <c r="BO228" s="685"/>
      <c r="BP228" s="399"/>
      <c r="BR228" s="405"/>
      <c r="BS228" s="405"/>
      <c r="BT228" s="405"/>
      <c r="BU228" s="405"/>
      <c r="BV228" s="2500"/>
      <c r="BW228" s="405"/>
      <c r="BX228" s="405"/>
      <c r="BY228" s="405"/>
      <c r="BZ228" s="405"/>
      <c r="CA228" s="405"/>
      <c r="CB228" s="405"/>
      <c r="CC228" s="405"/>
      <c r="CD228" s="2501"/>
      <c r="CE228" s="405"/>
      <c r="CF228" s="404"/>
    </row>
    <row r="229" spans="1:84" ht="13.5" customHeight="1">
      <c r="A229" s="1483"/>
      <c r="B229" s="1483"/>
      <c r="C229" s="985"/>
      <c r="D229" s="2084"/>
      <c r="E229" s="1080"/>
      <c r="F229" s="2082"/>
      <c r="G229" s="912"/>
      <c r="H229" s="912"/>
      <c r="I229" s="2601"/>
      <c r="J229" s="2601"/>
      <c r="K229" s="2602"/>
      <c r="L229" s="2602"/>
      <c r="M229" s="2604"/>
      <c r="N229" s="2593"/>
      <c r="O229" s="2589"/>
      <c r="P229" s="2590"/>
      <c r="Q229" s="2591"/>
      <c r="R229" s="2600"/>
      <c r="S229" s="2592"/>
      <c r="T229" s="2593"/>
      <c r="U229" s="2594"/>
      <c r="V229" s="2595"/>
      <c r="W229" s="2596"/>
      <c r="X229" s="2597"/>
      <c r="Y229" s="2596"/>
      <c r="Z229" s="2598"/>
      <c r="AA229" s="2598"/>
      <c r="AB229" s="2598"/>
      <c r="AC229" s="1076"/>
      <c r="AD229" s="1076"/>
      <c r="AE229" s="410"/>
      <c r="AF229" s="809"/>
      <c r="AG229" s="1076"/>
      <c r="AH229" s="2404"/>
      <c r="AI229" s="2404"/>
      <c r="AJ229" s="2607"/>
      <c r="AK229" s="927"/>
      <c r="AL229" s="1076"/>
      <c r="AM229" s="927"/>
      <c r="AN229" s="685"/>
      <c r="AO229" s="517"/>
      <c r="AP229" s="413"/>
      <c r="AQ229" s="414"/>
      <c r="AR229" s="812"/>
      <c r="AS229" s="812"/>
      <c r="AT229" s="410"/>
      <c r="AU229" s="982"/>
      <c r="AV229" s="976"/>
      <c r="AW229" s="820"/>
      <c r="AX229" s="810"/>
      <c r="AY229" s="983"/>
      <c r="AZ229" s="983"/>
      <c r="BA229" s="819"/>
      <c r="BB229" s="820"/>
      <c r="BC229" s="811"/>
      <c r="BD229" s="410"/>
      <c r="BE229" s="410"/>
      <c r="BF229" s="410"/>
      <c r="BG229" s="410"/>
      <c r="BH229" s="974"/>
      <c r="BI229" s="974"/>
      <c r="BJ229" s="410"/>
      <c r="BK229" s="2073"/>
      <c r="BL229" s="410"/>
      <c r="BM229" s="410"/>
      <c r="BN229" s="410"/>
      <c r="BO229" s="685"/>
      <c r="BP229" s="399"/>
      <c r="BR229" s="405"/>
      <c r="BS229" s="405"/>
      <c r="BT229" s="405"/>
      <c r="BU229" s="405"/>
      <c r="BV229" s="2500"/>
      <c r="BW229" s="405"/>
      <c r="BX229" s="405"/>
      <c r="BY229" s="405"/>
      <c r="BZ229" s="405"/>
      <c r="CA229" s="405"/>
      <c r="CB229" s="405"/>
      <c r="CC229" s="405"/>
      <c r="CD229" s="405"/>
      <c r="CE229" s="405"/>
      <c r="CF229" s="404"/>
    </row>
    <row r="230" spans="1:84" ht="13.5" customHeight="1">
      <c r="A230" s="1483"/>
      <c r="B230" s="1483"/>
      <c r="C230" s="985"/>
      <c r="D230" s="2084"/>
      <c r="E230" s="1080"/>
      <c r="F230" s="2082"/>
      <c r="G230" s="912"/>
      <c r="H230" s="912"/>
      <c r="I230" s="2601"/>
      <c r="J230" s="2601"/>
      <c r="K230" s="2602"/>
      <c r="L230" s="2602"/>
      <c r="M230" s="2604"/>
      <c r="N230" s="2593"/>
      <c r="O230" s="2589"/>
      <c r="P230" s="2590"/>
      <c r="Q230" s="2591"/>
      <c r="R230" s="2600"/>
      <c r="S230" s="2592"/>
      <c r="T230" s="2593"/>
      <c r="U230" s="2594"/>
      <c r="V230" s="2595"/>
      <c r="W230" s="2596"/>
      <c r="X230" s="2597"/>
      <c r="Y230" s="2596"/>
      <c r="Z230" s="2598"/>
      <c r="AA230" s="2598"/>
      <c r="AB230" s="2598"/>
      <c r="AC230" s="1076"/>
      <c r="AD230" s="1076"/>
      <c r="AE230" s="410"/>
      <c r="AF230" s="809"/>
      <c r="AG230" s="1076"/>
      <c r="AH230" s="2404"/>
      <c r="AI230" s="2404"/>
      <c r="AJ230" s="2607"/>
      <c r="AK230" s="927"/>
      <c r="AL230" s="1076"/>
      <c r="AM230" s="927"/>
      <c r="AN230" s="685"/>
      <c r="AO230" s="517"/>
      <c r="AP230" s="413"/>
      <c r="AQ230" s="414"/>
      <c r="AR230" s="812"/>
      <c r="AS230" s="812"/>
      <c r="AT230" s="410"/>
      <c r="AU230" s="982"/>
      <c r="AV230" s="976"/>
      <c r="AW230" s="820"/>
      <c r="AX230" s="810"/>
      <c r="AY230" s="983"/>
      <c r="AZ230" s="983"/>
      <c r="BA230" s="819"/>
      <c r="BB230" s="820"/>
      <c r="BC230" s="811"/>
      <c r="BD230" s="410"/>
      <c r="BE230" s="410"/>
      <c r="BF230" s="410"/>
      <c r="BG230" s="410"/>
      <c r="BH230" s="974"/>
      <c r="BI230" s="974"/>
      <c r="BJ230" s="410"/>
      <c r="BK230" s="2073"/>
      <c r="BL230" s="410"/>
      <c r="BM230" s="410"/>
      <c r="BN230" s="410"/>
      <c r="BO230" s="685"/>
      <c r="BP230" s="399"/>
      <c r="BR230" s="2501"/>
      <c r="BS230" s="405"/>
      <c r="BT230" s="405"/>
      <c r="BU230" s="405"/>
      <c r="BV230" s="2500"/>
      <c r="BW230" s="405"/>
      <c r="BX230" s="405"/>
      <c r="BY230" s="405"/>
      <c r="BZ230" s="405"/>
      <c r="CA230" s="405"/>
      <c r="CB230" s="405"/>
      <c r="CC230" s="405"/>
      <c r="CD230" s="405"/>
      <c r="CE230" s="405"/>
      <c r="CF230" s="404"/>
    </row>
    <row r="231" spans="1:84" ht="13.5" customHeight="1">
      <c r="A231" s="1483"/>
      <c r="B231" s="1483"/>
      <c r="C231" s="985"/>
      <c r="D231" s="2084"/>
      <c r="E231" s="1080"/>
      <c r="F231" s="2082"/>
      <c r="G231" s="912"/>
      <c r="H231" s="912"/>
      <c r="I231" s="2601"/>
      <c r="J231" s="2601"/>
      <c r="K231" s="2602"/>
      <c r="L231" s="2603"/>
      <c r="M231" s="2604"/>
      <c r="N231" s="2593"/>
      <c r="O231" s="2589"/>
      <c r="P231" s="2590"/>
      <c r="Q231" s="2591"/>
      <c r="R231" s="2600"/>
      <c r="S231" s="2592"/>
      <c r="T231" s="2593"/>
      <c r="U231" s="2594"/>
      <c r="V231" s="2595"/>
      <c r="W231" s="2596"/>
      <c r="X231" s="2597"/>
      <c r="Y231" s="2596"/>
      <c r="Z231" s="2598"/>
      <c r="AA231" s="2598"/>
      <c r="AB231" s="2598"/>
      <c r="AC231" s="1076"/>
      <c r="AD231" s="1076"/>
      <c r="AE231" s="410"/>
      <c r="AF231" s="809"/>
      <c r="AG231" s="1076"/>
      <c r="AH231" s="2404"/>
      <c r="AI231" s="2404"/>
      <c r="AJ231" s="2607"/>
      <c r="AK231" s="927"/>
      <c r="AL231" s="1076"/>
      <c r="AM231" s="927"/>
      <c r="AN231" s="685"/>
      <c r="AO231" s="517"/>
      <c r="AP231" s="413"/>
      <c r="AQ231" s="414"/>
      <c r="AR231" s="812"/>
      <c r="AS231" s="812"/>
      <c r="AT231" s="410"/>
      <c r="AU231" s="982"/>
      <c r="AV231" s="976"/>
      <c r="AW231" s="820"/>
      <c r="AX231" s="810"/>
      <c r="AY231" s="983"/>
      <c r="AZ231" s="983"/>
      <c r="BA231" s="819"/>
      <c r="BB231" s="820"/>
      <c r="BC231" s="811"/>
      <c r="BD231" s="410"/>
      <c r="BE231" s="410"/>
      <c r="BF231" s="410"/>
      <c r="BG231" s="410"/>
      <c r="BH231" s="974"/>
      <c r="BI231" s="974"/>
      <c r="BJ231" s="410"/>
      <c r="BK231" s="2073"/>
      <c r="BL231" s="410"/>
      <c r="BM231" s="410"/>
      <c r="BN231" s="410"/>
      <c r="BO231" s="685"/>
      <c r="BP231" s="399"/>
      <c r="BR231" s="405"/>
      <c r="BS231" s="405"/>
      <c r="BT231" s="405"/>
      <c r="BU231" s="405"/>
      <c r="BV231" s="2500"/>
      <c r="BW231" s="405"/>
      <c r="BX231" s="405"/>
      <c r="BY231" s="405"/>
      <c r="BZ231" s="405"/>
      <c r="CA231" s="405"/>
      <c r="CB231" s="405"/>
      <c r="CC231" s="405"/>
      <c r="CD231" s="405"/>
      <c r="CE231" s="405"/>
      <c r="CF231" s="404"/>
    </row>
    <row r="232" spans="1:84" ht="13.5" customHeight="1">
      <c r="A232" s="1483"/>
      <c r="B232" s="1483"/>
      <c r="C232" s="985"/>
      <c r="D232" s="2084"/>
      <c r="E232" s="1080"/>
      <c r="F232" s="2082"/>
      <c r="G232" s="912"/>
      <c r="H232" s="912"/>
      <c r="I232" s="2601"/>
      <c r="J232" s="2601"/>
      <c r="K232" s="2602"/>
      <c r="L232" s="2603"/>
      <c r="M232" s="2604"/>
      <c r="N232" s="2593"/>
      <c r="O232" s="2589"/>
      <c r="P232" s="2590"/>
      <c r="Q232" s="2591"/>
      <c r="R232" s="2600"/>
      <c r="S232" s="2592"/>
      <c r="T232" s="2593"/>
      <c r="U232" s="2594"/>
      <c r="V232" s="2595"/>
      <c r="W232" s="2596"/>
      <c r="X232" s="2597"/>
      <c r="Y232" s="2596"/>
      <c r="Z232" s="2598"/>
      <c r="AA232" s="2598"/>
      <c r="AB232" s="2598"/>
      <c r="AC232" s="1076"/>
      <c r="AD232" s="1076"/>
      <c r="AE232" s="410"/>
      <c r="AF232" s="809"/>
      <c r="AG232" s="1076"/>
      <c r="AH232" s="2404"/>
      <c r="AI232" s="2404"/>
      <c r="AJ232" s="2607"/>
      <c r="AK232" s="927"/>
      <c r="AL232" s="1076"/>
      <c r="AM232" s="927"/>
      <c r="AN232" s="685"/>
      <c r="AO232" s="517"/>
      <c r="AP232" s="413"/>
      <c r="AQ232" s="414"/>
      <c r="AR232" s="812"/>
      <c r="AS232" s="812"/>
      <c r="AT232" s="410"/>
      <c r="AU232" s="982"/>
      <c r="AV232" s="976"/>
      <c r="AW232" s="820"/>
      <c r="AX232" s="810"/>
      <c r="AY232" s="983"/>
      <c r="AZ232" s="983"/>
      <c r="BA232" s="819"/>
      <c r="BB232" s="820"/>
      <c r="BC232" s="811"/>
      <c r="BD232" s="410"/>
      <c r="BE232" s="410"/>
      <c r="BF232" s="410"/>
      <c r="BG232" s="410"/>
      <c r="BH232" s="974"/>
      <c r="BI232" s="974"/>
      <c r="BJ232" s="410"/>
      <c r="BK232" s="2073"/>
      <c r="BL232" s="410"/>
      <c r="BM232" s="410"/>
      <c r="BN232" s="410"/>
      <c r="BO232" s="685"/>
      <c r="BP232" s="399"/>
      <c r="BR232" s="405"/>
      <c r="BS232" s="405"/>
      <c r="BT232" s="405"/>
      <c r="BU232" s="405"/>
      <c r="BV232" s="2500"/>
      <c r="BW232" s="405"/>
      <c r="BX232" s="405"/>
      <c r="BY232" s="405"/>
      <c r="BZ232" s="405"/>
      <c r="CA232" s="405"/>
      <c r="CB232" s="405"/>
      <c r="CC232" s="405"/>
      <c r="CD232" s="405"/>
      <c r="CE232" s="405"/>
      <c r="CF232" s="404"/>
    </row>
    <row r="233" spans="1:84" ht="13.5" customHeight="1">
      <c r="A233" s="1483"/>
      <c r="B233" s="1483"/>
      <c r="C233" s="985"/>
      <c r="D233" s="2084"/>
      <c r="E233" s="1080"/>
      <c r="F233" s="2082"/>
      <c r="G233" s="912"/>
      <c r="H233" s="912"/>
      <c r="I233" s="2601"/>
      <c r="J233" s="2601"/>
      <c r="K233" s="2602"/>
      <c r="L233" s="2603"/>
      <c r="M233" s="2604"/>
      <c r="N233" s="2593"/>
      <c r="O233" s="2589"/>
      <c r="P233" s="2590"/>
      <c r="Q233" s="2591"/>
      <c r="R233" s="2600"/>
      <c r="S233" s="2592"/>
      <c r="T233" s="2593"/>
      <c r="U233" s="2594"/>
      <c r="V233" s="2595"/>
      <c r="W233" s="2596"/>
      <c r="X233" s="2597"/>
      <c r="Y233" s="2596"/>
      <c r="Z233" s="2598"/>
      <c r="AA233" s="2598"/>
      <c r="AB233" s="2598"/>
      <c r="AC233" s="1076"/>
      <c r="AD233" s="1076"/>
      <c r="AE233" s="410"/>
      <c r="AF233" s="809"/>
      <c r="AG233" s="1076"/>
      <c r="AH233" s="2404"/>
      <c r="AI233" s="2404"/>
      <c r="AJ233" s="2607"/>
      <c r="AK233" s="927"/>
      <c r="AL233" s="1076"/>
      <c r="AM233" s="927"/>
      <c r="AN233" s="685"/>
      <c r="AO233" s="517"/>
      <c r="AP233" s="413"/>
      <c r="AQ233" s="414"/>
      <c r="AR233" s="812"/>
      <c r="AS233" s="812"/>
      <c r="AT233" s="410"/>
      <c r="AU233" s="982"/>
      <c r="AV233" s="976"/>
      <c r="AW233" s="820"/>
      <c r="AX233" s="810"/>
      <c r="AY233" s="983"/>
      <c r="AZ233" s="983"/>
      <c r="BA233" s="819"/>
      <c r="BB233" s="820"/>
      <c r="BC233" s="811"/>
      <c r="BD233" s="410"/>
      <c r="BE233" s="410"/>
      <c r="BF233" s="410"/>
      <c r="BG233" s="410"/>
      <c r="BH233" s="974"/>
      <c r="BI233" s="974"/>
      <c r="BJ233" s="410"/>
      <c r="BK233" s="2073"/>
      <c r="BL233" s="410"/>
      <c r="BM233" s="410"/>
      <c r="BN233" s="410"/>
      <c r="BO233" s="685"/>
      <c r="BP233" s="399"/>
      <c r="BR233" s="405"/>
      <c r="BS233" s="405"/>
      <c r="BT233" s="405"/>
      <c r="BU233" s="405"/>
      <c r="BV233" s="2500"/>
      <c r="BW233" s="405"/>
      <c r="BX233" s="405"/>
      <c r="BY233" s="405"/>
      <c r="BZ233" s="405"/>
      <c r="CA233" s="405"/>
      <c r="CB233" s="405"/>
      <c r="CC233" s="405"/>
      <c r="CD233" s="405"/>
      <c r="CE233" s="405"/>
      <c r="CF233" s="404"/>
    </row>
    <row r="234" spans="1:84" ht="13.5" customHeight="1">
      <c r="A234" s="1483"/>
      <c r="B234" s="1483"/>
      <c r="C234" s="985"/>
      <c r="D234" s="2084"/>
      <c r="E234" s="1080"/>
      <c r="F234" s="2082"/>
      <c r="G234" s="912"/>
      <c r="H234" s="912"/>
      <c r="I234" s="2601"/>
      <c r="J234" s="2601"/>
      <c r="K234" s="2602"/>
      <c r="L234" s="2602"/>
      <c r="M234" s="2604"/>
      <c r="N234" s="2593"/>
      <c r="O234" s="2589"/>
      <c r="P234" s="2590"/>
      <c r="Q234" s="2591"/>
      <c r="R234" s="2600"/>
      <c r="S234" s="2592"/>
      <c r="T234" s="2593"/>
      <c r="U234" s="2594"/>
      <c r="V234" s="2595"/>
      <c r="W234" s="2596"/>
      <c r="X234" s="2597"/>
      <c r="Y234" s="2596"/>
      <c r="Z234" s="2598"/>
      <c r="AA234" s="2598"/>
      <c r="AB234" s="2598"/>
      <c r="AC234" s="1076"/>
      <c r="AD234" s="1076"/>
      <c r="AE234" s="410"/>
      <c r="AF234" s="809"/>
      <c r="AG234" s="1076"/>
      <c r="AH234" s="2404"/>
      <c r="AI234" s="2404"/>
      <c r="AJ234" s="2607"/>
      <c r="AK234" s="927"/>
      <c r="AL234" s="1076"/>
      <c r="AM234" s="927"/>
      <c r="AN234" s="685"/>
      <c r="AO234" s="517"/>
      <c r="AP234" s="413"/>
      <c r="AQ234" s="414"/>
      <c r="AR234" s="812"/>
      <c r="AS234" s="812"/>
      <c r="AT234" s="410"/>
      <c r="AU234" s="982"/>
      <c r="AV234" s="976"/>
      <c r="AW234" s="820"/>
      <c r="AX234" s="810"/>
      <c r="AY234" s="983"/>
      <c r="AZ234" s="983"/>
      <c r="BA234" s="819"/>
      <c r="BB234" s="820"/>
      <c r="BC234" s="811"/>
      <c r="BD234" s="410"/>
      <c r="BE234" s="410"/>
      <c r="BF234" s="410"/>
      <c r="BG234" s="410"/>
      <c r="BH234" s="974"/>
      <c r="BI234" s="974"/>
      <c r="BJ234" s="410"/>
      <c r="BK234" s="2073"/>
      <c r="BL234" s="410"/>
      <c r="BM234" s="410"/>
      <c r="BN234" s="410"/>
      <c r="BO234" s="685"/>
      <c r="BP234" s="399"/>
      <c r="BR234" s="405"/>
      <c r="BS234" s="405"/>
      <c r="BT234" s="405"/>
      <c r="BU234" s="405"/>
      <c r="BV234" s="2500"/>
      <c r="BW234" s="405"/>
      <c r="BX234" s="405"/>
      <c r="BY234" s="405"/>
      <c r="BZ234" s="405"/>
      <c r="CA234" s="405"/>
      <c r="CB234" s="405"/>
      <c r="CC234" s="405"/>
      <c r="CD234" s="405"/>
      <c r="CE234" s="405"/>
      <c r="CF234" s="404"/>
    </row>
    <row r="235" spans="1:84" ht="12" customHeight="1">
      <c r="A235" s="1483"/>
      <c r="B235" s="1483"/>
      <c r="C235" s="985"/>
      <c r="D235" s="2084"/>
      <c r="E235" s="1080"/>
      <c r="F235" s="2082"/>
      <c r="G235" s="912"/>
      <c r="H235" s="912"/>
      <c r="I235" s="2601"/>
      <c r="J235" s="2601"/>
      <c r="K235" s="2602"/>
      <c r="L235" s="2602"/>
      <c r="M235" s="2604"/>
      <c r="N235" s="2593"/>
      <c r="O235" s="2589"/>
      <c r="P235" s="2590"/>
      <c r="Q235" s="2591"/>
      <c r="R235" s="2600"/>
      <c r="S235" s="2592"/>
      <c r="T235" s="2593"/>
      <c r="U235" s="2594"/>
      <c r="V235" s="2595"/>
      <c r="W235" s="2596"/>
      <c r="X235" s="2597"/>
      <c r="Y235" s="2596"/>
      <c r="Z235" s="2598"/>
      <c r="AA235" s="2598"/>
      <c r="AB235" s="2598"/>
      <c r="AC235" s="1076"/>
      <c r="AD235" s="1076"/>
      <c r="AE235" s="410"/>
      <c r="AF235" s="809"/>
      <c r="AG235" s="1076"/>
      <c r="AH235" s="2404"/>
      <c r="AI235" s="2404"/>
      <c r="AJ235" s="2607"/>
      <c r="AK235" s="927"/>
      <c r="AL235" s="1076"/>
      <c r="AM235" s="927"/>
      <c r="AN235" s="685"/>
      <c r="AO235" s="517"/>
      <c r="AP235" s="413"/>
      <c r="AQ235" s="414"/>
      <c r="AR235" s="812"/>
      <c r="AS235" s="812"/>
      <c r="AT235" s="410"/>
      <c r="AU235" s="982"/>
      <c r="AV235" s="976"/>
      <c r="AW235" s="820"/>
      <c r="AX235" s="810"/>
      <c r="AY235" s="983"/>
      <c r="AZ235" s="983"/>
      <c r="BA235" s="819"/>
      <c r="BB235" s="820"/>
      <c r="BC235" s="811"/>
      <c r="BD235" s="410"/>
      <c r="BE235" s="410"/>
      <c r="BF235" s="410"/>
      <c r="BG235" s="410"/>
      <c r="BH235" s="974"/>
      <c r="BI235" s="974"/>
      <c r="BJ235" s="410"/>
      <c r="BK235" s="2073"/>
      <c r="BL235" s="410"/>
      <c r="BM235" s="410"/>
      <c r="BN235" s="410"/>
      <c r="BO235" s="685"/>
      <c r="BP235" s="399"/>
      <c r="BR235" s="405"/>
      <c r="BS235" s="405"/>
      <c r="BT235" s="405"/>
      <c r="BU235" s="405"/>
      <c r="BV235" s="2500"/>
      <c r="BW235" s="405"/>
      <c r="BX235" s="405"/>
      <c r="BY235" s="405"/>
      <c r="BZ235" s="405"/>
      <c r="CA235" s="405"/>
      <c r="CB235" s="405"/>
      <c r="CC235" s="405"/>
      <c r="CD235" s="405"/>
      <c r="CE235" s="405"/>
      <c r="CF235" s="404"/>
    </row>
    <row r="236" spans="1:84" ht="13.5" customHeight="1">
      <c r="A236" s="1483"/>
      <c r="B236" s="1483"/>
      <c r="C236" s="985"/>
      <c r="D236" s="2084"/>
      <c r="E236" s="1080"/>
      <c r="F236" s="2082"/>
      <c r="G236" s="912"/>
      <c r="H236" s="912"/>
      <c r="I236" s="2601"/>
      <c r="J236" s="2601"/>
      <c r="K236" s="2602"/>
      <c r="L236" s="2602"/>
      <c r="M236" s="2604"/>
      <c r="N236" s="2593"/>
      <c r="O236" s="2589"/>
      <c r="P236" s="2590"/>
      <c r="Q236" s="2591"/>
      <c r="R236" s="2600"/>
      <c r="S236" s="2592"/>
      <c r="T236" s="2593"/>
      <c r="U236" s="2594"/>
      <c r="V236" s="2595"/>
      <c r="W236" s="2596"/>
      <c r="X236" s="2597"/>
      <c r="Y236" s="2596"/>
      <c r="Z236" s="2598"/>
      <c r="AA236" s="2598"/>
      <c r="AB236" s="2598"/>
      <c r="AC236" s="1076"/>
      <c r="AD236" s="1076"/>
      <c r="AE236" s="410"/>
      <c r="AF236" s="809"/>
      <c r="AG236" s="1076"/>
      <c r="AH236" s="2404"/>
      <c r="AI236" s="2404"/>
      <c r="AJ236" s="2607"/>
      <c r="AK236" s="927"/>
      <c r="AL236" s="1076"/>
      <c r="AM236" s="927"/>
      <c r="AN236" s="685"/>
      <c r="AO236" s="517"/>
      <c r="AP236" s="413"/>
      <c r="AQ236" s="414"/>
      <c r="AR236" s="812"/>
      <c r="AS236" s="812"/>
      <c r="AT236" s="410"/>
      <c r="AU236" s="982"/>
      <c r="AV236" s="976"/>
      <c r="AW236" s="820"/>
      <c r="AX236" s="810"/>
      <c r="AY236" s="983"/>
      <c r="AZ236" s="983"/>
      <c r="BA236" s="819"/>
      <c r="BB236" s="820"/>
      <c r="BC236" s="811"/>
      <c r="BD236" s="410"/>
      <c r="BE236" s="410"/>
      <c r="BF236" s="410"/>
      <c r="BG236" s="410"/>
      <c r="BH236" s="974"/>
      <c r="BI236" s="974"/>
      <c r="BJ236" s="410"/>
      <c r="BK236" s="2073"/>
      <c r="BL236" s="410"/>
      <c r="BM236" s="410"/>
      <c r="BN236" s="410"/>
      <c r="BO236" s="685"/>
      <c r="BP236" s="399"/>
      <c r="BR236" s="405"/>
      <c r="BS236" s="405"/>
      <c r="BT236" s="405"/>
      <c r="BU236" s="405"/>
      <c r="BV236" s="2500"/>
      <c r="BW236" s="405"/>
      <c r="BX236" s="405"/>
      <c r="BY236" s="405"/>
      <c r="BZ236" s="405"/>
      <c r="CA236" s="405"/>
      <c r="CB236" s="405"/>
      <c r="CC236" s="405"/>
      <c r="CD236" s="405"/>
      <c r="CE236" s="405"/>
      <c r="CF236" s="404"/>
    </row>
    <row r="237" spans="1:84" ht="13.5" customHeight="1">
      <c r="A237" s="1483"/>
      <c r="B237" s="1483"/>
      <c r="C237" s="985"/>
      <c r="D237" s="2084"/>
      <c r="E237" s="1080"/>
      <c r="F237" s="2082"/>
      <c r="G237" s="912"/>
      <c r="H237" s="912"/>
      <c r="I237" s="2601"/>
      <c r="J237" s="2601"/>
      <c r="K237" s="2602"/>
      <c r="L237" s="2602"/>
      <c r="M237" s="2604"/>
      <c r="N237" s="2593"/>
      <c r="O237" s="2589"/>
      <c r="P237" s="2590"/>
      <c r="Q237" s="2591"/>
      <c r="R237" s="2600"/>
      <c r="S237" s="2592"/>
      <c r="T237" s="2593"/>
      <c r="U237" s="2594"/>
      <c r="V237" s="2595"/>
      <c r="W237" s="2596"/>
      <c r="X237" s="2597"/>
      <c r="Y237" s="2596"/>
      <c r="Z237" s="2598"/>
      <c r="AA237" s="2598"/>
      <c r="AB237" s="2598"/>
      <c r="AC237" s="1076"/>
      <c r="AD237" s="1076"/>
      <c r="AE237" s="410"/>
      <c r="AF237" s="809"/>
      <c r="AG237" s="1076"/>
      <c r="AH237" s="2404"/>
      <c r="AI237" s="2404"/>
      <c r="AJ237" s="2607"/>
      <c r="AK237" s="927"/>
      <c r="AL237" s="1076"/>
      <c r="AM237" s="927"/>
      <c r="AN237" s="685"/>
      <c r="AO237" s="517"/>
      <c r="AP237" s="413"/>
      <c r="AQ237" s="414"/>
      <c r="AR237" s="812"/>
      <c r="AS237" s="812"/>
      <c r="AT237" s="410"/>
      <c r="AU237" s="982"/>
      <c r="AV237" s="976"/>
      <c r="AW237" s="820"/>
      <c r="AX237" s="810"/>
      <c r="AY237" s="983"/>
      <c r="AZ237" s="983"/>
      <c r="BA237" s="819"/>
      <c r="BB237" s="820"/>
      <c r="BC237" s="811"/>
      <c r="BD237" s="410"/>
      <c r="BE237" s="410"/>
      <c r="BF237" s="410"/>
      <c r="BG237" s="410"/>
      <c r="BH237" s="974"/>
      <c r="BI237" s="974"/>
      <c r="BJ237" s="410"/>
      <c r="BK237" s="2073"/>
      <c r="BL237" s="410"/>
      <c r="BM237" s="410"/>
      <c r="BN237" s="410"/>
      <c r="BO237" s="685"/>
      <c r="BP237" s="399"/>
      <c r="BR237" s="405"/>
      <c r="BS237" s="405"/>
      <c r="BT237" s="405"/>
      <c r="BU237" s="405"/>
      <c r="BV237" s="2500"/>
      <c r="BW237" s="405"/>
      <c r="BX237" s="405"/>
      <c r="BY237" s="405"/>
      <c r="BZ237" s="405"/>
      <c r="CA237" s="405"/>
      <c r="CB237" s="405"/>
      <c r="CC237" s="405"/>
      <c r="CD237" s="405"/>
      <c r="CE237" s="405"/>
      <c r="CF237" s="404"/>
    </row>
    <row r="238" spans="1:84" ht="13.5" customHeight="1">
      <c r="A238" s="1483"/>
      <c r="B238" s="1483"/>
      <c r="C238" s="985"/>
      <c r="D238" s="2084"/>
      <c r="E238" s="1080"/>
      <c r="F238" s="2082"/>
      <c r="G238" s="912"/>
      <c r="H238" s="912"/>
      <c r="I238" s="2601"/>
      <c r="J238" s="2601"/>
      <c r="K238" s="2602"/>
      <c r="L238" s="2602"/>
      <c r="M238" s="2604"/>
      <c r="N238" s="2593"/>
      <c r="O238" s="2589"/>
      <c r="P238" s="2590"/>
      <c r="Q238" s="2591"/>
      <c r="R238" s="2600"/>
      <c r="S238" s="2592"/>
      <c r="T238" s="2593"/>
      <c r="U238" s="2594"/>
      <c r="V238" s="2595"/>
      <c r="W238" s="2596"/>
      <c r="X238" s="2597"/>
      <c r="Y238" s="2596"/>
      <c r="Z238" s="2598"/>
      <c r="AA238" s="2598"/>
      <c r="AB238" s="2598"/>
      <c r="AC238" s="1076"/>
      <c r="AD238" s="1076"/>
      <c r="AE238" s="410"/>
      <c r="AF238" s="809"/>
      <c r="AG238" s="1076"/>
      <c r="AH238" s="2404"/>
      <c r="AI238" s="2404"/>
      <c r="AJ238" s="2607"/>
      <c r="AK238" s="927"/>
      <c r="AL238" s="1076"/>
      <c r="AM238" s="927"/>
      <c r="AN238" s="685"/>
      <c r="AO238" s="517"/>
      <c r="AP238" s="413"/>
      <c r="AQ238" s="414"/>
      <c r="AR238" s="812"/>
      <c r="AS238" s="812"/>
      <c r="AT238" s="410"/>
      <c r="AU238" s="982"/>
      <c r="AV238" s="976"/>
      <c r="AW238" s="820"/>
      <c r="AX238" s="810"/>
      <c r="AY238" s="983"/>
      <c r="AZ238" s="983"/>
      <c r="BA238" s="819"/>
      <c r="BB238" s="820"/>
      <c r="BC238" s="811"/>
      <c r="BD238" s="410"/>
      <c r="BE238" s="410"/>
      <c r="BF238" s="410"/>
      <c r="BG238" s="410"/>
      <c r="BH238" s="974"/>
      <c r="BI238" s="974"/>
      <c r="BJ238" s="410"/>
      <c r="BK238" s="2073"/>
      <c r="BL238" s="410"/>
      <c r="BM238" s="410"/>
      <c r="BN238" s="410"/>
      <c r="BO238" s="685"/>
      <c r="BP238" s="399"/>
      <c r="BR238" s="405"/>
      <c r="BS238" s="405"/>
      <c r="BT238" s="405"/>
      <c r="BU238" s="405"/>
      <c r="BV238" s="2500"/>
      <c r="BW238" s="405"/>
      <c r="BX238" s="405"/>
      <c r="BY238" s="405"/>
      <c r="BZ238" s="405"/>
      <c r="CA238" s="405"/>
      <c r="CB238" s="405"/>
      <c r="CC238" s="405"/>
      <c r="CD238" s="405"/>
      <c r="CE238" s="405"/>
      <c r="CF238" s="404"/>
    </row>
    <row r="239" spans="1:84" ht="13.5" customHeight="1">
      <c r="A239" s="1483"/>
      <c r="B239" s="1483"/>
      <c r="C239" s="985"/>
      <c r="D239" s="2084"/>
      <c r="E239" s="1080"/>
      <c r="F239" s="2082"/>
      <c r="G239" s="912"/>
      <c r="H239" s="912"/>
      <c r="I239" s="2601"/>
      <c r="J239" s="2601"/>
      <c r="K239" s="2602"/>
      <c r="L239" s="2602"/>
      <c r="M239" s="2604"/>
      <c r="N239" s="2593"/>
      <c r="O239" s="2589"/>
      <c r="P239" s="2590"/>
      <c r="Q239" s="2591"/>
      <c r="R239" s="2600"/>
      <c r="S239" s="2592"/>
      <c r="T239" s="2593"/>
      <c r="U239" s="2594"/>
      <c r="V239" s="2595"/>
      <c r="W239" s="2596"/>
      <c r="X239" s="2597"/>
      <c r="Y239" s="2596"/>
      <c r="Z239" s="2598"/>
      <c r="AA239" s="2598"/>
      <c r="AB239" s="2598"/>
      <c r="AC239" s="1076"/>
      <c r="AD239" s="1076"/>
      <c r="AE239" s="410"/>
      <c r="AF239" s="809"/>
      <c r="AG239" s="1076"/>
      <c r="AH239" s="2404"/>
      <c r="AI239" s="2404"/>
      <c r="AJ239" s="2607"/>
      <c r="AK239" s="927"/>
      <c r="AL239" s="1076"/>
      <c r="AM239" s="927"/>
      <c r="AN239" s="685"/>
      <c r="AO239" s="517"/>
      <c r="AP239" s="413"/>
      <c r="AQ239" s="414"/>
      <c r="AR239" s="812"/>
      <c r="AS239" s="812"/>
      <c r="AT239" s="410"/>
      <c r="AU239" s="982"/>
      <c r="AV239" s="976"/>
      <c r="AW239" s="820"/>
      <c r="AX239" s="810"/>
      <c r="AY239" s="983"/>
      <c r="AZ239" s="983"/>
      <c r="BA239" s="819"/>
      <c r="BB239" s="820"/>
      <c r="BC239" s="811"/>
      <c r="BD239" s="410"/>
      <c r="BE239" s="410"/>
      <c r="BF239" s="410"/>
      <c r="BG239" s="410"/>
      <c r="BH239" s="974"/>
      <c r="BI239" s="974"/>
      <c r="BJ239" s="410"/>
      <c r="BK239" s="2073"/>
      <c r="BL239" s="410"/>
      <c r="BM239" s="410"/>
      <c r="BN239" s="410"/>
      <c r="BO239" s="685"/>
      <c r="BP239" s="399"/>
      <c r="BR239" s="405"/>
      <c r="BS239" s="405"/>
      <c r="BT239" s="405"/>
      <c r="BU239" s="405"/>
      <c r="BV239" s="405"/>
      <c r="BW239" s="405"/>
      <c r="BX239" s="405"/>
      <c r="BY239" s="405"/>
      <c r="BZ239" s="405"/>
      <c r="CA239" s="405"/>
      <c r="CB239" s="405"/>
      <c r="CC239" s="405"/>
      <c r="CD239" s="405"/>
      <c r="CE239" s="405"/>
      <c r="CF239" s="404"/>
    </row>
    <row r="240" spans="1:84" ht="13.5" customHeight="1">
      <c r="A240" s="1483"/>
      <c r="B240" s="1483"/>
      <c r="C240" s="985"/>
      <c r="D240" s="2084"/>
      <c r="E240" s="1080"/>
      <c r="F240" s="2082"/>
      <c r="G240" s="912"/>
      <c r="H240" s="912"/>
      <c r="I240" s="2601"/>
      <c r="J240" s="2601"/>
      <c r="K240" s="2602"/>
      <c r="L240" s="2603"/>
      <c r="M240" s="2604"/>
      <c r="N240" s="2593"/>
      <c r="O240" s="2589"/>
      <c r="P240" s="2590"/>
      <c r="Q240" s="2591"/>
      <c r="R240" s="2600"/>
      <c r="S240" s="2592"/>
      <c r="T240" s="2593"/>
      <c r="U240" s="2594"/>
      <c r="V240" s="2595"/>
      <c r="W240" s="2596"/>
      <c r="X240" s="2597"/>
      <c r="Y240" s="2596"/>
      <c r="Z240" s="2598"/>
      <c r="AA240" s="2598"/>
      <c r="AB240" s="2598"/>
      <c r="AC240" s="1076"/>
      <c r="AD240" s="1076"/>
      <c r="AE240" s="410"/>
      <c r="AF240" s="809"/>
      <c r="AG240" s="1076"/>
      <c r="AH240" s="2404"/>
      <c r="AI240" s="2404"/>
      <c r="AJ240" s="2607"/>
      <c r="AK240" s="927"/>
      <c r="AL240" s="1076"/>
      <c r="AM240" s="927"/>
      <c r="AN240" s="685"/>
      <c r="AO240" s="517"/>
      <c r="AP240" s="413"/>
      <c r="AQ240" s="414"/>
      <c r="AR240" s="812"/>
      <c r="AS240" s="812"/>
      <c r="AT240" s="410"/>
      <c r="AU240" s="982"/>
      <c r="AV240" s="976"/>
      <c r="AW240" s="820"/>
      <c r="AX240" s="810"/>
      <c r="AY240" s="983"/>
      <c r="AZ240" s="983"/>
      <c r="BA240" s="819"/>
      <c r="BB240" s="820"/>
      <c r="BC240" s="811"/>
      <c r="BD240" s="410"/>
      <c r="BE240" s="410"/>
      <c r="BF240" s="410"/>
      <c r="BG240" s="410"/>
      <c r="BH240" s="974"/>
      <c r="BI240" s="974"/>
      <c r="BJ240" s="410"/>
      <c r="BK240" s="2073"/>
      <c r="BL240" s="410"/>
      <c r="BM240" s="410"/>
      <c r="BN240" s="410"/>
      <c r="BO240" s="685"/>
      <c r="BP240" s="399"/>
      <c r="BR240" s="405"/>
      <c r="BS240" s="405"/>
      <c r="BT240" s="405"/>
      <c r="BU240" s="405"/>
      <c r="BV240" s="405"/>
      <c r="BW240" s="405"/>
      <c r="BX240" s="405"/>
      <c r="BY240" s="405"/>
      <c r="BZ240" s="405"/>
      <c r="CA240" s="405"/>
      <c r="CB240" s="405"/>
      <c r="CC240" s="405"/>
      <c r="CD240" s="405"/>
      <c r="CE240" s="405"/>
      <c r="CF240" s="404"/>
    </row>
    <row r="241" spans="1:84" ht="13.5" customHeight="1">
      <c r="A241" s="1483"/>
      <c r="B241" s="1483"/>
      <c r="C241" s="985"/>
      <c r="D241" s="2084"/>
      <c r="E241" s="1080"/>
      <c r="F241" s="2082"/>
      <c r="G241" s="912"/>
      <c r="H241" s="912"/>
      <c r="I241" s="2601"/>
      <c r="J241" s="2601"/>
      <c r="K241" s="2602"/>
      <c r="L241" s="2602"/>
      <c r="M241" s="2604"/>
      <c r="N241" s="2593"/>
      <c r="O241" s="2589"/>
      <c r="P241" s="2590"/>
      <c r="Q241" s="2591"/>
      <c r="R241" s="2600"/>
      <c r="S241" s="2592"/>
      <c r="T241" s="2593"/>
      <c r="U241" s="2594"/>
      <c r="V241" s="2595"/>
      <c r="W241" s="2596"/>
      <c r="X241" s="2597"/>
      <c r="Y241" s="2596"/>
      <c r="Z241" s="2598"/>
      <c r="AA241" s="2598"/>
      <c r="AB241" s="2598"/>
      <c r="AC241" s="1076"/>
      <c r="AD241" s="1076"/>
      <c r="AE241" s="410"/>
      <c r="AF241" s="809"/>
      <c r="AG241" s="1076"/>
      <c r="AH241" s="2404"/>
      <c r="AI241" s="2404"/>
      <c r="AJ241" s="2607"/>
      <c r="AK241" s="927"/>
      <c r="AL241" s="1076"/>
      <c r="AM241" s="927"/>
      <c r="AN241" s="685"/>
      <c r="AO241" s="517"/>
      <c r="AP241" s="413"/>
      <c r="AQ241" s="414"/>
      <c r="AR241" s="812"/>
      <c r="AS241" s="812"/>
      <c r="AT241" s="410"/>
      <c r="AU241" s="982"/>
      <c r="AV241" s="976"/>
      <c r="AW241" s="820"/>
      <c r="AX241" s="810"/>
      <c r="AY241" s="983"/>
      <c r="AZ241" s="983"/>
      <c r="BA241" s="819"/>
      <c r="BB241" s="820"/>
      <c r="BC241" s="811"/>
      <c r="BD241" s="410"/>
      <c r="BE241" s="410"/>
      <c r="BF241" s="410"/>
      <c r="BG241" s="410"/>
      <c r="BH241" s="974"/>
      <c r="BI241" s="974"/>
      <c r="BJ241" s="410"/>
      <c r="BK241" s="2073"/>
      <c r="BL241" s="410"/>
      <c r="BM241" s="410"/>
      <c r="BN241" s="410"/>
      <c r="BO241" s="685"/>
      <c r="BP241" s="399"/>
      <c r="BR241" s="405"/>
      <c r="BS241" s="405"/>
      <c r="BT241" s="405"/>
      <c r="BU241" s="405"/>
      <c r="BV241" s="405"/>
      <c r="BW241" s="405"/>
      <c r="BX241" s="405"/>
      <c r="BY241" s="405"/>
      <c r="BZ241" s="405"/>
      <c r="CA241" s="405"/>
      <c r="CB241" s="405"/>
      <c r="CC241" s="405"/>
      <c r="CD241" s="2501"/>
      <c r="CE241" s="405"/>
      <c r="CF241" s="404"/>
    </row>
    <row r="242" spans="1:84" ht="13.5" customHeight="1">
      <c r="A242" s="1483"/>
      <c r="B242" s="1483"/>
      <c r="C242" s="985"/>
      <c r="D242" s="2084"/>
      <c r="E242" s="1080"/>
      <c r="F242" s="2082"/>
      <c r="G242" s="912"/>
      <c r="H242" s="912"/>
      <c r="I242" s="2601"/>
      <c r="J242" s="2601"/>
      <c r="K242" s="2602"/>
      <c r="L242" s="2602"/>
      <c r="M242" s="2604"/>
      <c r="N242" s="2593"/>
      <c r="O242" s="2589"/>
      <c r="P242" s="2590"/>
      <c r="Q242" s="2591"/>
      <c r="R242" s="2600"/>
      <c r="S242" s="2592"/>
      <c r="T242" s="2593"/>
      <c r="U242" s="2594"/>
      <c r="V242" s="2595"/>
      <c r="W242" s="2596"/>
      <c r="X242" s="2597"/>
      <c r="Y242" s="2596"/>
      <c r="Z242" s="2598"/>
      <c r="AA242" s="2598"/>
      <c r="AB242" s="2598"/>
      <c r="AC242" s="1076"/>
      <c r="AD242" s="1076"/>
      <c r="AE242" s="410"/>
      <c r="AF242" s="809"/>
      <c r="AG242" s="1076"/>
      <c r="AH242" s="2404"/>
      <c r="AI242" s="2404"/>
      <c r="AJ242" s="2607"/>
      <c r="AK242" s="927"/>
      <c r="AL242" s="1076"/>
      <c r="AM242" s="927"/>
      <c r="AN242" s="685"/>
      <c r="AO242" s="517"/>
      <c r="AP242" s="413"/>
      <c r="AQ242" s="414"/>
      <c r="AR242" s="812"/>
      <c r="AS242" s="812"/>
      <c r="AT242" s="410"/>
      <c r="AU242" s="982"/>
      <c r="AV242" s="976"/>
      <c r="AW242" s="820"/>
      <c r="AX242" s="810"/>
      <c r="AY242" s="983"/>
      <c r="AZ242" s="983"/>
      <c r="BA242" s="819"/>
      <c r="BB242" s="820"/>
      <c r="BC242" s="811"/>
      <c r="BD242" s="410"/>
      <c r="BE242" s="410"/>
      <c r="BF242" s="410"/>
      <c r="BG242" s="410"/>
      <c r="BH242" s="974"/>
      <c r="BI242" s="974"/>
      <c r="BJ242" s="410"/>
      <c r="BK242" s="2073"/>
      <c r="BL242" s="410"/>
      <c r="BM242" s="410"/>
      <c r="BN242" s="410"/>
      <c r="BO242" s="685"/>
      <c r="BP242" s="399"/>
      <c r="BR242" s="405"/>
      <c r="BS242" s="405"/>
      <c r="BT242" s="405"/>
      <c r="BU242" s="405"/>
      <c r="BV242" s="405"/>
      <c r="BW242" s="405"/>
      <c r="BX242" s="405"/>
      <c r="BY242" s="405"/>
      <c r="BZ242" s="405"/>
      <c r="CA242" s="405"/>
      <c r="CB242" s="405"/>
      <c r="CC242" s="405"/>
      <c r="CD242" s="405"/>
      <c r="CE242" s="405"/>
      <c r="CF242" s="404"/>
    </row>
    <row r="243" spans="1:84" ht="13.5" customHeight="1">
      <c r="A243" s="1483"/>
      <c r="B243" s="1483"/>
      <c r="C243" s="985"/>
      <c r="D243" s="2084"/>
      <c r="E243" s="1080"/>
      <c r="F243" s="2082"/>
      <c r="G243" s="912"/>
      <c r="H243" s="912"/>
      <c r="I243" s="2601"/>
      <c r="J243" s="2601"/>
      <c r="K243" s="2602"/>
      <c r="L243" s="2602"/>
      <c r="M243" s="2604"/>
      <c r="N243" s="2593"/>
      <c r="O243" s="2589"/>
      <c r="P243" s="2590"/>
      <c r="Q243" s="2591"/>
      <c r="R243" s="2600"/>
      <c r="S243" s="2592"/>
      <c r="T243" s="2593"/>
      <c r="U243" s="2594"/>
      <c r="V243" s="2595"/>
      <c r="W243" s="2596"/>
      <c r="X243" s="2597"/>
      <c r="Y243" s="2596"/>
      <c r="Z243" s="2598"/>
      <c r="AA243" s="2598"/>
      <c r="AB243" s="2598"/>
      <c r="AC243" s="1076"/>
      <c r="AD243" s="1076"/>
      <c r="AE243" s="410"/>
      <c r="AF243" s="809"/>
      <c r="AG243" s="1076"/>
      <c r="AH243" s="2404"/>
      <c r="AI243" s="2404"/>
      <c r="AJ243" s="2607"/>
      <c r="AK243" s="927"/>
      <c r="AL243" s="1076"/>
      <c r="AM243" s="927"/>
      <c r="AN243" s="685"/>
      <c r="AO243" s="517"/>
      <c r="AP243" s="413"/>
      <c r="AQ243" s="414"/>
      <c r="AR243" s="812"/>
      <c r="AS243" s="812"/>
      <c r="AT243" s="410"/>
      <c r="AU243" s="982"/>
      <c r="AV243" s="976"/>
      <c r="AW243" s="820"/>
      <c r="AX243" s="810"/>
      <c r="AY243" s="983"/>
      <c r="AZ243" s="983"/>
      <c r="BA243" s="819"/>
      <c r="BB243" s="820"/>
      <c r="BC243" s="811"/>
      <c r="BD243" s="410"/>
      <c r="BE243" s="410"/>
      <c r="BF243" s="410"/>
      <c r="BG243" s="410"/>
      <c r="BH243" s="974"/>
      <c r="BI243" s="974"/>
      <c r="BJ243" s="410"/>
      <c r="BK243" s="2073"/>
      <c r="BL243" s="410"/>
      <c r="BM243" s="410"/>
      <c r="BN243" s="410"/>
      <c r="BO243" s="685"/>
      <c r="BP243" s="399"/>
      <c r="BR243" s="405"/>
      <c r="BS243" s="405"/>
      <c r="BT243" s="405"/>
      <c r="BU243" s="405"/>
      <c r="BV243" s="405"/>
      <c r="BW243" s="405"/>
      <c r="BX243" s="405"/>
      <c r="BY243" s="405"/>
      <c r="BZ243" s="405"/>
      <c r="CA243" s="405"/>
      <c r="CB243" s="405"/>
      <c r="CC243" s="405"/>
      <c r="CD243" s="405"/>
      <c r="CE243" s="405"/>
      <c r="CF243" s="404"/>
    </row>
    <row r="244" spans="1:84" ht="13.5" customHeight="1">
      <c r="A244" s="1483"/>
      <c r="B244" s="1483"/>
      <c r="C244" s="985"/>
      <c r="D244" s="2084"/>
      <c r="E244" s="1080"/>
      <c r="F244" s="2082"/>
      <c r="G244" s="912"/>
      <c r="H244" s="912"/>
      <c r="I244" s="2601"/>
      <c r="J244" s="2601"/>
      <c r="K244" s="2602"/>
      <c r="L244" s="2602"/>
      <c r="M244" s="2604"/>
      <c r="N244" s="2593"/>
      <c r="O244" s="2589"/>
      <c r="P244" s="2590"/>
      <c r="Q244" s="2591"/>
      <c r="R244" s="2600"/>
      <c r="S244" s="2592"/>
      <c r="T244" s="2593"/>
      <c r="U244" s="2594"/>
      <c r="V244" s="2595"/>
      <c r="W244" s="2596"/>
      <c r="X244" s="2597"/>
      <c r="Y244" s="2596"/>
      <c r="Z244" s="2598"/>
      <c r="AA244" s="2598"/>
      <c r="AB244" s="2598"/>
      <c r="AC244" s="1076"/>
      <c r="AD244" s="1076"/>
      <c r="AE244" s="410"/>
      <c r="AF244" s="809"/>
      <c r="AG244" s="1076"/>
      <c r="AH244" s="2404"/>
      <c r="AI244" s="2404"/>
      <c r="AJ244" s="2607"/>
      <c r="AK244" s="927"/>
      <c r="AL244" s="1076"/>
      <c r="AM244" s="927"/>
      <c r="AN244" s="685"/>
      <c r="AO244" s="517"/>
      <c r="AP244" s="413"/>
      <c r="AQ244" s="414"/>
      <c r="AR244" s="812"/>
      <c r="AS244" s="812"/>
      <c r="AT244" s="410"/>
      <c r="AU244" s="982"/>
      <c r="AV244" s="976"/>
      <c r="AW244" s="820"/>
      <c r="AX244" s="810"/>
      <c r="AY244" s="983"/>
      <c r="AZ244" s="983"/>
      <c r="BA244" s="819"/>
      <c r="BB244" s="820"/>
      <c r="BC244" s="811"/>
      <c r="BD244" s="410"/>
      <c r="BE244" s="410"/>
      <c r="BF244" s="410"/>
      <c r="BG244" s="410"/>
      <c r="BH244" s="974"/>
      <c r="BI244" s="974"/>
      <c r="BJ244" s="410"/>
      <c r="BK244" s="2073"/>
      <c r="BL244" s="410"/>
      <c r="BM244" s="410"/>
      <c r="BN244" s="410"/>
      <c r="BO244" s="685"/>
      <c r="BP244" s="399"/>
      <c r="BR244" s="405"/>
      <c r="BS244" s="405"/>
      <c r="BT244" s="405"/>
      <c r="BU244" s="405"/>
      <c r="BV244" s="405"/>
      <c r="BW244" s="405"/>
      <c r="BX244" s="405"/>
      <c r="BY244" s="405"/>
      <c r="BZ244" s="405"/>
      <c r="CA244" s="405"/>
      <c r="CB244" s="405"/>
      <c r="CC244" s="405"/>
      <c r="CD244" s="405"/>
      <c r="CE244" s="405"/>
      <c r="CF244" s="404"/>
    </row>
    <row r="245" spans="1:84" ht="13.5" customHeight="1">
      <c r="A245" s="1483"/>
      <c r="B245" s="1483"/>
      <c r="C245" s="985"/>
      <c r="D245" s="2084"/>
      <c r="E245" s="1080"/>
      <c r="F245" s="2082"/>
      <c r="G245" s="912"/>
      <c r="H245" s="912"/>
      <c r="I245" s="2601"/>
      <c r="J245" s="2601"/>
      <c r="K245" s="2602"/>
      <c r="L245" s="2603"/>
      <c r="M245" s="2604"/>
      <c r="N245" s="2593"/>
      <c r="O245" s="2589"/>
      <c r="P245" s="2590"/>
      <c r="Q245" s="2591"/>
      <c r="R245" s="2600"/>
      <c r="S245" s="2592"/>
      <c r="T245" s="2593"/>
      <c r="U245" s="2594"/>
      <c r="V245" s="2595"/>
      <c r="W245" s="2596"/>
      <c r="X245" s="2597"/>
      <c r="Y245" s="2596"/>
      <c r="Z245" s="2598"/>
      <c r="AA245" s="2598"/>
      <c r="AB245" s="2598"/>
      <c r="AC245" s="1076"/>
      <c r="AD245" s="1076"/>
      <c r="AE245" s="410"/>
      <c r="AF245" s="809"/>
      <c r="AG245" s="1076"/>
      <c r="AH245" s="2404"/>
      <c r="AI245" s="2404"/>
      <c r="AJ245" s="2607"/>
      <c r="AK245" s="927"/>
      <c r="AL245" s="1076"/>
      <c r="AM245" s="927"/>
      <c r="AN245" s="685"/>
      <c r="AO245" s="517"/>
      <c r="AP245" s="413"/>
      <c r="AQ245" s="414"/>
      <c r="AR245" s="812"/>
      <c r="AS245" s="812"/>
      <c r="AT245" s="410"/>
      <c r="AU245" s="982"/>
      <c r="AV245" s="976"/>
      <c r="AW245" s="820"/>
      <c r="AX245" s="810"/>
      <c r="AY245" s="983"/>
      <c r="AZ245" s="983"/>
      <c r="BA245" s="819"/>
      <c r="BB245" s="820"/>
      <c r="BC245" s="811"/>
      <c r="BD245" s="410"/>
      <c r="BE245" s="410"/>
      <c r="BF245" s="410"/>
      <c r="BG245" s="410"/>
      <c r="BH245" s="974"/>
      <c r="BI245" s="974"/>
      <c r="BJ245" s="410"/>
      <c r="BK245" s="2073"/>
      <c r="BL245" s="410"/>
      <c r="BM245" s="410"/>
      <c r="BN245" s="410"/>
      <c r="BO245" s="685"/>
      <c r="BP245" s="399"/>
      <c r="BR245" s="405"/>
      <c r="BS245" s="405"/>
      <c r="BT245" s="405"/>
      <c r="BU245" s="405"/>
      <c r="BV245" s="405"/>
      <c r="BW245" s="405"/>
      <c r="BX245" s="405"/>
      <c r="BY245" s="405"/>
      <c r="BZ245" s="405"/>
      <c r="CA245" s="405"/>
      <c r="CB245" s="405"/>
      <c r="CC245" s="405"/>
      <c r="CD245" s="405"/>
      <c r="CE245" s="405"/>
      <c r="CF245" s="404"/>
    </row>
    <row r="246" spans="1:84" ht="13.5" customHeight="1">
      <c r="A246" s="1483"/>
      <c r="B246" s="1483"/>
      <c r="C246" s="985"/>
      <c r="D246" s="2084"/>
      <c r="E246" s="1080"/>
      <c r="F246" s="2082"/>
      <c r="G246" s="912"/>
      <c r="H246" s="912"/>
      <c r="I246" s="2601"/>
      <c r="J246" s="2601"/>
      <c r="K246" s="2602"/>
      <c r="L246" s="2603"/>
      <c r="M246" s="2604"/>
      <c r="N246" s="2593"/>
      <c r="O246" s="2589"/>
      <c r="P246" s="2590"/>
      <c r="Q246" s="2591"/>
      <c r="R246" s="2600"/>
      <c r="S246" s="2592"/>
      <c r="T246" s="2593"/>
      <c r="U246" s="2594"/>
      <c r="V246" s="2595"/>
      <c r="W246" s="2596"/>
      <c r="X246" s="2597"/>
      <c r="Y246" s="2596"/>
      <c r="Z246" s="2598"/>
      <c r="AA246" s="2598"/>
      <c r="AB246" s="2598"/>
      <c r="AC246" s="1076"/>
      <c r="AD246" s="1076"/>
      <c r="AE246" s="410"/>
      <c r="AF246" s="809"/>
      <c r="AG246" s="1076"/>
      <c r="AH246" s="2404"/>
      <c r="AI246" s="2404"/>
      <c r="AJ246" s="2607"/>
      <c r="AK246" s="927"/>
      <c r="AL246" s="1076"/>
      <c r="AM246" s="927"/>
      <c r="AN246" s="685"/>
      <c r="AO246" s="517"/>
      <c r="AP246" s="413"/>
      <c r="AQ246" s="414"/>
      <c r="AR246" s="812"/>
      <c r="AS246" s="812"/>
      <c r="AT246" s="410"/>
      <c r="AU246" s="982"/>
      <c r="AV246" s="976"/>
      <c r="AW246" s="820"/>
      <c r="AX246" s="810"/>
      <c r="AY246" s="983"/>
      <c r="AZ246" s="983"/>
      <c r="BA246" s="819"/>
      <c r="BB246" s="820"/>
      <c r="BC246" s="811"/>
      <c r="BD246" s="410"/>
      <c r="BE246" s="410"/>
      <c r="BF246" s="410"/>
      <c r="BG246" s="410"/>
      <c r="BH246" s="974"/>
      <c r="BI246" s="974"/>
      <c r="BJ246" s="410"/>
      <c r="BK246" s="2073"/>
      <c r="BL246" s="410"/>
      <c r="BM246" s="410"/>
      <c r="BN246" s="410"/>
      <c r="BO246" s="685"/>
      <c r="BP246" s="399"/>
      <c r="BR246" s="405"/>
      <c r="BS246" s="405"/>
      <c r="BT246" s="405"/>
      <c r="BU246" s="405"/>
      <c r="BV246" s="405"/>
      <c r="BW246" s="405"/>
      <c r="BX246" s="405"/>
      <c r="BY246" s="405"/>
      <c r="BZ246" s="405"/>
      <c r="CA246" s="405"/>
      <c r="CB246" s="405"/>
      <c r="CC246" s="405"/>
      <c r="CD246" s="405"/>
      <c r="CE246" s="405"/>
      <c r="CF246" s="404"/>
    </row>
    <row r="247" spans="1:84" ht="13.5" customHeight="1">
      <c r="A247" s="1483"/>
      <c r="B247" s="1483"/>
      <c r="C247" s="985"/>
      <c r="D247" s="2084"/>
      <c r="E247" s="1080"/>
      <c r="F247" s="2082"/>
      <c r="G247" s="912"/>
      <c r="H247" s="912"/>
      <c r="I247" s="2601"/>
      <c r="J247" s="2601"/>
      <c r="K247" s="2602"/>
      <c r="L247" s="2603"/>
      <c r="M247" s="2604"/>
      <c r="N247" s="2593"/>
      <c r="O247" s="2589"/>
      <c r="P247" s="2590"/>
      <c r="Q247" s="2591"/>
      <c r="R247" s="2600"/>
      <c r="S247" s="2592"/>
      <c r="T247" s="2593"/>
      <c r="U247" s="2594"/>
      <c r="V247" s="2595"/>
      <c r="W247" s="2596"/>
      <c r="X247" s="2597"/>
      <c r="Y247" s="2596"/>
      <c r="Z247" s="2598"/>
      <c r="AA247" s="2598"/>
      <c r="AB247" s="2598"/>
      <c r="AC247" s="1076"/>
      <c r="AD247" s="1076"/>
      <c r="AE247" s="410"/>
      <c r="AF247" s="809"/>
      <c r="AG247" s="1076"/>
      <c r="AH247" s="2404"/>
      <c r="AI247" s="2404"/>
      <c r="AJ247" s="2607"/>
      <c r="AK247" s="927"/>
      <c r="AL247" s="1076"/>
      <c r="AM247" s="927"/>
      <c r="AN247" s="685"/>
      <c r="AO247" s="517"/>
      <c r="AP247" s="413"/>
      <c r="AQ247" s="414"/>
      <c r="AR247" s="812"/>
      <c r="AS247" s="812"/>
      <c r="AT247" s="410"/>
      <c r="AU247" s="982"/>
      <c r="AV247" s="976"/>
      <c r="AW247" s="820"/>
      <c r="AX247" s="810"/>
      <c r="AY247" s="983"/>
      <c r="AZ247" s="983"/>
      <c r="BA247" s="819"/>
      <c r="BB247" s="820"/>
      <c r="BC247" s="811"/>
      <c r="BD247" s="410"/>
      <c r="BE247" s="410"/>
      <c r="BF247" s="410"/>
      <c r="BG247" s="410"/>
      <c r="BH247" s="974"/>
      <c r="BI247" s="974"/>
      <c r="BJ247" s="410"/>
      <c r="BK247" s="2073"/>
      <c r="BL247" s="410"/>
      <c r="BM247" s="410"/>
      <c r="BN247" s="410"/>
      <c r="BO247" s="685"/>
      <c r="BP247" s="399"/>
      <c r="BR247" s="405"/>
      <c r="BS247" s="405"/>
      <c r="BT247" s="405"/>
      <c r="BU247" s="405"/>
      <c r="BV247" s="405"/>
      <c r="BW247" s="405"/>
      <c r="BX247" s="405"/>
      <c r="BY247" s="405"/>
      <c r="BZ247" s="405"/>
      <c r="CA247" s="405"/>
      <c r="CB247" s="405"/>
      <c r="CC247" s="405"/>
      <c r="CD247" s="405"/>
      <c r="CE247" s="405"/>
      <c r="CF247" s="404"/>
    </row>
    <row r="248" spans="1:84" ht="13.5" customHeight="1">
      <c r="A248" s="1483"/>
      <c r="B248" s="1483"/>
      <c r="C248" s="985"/>
      <c r="D248" s="2084"/>
      <c r="E248" s="1080"/>
      <c r="F248" s="2082"/>
      <c r="G248" s="912"/>
      <c r="H248" s="912"/>
      <c r="I248" s="2601"/>
      <c r="J248" s="2601"/>
      <c r="K248" s="2602"/>
      <c r="L248" s="2602"/>
      <c r="M248" s="2604"/>
      <c r="N248" s="2593"/>
      <c r="O248" s="2589"/>
      <c r="P248" s="2590"/>
      <c r="Q248" s="2591"/>
      <c r="R248" s="2600"/>
      <c r="S248" s="2592"/>
      <c r="T248" s="2593"/>
      <c r="U248" s="2594"/>
      <c r="V248" s="2595"/>
      <c r="W248" s="2596"/>
      <c r="X248" s="2597"/>
      <c r="Y248" s="2596"/>
      <c r="Z248" s="2598"/>
      <c r="AA248" s="2598"/>
      <c r="AB248" s="2598"/>
      <c r="AC248" s="406"/>
      <c r="AD248" s="685"/>
      <c r="AE248" s="410"/>
      <c r="AF248" s="809"/>
      <c r="AG248" s="1076"/>
      <c r="AH248" s="2404"/>
      <c r="AI248" s="2404"/>
      <c r="AJ248" s="2607"/>
      <c r="AK248" s="927"/>
      <c r="AL248" s="1076"/>
      <c r="AM248" s="927"/>
      <c r="AN248" s="685"/>
      <c r="AO248" s="517"/>
      <c r="AP248" s="413"/>
      <c r="AQ248" s="414"/>
      <c r="AR248" s="812"/>
      <c r="AS248" s="812"/>
      <c r="AT248" s="410"/>
      <c r="AU248" s="982"/>
      <c r="AV248" s="976"/>
      <c r="AW248" s="820"/>
      <c r="AX248" s="810"/>
      <c r="AY248" s="983"/>
      <c r="AZ248" s="983"/>
      <c r="BA248" s="819"/>
      <c r="BB248" s="820"/>
      <c r="BC248" s="811"/>
      <c r="BD248" s="410"/>
      <c r="BE248" s="410"/>
      <c r="BF248" s="410"/>
      <c r="BG248" s="410"/>
      <c r="BH248" s="974"/>
      <c r="BI248" s="974"/>
      <c r="BJ248" s="410"/>
      <c r="BK248" s="2073"/>
      <c r="BL248" s="410"/>
      <c r="BM248" s="410"/>
      <c r="BN248" s="410"/>
      <c r="BO248" s="685"/>
      <c r="BP248" s="399"/>
      <c r="BR248" s="405"/>
      <c r="BS248" s="405"/>
      <c r="BT248" s="405"/>
      <c r="BU248" s="405"/>
      <c r="BV248" s="405"/>
      <c r="BW248" s="405"/>
      <c r="BX248" s="405"/>
      <c r="BY248" s="405"/>
      <c r="BZ248" s="405"/>
      <c r="CA248" s="405"/>
      <c r="CB248" s="405"/>
      <c r="CC248" s="405"/>
      <c r="CD248" s="405"/>
      <c r="CE248" s="405"/>
      <c r="CF248" s="404"/>
    </row>
    <row r="249" spans="1:84" ht="13.5" customHeight="1">
      <c r="A249" s="1483"/>
      <c r="B249" s="1483"/>
      <c r="C249" s="985"/>
      <c r="D249" s="2084"/>
      <c r="E249" s="1080"/>
      <c r="F249" s="2082"/>
      <c r="G249" s="912"/>
      <c r="H249" s="912"/>
      <c r="I249" s="2601"/>
      <c r="J249" s="2601"/>
      <c r="K249" s="2602"/>
      <c r="L249" s="2603"/>
      <c r="M249" s="2604"/>
      <c r="N249" s="2593"/>
      <c r="O249" s="2589"/>
      <c r="P249" s="2590"/>
      <c r="Q249" s="2591"/>
      <c r="R249" s="2600"/>
      <c r="S249" s="2592"/>
      <c r="T249" s="2593"/>
      <c r="U249" s="2594"/>
      <c r="V249" s="2595"/>
      <c r="W249" s="2596"/>
      <c r="X249" s="2597"/>
      <c r="Y249" s="2596"/>
      <c r="Z249" s="2598"/>
      <c r="AA249" s="2598"/>
      <c r="AB249" s="2598"/>
      <c r="AC249" s="1076"/>
      <c r="AD249" s="1076"/>
      <c r="AE249" s="410"/>
      <c r="AF249" s="809"/>
      <c r="AG249" s="1076"/>
      <c r="AH249" s="2404"/>
      <c r="AI249" s="2404"/>
      <c r="AJ249" s="2607"/>
      <c r="AK249" s="927"/>
      <c r="AL249" s="1076"/>
      <c r="AM249" s="927"/>
      <c r="AN249" s="685"/>
      <c r="AO249" s="517"/>
      <c r="AP249" s="413"/>
      <c r="AQ249" s="414"/>
      <c r="AR249" s="812"/>
      <c r="AS249" s="812"/>
      <c r="AT249" s="410"/>
      <c r="AU249" s="982"/>
      <c r="AV249" s="976"/>
      <c r="AW249" s="820"/>
      <c r="AX249" s="810"/>
      <c r="AY249" s="983"/>
      <c r="AZ249" s="983"/>
      <c r="BA249" s="819"/>
      <c r="BB249" s="820"/>
      <c r="BC249" s="811"/>
      <c r="BD249" s="410"/>
      <c r="BE249" s="410"/>
      <c r="BF249" s="410"/>
      <c r="BG249" s="410"/>
      <c r="BH249" s="974"/>
      <c r="BI249" s="974"/>
      <c r="BJ249" s="410"/>
      <c r="BK249" s="2073"/>
      <c r="BL249" s="410"/>
      <c r="BM249" s="410"/>
      <c r="BN249" s="410"/>
      <c r="BO249" s="685"/>
      <c r="BP249" s="399"/>
      <c r="BR249" s="405"/>
      <c r="BS249" s="405"/>
      <c r="BT249" s="405"/>
      <c r="BU249" s="405"/>
      <c r="BV249" s="405"/>
      <c r="BW249" s="405"/>
      <c r="BX249" s="405"/>
      <c r="BY249" s="405"/>
      <c r="BZ249" s="405"/>
      <c r="CA249" s="405"/>
      <c r="CB249" s="405"/>
      <c r="CC249" s="405"/>
      <c r="CD249" s="405"/>
      <c r="CE249" s="405"/>
      <c r="CF249" s="404"/>
    </row>
    <row r="250" spans="1:84" ht="13.5" customHeight="1">
      <c r="A250" s="1483"/>
      <c r="B250" s="1483"/>
      <c r="C250" s="985"/>
      <c r="D250" s="2084"/>
      <c r="E250" s="1080"/>
      <c r="F250" s="2082"/>
      <c r="G250" s="912"/>
      <c r="H250" s="912"/>
      <c r="I250" s="2601"/>
      <c r="J250" s="2601"/>
      <c r="K250" s="2602"/>
      <c r="L250" s="2602"/>
      <c r="M250" s="2604"/>
      <c r="N250" s="2593"/>
      <c r="O250" s="2589"/>
      <c r="P250" s="2590"/>
      <c r="Q250" s="2591"/>
      <c r="R250" s="2600"/>
      <c r="S250" s="2592"/>
      <c r="T250" s="2593"/>
      <c r="U250" s="2594"/>
      <c r="V250" s="2595"/>
      <c r="W250" s="2596"/>
      <c r="X250" s="2597"/>
      <c r="Y250" s="2596"/>
      <c r="Z250" s="2598"/>
      <c r="AA250" s="2598"/>
      <c r="AB250" s="2598"/>
      <c r="AC250" s="1076"/>
      <c r="AD250" s="1076"/>
      <c r="AE250" s="410"/>
      <c r="AF250" s="809"/>
      <c r="AG250" s="1076"/>
      <c r="AH250" s="2404"/>
      <c r="AI250" s="2404"/>
      <c r="AJ250" s="2607"/>
      <c r="AK250" s="927"/>
      <c r="AL250" s="1076"/>
      <c r="AM250" s="927"/>
      <c r="AN250" s="685"/>
      <c r="AO250" s="517"/>
      <c r="AP250" s="413"/>
      <c r="AQ250" s="414"/>
      <c r="AR250" s="812"/>
      <c r="AS250" s="812"/>
      <c r="AT250" s="410"/>
      <c r="AU250" s="982"/>
      <c r="AV250" s="976"/>
      <c r="AW250" s="820"/>
      <c r="AX250" s="810"/>
      <c r="AY250" s="983"/>
      <c r="AZ250" s="983"/>
      <c r="BA250" s="819"/>
      <c r="BB250" s="820"/>
      <c r="BC250" s="811"/>
      <c r="BD250" s="410"/>
      <c r="BE250" s="410"/>
      <c r="BF250" s="410"/>
      <c r="BG250" s="410"/>
      <c r="BH250" s="974"/>
      <c r="BI250" s="974"/>
      <c r="BJ250" s="410"/>
      <c r="BK250" s="2073"/>
      <c r="BL250" s="410"/>
      <c r="BM250" s="410"/>
      <c r="BN250" s="410"/>
      <c r="BO250" s="685"/>
      <c r="BP250" s="399"/>
      <c r="BR250" s="405"/>
      <c r="BS250" s="405"/>
      <c r="BT250" s="405"/>
      <c r="BU250" s="405"/>
      <c r="BV250" s="405"/>
      <c r="BW250" s="405"/>
      <c r="BX250" s="405"/>
      <c r="BY250" s="405"/>
      <c r="BZ250" s="405"/>
      <c r="CA250" s="405"/>
      <c r="CB250" s="405"/>
      <c r="CC250" s="405"/>
      <c r="CD250" s="405"/>
      <c r="CE250" s="405"/>
      <c r="CF250" s="404"/>
    </row>
    <row r="251" spans="1:84" ht="13.5" customHeight="1">
      <c r="A251" s="1483"/>
      <c r="B251" s="1483"/>
      <c r="C251" s="985"/>
      <c r="D251" s="2084"/>
      <c r="E251" s="1080"/>
      <c r="F251" s="2082"/>
      <c r="G251" s="912"/>
      <c r="H251" s="912"/>
      <c r="I251" s="2601"/>
      <c r="J251" s="2601"/>
      <c r="K251" s="2602"/>
      <c r="L251" s="2603"/>
      <c r="M251" s="2604"/>
      <c r="N251" s="2593"/>
      <c r="O251" s="2589"/>
      <c r="P251" s="2590"/>
      <c r="Q251" s="2591"/>
      <c r="R251" s="2600"/>
      <c r="S251" s="2592"/>
      <c r="T251" s="2593"/>
      <c r="U251" s="2594"/>
      <c r="V251" s="2595"/>
      <c r="W251" s="2596"/>
      <c r="X251" s="2597"/>
      <c r="Y251" s="2596"/>
      <c r="Z251" s="2598"/>
      <c r="AA251" s="2598"/>
      <c r="AB251" s="2598"/>
      <c r="AC251" s="1076"/>
      <c r="AD251" s="1076"/>
      <c r="AE251" s="410"/>
      <c r="AF251" s="809"/>
      <c r="AG251" s="1076"/>
      <c r="AH251" s="2404"/>
      <c r="AI251" s="2404"/>
      <c r="AJ251" s="2607"/>
      <c r="AK251" s="927"/>
      <c r="AL251" s="1076"/>
      <c r="AM251" s="927"/>
      <c r="AN251" s="685"/>
      <c r="AO251" s="517"/>
      <c r="AP251" s="413"/>
      <c r="AQ251" s="414"/>
      <c r="AR251" s="812"/>
      <c r="AS251" s="812"/>
      <c r="AT251" s="410"/>
      <c r="AU251" s="982"/>
      <c r="AV251" s="976"/>
      <c r="AW251" s="820"/>
      <c r="AX251" s="810"/>
      <c r="AY251" s="983"/>
      <c r="AZ251" s="983"/>
      <c r="BA251" s="819"/>
      <c r="BB251" s="820"/>
      <c r="BC251" s="811"/>
      <c r="BD251" s="410"/>
      <c r="BE251" s="410"/>
      <c r="BF251" s="410"/>
      <c r="BG251" s="410"/>
      <c r="BH251" s="974"/>
      <c r="BI251" s="974"/>
      <c r="BJ251" s="410"/>
      <c r="BK251" s="2073"/>
      <c r="BL251" s="410"/>
      <c r="BM251" s="410"/>
      <c r="BN251" s="410"/>
      <c r="BO251" s="685"/>
      <c r="BP251" s="399"/>
      <c r="BR251" s="405"/>
      <c r="BS251" s="405"/>
      <c r="BT251" s="405"/>
      <c r="BU251" s="405"/>
      <c r="BV251" s="405"/>
      <c r="BW251" s="405"/>
      <c r="BX251" s="405"/>
      <c r="BY251" s="405"/>
      <c r="BZ251" s="405"/>
      <c r="CA251" s="405"/>
      <c r="CB251" s="405"/>
      <c r="CC251" s="405"/>
      <c r="CD251" s="405"/>
      <c r="CE251" s="405"/>
      <c r="CF251" s="404"/>
    </row>
  </sheetData>
  <autoFilter ref="A30:BO251" xr:uid="{00000000-0009-0000-0000-00000F000000}"/>
  <phoneticPr fontId="42" type="noConversion"/>
  <conditionalFormatting sqref="AN36:AN48 AN31:AN32">
    <cfRule type="cellIs" priority="248" stopIfTrue="1" operator="notEqual">
      <formula>$AK$19</formula>
    </cfRule>
  </conditionalFormatting>
  <conditionalFormatting sqref="BN31">
    <cfRule type="cellIs" priority="249" stopIfTrue="1" operator="notEqual">
      <formula>$AP$19</formula>
    </cfRule>
  </conditionalFormatting>
  <conditionalFormatting sqref="V227:V251 V31 V36:V49">
    <cfRule type="expression" dxfId="51" priority="77">
      <formula>$V31&lt;&gt;$S31</formula>
    </cfRule>
  </conditionalFormatting>
  <conditionalFormatting sqref="AN227:AN251">
    <cfRule type="cellIs" priority="35" stopIfTrue="1" operator="notEqual">
      <formula>$AK$19</formula>
    </cfRule>
  </conditionalFormatting>
  <conditionalFormatting sqref="BN227:BN251">
    <cfRule type="cellIs" priority="33" stopIfTrue="1" operator="notEqual">
      <formula>$AP$19</formula>
    </cfRule>
  </conditionalFormatting>
  <conditionalFormatting sqref="AN170:AN226">
    <cfRule type="cellIs" priority="31" stopIfTrue="1" operator="notEqual">
      <formula>$AK$19</formula>
    </cfRule>
  </conditionalFormatting>
  <conditionalFormatting sqref="BN207:BN226">
    <cfRule type="cellIs" priority="32" stopIfTrue="1" operator="notEqual">
      <formula>$AP$19</formula>
    </cfRule>
  </conditionalFormatting>
  <conditionalFormatting sqref="V170:V226">
    <cfRule type="expression" dxfId="50" priority="30">
      <formula>$V170&lt;&gt;$S170</formula>
    </cfRule>
  </conditionalFormatting>
  <conditionalFormatting sqref="BN170:BN206">
    <cfRule type="cellIs" priority="29" stopIfTrue="1" operator="notEqual">
      <formula>$AP$19</formula>
    </cfRule>
  </conditionalFormatting>
  <conditionalFormatting sqref="AN162:AN169">
    <cfRule type="cellIs" priority="28" stopIfTrue="1" operator="notEqual">
      <formula>$AK$19</formula>
    </cfRule>
  </conditionalFormatting>
  <conditionalFormatting sqref="V162:V169">
    <cfRule type="expression" dxfId="49" priority="27">
      <formula>$V162&lt;&gt;$S162</formula>
    </cfRule>
  </conditionalFormatting>
  <conditionalFormatting sqref="BN162:BN169">
    <cfRule type="cellIs" priority="26" stopIfTrue="1" operator="notEqual">
      <formula>$AP$19</formula>
    </cfRule>
  </conditionalFormatting>
  <conditionalFormatting sqref="AN105:AN161">
    <cfRule type="cellIs" priority="24" stopIfTrue="1" operator="notEqual">
      <formula>$AK$19</formula>
    </cfRule>
  </conditionalFormatting>
  <conditionalFormatting sqref="BN142:BN161">
    <cfRule type="cellIs" priority="25" stopIfTrue="1" operator="notEqual">
      <formula>$AP$19</formula>
    </cfRule>
  </conditionalFormatting>
  <conditionalFormatting sqref="V105:V161">
    <cfRule type="expression" dxfId="48" priority="23">
      <formula>$V105&lt;&gt;$S105</formula>
    </cfRule>
  </conditionalFormatting>
  <conditionalFormatting sqref="BN105:BN141">
    <cfRule type="cellIs" priority="22" stopIfTrue="1" operator="notEqual">
      <formula>$AP$19</formula>
    </cfRule>
  </conditionalFormatting>
  <conditionalFormatting sqref="AN49:AN104">
    <cfRule type="cellIs" priority="20" stopIfTrue="1" operator="notEqual">
      <formula>$AK$19</formula>
    </cfRule>
  </conditionalFormatting>
  <conditionalFormatting sqref="BN86:BN104">
    <cfRule type="cellIs" priority="21" stopIfTrue="1" operator="notEqual">
      <formula>$AP$19</formula>
    </cfRule>
  </conditionalFormatting>
  <conditionalFormatting sqref="V50:V104">
    <cfRule type="expression" dxfId="47" priority="19">
      <formula>$V50&lt;&gt;$S50</formula>
    </cfRule>
  </conditionalFormatting>
  <conditionalFormatting sqref="BN50:BN85">
    <cfRule type="cellIs" priority="18" stopIfTrue="1" operator="notEqual">
      <formula>$AP$19</formula>
    </cfRule>
  </conditionalFormatting>
  <conditionalFormatting sqref="BN36:BN49">
    <cfRule type="cellIs" priority="14" stopIfTrue="1" operator="notEqual">
      <formula>$AP$19</formula>
    </cfRule>
  </conditionalFormatting>
  <conditionalFormatting sqref="AN35">
    <cfRule type="cellIs" priority="9" stopIfTrue="1" operator="notEqual">
      <formula>$AK$19</formula>
    </cfRule>
  </conditionalFormatting>
  <conditionalFormatting sqref="BN32 BN35">
    <cfRule type="cellIs" priority="10" stopIfTrue="1" operator="notEqual">
      <formula>$AP$19</formula>
    </cfRule>
  </conditionalFormatting>
  <conditionalFormatting sqref="V32 V35">
    <cfRule type="expression" dxfId="46" priority="8">
      <formula>$V32&lt;&gt;$S32</formula>
    </cfRule>
  </conditionalFormatting>
  <conditionalFormatting sqref="AN33">
    <cfRule type="cellIs" priority="6" stopIfTrue="1" operator="notEqual">
      <formula>$AK$19</formula>
    </cfRule>
  </conditionalFormatting>
  <conditionalFormatting sqref="BN33">
    <cfRule type="cellIs" priority="7" stopIfTrue="1" operator="notEqual">
      <formula>$AP$19</formula>
    </cfRule>
  </conditionalFormatting>
  <conditionalFormatting sqref="V33">
    <cfRule type="expression" dxfId="45" priority="5">
      <formula>$V33&lt;&gt;$S33</formula>
    </cfRule>
  </conditionalFormatting>
  <conditionalFormatting sqref="AN34">
    <cfRule type="cellIs" priority="3" stopIfTrue="1" operator="notEqual">
      <formula>$AK$19</formula>
    </cfRule>
  </conditionalFormatting>
  <conditionalFormatting sqref="BN34">
    <cfRule type="cellIs" priority="4" stopIfTrue="1" operator="notEqual">
      <formula>$AP$19</formula>
    </cfRule>
  </conditionalFormatting>
  <conditionalFormatting sqref="V34">
    <cfRule type="expression" dxfId="44" priority="2">
      <formula>$V34&lt;&gt;$S34</formula>
    </cfRule>
  </conditionalFormatting>
  <conditionalFormatting sqref="AM31:AM34">
    <cfRule type="cellIs" priority="1" stopIfTrue="1" operator="notEqual">
      <formula>$AK$19</formula>
    </cfRule>
  </conditionalFormatting>
  <dataValidations count="8">
    <dataValidation type="list" allowBlank="1" showInputMessage="1" showErrorMessage="1" sqref="BS227:BS251 BS162:BS195 BS49:BS74 BS105:BS130 BS32:BS41" xr:uid="{00000000-0002-0000-0F00-000000000000}">
      <formula1>$BS$2:$BS$29</formula1>
    </dataValidation>
    <dataValidation type="list" allowBlank="1" showInputMessage="1" showErrorMessage="1" sqref="BW227:BW251 BW162:BW196 BW49:BW75 BW105:BW131 BW32:BW41" xr:uid="{00000000-0002-0000-0F00-000001000000}">
      <formula1>$BW$2:$BW$29</formula1>
    </dataValidation>
    <dataValidation type="list" allowBlank="1" showInputMessage="1" showErrorMessage="1" sqref="CA227:CA251 CA162:CA196 CA49:CA75 CA105:CA131 CA32:CA41" xr:uid="{00000000-0002-0000-0F00-000002000000}">
      <formula1>$CA$2:$CA$29</formula1>
    </dataValidation>
    <dataValidation type="list" allowBlank="1" showInputMessage="1" showErrorMessage="1" sqref="CE227:CE251 CE162:CE196 CE49:CE75 CE105:CE131 CE32:CE41" xr:uid="{00000000-0002-0000-0F00-000003000000}">
      <formula1>$CE$2:$CE$29</formula1>
    </dataValidation>
    <dataValidation type="list" allowBlank="1" showInputMessage="1" showErrorMessage="1" sqref="O31:O251" xr:uid="{00000000-0002-0000-0F00-000004000000}">
      <formula1>"GB,ASME,EN"</formula1>
    </dataValidation>
    <dataValidation type="list" allowBlank="1" showInputMessage="1" showErrorMessage="1" sqref="Z31:Z251" xr:uid="{00000000-0002-0000-0F00-000005000000}">
      <formula1>$Z$2:$Z$29</formula1>
    </dataValidation>
    <dataValidation type="list" allowBlank="1" showInputMessage="1" showErrorMessage="1" sqref="AB31:AB251" xr:uid="{00000000-0002-0000-0F00-000006000000}">
      <formula1>$AB$2:$AB$29</formula1>
    </dataValidation>
    <dataValidation type="list" allowBlank="1" showInputMessage="1" showErrorMessage="1" sqref="AA31:AA251" xr:uid="{00000000-0002-0000-0F00-000007000000}">
      <formula1>$AA$2:$AA$29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2"/>
  <dimension ref="A1:K15"/>
  <sheetViews>
    <sheetView workbookViewId="0">
      <selection activeCell="J25" sqref="J25"/>
    </sheetView>
  </sheetViews>
  <sheetFormatPr defaultRowHeight="12.75"/>
  <cols>
    <col min="1" max="1" width="14.85546875" bestFit="1" customWidth="1"/>
    <col min="7" max="7" width="11.42578125" bestFit="1" customWidth="1"/>
    <col min="8" max="8" width="8" style="986" bestFit="1" customWidth="1"/>
    <col min="9" max="9" width="13.5703125" style="986" customWidth="1"/>
    <col min="10" max="10" width="12.28515625" customWidth="1"/>
    <col min="11" max="11" width="10.140625" customWidth="1"/>
  </cols>
  <sheetData>
    <row r="1" spans="1:11">
      <c r="A1" s="695" t="s">
        <v>1645</v>
      </c>
    </row>
    <row r="2" spans="1:11">
      <c r="A2" s="2508" t="s">
        <v>1669</v>
      </c>
      <c r="J2" s="520" t="s">
        <v>1261</v>
      </c>
      <c r="K2" s="520" t="s">
        <v>1259</v>
      </c>
    </row>
    <row r="3" spans="1:11">
      <c r="A3" s="2508" t="s">
        <v>29</v>
      </c>
      <c r="G3" t="s">
        <v>140</v>
      </c>
      <c r="I3" s="986" t="str">
        <f>G3&amp;H3</f>
        <v>Piping</v>
      </c>
      <c r="J3" s="2091">
        <v>0.01</v>
      </c>
      <c r="K3" s="2091">
        <v>0.02</v>
      </c>
    </row>
    <row r="4" spans="1:11">
      <c r="G4" s="986" t="s">
        <v>1260</v>
      </c>
      <c r="H4" s="986" t="s">
        <v>1262</v>
      </c>
      <c r="I4" s="986" t="str">
        <f t="shared" ref="I4:I15" si="0">G4&amp;H4</f>
        <v>PipingNozzle</v>
      </c>
      <c r="J4" s="2090">
        <v>0.15</v>
      </c>
      <c r="K4" s="2090">
        <v>0.32</v>
      </c>
    </row>
    <row r="5" spans="1:11">
      <c r="G5" t="s">
        <v>141</v>
      </c>
      <c r="I5" s="986" t="str">
        <f t="shared" si="0"/>
        <v>Tubing</v>
      </c>
      <c r="J5" s="2091">
        <v>1.4999999999999999E-2</v>
      </c>
      <c r="K5" s="2091">
        <v>2.5000000000000001E-2</v>
      </c>
    </row>
    <row r="6" spans="1:11">
      <c r="G6" s="986" t="s">
        <v>1267</v>
      </c>
      <c r="H6" s="986" t="s">
        <v>1266</v>
      </c>
      <c r="I6" s="986" t="str">
        <f t="shared" si="0"/>
        <v>TubingVertical</v>
      </c>
      <c r="J6" s="2091">
        <v>3.5000000000000003E-2</v>
      </c>
      <c r="K6" s="2091">
        <v>0.04</v>
      </c>
    </row>
    <row r="7" spans="1:11">
      <c r="G7" s="986" t="s">
        <v>1267</v>
      </c>
      <c r="H7" s="986" t="s">
        <v>1263</v>
      </c>
      <c r="I7" s="986" t="str">
        <f t="shared" si="0"/>
        <v>TubingSprial</v>
      </c>
      <c r="J7" s="2090">
        <v>4.4999999999999998E-2</v>
      </c>
      <c r="K7" s="2090">
        <v>7.4999999999999997E-2</v>
      </c>
    </row>
    <row r="8" spans="1:11">
      <c r="G8" s="986" t="s">
        <v>1267</v>
      </c>
      <c r="H8" s="986" t="s">
        <v>1262</v>
      </c>
      <c r="I8" s="986" t="str">
        <f t="shared" si="0"/>
        <v>TubingNozzle</v>
      </c>
      <c r="J8" s="2090">
        <v>0.15</v>
      </c>
      <c r="K8" s="2090">
        <v>0.32</v>
      </c>
    </row>
    <row r="9" spans="1:11">
      <c r="G9" s="986" t="s">
        <v>1267</v>
      </c>
      <c r="H9" s="986" t="s">
        <v>205</v>
      </c>
      <c r="I9" s="986" t="str">
        <f t="shared" si="0"/>
        <v>TubingSpare Parts</v>
      </c>
      <c r="J9" s="2090">
        <v>0</v>
      </c>
      <c r="K9" s="2090">
        <v>0</v>
      </c>
    </row>
    <row r="10" spans="1:11">
      <c r="G10" t="s">
        <v>268</v>
      </c>
      <c r="I10" s="986" t="str">
        <f t="shared" si="0"/>
        <v>Finning</v>
      </c>
      <c r="J10" s="2091">
        <v>7.0000000000000007E-2</v>
      </c>
      <c r="K10" s="2091">
        <v>0.08</v>
      </c>
    </row>
    <row r="11" spans="1:11">
      <c r="G11" t="s">
        <v>135</v>
      </c>
      <c r="I11" s="986" t="str">
        <f t="shared" si="0"/>
        <v>Rod</v>
      </c>
      <c r="J11" s="2091">
        <v>0.12</v>
      </c>
      <c r="K11" s="2091">
        <v>0.12</v>
      </c>
    </row>
    <row r="12" spans="1:11">
      <c r="G12" t="s">
        <v>79</v>
      </c>
      <c r="I12" s="986" t="str">
        <f t="shared" si="0"/>
        <v>Plate</v>
      </c>
      <c r="J12" s="2091">
        <v>0.12</v>
      </c>
      <c r="K12" s="2091">
        <v>0.12</v>
      </c>
    </row>
    <row r="13" spans="1:11">
      <c r="G13" t="s">
        <v>264</v>
      </c>
      <c r="I13" s="986" t="str">
        <f t="shared" si="0"/>
        <v>Profiled Bar</v>
      </c>
      <c r="J13" s="2091">
        <v>0.12</v>
      </c>
      <c r="K13" s="2091">
        <v>0.12</v>
      </c>
    </row>
    <row r="14" spans="1:11">
      <c r="G14" t="s">
        <v>165</v>
      </c>
      <c r="I14" s="986" t="str">
        <f t="shared" si="0"/>
        <v>Forgings</v>
      </c>
      <c r="J14" s="2091">
        <v>0</v>
      </c>
      <c r="K14" s="2091">
        <v>0</v>
      </c>
    </row>
    <row r="15" spans="1:11">
      <c r="G15" t="s">
        <v>266</v>
      </c>
      <c r="I15" s="986" t="str">
        <f t="shared" si="0"/>
        <v>Various</v>
      </c>
      <c r="J15" s="2091">
        <v>0</v>
      </c>
      <c r="K15" s="2091">
        <v>0</v>
      </c>
    </row>
  </sheetData>
  <phoneticPr fontId="42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"/>
  <dimension ref="B1:N262"/>
  <sheetViews>
    <sheetView showZeros="0" workbookViewId="0">
      <selection activeCell="F5" sqref="F5"/>
    </sheetView>
  </sheetViews>
  <sheetFormatPr defaultRowHeight="12.75"/>
  <cols>
    <col min="1" max="1" width="3.7109375" customWidth="1"/>
    <col min="2" max="2" width="14.140625" bestFit="1" customWidth="1"/>
    <col min="3" max="3" width="14.85546875" bestFit="1" customWidth="1"/>
    <col min="4" max="4" width="20.42578125" style="793" bestFit="1" customWidth="1"/>
    <col min="5" max="5" width="18.85546875" style="417" bestFit="1" customWidth="1"/>
    <col min="6" max="6" width="13.28515625" style="793" bestFit="1" customWidth="1"/>
    <col min="7" max="7" width="13.5703125" style="2533" bestFit="1" customWidth="1"/>
    <col min="8" max="8" width="13.5703125" style="843" bestFit="1" customWidth="1"/>
    <col min="9" max="10" width="13.28515625" style="1936" bestFit="1" customWidth="1"/>
    <col min="11" max="11" width="15.7109375" style="1936" customWidth="1"/>
    <col min="12" max="12" width="26.7109375" style="1936" customWidth="1"/>
    <col min="13" max="13" width="14.42578125" style="1936" bestFit="1" customWidth="1"/>
    <col min="14" max="14" width="22.28515625" customWidth="1"/>
  </cols>
  <sheetData>
    <row r="1" spans="2:14">
      <c r="B1" s="521"/>
    </row>
    <row r="3" spans="2:14">
      <c r="B3" s="521" t="s">
        <v>403</v>
      </c>
    </row>
    <row r="4" spans="2:14">
      <c r="B4" s="519" t="s">
        <v>722</v>
      </c>
      <c r="C4" s="519" t="s">
        <v>1052</v>
      </c>
      <c r="D4" s="519" t="s">
        <v>723</v>
      </c>
      <c r="E4" s="519" t="s">
        <v>255</v>
      </c>
      <c r="F4" s="986" t="s">
        <v>1646</v>
      </c>
      <c r="G4" s="986" t="s">
        <v>1649</v>
      </c>
      <c r="H4" s="986" t="s">
        <v>192</v>
      </c>
      <c r="I4" s="986" t="s">
        <v>193</v>
      </c>
      <c r="J4" s="986" t="s">
        <v>1650</v>
      </c>
      <c r="K4" s="986" t="s">
        <v>1651</v>
      </c>
      <c r="L4" s="986" t="s">
        <v>157</v>
      </c>
      <c r="M4" s="986" t="s">
        <v>269</v>
      </c>
      <c r="N4" s="793" t="s">
        <v>1051</v>
      </c>
    </row>
    <row r="5" spans="2:14">
      <c r="B5" s="2088" t="s">
        <v>733</v>
      </c>
      <c r="C5" s="2088" t="s">
        <v>1661</v>
      </c>
      <c r="D5" s="2088" t="s">
        <v>205</v>
      </c>
      <c r="E5" s="2088" t="s">
        <v>181</v>
      </c>
      <c r="F5" s="411">
        <v>3094.3688237941901</v>
      </c>
      <c r="G5" s="2533">
        <v>0</v>
      </c>
      <c r="H5" s="2088">
        <v>0</v>
      </c>
      <c r="I5" s="688">
        <v>93626.840085023898</v>
      </c>
      <c r="J5" s="2088">
        <v>0</v>
      </c>
      <c r="K5" s="2088">
        <v>0</v>
      </c>
      <c r="L5" s="2088">
        <v>0</v>
      </c>
      <c r="M5" s="2088">
        <v>93626.840085023898</v>
      </c>
      <c r="N5" s="1807">
        <f>IF(E5="CNY",(I5+G5)/F5,H5/F5)</f>
        <v>30.257168882092873</v>
      </c>
    </row>
    <row r="6" spans="2:14">
      <c r="B6" s="2088" t="s">
        <v>29</v>
      </c>
      <c r="D6"/>
      <c r="E6"/>
      <c r="F6" s="411">
        <v>3094.3688237941901</v>
      </c>
      <c r="G6" s="2533">
        <v>0</v>
      </c>
      <c r="H6" s="2088">
        <v>0</v>
      </c>
      <c r="I6" s="688">
        <v>93626.840085023898</v>
      </c>
      <c r="J6" s="2088">
        <v>0</v>
      </c>
      <c r="K6" s="2088">
        <v>0</v>
      </c>
      <c r="L6" s="2088">
        <v>0</v>
      </c>
      <c r="M6" s="2088">
        <v>93626.840085023898</v>
      </c>
      <c r="N6" s="1807">
        <f t="shared" ref="N6:N8" si="0">IF(E6="CNY",(I6+G6)/F6,H6/F6)</f>
        <v>0</v>
      </c>
    </row>
    <row r="7" spans="2:14">
      <c r="D7"/>
      <c r="E7"/>
      <c r="F7"/>
      <c r="G7"/>
      <c r="H7"/>
      <c r="I7"/>
      <c r="J7"/>
      <c r="K7"/>
      <c r="L7"/>
      <c r="M7"/>
      <c r="N7" s="1807" t="e">
        <f t="shared" si="0"/>
        <v>#DIV/0!</v>
      </c>
    </row>
    <row r="8" spans="2:14">
      <c r="D8"/>
      <c r="E8"/>
      <c r="F8"/>
      <c r="H8"/>
      <c r="I8"/>
      <c r="J8"/>
      <c r="K8"/>
      <c r="L8"/>
      <c r="M8"/>
      <c r="N8" s="1807" t="e">
        <f t="shared" si="0"/>
        <v>#DIV/0!</v>
      </c>
    </row>
    <row r="9" spans="2:14">
      <c r="D9"/>
      <c r="E9"/>
      <c r="F9"/>
      <c r="H9"/>
      <c r="I9"/>
      <c r="J9"/>
      <c r="K9"/>
      <c r="L9"/>
      <c r="M9"/>
      <c r="N9" s="1807"/>
    </row>
    <row r="10" spans="2:14">
      <c r="D10"/>
      <c r="E10"/>
      <c r="F10"/>
      <c r="H10"/>
      <c r="I10"/>
      <c r="J10"/>
      <c r="K10"/>
      <c r="L10"/>
      <c r="M10"/>
      <c r="N10" s="1807"/>
    </row>
    <row r="11" spans="2:14">
      <c r="D11"/>
      <c r="E11"/>
      <c r="F11"/>
      <c r="H11"/>
      <c r="I11"/>
      <c r="J11"/>
      <c r="K11"/>
      <c r="L11"/>
      <c r="M11"/>
      <c r="N11" s="1807"/>
    </row>
    <row r="12" spans="2:14">
      <c r="D12"/>
      <c r="E12"/>
      <c r="F12"/>
      <c r="H12"/>
      <c r="I12"/>
      <c r="J12"/>
      <c r="K12"/>
      <c r="L12"/>
      <c r="M12"/>
      <c r="N12" s="1807"/>
    </row>
    <row r="13" spans="2:14">
      <c r="D13"/>
      <c r="E13"/>
      <c r="F13"/>
      <c r="H13"/>
      <c r="I13"/>
      <c r="J13"/>
      <c r="K13"/>
      <c r="L13"/>
      <c r="M13"/>
      <c r="N13" s="1807"/>
    </row>
    <row r="14" spans="2:14">
      <c r="D14"/>
      <c r="E14"/>
      <c r="F14"/>
      <c r="H14"/>
      <c r="I14"/>
      <c r="J14"/>
      <c r="K14"/>
      <c r="L14"/>
      <c r="M14"/>
      <c r="N14" s="1807"/>
    </row>
    <row r="15" spans="2:14">
      <c r="D15"/>
      <c r="E15"/>
      <c r="F15"/>
      <c r="H15"/>
      <c r="I15"/>
      <c r="J15"/>
      <c r="K15"/>
      <c r="L15"/>
      <c r="M15"/>
      <c r="N15" s="1807"/>
    </row>
    <row r="16" spans="2:14" s="792" customFormat="1">
      <c r="B16"/>
      <c r="C16"/>
      <c r="D16"/>
      <c r="E16"/>
      <c r="F16"/>
      <c r="G16" s="2533"/>
      <c r="H16"/>
      <c r="I16"/>
      <c r="J16"/>
      <c r="K16"/>
      <c r="L16"/>
      <c r="M16"/>
      <c r="N16" s="1807"/>
    </row>
    <row r="17" spans="2:14" s="792" customFormat="1">
      <c r="B17"/>
      <c r="C17"/>
      <c r="D17"/>
      <c r="E17"/>
      <c r="F17"/>
      <c r="G17" s="2533"/>
      <c r="H17"/>
      <c r="I17"/>
      <c r="J17"/>
      <c r="K17"/>
      <c r="L17"/>
      <c r="M17"/>
      <c r="N17" s="1807"/>
    </row>
    <row r="18" spans="2:14" s="792" customFormat="1">
      <c r="B18"/>
      <c r="C18"/>
      <c r="D18"/>
      <c r="E18"/>
      <c r="F18"/>
      <c r="G18" s="2533"/>
      <c r="H18"/>
      <c r="I18"/>
      <c r="J18"/>
      <c r="K18"/>
      <c r="L18"/>
      <c r="M18"/>
      <c r="N18" s="1807"/>
    </row>
    <row r="19" spans="2:14" s="792" customFormat="1">
      <c r="B19"/>
      <c r="C19"/>
      <c r="D19"/>
      <c r="E19"/>
      <c r="F19"/>
      <c r="G19" s="2533"/>
      <c r="H19"/>
      <c r="I19"/>
      <c r="J19"/>
      <c r="K19"/>
      <c r="L19"/>
      <c r="M19"/>
      <c r="N19" s="1807"/>
    </row>
    <row r="20" spans="2:14" s="792" customFormat="1">
      <c r="B20"/>
      <c r="C20"/>
      <c r="D20"/>
      <c r="E20"/>
      <c r="F20"/>
      <c r="G20" s="2533"/>
      <c r="H20"/>
      <c r="I20"/>
      <c r="J20"/>
      <c r="K20"/>
      <c r="L20"/>
      <c r="M20"/>
      <c r="N20" s="1807"/>
    </row>
    <row r="21" spans="2:14" s="792" customFormat="1">
      <c r="B21"/>
      <c r="C21"/>
      <c r="D21"/>
      <c r="E21"/>
      <c r="F21"/>
      <c r="G21" s="2533"/>
      <c r="H21"/>
      <c r="I21"/>
      <c r="J21"/>
      <c r="K21"/>
      <c r="L21"/>
      <c r="M21"/>
      <c r="N21" s="902"/>
    </row>
    <row r="22" spans="2:14" s="792" customFormat="1">
      <c r="B22"/>
      <c r="C22"/>
      <c r="D22"/>
      <c r="E22"/>
      <c r="F22"/>
      <c r="G22" s="2533"/>
      <c r="H22"/>
      <c r="I22"/>
      <c r="J22"/>
      <c r="K22"/>
      <c r="L22"/>
      <c r="M22"/>
    </row>
    <row r="23" spans="2:14" s="902" customFormat="1">
      <c r="E23" s="793"/>
      <c r="F23" s="793"/>
      <c r="G23" s="2533"/>
      <c r="H23" s="843"/>
      <c r="I23" s="1936"/>
      <c r="J23" s="1936"/>
      <c r="K23" s="1936"/>
      <c r="L23" s="1936"/>
      <c r="M23" s="1936"/>
    </row>
    <row r="24" spans="2:14" s="902" customFormat="1">
      <c r="E24" s="793"/>
      <c r="F24" s="793"/>
      <c r="G24" s="2533"/>
      <c r="H24" s="843"/>
      <c r="I24" s="1936"/>
      <c r="J24" s="1936"/>
      <c r="K24" s="1936"/>
      <c r="L24" s="1936"/>
      <c r="M24" s="1936"/>
    </row>
    <row r="25" spans="2:14" s="902" customFormat="1">
      <c r="C25" s="1806"/>
      <c r="E25" s="793"/>
      <c r="F25" s="793"/>
      <c r="G25" s="2533"/>
      <c r="H25" s="843"/>
      <c r="I25" s="1936"/>
      <c r="J25" s="1936"/>
      <c r="K25" s="1936"/>
      <c r="L25" s="1936"/>
      <c r="M25" s="1936"/>
    </row>
    <row r="26" spans="2:14" s="902" customFormat="1">
      <c r="C26" s="519" t="s">
        <v>1050</v>
      </c>
      <c r="D26" s="986" t="s">
        <v>352</v>
      </c>
      <c r="E26" s="986" t="s">
        <v>1646</v>
      </c>
      <c r="F26" s="986" t="s">
        <v>1650</v>
      </c>
      <c r="G26" s="2533"/>
      <c r="H26" s="843"/>
      <c r="I26" s="1936"/>
      <c r="J26" s="1936"/>
      <c r="K26" s="1936"/>
      <c r="L26" s="1936"/>
      <c r="M26" s="1936"/>
    </row>
    <row r="27" spans="2:14" s="902" customFormat="1">
      <c r="C27" s="2088" t="s">
        <v>29</v>
      </c>
      <c r="D27" s="793"/>
      <c r="E27" s="793"/>
      <c r="F27" s="793"/>
      <c r="G27" s="2533"/>
      <c r="H27" s="843"/>
      <c r="I27" s="1936"/>
      <c r="J27" s="1936"/>
      <c r="K27" s="1936"/>
      <c r="L27" s="1936"/>
      <c r="M27" s="1936"/>
    </row>
    <row r="28" spans="2:14" s="902" customFormat="1">
      <c r="C28"/>
      <c r="D28"/>
      <c r="E28"/>
      <c r="F28"/>
      <c r="G28" s="2533"/>
      <c r="H28" s="843"/>
      <c r="I28" s="1936"/>
      <c r="J28" s="1936"/>
      <c r="K28" s="1936"/>
      <c r="L28" s="1936"/>
      <c r="M28" s="1936"/>
    </row>
    <row r="29" spans="2:14" s="902" customFormat="1">
      <c r="C29"/>
      <c r="D29"/>
      <c r="E29"/>
      <c r="F29"/>
      <c r="G29" s="2533"/>
      <c r="H29" s="843"/>
      <c r="I29" s="1936"/>
      <c r="J29" s="1936"/>
      <c r="K29" s="1936"/>
      <c r="L29" s="1936"/>
      <c r="M29" s="1936"/>
    </row>
    <row r="30" spans="2:14" s="902" customFormat="1">
      <c r="C30"/>
      <c r="D30"/>
      <c r="E30"/>
      <c r="F30"/>
      <c r="G30" s="2533"/>
      <c r="H30" s="843"/>
      <c r="I30" s="1936"/>
      <c r="J30" s="1936"/>
      <c r="K30" s="1936"/>
      <c r="L30" s="1936"/>
      <c r="M30" s="1936"/>
    </row>
    <row r="31" spans="2:14" s="902" customFormat="1">
      <c r="C31"/>
      <c r="D31"/>
      <c r="E31"/>
      <c r="F31"/>
      <c r="G31" s="2533"/>
      <c r="H31" s="843"/>
      <c r="I31" s="1936"/>
      <c r="J31" s="1936"/>
      <c r="K31" s="1936"/>
      <c r="L31" s="1936"/>
      <c r="M31" s="1936"/>
    </row>
    <row r="32" spans="2:14" s="792" customFormat="1">
      <c r="D32" s="793"/>
      <c r="F32" s="793"/>
      <c r="G32" s="2533"/>
      <c r="H32" s="843"/>
      <c r="I32" s="1936"/>
      <c r="J32" s="1936"/>
      <c r="K32" s="1936"/>
      <c r="L32" s="1936"/>
      <c r="M32" s="1936"/>
    </row>
    <row r="33" spans="2:13" s="792" customFormat="1">
      <c r="B33" s="792" t="s">
        <v>405</v>
      </c>
      <c r="C33" s="793"/>
      <c r="D33" s="793"/>
      <c r="E33" s="1463"/>
      <c r="F33" s="1463"/>
      <c r="G33" s="2534"/>
      <c r="H33" s="843"/>
      <c r="I33" s="1936"/>
      <c r="J33" s="1936"/>
      <c r="K33" s="1936"/>
      <c r="L33" s="1936"/>
      <c r="M33" s="1936"/>
    </row>
    <row r="34" spans="2:13" s="792" customFormat="1">
      <c r="B34" s="519" t="s">
        <v>722</v>
      </c>
      <c r="C34" s="519" t="s">
        <v>723</v>
      </c>
      <c r="D34" s="986" t="s">
        <v>1646</v>
      </c>
      <c r="E34" s="986" t="s">
        <v>1647</v>
      </c>
      <c r="F34" s="986" t="s">
        <v>595</v>
      </c>
      <c r="G34" s="986" t="s">
        <v>596</v>
      </c>
      <c r="H34" s="986" t="s">
        <v>1648</v>
      </c>
      <c r="I34" s="1937" t="s">
        <v>263</v>
      </c>
      <c r="J34" s="1937"/>
      <c r="K34" s="1936"/>
      <c r="L34" s="1936"/>
      <c r="M34" s="1936"/>
    </row>
    <row r="35" spans="2:13" s="792" customFormat="1">
      <c r="B35" s="2088" t="s">
        <v>733</v>
      </c>
      <c r="C35" s="2088" t="s">
        <v>205</v>
      </c>
      <c r="D35" s="411">
        <v>3094.3688237941901</v>
      </c>
      <c r="E35" s="688"/>
      <c r="F35" s="688">
        <v>12</v>
      </c>
      <c r="G35" s="2533"/>
      <c r="H35" s="688">
        <v>0</v>
      </c>
      <c r="I35" s="1936">
        <f>SUM(E35:G35)*7%*86</f>
        <v>72.240000000000009</v>
      </c>
      <c r="J35" s="1936"/>
      <c r="K35" s="1936"/>
      <c r="L35" s="1936"/>
      <c r="M35" s="1936"/>
    </row>
    <row r="36" spans="2:13" s="902" customFormat="1">
      <c r="B36" s="2088" t="s">
        <v>29</v>
      </c>
      <c r="C36"/>
      <c r="D36" s="411">
        <v>3094.3688237941901</v>
      </c>
      <c r="E36" s="688"/>
      <c r="F36" s="688">
        <v>12</v>
      </c>
      <c r="G36" s="2533"/>
      <c r="H36" s="688">
        <v>0</v>
      </c>
      <c r="I36" s="1936">
        <f t="shared" ref="I36:I45" si="1">SUM(E36:G36)*7%*86</f>
        <v>72.240000000000009</v>
      </c>
      <c r="J36" s="1936"/>
      <c r="K36" s="1936"/>
      <c r="L36" s="1936"/>
      <c r="M36" s="1936"/>
    </row>
    <row r="37" spans="2:13" s="902" customFormat="1">
      <c r="B37"/>
      <c r="C37"/>
      <c r="D37"/>
      <c r="E37"/>
      <c r="F37"/>
      <c r="G37"/>
      <c r="H37"/>
      <c r="I37" s="1936">
        <f t="shared" si="1"/>
        <v>0</v>
      </c>
      <c r="J37" s="1936"/>
      <c r="K37" s="1936"/>
      <c r="L37" s="1936"/>
      <c r="M37" s="1936"/>
    </row>
    <row r="38" spans="2:13" s="902" customFormat="1">
      <c r="B38"/>
      <c r="C38"/>
      <c r="D38"/>
      <c r="E38"/>
      <c r="F38"/>
      <c r="G38" s="2533"/>
      <c r="H38"/>
      <c r="I38" s="1936">
        <f t="shared" si="1"/>
        <v>0</v>
      </c>
      <c r="J38" s="1936"/>
      <c r="K38" s="1936"/>
      <c r="L38" s="1936"/>
      <c r="M38" s="1936"/>
    </row>
    <row r="39" spans="2:13" s="902" customFormat="1">
      <c r="B39"/>
      <c r="C39"/>
      <c r="D39"/>
      <c r="E39"/>
      <c r="F39"/>
      <c r="G39" s="2533"/>
      <c r="H39"/>
      <c r="I39" s="1936">
        <f t="shared" si="1"/>
        <v>0</v>
      </c>
      <c r="J39" s="1936"/>
      <c r="K39" s="1936"/>
      <c r="L39" s="1936"/>
      <c r="M39" s="1936"/>
    </row>
    <row r="40" spans="2:13" s="902" customFormat="1">
      <c r="B40"/>
      <c r="C40"/>
      <c r="D40"/>
      <c r="E40"/>
      <c r="F40"/>
      <c r="G40" s="2533"/>
      <c r="H40" s="843"/>
      <c r="I40" s="1936">
        <f t="shared" si="1"/>
        <v>0</v>
      </c>
      <c r="J40" s="1936"/>
      <c r="K40" s="1936"/>
      <c r="L40" s="1936"/>
      <c r="M40" s="1936"/>
    </row>
    <row r="41" spans="2:13" s="902" customFormat="1">
      <c r="B41"/>
      <c r="C41"/>
      <c r="D41"/>
      <c r="E41"/>
      <c r="F41"/>
      <c r="G41" s="2533"/>
      <c r="H41" s="843"/>
      <c r="I41" s="1936">
        <f t="shared" si="1"/>
        <v>0</v>
      </c>
      <c r="J41" s="1936"/>
      <c r="K41" s="1936"/>
      <c r="L41" s="1936"/>
      <c r="M41" s="1936"/>
    </row>
    <row r="42" spans="2:13" s="902" customFormat="1">
      <c r="B42"/>
      <c r="C42"/>
      <c r="D42"/>
      <c r="E42"/>
      <c r="F42"/>
      <c r="G42" s="2533"/>
      <c r="H42" s="843"/>
      <c r="I42" s="1936">
        <f t="shared" si="1"/>
        <v>0</v>
      </c>
      <c r="J42" s="1936"/>
      <c r="K42" s="1936"/>
      <c r="L42" s="1936"/>
      <c r="M42" s="1936"/>
    </row>
    <row r="43" spans="2:13" s="902" customFormat="1">
      <c r="B43"/>
      <c r="C43"/>
      <c r="D43"/>
      <c r="E43"/>
      <c r="F43"/>
      <c r="G43" s="2533"/>
      <c r="H43" s="843"/>
      <c r="I43" s="1936">
        <f t="shared" si="1"/>
        <v>0</v>
      </c>
      <c r="J43" s="1936"/>
      <c r="K43" s="1936"/>
      <c r="L43" s="1936"/>
      <c r="M43" s="1936"/>
    </row>
    <row r="44" spans="2:13" s="902" customFormat="1">
      <c r="B44"/>
      <c r="C44"/>
      <c r="D44"/>
      <c r="E44"/>
      <c r="F44"/>
      <c r="G44" s="2533"/>
      <c r="H44" s="843"/>
      <c r="I44" s="1936">
        <f t="shared" si="1"/>
        <v>0</v>
      </c>
      <c r="J44" s="1936"/>
      <c r="K44" s="1936"/>
      <c r="L44" s="1936"/>
      <c r="M44" s="1936"/>
    </row>
    <row r="45" spans="2:13" s="902" customFormat="1">
      <c r="B45"/>
      <c r="C45"/>
      <c r="D45"/>
      <c r="E45"/>
      <c r="F45"/>
      <c r="G45" s="2533"/>
      <c r="H45" s="843"/>
      <c r="I45" s="1936">
        <f t="shared" si="1"/>
        <v>0</v>
      </c>
      <c r="J45" s="1936"/>
      <c r="K45" s="1936"/>
      <c r="L45" s="1936"/>
      <c r="M45" s="1936"/>
    </row>
    <row r="46" spans="2:13" s="902" customFormat="1">
      <c r="B46"/>
      <c r="C46"/>
      <c r="D46"/>
      <c r="E46" s="1463"/>
      <c r="F46" s="1463"/>
      <c r="G46" s="2534"/>
      <c r="H46" s="843"/>
      <c r="I46" s="1936"/>
      <c r="J46" s="1936"/>
      <c r="K46" s="1936"/>
      <c r="L46" s="1936"/>
      <c r="M46" s="1936"/>
    </row>
    <row r="47" spans="2:13" s="902" customFormat="1">
      <c r="B47"/>
      <c r="C47"/>
      <c r="D47"/>
      <c r="E47"/>
      <c r="F47"/>
      <c r="G47" s="2533"/>
      <c r="H47" s="843"/>
      <c r="I47" s="1936"/>
      <c r="J47" s="1936"/>
      <c r="K47" s="1936"/>
      <c r="L47" s="1936"/>
      <c r="M47" s="1936"/>
    </row>
    <row r="48" spans="2:13" s="902" customFormat="1">
      <c r="B48"/>
      <c r="C48"/>
      <c r="D48"/>
      <c r="E48"/>
      <c r="F48"/>
      <c r="G48" s="2533"/>
      <c r="H48" s="843"/>
      <c r="I48" s="1936"/>
      <c r="J48" s="1936"/>
      <c r="K48" s="1936"/>
      <c r="L48" s="1936"/>
      <c r="M48" s="1936"/>
    </row>
    <row r="49" spans="2:14" s="902" customFormat="1">
      <c r="B49"/>
      <c r="C49"/>
      <c r="D49"/>
      <c r="E49"/>
      <c r="F49"/>
      <c r="G49" s="2533"/>
      <c r="H49" s="843"/>
      <c r="I49" s="1936"/>
      <c r="J49" s="1936"/>
      <c r="K49" s="1936"/>
      <c r="L49" s="1936"/>
      <c r="M49" s="1936"/>
    </row>
    <row r="50" spans="2:14" s="902" customFormat="1">
      <c r="B50"/>
      <c r="C50"/>
      <c r="D50"/>
      <c r="E50"/>
      <c r="F50"/>
      <c r="G50" s="2533"/>
      <c r="H50" s="843"/>
      <c r="I50" s="1936"/>
      <c r="J50" s="1936"/>
      <c r="K50" s="1936"/>
      <c r="L50" s="1936"/>
      <c r="M50" s="1936"/>
    </row>
    <row r="51" spans="2:14" s="792" customFormat="1" ht="13.5" customHeight="1">
      <c r="D51" s="793"/>
      <c r="F51" s="793"/>
      <c r="G51" s="2533"/>
      <c r="H51" s="843"/>
      <c r="I51" s="1936"/>
      <c r="J51" s="1936"/>
      <c r="K51" s="1936"/>
      <c r="L51" s="1936"/>
      <c r="M51" s="1936"/>
      <c r="N51" s="411"/>
    </row>
    <row r="52" spans="2:14" ht="13.5" customHeight="1">
      <c r="E52"/>
      <c r="N52" s="411"/>
    </row>
    <row r="53" spans="2:14" ht="15">
      <c r="B53" s="2518" t="s">
        <v>263</v>
      </c>
      <c r="C53" s="542" t="s">
        <v>269</v>
      </c>
      <c r="E53" s="520" t="s">
        <v>260</v>
      </c>
    </row>
    <row r="54" spans="2:14">
      <c r="B54" s="2519">
        <v>0</v>
      </c>
      <c r="C54" s="543">
        <v>93626.840085023898</v>
      </c>
      <c r="E54" s="489">
        <f>C54/1000</f>
        <v>93.6268400850239</v>
      </c>
    </row>
    <row r="55" spans="2:14" ht="15.75" thickBot="1">
      <c r="B55" s="2509" t="s">
        <v>29</v>
      </c>
      <c r="C55" s="544">
        <v>93626.840085023898</v>
      </c>
      <c r="E55"/>
    </row>
    <row r="56" spans="2:14" s="990" customFormat="1" ht="13.5" thickTop="1">
      <c r="B56"/>
      <c r="C56"/>
      <c r="D56" s="989"/>
      <c r="F56" s="989"/>
      <c r="G56" s="2535"/>
      <c r="H56" s="1939"/>
      <c r="I56" s="1938"/>
      <c r="J56" s="1938"/>
      <c r="K56" s="1938"/>
      <c r="L56" s="1938"/>
      <c r="M56" s="1938"/>
    </row>
    <row r="57" spans="2:14" s="990" customFormat="1" ht="13.5" thickTop="1">
      <c r="B57"/>
      <c r="C57"/>
      <c r="D57" s="989"/>
      <c r="F57" s="989"/>
      <c r="G57" s="2535"/>
      <c r="H57" s="1939"/>
      <c r="I57" s="1938"/>
      <c r="J57" s="1938"/>
      <c r="K57" s="1938"/>
      <c r="L57" s="1938"/>
      <c r="M57" s="1938"/>
    </row>
    <row r="58" spans="2:14" s="990" customFormat="1" ht="13.5" thickTop="1">
      <c r="B58"/>
      <c r="C58"/>
      <c r="D58" s="989"/>
      <c r="F58" s="989"/>
      <c r="G58" s="2535"/>
      <c r="H58" s="1939"/>
      <c r="I58" s="1938"/>
      <c r="J58" s="1938"/>
      <c r="K58" s="1938"/>
      <c r="L58" s="1938"/>
      <c r="M58" s="1938"/>
    </row>
    <row r="59" spans="2:14" s="990" customFormat="1" ht="15.75" thickTop="1">
      <c r="B59" s="987"/>
      <c r="C59" s="988"/>
      <c r="D59" s="989"/>
      <c r="F59" s="989"/>
      <c r="G59" s="2535"/>
      <c r="H59" s="1939"/>
      <c r="I59" s="1938"/>
      <c r="J59" s="1938"/>
      <c r="K59" s="1938"/>
      <c r="L59" s="1938"/>
      <c r="M59" s="1938"/>
    </row>
    <row r="60" spans="2:14" ht="12.75" customHeight="1">
      <c r="E60"/>
    </row>
    <row r="61" spans="2:14">
      <c r="E61"/>
    </row>
    <row r="62" spans="2:14" ht="15">
      <c r="B62" s="2518" t="s">
        <v>32</v>
      </c>
      <c r="C62" s="545" t="s">
        <v>269</v>
      </c>
      <c r="D62" s="542" t="s">
        <v>1646</v>
      </c>
      <c r="E62"/>
      <c r="F62" s="1805" t="s">
        <v>457</v>
      </c>
    </row>
    <row r="63" spans="2:14">
      <c r="B63" s="2519" t="s">
        <v>180</v>
      </c>
      <c r="C63" s="916">
        <v>93626.840085023898</v>
      </c>
      <c r="D63" s="917">
        <v>3094.3688237941901</v>
      </c>
      <c r="E63"/>
      <c r="F63" s="793">
        <f>(C63+D63)/1000</f>
        <v>96.721208908818099</v>
      </c>
      <c r="G63" s="2533">
        <v>1645</v>
      </c>
      <c r="H63" s="843">
        <f>SUM(F63:G63)</f>
        <v>1741.7212089088182</v>
      </c>
      <c r="I63" s="1936">
        <f>H63/SUM('Estimate Summary'!D26:D28)</f>
        <v>17.915936597087114</v>
      </c>
    </row>
    <row r="64" spans="2:14" ht="15.75" thickBot="1">
      <c r="B64" s="2509" t="s">
        <v>29</v>
      </c>
      <c r="C64" s="546">
        <v>93626.840085023898</v>
      </c>
      <c r="D64" s="813">
        <v>3094.3688237941901</v>
      </c>
      <c r="E64"/>
    </row>
    <row r="65" spans="4:5" ht="13.5" thickTop="1">
      <c r="D65"/>
      <c r="E65"/>
    </row>
    <row r="66" spans="4:5" ht="13.5" thickTop="1">
      <c r="D66"/>
      <c r="E66"/>
    </row>
    <row r="67" spans="4:5" ht="13.5" thickTop="1">
      <c r="E67"/>
    </row>
    <row r="68" spans="4:5">
      <c r="D68"/>
      <c r="E68"/>
    </row>
    <row r="69" spans="4:5">
      <c r="D69"/>
      <c r="E69"/>
    </row>
    <row r="70" spans="4:5">
      <c r="D70"/>
      <c r="E70"/>
    </row>
    <row r="71" spans="4:5">
      <c r="D71"/>
      <c r="E71"/>
    </row>
    <row r="72" spans="4:5">
      <c r="D72"/>
      <c r="E72"/>
    </row>
    <row r="73" spans="4:5">
      <c r="D73"/>
      <c r="E73"/>
    </row>
    <row r="74" spans="4:5">
      <c r="D74"/>
      <c r="E74"/>
    </row>
    <row r="75" spans="4:5">
      <c r="D75"/>
      <c r="E75"/>
    </row>
    <row r="76" spans="4:5">
      <c r="D76"/>
      <c r="E76"/>
    </row>
    <row r="77" spans="4:5">
      <c r="D77"/>
      <c r="E77"/>
    </row>
    <row r="78" spans="4:5">
      <c r="D78"/>
      <c r="E78"/>
    </row>
    <row r="79" spans="4:5">
      <c r="D79"/>
      <c r="E79"/>
    </row>
    <row r="80" spans="4:5">
      <c r="D80"/>
      <c r="E80"/>
    </row>
    <row r="81" spans="4:5">
      <c r="D81"/>
      <c r="E81"/>
    </row>
    <row r="82" spans="4:5">
      <c r="D82"/>
      <c r="E82"/>
    </row>
    <row r="83" spans="4:5">
      <c r="D83"/>
      <c r="E83"/>
    </row>
    <row r="84" spans="4:5">
      <c r="D84"/>
      <c r="E84"/>
    </row>
    <row r="85" spans="4:5">
      <c r="D85"/>
      <c r="E85"/>
    </row>
    <row r="86" spans="4:5">
      <c r="D86"/>
      <c r="E86"/>
    </row>
    <row r="87" spans="4:5">
      <c r="D87"/>
      <c r="E87"/>
    </row>
    <row r="88" spans="4:5">
      <c r="D88"/>
      <c r="E88"/>
    </row>
    <row r="89" spans="4:5">
      <c r="D89"/>
      <c r="E89"/>
    </row>
    <row r="90" spans="4:5">
      <c r="D90"/>
      <c r="E90"/>
    </row>
    <row r="91" spans="4:5">
      <c r="D91"/>
      <c r="E91"/>
    </row>
    <row r="92" spans="4:5">
      <c r="D92"/>
      <c r="E92"/>
    </row>
    <row r="93" spans="4:5">
      <c r="D93"/>
      <c r="E93"/>
    </row>
    <row r="94" spans="4:5">
      <c r="D94"/>
      <c r="E94"/>
    </row>
    <row r="95" spans="4:5">
      <c r="D95"/>
      <c r="E95"/>
    </row>
    <row r="96" spans="4:5">
      <c r="D96"/>
      <c r="E96"/>
    </row>
    <row r="97" spans="4:5">
      <c r="D97"/>
      <c r="E97"/>
    </row>
    <row r="98" spans="4:5">
      <c r="D98"/>
      <c r="E98"/>
    </row>
    <row r="99" spans="4:5">
      <c r="D99"/>
      <c r="E99"/>
    </row>
    <row r="100" spans="4:5">
      <c r="D100"/>
      <c r="E100"/>
    </row>
    <row r="101" spans="4:5">
      <c r="D101"/>
      <c r="E101"/>
    </row>
    <row r="102" spans="4:5">
      <c r="D102"/>
      <c r="E102"/>
    </row>
    <row r="103" spans="4:5">
      <c r="D103"/>
      <c r="E103"/>
    </row>
    <row r="104" spans="4:5">
      <c r="D104"/>
      <c r="E104"/>
    </row>
    <row r="105" spans="4:5">
      <c r="D105"/>
      <c r="E105"/>
    </row>
    <row r="106" spans="4:5">
      <c r="D106"/>
      <c r="E106"/>
    </row>
    <row r="107" spans="4:5">
      <c r="D107"/>
      <c r="E107"/>
    </row>
    <row r="108" spans="4:5">
      <c r="D108"/>
      <c r="E108"/>
    </row>
    <row r="109" spans="4:5">
      <c r="D109"/>
      <c r="E109"/>
    </row>
    <row r="110" spans="4:5">
      <c r="D110"/>
      <c r="E110"/>
    </row>
    <row r="111" spans="4:5">
      <c r="D111"/>
      <c r="E111"/>
    </row>
    <row r="112" spans="4:5">
      <c r="D112"/>
      <c r="E112"/>
    </row>
    <row r="113" spans="4:5">
      <c r="D113"/>
      <c r="E113"/>
    </row>
    <row r="114" spans="4:5">
      <c r="D114"/>
      <c r="E114"/>
    </row>
    <row r="115" spans="4:5">
      <c r="D115"/>
      <c r="E115"/>
    </row>
    <row r="116" spans="4:5">
      <c r="D116"/>
      <c r="E116"/>
    </row>
    <row r="117" spans="4:5">
      <c r="D117"/>
      <c r="E117"/>
    </row>
    <row r="118" spans="4:5">
      <c r="D118"/>
      <c r="E118"/>
    </row>
    <row r="119" spans="4:5">
      <c r="D119"/>
      <c r="E119"/>
    </row>
    <row r="120" spans="4:5">
      <c r="D120"/>
      <c r="E120"/>
    </row>
    <row r="121" spans="4:5">
      <c r="D121"/>
      <c r="E121"/>
    </row>
    <row r="122" spans="4:5">
      <c r="D122"/>
      <c r="E122"/>
    </row>
    <row r="123" spans="4:5">
      <c r="D123"/>
      <c r="E123"/>
    </row>
    <row r="124" spans="4:5">
      <c r="D124"/>
      <c r="E124"/>
    </row>
    <row r="125" spans="4:5">
      <c r="D125"/>
      <c r="E125"/>
    </row>
    <row r="126" spans="4:5">
      <c r="D126"/>
      <c r="E126"/>
    </row>
    <row r="127" spans="4:5">
      <c r="D127"/>
      <c r="E127"/>
    </row>
    <row r="128" spans="4:5">
      <c r="D128"/>
      <c r="E128"/>
    </row>
    <row r="129" spans="4:5">
      <c r="D129"/>
      <c r="E129"/>
    </row>
    <row r="130" spans="4:5">
      <c r="D130"/>
      <c r="E130"/>
    </row>
    <row r="131" spans="4:5">
      <c r="D131"/>
      <c r="E131"/>
    </row>
    <row r="132" spans="4:5">
      <c r="D132"/>
      <c r="E132"/>
    </row>
    <row r="133" spans="4:5">
      <c r="D133"/>
      <c r="E133"/>
    </row>
    <row r="134" spans="4:5">
      <c r="D134"/>
      <c r="E134"/>
    </row>
    <row r="135" spans="4:5">
      <c r="D135"/>
      <c r="E135"/>
    </row>
    <row r="136" spans="4:5">
      <c r="D136"/>
      <c r="E136"/>
    </row>
    <row r="137" spans="4:5">
      <c r="D137"/>
      <c r="E137"/>
    </row>
    <row r="138" spans="4:5">
      <c r="D138"/>
      <c r="E138"/>
    </row>
    <row r="139" spans="4:5">
      <c r="D139"/>
      <c r="E139"/>
    </row>
    <row r="140" spans="4:5">
      <c r="D140"/>
      <c r="E140"/>
    </row>
    <row r="141" spans="4:5">
      <c r="D141"/>
      <c r="E141"/>
    </row>
    <row r="142" spans="4:5">
      <c r="D142"/>
      <c r="E142"/>
    </row>
    <row r="143" spans="4:5">
      <c r="D143"/>
      <c r="E143"/>
    </row>
    <row r="144" spans="4:5">
      <c r="D144"/>
      <c r="E144"/>
    </row>
    <row r="145" spans="4:5">
      <c r="D145"/>
      <c r="E145"/>
    </row>
    <row r="146" spans="4:5">
      <c r="D146"/>
      <c r="E146"/>
    </row>
    <row r="147" spans="4:5">
      <c r="D147"/>
      <c r="E147"/>
    </row>
    <row r="148" spans="4:5">
      <c r="D148"/>
      <c r="E148"/>
    </row>
    <row r="149" spans="4:5">
      <c r="D149"/>
      <c r="E149"/>
    </row>
    <row r="150" spans="4:5">
      <c r="D150"/>
      <c r="E150"/>
    </row>
    <row r="151" spans="4:5">
      <c r="D151"/>
      <c r="E151"/>
    </row>
    <row r="152" spans="4:5">
      <c r="D152"/>
      <c r="E152"/>
    </row>
    <row r="153" spans="4:5">
      <c r="D153"/>
      <c r="E153"/>
    </row>
    <row r="154" spans="4:5">
      <c r="D154"/>
      <c r="E154"/>
    </row>
    <row r="155" spans="4:5">
      <c r="D155"/>
      <c r="E155"/>
    </row>
    <row r="156" spans="4:5">
      <c r="D156"/>
      <c r="E156"/>
    </row>
    <row r="157" spans="4:5">
      <c r="D157"/>
      <c r="E157"/>
    </row>
    <row r="158" spans="4:5">
      <c r="D158"/>
      <c r="E158"/>
    </row>
    <row r="159" spans="4:5">
      <c r="D159"/>
      <c r="E159"/>
    </row>
    <row r="160" spans="4:5">
      <c r="D160"/>
      <c r="E160"/>
    </row>
    <row r="161" spans="4:5">
      <c r="D161"/>
      <c r="E161"/>
    </row>
    <row r="162" spans="4:5">
      <c r="D162"/>
      <c r="E162"/>
    </row>
    <row r="163" spans="4:5">
      <c r="D163"/>
      <c r="E163"/>
    </row>
    <row r="164" spans="4:5">
      <c r="D164"/>
      <c r="E164"/>
    </row>
    <row r="165" spans="4:5">
      <c r="D165"/>
      <c r="E165"/>
    </row>
    <row r="166" spans="4:5">
      <c r="D166"/>
      <c r="E166"/>
    </row>
    <row r="167" spans="4:5">
      <c r="D167"/>
      <c r="E167"/>
    </row>
    <row r="168" spans="4:5">
      <c r="D168"/>
      <c r="E168"/>
    </row>
    <row r="169" spans="4:5">
      <c r="D169"/>
      <c r="E169"/>
    </row>
    <row r="170" spans="4:5">
      <c r="D170"/>
      <c r="E170"/>
    </row>
    <row r="171" spans="4:5">
      <c r="D171"/>
      <c r="E171"/>
    </row>
    <row r="172" spans="4:5">
      <c r="D172"/>
      <c r="E172"/>
    </row>
    <row r="173" spans="4:5">
      <c r="D173"/>
      <c r="E173"/>
    </row>
    <row r="174" spans="4:5">
      <c r="D174"/>
      <c r="E174"/>
    </row>
    <row r="175" spans="4:5">
      <c r="D175"/>
      <c r="E175"/>
    </row>
    <row r="176" spans="4:5">
      <c r="D176"/>
      <c r="E176"/>
    </row>
    <row r="177" spans="4:5">
      <c r="D177"/>
      <c r="E177"/>
    </row>
    <row r="178" spans="4:5">
      <c r="D178"/>
      <c r="E178"/>
    </row>
    <row r="179" spans="4:5">
      <c r="D179"/>
      <c r="E179"/>
    </row>
    <row r="180" spans="4:5">
      <c r="D180"/>
      <c r="E180"/>
    </row>
    <row r="181" spans="4:5">
      <c r="D181"/>
      <c r="E181"/>
    </row>
    <row r="182" spans="4:5">
      <c r="D182"/>
      <c r="E182"/>
    </row>
    <row r="183" spans="4:5">
      <c r="D183"/>
      <c r="E183"/>
    </row>
    <row r="184" spans="4:5">
      <c r="D184"/>
      <c r="E184"/>
    </row>
    <row r="185" spans="4:5">
      <c r="D185"/>
      <c r="E185"/>
    </row>
    <row r="186" spans="4:5">
      <c r="D186"/>
      <c r="E186"/>
    </row>
    <row r="187" spans="4:5">
      <c r="D187"/>
      <c r="E187"/>
    </row>
    <row r="188" spans="4:5">
      <c r="D188"/>
      <c r="E188"/>
    </row>
    <row r="189" spans="4:5">
      <c r="D189"/>
      <c r="E189"/>
    </row>
    <row r="190" spans="4:5">
      <c r="D190"/>
      <c r="E190"/>
    </row>
    <row r="191" spans="4:5">
      <c r="D191"/>
      <c r="E191"/>
    </row>
    <row r="192" spans="4:5">
      <c r="D192"/>
      <c r="E192"/>
    </row>
    <row r="193" spans="4:5">
      <c r="D193"/>
      <c r="E193"/>
    </row>
    <row r="194" spans="4:5">
      <c r="D194"/>
      <c r="E194"/>
    </row>
    <row r="195" spans="4:5">
      <c r="D195"/>
      <c r="E195"/>
    </row>
    <row r="196" spans="4:5">
      <c r="D196"/>
      <c r="E196"/>
    </row>
    <row r="197" spans="4:5">
      <c r="D197"/>
      <c r="E197"/>
    </row>
    <row r="198" spans="4:5">
      <c r="D198"/>
      <c r="E198"/>
    </row>
    <row r="199" spans="4:5">
      <c r="D199"/>
      <c r="E199"/>
    </row>
    <row r="200" spans="4:5">
      <c r="D200"/>
      <c r="E200"/>
    </row>
    <row r="201" spans="4:5">
      <c r="D201"/>
      <c r="E201"/>
    </row>
    <row r="202" spans="4:5">
      <c r="D202"/>
      <c r="E202"/>
    </row>
    <row r="203" spans="4:5">
      <c r="D203"/>
      <c r="E203"/>
    </row>
    <row r="204" spans="4:5">
      <c r="D204"/>
      <c r="E204"/>
    </row>
    <row r="205" spans="4:5">
      <c r="D205"/>
      <c r="E205"/>
    </row>
    <row r="206" spans="4:5">
      <c r="D206"/>
      <c r="E206"/>
    </row>
    <row r="207" spans="4:5">
      <c r="D207"/>
      <c r="E207"/>
    </row>
    <row r="208" spans="4:5">
      <c r="D208"/>
      <c r="E208"/>
    </row>
    <row r="209" spans="4:5">
      <c r="D209"/>
      <c r="E209"/>
    </row>
    <row r="210" spans="4:5">
      <c r="D210"/>
      <c r="E210"/>
    </row>
    <row r="211" spans="4:5">
      <c r="D211"/>
      <c r="E211"/>
    </row>
    <row r="212" spans="4:5">
      <c r="D212"/>
      <c r="E212"/>
    </row>
    <row r="213" spans="4:5">
      <c r="D213"/>
      <c r="E213"/>
    </row>
    <row r="214" spans="4:5">
      <c r="D214"/>
      <c r="E214"/>
    </row>
    <row r="215" spans="4:5">
      <c r="D215"/>
      <c r="E215"/>
    </row>
    <row r="216" spans="4:5">
      <c r="D216"/>
      <c r="E216"/>
    </row>
    <row r="217" spans="4:5">
      <c r="D217"/>
      <c r="E217"/>
    </row>
    <row r="218" spans="4:5">
      <c r="D218"/>
      <c r="E218"/>
    </row>
    <row r="219" spans="4:5">
      <c r="D219"/>
      <c r="E219"/>
    </row>
    <row r="220" spans="4:5">
      <c r="D220"/>
      <c r="E220"/>
    </row>
    <row r="221" spans="4:5">
      <c r="D221"/>
      <c r="E221"/>
    </row>
    <row r="222" spans="4:5">
      <c r="D222"/>
      <c r="E222"/>
    </row>
    <row r="223" spans="4:5">
      <c r="D223"/>
      <c r="E223"/>
    </row>
    <row r="224" spans="4:5">
      <c r="D224"/>
      <c r="E224"/>
    </row>
    <row r="225" spans="4:5">
      <c r="D225"/>
      <c r="E225"/>
    </row>
    <row r="226" spans="4:5">
      <c r="D226"/>
      <c r="E226"/>
    </row>
    <row r="227" spans="4:5">
      <c r="D227"/>
      <c r="E227"/>
    </row>
    <row r="228" spans="4:5">
      <c r="D228"/>
      <c r="E228"/>
    </row>
    <row r="229" spans="4:5">
      <c r="D229"/>
      <c r="E229"/>
    </row>
    <row r="230" spans="4:5">
      <c r="D230"/>
      <c r="E230"/>
    </row>
    <row r="231" spans="4:5">
      <c r="D231"/>
      <c r="E231"/>
    </row>
    <row r="232" spans="4:5">
      <c r="D232"/>
      <c r="E232"/>
    </row>
    <row r="233" spans="4:5">
      <c r="D233"/>
      <c r="E233"/>
    </row>
    <row r="234" spans="4:5">
      <c r="D234"/>
      <c r="E234"/>
    </row>
    <row r="235" spans="4:5">
      <c r="D235"/>
      <c r="E235"/>
    </row>
    <row r="236" spans="4:5">
      <c r="D236"/>
      <c r="E236"/>
    </row>
    <row r="237" spans="4:5">
      <c r="D237"/>
      <c r="E237"/>
    </row>
    <row r="238" spans="4:5">
      <c r="D238"/>
      <c r="E238"/>
    </row>
    <row r="239" spans="4:5">
      <c r="D239"/>
      <c r="E239"/>
    </row>
    <row r="240" spans="4:5">
      <c r="D240"/>
      <c r="E240"/>
    </row>
    <row r="241" spans="4:5">
      <c r="D241"/>
      <c r="E241"/>
    </row>
    <row r="242" spans="4:5">
      <c r="D242"/>
      <c r="E242"/>
    </row>
    <row r="243" spans="4:5">
      <c r="D243"/>
      <c r="E243"/>
    </row>
    <row r="244" spans="4:5">
      <c r="D244"/>
      <c r="E244"/>
    </row>
    <row r="245" spans="4:5">
      <c r="D245"/>
      <c r="E245"/>
    </row>
    <row r="246" spans="4:5">
      <c r="D246"/>
      <c r="E246"/>
    </row>
    <row r="247" spans="4:5">
      <c r="D247"/>
      <c r="E247"/>
    </row>
    <row r="248" spans="4:5">
      <c r="D248"/>
      <c r="E248"/>
    </row>
    <row r="249" spans="4:5">
      <c r="D249"/>
      <c r="E249"/>
    </row>
    <row r="250" spans="4:5">
      <c r="D250"/>
      <c r="E250"/>
    </row>
    <row r="251" spans="4:5">
      <c r="D251"/>
      <c r="E251"/>
    </row>
    <row r="252" spans="4:5">
      <c r="D252"/>
      <c r="E252"/>
    </row>
    <row r="253" spans="4:5">
      <c r="D253"/>
      <c r="E253"/>
    </row>
    <row r="254" spans="4:5">
      <c r="D254"/>
      <c r="E254"/>
    </row>
    <row r="255" spans="4:5">
      <c r="D255"/>
      <c r="E255"/>
    </row>
    <row r="256" spans="4:5">
      <c r="D256"/>
      <c r="E256"/>
    </row>
    <row r="257" spans="4:5">
      <c r="D257"/>
      <c r="E257"/>
    </row>
    <row r="258" spans="4:5">
      <c r="D258"/>
      <c r="E258"/>
    </row>
    <row r="259" spans="4:5">
      <c r="D259"/>
      <c r="E259"/>
    </row>
    <row r="260" spans="4:5">
      <c r="D260"/>
      <c r="E260"/>
    </row>
    <row r="261" spans="4:5">
      <c r="D261"/>
      <c r="E261"/>
    </row>
    <row r="262" spans="4:5">
      <c r="D262"/>
      <c r="E262"/>
    </row>
  </sheetData>
  <phoneticPr fontId="42" type="noConversion"/>
  <pageMargins left="0.75" right="0.75" top="1" bottom="1" header="0.5" footer="0.5"/>
  <pageSetup paperSize="9" orientation="portrait" horizontalDpi="300" verticalDpi="300" r:id="rId6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"/>
  <dimension ref="B3:AG147"/>
  <sheetViews>
    <sheetView showGridLines="0" showZeros="0" zoomScale="80" zoomScaleNormal="80" workbookViewId="0">
      <selection activeCell="I9" sqref="I9"/>
    </sheetView>
  </sheetViews>
  <sheetFormatPr defaultRowHeight="14.25" outlineLevelRow="1"/>
  <cols>
    <col min="1" max="1" width="2.140625" style="1365" customWidth="1"/>
    <col min="2" max="2" width="42" style="1365" customWidth="1"/>
    <col min="3" max="3" width="7.42578125" style="1365" customWidth="1"/>
    <col min="4" max="4" width="8.42578125" style="1365" customWidth="1"/>
    <col min="5" max="5" width="23.5703125" style="1365" customWidth="1"/>
    <col min="6" max="6" width="4.7109375" style="1365" bestFit="1" customWidth="1"/>
    <col min="7" max="7" width="11.42578125" style="1365" customWidth="1"/>
    <col min="8" max="8" width="10.85546875" style="1364" customWidth="1"/>
    <col min="9" max="9" width="9.28515625" style="1401" customWidth="1"/>
    <col min="10" max="10" width="10.28515625" style="1364" customWidth="1"/>
    <col min="11" max="11" width="10.5703125" style="1401" customWidth="1"/>
    <col min="12" max="12" width="10.42578125" style="1401" bestFit="1" customWidth="1"/>
    <col min="13" max="13" width="6.85546875" style="1365" bestFit="1" customWidth="1"/>
    <col min="14" max="14" width="7.42578125" style="1365" bestFit="1" customWidth="1"/>
    <col min="15" max="15" width="21.5703125" style="1365" customWidth="1"/>
    <col min="16" max="16" width="9.140625" style="1364"/>
    <col min="17" max="17" width="10.140625" style="1365" bestFit="1" customWidth="1"/>
    <col min="18" max="16384" width="9.140625" style="1365"/>
  </cols>
  <sheetData>
    <row r="3" spans="2:16" ht="15.75">
      <c r="B3" s="1358" t="s">
        <v>618</v>
      </c>
      <c r="C3" s="1359"/>
      <c r="D3" s="1360"/>
      <c r="E3" s="1360"/>
      <c r="F3" s="1360"/>
      <c r="G3" s="1360"/>
      <c r="H3" s="1361"/>
      <c r="I3" s="1362"/>
      <c r="J3" s="1361"/>
      <c r="K3" s="1362"/>
      <c r="L3" s="1362"/>
      <c r="M3" s="1360"/>
      <c r="N3" s="1360"/>
      <c r="O3" s="1363" t="s">
        <v>619</v>
      </c>
    </row>
    <row r="4" spans="2:16" ht="15" customHeight="1">
      <c r="B4" s="2707" t="s">
        <v>620</v>
      </c>
      <c r="C4" s="2707" t="s">
        <v>621</v>
      </c>
      <c r="D4" s="2707" t="s">
        <v>255</v>
      </c>
      <c r="E4" s="2708" t="s">
        <v>622</v>
      </c>
      <c r="F4" s="2708" t="s">
        <v>623</v>
      </c>
      <c r="G4" s="2708" t="s">
        <v>624</v>
      </c>
      <c r="H4" s="2701" t="s">
        <v>625</v>
      </c>
      <c r="I4" s="2702"/>
      <c r="J4" s="2703" t="s">
        <v>626</v>
      </c>
      <c r="K4" s="2704"/>
      <c r="L4" s="1366" t="s">
        <v>627</v>
      </c>
      <c r="M4" s="1367" t="s">
        <v>628</v>
      </c>
      <c r="N4" s="1367" t="s">
        <v>629</v>
      </c>
      <c r="O4" s="2705" t="s">
        <v>630</v>
      </c>
    </row>
    <row r="5" spans="2:16" ht="25.5">
      <c r="B5" s="2707"/>
      <c r="C5" s="2707"/>
      <c r="D5" s="2707"/>
      <c r="E5" s="2708"/>
      <c r="F5" s="2708"/>
      <c r="G5" s="2708"/>
      <c r="H5" s="1368" t="s">
        <v>631</v>
      </c>
      <c r="I5" s="1369" t="s">
        <v>269</v>
      </c>
      <c r="J5" s="1370" t="s">
        <v>631</v>
      </c>
      <c r="K5" s="1371" t="s">
        <v>269</v>
      </c>
      <c r="L5" s="1372" t="s">
        <v>632</v>
      </c>
      <c r="M5" s="1372" t="s">
        <v>632</v>
      </c>
      <c r="N5" s="1373" t="s">
        <v>632</v>
      </c>
      <c r="O5" s="2706"/>
    </row>
    <row r="6" spans="2:16">
      <c r="B6" s="1374" t="str">
        <f>'Estimate Detail'!C78</f>
        <v>Structural Steel</v>
      </c>
      <c r="C6" s="1375"/>
      <c r="D6" s="1375"/>
      <c r="E6" s="1376"/>
      <c r="F6" s="1375"/>
      <c r="G6" s="1377"/>
      <c r="H6" s="1378"/>
      <c r="I6" s="1379"/>
      <c r="J6" s="1378"/>
      <c r="K6" s="1379"/>
      <c r="L6" s="1379"/>
      <c r="M6" s="1380"/>
      <c r="N6" s="1380"/>
      <c r="O6" s="1381"/>
    </row>
    <row r="7" spans="2:16">
      <c r="B7" s="1382" t="str">
        <f>'Estimate Detail'!C79</f>
        <v>Main steel structure - Assy No. 07</v>
      </c>
      <c r="C7" s="1383" t="str">
        <f>'Estimate Detail'!S79</f>
        <v>R</v>
      </c>
      <c r="D7" s="1384" t="str">
        <f>'Estimate Detail'!T79</f>
        <v>D</v>
      </c>
      <c r="E7" s="1385" t="str">
        <f>'Estimate Detail'!U79</f>
        <v>Ningbo Huaye</v>
      </c>
      <c r="F7" s="1386" t="s">
        <v>633</v>
      </c>
      <c r="G7" s="1387">
        <f>'Estimate Detail'!E79</f>
        <v>0</v>
      </c>
      <c r="H7" s="1388" t="e">
        <f>IF(F7="KG",I7/G7*1000,0)</f>
        <v>#DIV/0!</v>
      </c>
      <c r="I7" s="1389">
        <f>'Estimate Detail'!X79</f>
        <v>0</v>
      </c>
      <c r="J7" s="1388" t="e">
        <f>IF(F7="KG",K7/G7*1000,0)</f>
        <v>#DIV/0!</v>
      </c>
      <c r="K7" s="1389">
        <f>'Estimate Detail'!H79</f>
        <v>0</v>
      </c>
      <c r="L7" s="1390">
        <f>-'Estimate Detail'!Y79</f>
        <v>0</v>
      </c>
      <c r="M7" s="1391"/>
      <c r="N7" s="1391">
        <f t="shared" ref="N7:N68" si="0">L7+M7</f>
        <v>0</v>
      </c>
      <c r="O7" s="1392"/>
    </row>
    <row r="8" spans="2:16">
      <c r="B8" s="1382" t="str">
        <f>'Estimate Detail'!C80</f>
        <v>Top Girder - Assy No. 07</v>
      </c>
      <c r="C8" s="1383" t="str">
        <f>'Estimate Detail'!S80</f>
        <v>R</v>
      </c>
      <c r="D8" s="1384" t="str">
        <f>'Estimate Detail'!T80</f>
        <v>D</v>
      </c>
      <c r="E8" s="1385" t="str">
        <f>'Estimate Detail'!U80</f>
        <v>Ningbo Huaye</v>
      </c>
      <c r="F8" s="1386" t="s">
        <v>633</v>
      </c>
      <c r="G8" s="1387">
        <f>'Estimate Detail'!E80</f>
        <v>0</v>
      </c>
      <c r="H8" s="1388" t="e">
        <f>IF(F8="KG",I8/G8*1000,0)</f>
        <v>#DIV/0!</v>
      </c>
      <c r="I8" s="1389">
        <f>'Estimate Detail'!X80</f>
        <v>0</v>
      </c>
      <c r="J8" s="1388" t="e">
        <f>IF(F8="KG",K8/G8*1000,0)</f>
        <v>#DIV/0!</v>
      </c>
      <c r="K8" s="1389">
        <f>'Estimate Detail'!H80</f>
        <v>0</v>
      </c>
      <c r="L8" s="1390">
        <f>-'Estimate Detail'!Y80</f>
        <v>0</v>
      </c>
      <c r="M8" s="1391"/>
      <c r="N8" s="1391">
        <f t="shared" si="0"/>
        <v>0</v>
      </c>
      <c r="O8" s="1392"/>
    </row>
    <row r="9" spans="2:16">
      <c r="B9" s="1382" t="str">
        <f>'Estimate Detail'!C81</f>
        <v>Secondary SS  - Assy No. 07</v>
      </c>
      <c r="C9" s="1383" t="str">
        <f>'Estimate Detail'!S81</f>
        <v>R</v>
      </c>
      <c r="D9" s="1384" t="str">
        <f>'Estimate Detail'!T81</f>
        <v>D</v>
      </c>
      <c r="E9" s="1385" t="str">
        <f>'Estimate Detail'!U81</f>
        <v>Ningbo Huaye</v>
      </c>
      <c r="F9" s="1386" t="s">
        <v>633</v>
      </c>
      <c r="G9" s="1387">
        <f>'Estimate Detail'!E81</f>
        <v>0</v>
      </c>
      <c r="H9" s="1388" t="e">
        <f>IF(F9="KG",I9/G9*1000,0)</f>
        <v>#DIV/0!</v>
      </c>
      <c r="I9" s="1389">
        <f>'Estimate Detail'!X81</f>
        <v>0</v>
      </c>
      <c r="J9" s="1388" t="e">
        <f>IF(F9="KG",K9/G9*1000,0)</f>
        <v>#DIV/0!</v>
      </c>
      <c r="K9" s="1389">
        <f>'Estimate Detail'!H81</f>
        <v>0</v>
      </c>
      <c r="L9" s="1390">
        <f>-'Estimate Detail'!Y81</f>
        <v>0</v>
      </c>
      <c r="M9" s="1391"/>
      <c r="N9" s="1391">
        <f t="shared" si="0"/>
        <v>0</v>
      </c>
      <c r="O9" s="1392"/>
    </row>
    <row r="10" spans="2:16">
      <c r="B10" s="1382" t="str">
        <f>'Estimate Detail'!C82</f>
        <v>Cross Member - Assy No. 07</v>
      </c>
      <c r="C10" s="1383" t="str">
        <f>'Estimate Detail'!S82</f>
        <v>R</v>
      </c>
      <c r="D10" s="1384" t="str">
        <f>'Estimate Detail'!T82</f>
        <v>D</v>
      </c>
      <c r="E10" s="1385" t="str">
        <f>'Estimate Detail'!U82</f>
        <v>Ningbo Huaye</v>
      </c>
      <c r="F10" s="1386" t="s">
        <v>633</v>
      </c>
      <c r="G10" s="1387">
        <f>'Estimate Detail'!E82</f>
        <v>0</v>
      </c>
      <c r="H10" s="1388" t="e">
        <f>IF(F10="KG",I10/G10*1000,0)</f>
        <v>#DIV/0!</v>
      </c>
      <c r="I10" s="1389">
        <f>'Estimate Detail'!X82</f>
        <v>0</v>
      </c>
      <c r="J10" s="1388" t="e">
        <f>IF(F10="KG",K10/G10*1000,0)</f>
        <v>#DIV/0!</v>
      </c>
      <c r="K10" s="1389">
        <f>'Estimate Detail'!H82</f>
        <v>0</v>
      </c>
      <c r="L10" s="1390">
        <f>-'Estimate Detail'!Y82</f>
        <v>0</v>
      </c>
      <c r="M10" s="1391"/>
      <c r="N10" s="1391">
        <f t="shared" si="0"/>
        <v>0</v>
      </c>
      <c r="O10" s="1392"/>
    </row>
    <row r="11" spans="2:16" outlineLevel="1">
      <c r="B11" s="1382" t="str">
        <f>'Estimate Detail'!C84</f>
        <v>High Strength Bolt for SS - Assy No. 07</v>
      </c>
      <c r="C11" s="1383">
        <f>'Estimate Detail'!S84</f>
        <v>0</v>
      </c>
      <c r="D11" s="1384">
        <f>'Estimate Detail'!T84</f>
        <v>0</v>
      </c>
      <c r="E11" s="1385">
        <f>'Estimate Detail'!U84</f>
        <v>0</v>
      </c>
      <c r="F11" s="1386" t="s">
        <v>644</v>
      </c>
      <c r="G11" s="1387">
        <f>'Estimate Detail'!E84</f>
        <v>0</v>
      </c>
      <c r="H11" s="1388"/>
      <c r="I11" s="1389">
        <f>'Estimate Detail'!X84</f>
        <v>0</v>
      </c>
      <c r="J11" s="1388"/>
      <c r="K11" s="1389">
        <f>'Estimate Detail'!H84</f>
        <v>0</v>
      </c>
      <c r="L11" s="1390">
        <f>-'Estimate Detail'!Y84</f>
        <v>0</v>
      </c>
      <c r="M11" s="1391"/>
      <c r="N11" s="1391">
        <f t="shared" si="0"/>
        <v>0</v>
      </c>
      <c r="O11" s="1392"/>
    </row>
    <row r="12" spans="2:16" s="1393" customFormat="1" outlineLevel="1">
      <c r="B12" s="1382" t="str">
        <f>'Estimate Detail'!C247</f>
        <v>Steel structure Site painting - Assy No. 07</v>
      </c>
      <c r="C12" s="1383">
        <f>'Estimate Detail'!S247</f>
        <v>0</v>
      </c>
      <c r="D12" s="1384">
        <f>'Estimate Detail'!T247</f>
        <v>0</v>
      </c>
      <c r="E12" s="1385">
        <f>'Estimate Detail'!U247</f>
        <v>0</v>
      </c>
      <c r="F12" s="1386" t="s">
        <v>644</v>
      </c>
      <c r="G12" s="1387">
        <f>'Estimate Detail'!E247</f>
        <v>0</v>
      </c>
      <c r="H12" s="1388"/>
      <c r="I12" s="1389">
        <f>'Estimate Detail'!X247</f>
        <v>0</v>
      </c>
      <c r="J12" s="1388"/>
      <c r="K12" s="1389">
        <f>'Estimate Detail'!H247</f>
        <v>0</v>
      </c>
      <c r="L12" s="1390">
        <f>-'Estimate Detail'!Y247</f>
        <v>0</v>
      </c>
      <c r="M12" s="1391"/>
      <c r="N12" s="1391">
        <f t="shared" si="0"/>
        <v>0</v>
      </c>
      <c r="O12" s="1392"/>
      <c r="P12" s="1364"/>
    </row>
    <row r="13" spans="2:16" outlineLevel="1">
      <c r="B13" s="1382" t="str">
        <f>'Estimate Detail'!C85</f>
        <v>Coal silos - Assy No. 07</v>
      </c>
      <c r="C13" s="1383">
        <f>'Estimate Detail'!S85</f>
        <v>0</v>
      </c>
      <c r="D13" s="1384">
        <f>'Estimate Detail'!T85</f>
        <v>0</v>
      </c>
      <c r="E13" s="1385">
        <f>'Estimate Detail'!U85</f>
        <v>0</v>
      </c>
      <c r="F13" s="1386" t="s">
        <v>644</v>
      </c>
      <c r="G13" s="1387">
        <f>'Estimate Detail'!E85</f>
        <v>0</v>
      </c>
      <c r="H13" s="1388"/>
      <c r="I13" s="1389">
        <f>'Estimate Detail'!X85</f>
        <v>0</v>
      </c>
      <c r="J13" s="1388"/>
      <c r="K13" s="1389">
        <f>'Estimate Detail'!H85</f>
        <v>0</v>
      </c>
      <c r="L13" s="1390">
        <f>-'Estimate Detail'!Y85</f>
        <v>0</v>
      </c>
      <c r="M13" s="1391"/>
      <c r="N13" s="1391">
        <f t="shared" si="0"/>
        <v>0</v>
      </c>
      <c r="O13" s="1392"/>
    </row>
    <row r="14" spans="2:16">
      <c r="B14" s="1382" t="str">
        <f>'Estimate Detail'!C86</f>
        <v>Provide FD fan Rain Enclosures - Assy No. 07</v>
      </c>
      <c r="C14" s="1383" t="str">
        <f>'Estimate Detail'!S86</f>
        <v>E</v>
      </c>
      <c r="D14" s="1384" t="str">
        <f>'Estimate Detail'!T86</f>
        <v>D</v>
      </c>
      <c r="E14" s="1385" t="str">
        <f>'Estimate Detail'!U86</f>
        <v>Unknown Supplier</v>
      </c>
      <c r="F14" s="1386" t="s">
        <v>644</v>
      </c>
      <c r="G14" s="1387">
        <f>'Estimate Detail'!E86</f>
        <v>0</v>
      </c>
      <c r="H14" s="1388"/>
      <c r="I14" s="1389">
        <f>'Estimate Detail'!X86</f>
        <v>0</v>
      </c>
      <c r="J14" s="1388"/>
      <c r="K14" s="1389">
        <f>'Estimate Detail'!H86</f>
        <v>0</v>
      </c>
      <c r="L14" s="1390">
        <f>-'Estimate Detail'!Y86</f>
        <v>0</v>
      </c>
      <c r="M14" s="1391"/>
      <c r="N14" s="1391">
        <f>L14+M14</f>
        <v>0</v>
      </c>
      <c r="O14" s="1392"/>
    </row>
    <row r="15" spans="2:16" s="1393" customFormat="1">
      <c r="B15" s="1374" t="str">
        <f>'Estimate Detail'!C87</f>
        <v>Platforms &amp; Stairs</v>
      </c>
      <c r="C15" s="1375"/>
      <c r="D15" s="1375"/>
      <c r="E15" s="1376"/>
      <c r="F15" s="1375"/>
      <c r="G15" s="1377"/>
      <c r="H15" s="1378"/>
      <c r="I15" s="1379"/>
      <c r="J15" s="1378"/>
      <c r="K15" s="1379"/>
      <c r="L15" s="1379"/>
      <c r="M15" s="1380"/>
      <c r="N15" s="1380">
        <f t="shared" si="0"/>
        <v>0</v>
      </c>
      <c r="O15" s="1381"/>
      <c r="P15" s="1364"/>
    </row>
    <row r="16" spans="2:16" s="1393" customFormat="1">
      <c r="B16" s="1382" t="str">
        <f>'Estimate Detail'!C88</f>
        <v>Platforms - Assy No. 08</v>
      </c>
      <c r="C16" s="1383" t="str">
        <f>'Estimate Detail'!S88</f>
        <v>R</v>
      </c>
      <c r="D16" s="1384" t="str">
        <f>'Estimate Detail'!T88</f>
        <v>D</v>
      </c>
      <c r="E16" s="1385" t="str">
        <f>'Estimate Detail'!U88</f>
        <v>Sinosteel Yantai</v>
      </c>
      <c r="F16" s="1386" t="s">
        <v>633</v>
      </c>
      <c r="G16" s="1387">
        <f>'Estimate Detail'!E88</f>
        <v>0</v>
      </c>
      <c r="H16" s="1388" t="e">
        <f>IF(F16="KG",I16/G16*1000,0)</f>
        <v>#DIV/0!</v>
      </c>
      <c r="I16" s="1389">
        <f>'Estimate Detail'!X88</f>
        <v>0</v>
      </c>
      <c r="J16" s="1388" t="e">
        <f>IF(F16="KG",K16/G16*1000,0)</f>
        <v>#DIV/0!</v>
      </c>
      <c r="K16" s="1389">
        <f>'Estimate Detail'!H88</f>
        <v>0</v>
      </c>
      <c r="L16" s="1390">
        <f>-'Estimate Detail'!Y88</f>
        <v>0</v>
      </c>
      <c r="M16" s="1391"/>
      <c r="N16" s="1391">
        <f t="shared" si="0"/>
        <v>0</v>
      </c>
      <c r="O16" s="1392"/>
      <c r="P16" s="1364"/>
    </row>
    <row r="17" spans="2:16">
      <c r="B17" s="1382" t="str">
        <f>'Estimate Detail'!C89</f>
        <v>Stairs - Assy No. 08</v>
      </c>
      <c r="C17" s="1383" t="str">
        <f>'Estimate Detail'!S89</f>
        <v>R</v>
      </c>
      <c r="D17" s="1384" t="str">
        <f>'Estimate Detail'!T89</f>
        <v>D</v>
      </c>
      <c r="E17" s="1385" t="str">
        <f>'Estimate Detail'!U89</f>
        <v>Sinosteel Yantai</v>
      </c>
      <c r="F17" s="1386" t="s">
        <v>633</v>
      </c>
      <c r="G17" s="1387">
        <f>'Estimate Detail'!E89</f>
        <v>0</v>
      </c>
      <c r="H17" s="1388" t="e">
        <f>IF(F17="KG",I17/G17*1000,0)</f>
        <v>#DIV/0!</v>
      </c>
      <c r="I17" s="1389">
        <f>'Estimate Detail'!X89</f>
        <v>0</v>
      </c>
      <c r="J17" s="1388" t="e">
        <f>IF(F17="KG",K17/G17*1000,0)</f>
        <v>#DIV/0!</v>
      </c>
      <c r="K17" s="1389">
        <f>'Estimate Detail'!H89</f>
        <v>0</v>
      </c>
      <c r="L17" s="1390">
        <f>-'Estimate Detail'!Y89</f>
        <v>0</v>
      </c>
      <c r="M17" s="1391"/>
      <c r="N17" s="1391">
        <f t="shared" si="0"/>
        <v>0</v>
      </c>
      <c r="O17" s="1392"/>
    </row>
    <row r="18" spans="2:16" outlineLevel="1">
      <c r="B18" s="2001" t="str">
        <f>'Estimate Detail'!C90</f>
        <v>Boiler Roof and External Cladding - Assy No. 36</v>
      </c>
      <c r="C18" s="1383">
        <f>'Estimate Detail'!S90</f>
        <v>0</v>
      </c>
      <c r="D18" s="1384">
        <f>'Estimate Detail'!T90</f>
        <v>0</v>
      </c>
      <c r="E18" s="1385">
        <f>'Estimate Detail'!U90</f>
        <v>0</v>
      </c>
      <c r="F18" s="1386" t="s">
        <v>644</v>
      </c>
      <c r="G18" s="1387">
        <f>'Estimate Detail'!E90</f>
        <v>0</v>
      </c>
      <c r="H18" s="1388"/>
      <c r="I18" s="1389">
        <f>'Estimate Detail'!X90</f>
        <v>0</v>
      </c>
      <c r="J18" s="1388"/>
      <c r="K18" s="1389">
        <f>'Estimate Detail'!H90</f>
        <v>0</v>
      </c>
      <c r="L18" s="1390">
        <f>-'Estimate Detail'!Y90</f>
        <v>0</v>
      </c>
      <c r="M18" s="1391"/>
      <c r="N18" s="1391">
        <f t="shared" si="0"/>
        <v>0</v>
      </c>
      <c r="O18" s="1392"/>
    </row>
    <row r="19" spans="2:16" s="1395" customFormat="1" ht="13.5">
      <c r="B19" s="1374" t="str">
        <f>'Estimate Detail'!C93</f>
        <v>Buckstays</v>
      </c>
      <c r="C19" s="1375">
        <f>'Estimate Detail'!S93</f>
        <v>0</v>
      </c>
      <c r="D19" s="1375">
        <f>'Estimate Detail'!T93</f>
        <v>0</v>
      </c>
      <c r="E19" s="1376"/>
      <c r="F19" s="1375"/>
      <c r="G19" s="1377"/>
      <c r="H19" s="1378"/>
      <c r="I19" s="1379"/>
      <c r="J19" s="1378"/>
      <c r="K19" s="1379"/>
      <c r="L19" s="1379"/>
      <c r="M19" s="1380"/>
      <c r="N19" s="1380"/>
      <c r="O19" s="1381"/>
      <c r="P19" s="1394"/>
    </row>
    <row r="20" spans="2:16" s="1395" customFormat="1" ht="13.5">
      <c r="B20" s="1382" t="str">
        <f>'Estimate Detail'!C94</f>
        <v>Buckstays - Assy No. 33</v>
      </c>
      <c r="C20" s="1383" t="str">
        <f>'Estimate Detail'!S94</f>
        <v>R</v>
      </c>
      <c r="D20" s="1384" t="str">
        <f>'Estimate Detail'!T94</f>
        <v>D</v>
      </c>
      <c r="E20" s="1385" t="str">
        <f>'Estimate Detail'!U94</f>
        <v>Wuhan Beifang</v>
      </c>
      <c r="F20" s="1386" t="s">
        <v>633</v>
      </c>
      <c r="G20" s="1387">
        <f>'Estimate Detail'!E94</f>
        <v>0</v>
      </c>
      <c r="H20" s="1388" t="e">
        <f>IF(F20="KG",I20/G20*1000,0)</f>
        <v>#DIV/0!</v>
      </c>
      <c r="I20" s="1389">
        <f>'Estimate Detail'!X94</f>
        <v>0</v>
      </c>
      <c r="J20" s="1388" t="e">
        <f>IF(F20="KG",K20/G20*1000,0)</f>
        <v>#DIV/0!</v>
      </c>
      <c r="K20" s="1389">
        <f>'Estimate Detail'!H94</f>
        <v>0</v>
      </c>
      <c r="L20" s="1390">
        <f>-'Estimate Detail'!Y94</f>
        <v>0</v>
      </c>
      <c r="M20" s="1391"/>
      <c r="N20" s="1391">
        <f t="shared" si="0"/>
        <v>0</v>
      </c>
      <c r="O20" s="1392"/>
      <c r="P20" s="1394"/>
    </row>
    <row r="21" spans="2:16" outlineLevel="1">
      <c r="B21" s="1382" t="str">
        <f>'Estimate Detail'!C95</f>
        <v>High strength bolt for Buckstays - Assy No. 33</v>
      </c>
      <c r="C21" s="1383">
        <f>'Estimate Detail'!S95</f>
        <v>0</v>
      </c>
      <c r="D21" s="1384">
        <f>'Estimate Detail'!T95</f>
        <v>0</v>
      </c>
      <c r="E21" s="1385">
        <f>'Estimate Detail'!U95</f>
        <v>0</v>
      </c>
      <c r="F21" s="1386" t="s">
        <v>644</v>
      </c>
      <c r="G21" s="1387">
        <f>'Estimate Detail'!E95</f>
        <v>0</v>
      </c>
      <c r="H21" s="1388"/>
      <c r="I21" s="1389">
        <f>'Estimate Detail'!X95</f>
        <v>0</v>
      </c>
      <c r="J21" s="1388"/>
      <c r="K21" s="1389">
        <f>'Estimate Detail'!H95</f>
        <v>0</v>
      </c>
      <c r="L21" s="1390">
        <f>-'Estimate Detail'!Y95</f>
        <v>0</v>
      </c>
      <c r="M21" s="1391"/>
      <c r="N21" s="1391">
        <f t="shared" si="0"/>
        <v>0</v>
      </c>
      <c r="O21" s="1392"/>
    </row>
    <row r="22" spans="2:16">
      <c r="B22" s="2001" t="str">
        <f>'Estimate Detail'!C96</f>
        <v>Outer Casing - Assy No. 09</v>
      </c>
      <c r="C22" s="1383" t="str">
        <f>'Estimate Detail'!S96</f>
        <v>R</v>
      </c>
      <c r="D22" s="1384" t="str">
        <f>'Estimate Detail'!T96</f>
        <v>D</v>
      </c>
      <c r="E22" s="1385" t="str">
        <f>'Estimate Detail'!U96</f>
        <v>Yixing Kaimeilong</v>
      </c>
      <c r="F22" s="1386" t="s">
        <v>633</v>
      </c>
      <c r="G22" s="1387">
        <f>'Estimate Detail'!E96</f>
        <v>0</v>
      </c>
      <c r="H22" s="1388"/>
      <c r="I22" s="1389">
        <f>'Estimate Detail'!X96</f>
        <v>0</v>
      </c>
      <c r="J22" s="1388"/>
      <c r="K22" s="1389">
        <f>'Estimate Detail'!H96</f>
        <v>0</v>
      </c>
      <c r="L22" s="1390">
        <f>-'Estimate Detail'!Y96</f>
        <v>0</v>
      </c>
      <c r="M22" s="1391"/>
      <c r="N22" s="1391">
        <f t="shared" si="0"/>
        <v>0</v>
      </c>
      <c r="O22" s="1392"/>
    </row>
    <row r="23" spans="2:16" outlineLevel="1">
      <c r="B23" s="2001" t="str">
        <f>'Estimate Detail'!C99</f>
        <v>Top Enclosure - Assy No. 34</v>
      </c>
      <c r="C23" s="1383">
        <f>'Estimate Detail'!S99</f>
        <v>0</v>
      </c>
      <c r="D23" s="1384">
        <f>'Estimate Detail'!T99</f>
        <v>0</v>
      </c>
      <c r="E23" s="1385">
        <f>'Estimate Detail'!U99</f>
        <v>0</v>
      </c>
      <c r="F23" s="1386" t="s">
        <v>633</v>
      </c>
      <c r="G23" s="1387">
        <f>'Estimate Detail'!E99</f>
        <v>0</v>
      </c>
      <c r="H23" s="1388"/>
      <c r="I23" s="1389">
        <f>'Estimate Detail'!X99</f>
        <v>0</v>
      </c>
      <c r="J23" s="1388"/>
      <c r="K23" s="1389">
        <f>'Estimate Detail'!H99</f>
        <v>0</v>
      </c>
      <c r="L23" s="1390">
        <f>-'Estimate Detail'!Y99</f>
        <v>0</v>
      </c>
      <c r="M23" s="1391"/>
      <c r="N23" s="1391">
        <f t="shared" si="0"/>
        <v>0</v>
      </c>
      <c r="O23" s="1392"/>
    </row>
    <row r="24" spans="2:16" outlineLevel="1">
      <c r="B24" s="2001" t="str">
        <f>'Estimate Detail'!C100</f>
        <v>Skin Casing - Assy No. 35</v>
      </c>
      <c r="C24" s="1383">
        <f>'Estimate Detail'!S100</f>
        <v>0</v>
      </c>
      <c r="D24" s="1384">
        <f>'Estimate Detail'!T100</f>
        <v>0</v>
      </c>
      <c r="E24" s="1385">
        <f>'Estimate Detail'!U100</f>
        <v>0</v>
      </c>
      <c r="F24" s="1386" t="s">
        <v>633</v>
      </c>
      <c r="G24" s="1387">
        <f>'Estimate Detail'!E100</f>
        <v>0</v>
      </c>
      <c r="H24" s="1388"/>
      <c r="I24" s="1389">
        <f>'Estimate Detail'!X100</f>
        <v>0</v>
      </c>
      <c r="J24" s="1388"/>
      <c r="K24" s="1389">
        <f>'Estimate Detail'!H100</f>
        <v>0</v>
      </c>
      <c r="L24" s="1390">
        <f>-'Estimate Detail'!Y100</f>
        <v>0</v>
      </c>
      <c r="M24" s="1391"/>
      <c r="N24" s="1391">
        <f t="shared" si="0"/>
        <v>0</v>
      </c>
      <c r="O24" s="1392"/>
    </row>
    <row r="25" spans="2:16" outlineLevel="1">
      <c r="B25" s="2001" t="str">
        <f>'Estimate Detail'!C98</f>
        <v>Windbox Hangers &amp; Supports - Assy No. 12</v>
      </c>
      <c r="C25" s="1383">
        <f>'Estimate Detail'!S98</f>
        <v>0</v>
      </c>
      <c r="D25" s="1384">
        <f>'Estimate Detail'!T98</f>
        <v>0</v>
      </c>
      <c r="E25" s="1385">
        <f>'Estimate Detail'!U98</f>
        <v>0</v>
      </c>
      <c r="F25" s="1386" t="s">
        <v>633</v>
      </c>
      <c r="G25" s="1387">
        <f>'Estimate Detail'!E98</f>
        <v>0</v>
      </c>
      <c r="H25" s="1388"/>
      <c r="I25" s="1389">
        <f>'Estimate Detail'!X98</f>
        <v>0</v>
      </c>
      <c r="J25" s="1388"/>
      <c r="K25" s="1389">
        <f>'Estimate Detail'!H98</f>
        <v>0</v>
      </c>
      <c r="L25" s="1390">
        <f>-'Estimate Detail'!Y98</f>
        <v>0</v>
      </c>
      <c r="M25" s="1391"/>
      <c r="N25" s="1391">
        <f t="shared" si="0"/>
        <v>0</v>
      </c>
      <c r="O25" s="1392"/>
    </row>
    <row r="26" spans="2:16">
      <c r="B26" s="2001" t="str">
        <f>'Estimate Detail'!C101</f>
        <v>Pressure Parts Hangers &amp; Supports - Assy No. 32</v>
      </c>
      <c r="C26" s="1383" t="str">
        <f>'Estimate Detail'!S101</f>
        <v>R</v>
      </c>
      <c r="D26" s="1384" t="str">
        <f>'Estimate Detail'!T101</f>
        <v>D</v>
      </c>
      <c r="E26" s="1385" t="str">
        <f>'Estimate Detail'!U101</f>
        <v>Yangzhou Huayuan</v>
      </c>
      <c r="F26" s="1386" t="s">
        <v>633</v>
      </c>
      <c r="G26" s="1387">
        <f>'Estimate Detail'!E101</f>
        <v>0</v>
      </c>
      <c r="H26" s="1388" t="e">
        <f>IF(F26="KG",I26/G26*1000,0)</f>
        <v>#DIV/0!</v>
      </c>
      <c r="I26" s="1389">
        <f>'Estimate Detail'!X101</f>
        <v>0</v>
      </c>
      <c r="J26" s="1388" t="e">
        <f>IF(F26="KG",K26/G26*1000,0)</f>
        <v>#DIV/0!</v>
      </c>
      <c r="K26" s="1389">
        <f>'Estimate Detail'!H101</f>
        <v>0</v>
      </c>
      <c r="L26" s="1390">
        <f>-'Estimate Detail'!Y101</f>
        <v>0</v>
      </c>
      <c r="M26" s="1391"/>
      <c r="N26" s="1391">
        <f t="shared" si="0"/>
        <v>0</v>
      </c>
      <c r="O26" s="1392"/>
    </row>
    <row r="27" spans="2:16" s="1393" customFormat="1" ht="27.75" customHeight="1">
      <c r="B27" s="2001" t="str">
        <f>'Estimate Detail'!C102</f>
        <v>Start Up System Hangers - Assy No. 64</v>
      </c>
      <c r="C27" s="1383" t="str">
        <f>'Estimate Detail'!S102</f>
        <v>R</v>
      </c>
      <c r="D27" s="1384" t="str">
        <f>'Estimate Detail'!T102</f>
        <v>D</v>
      </c>
      <c r="E27" s="1385" t="str">
        <f>'Estimate Detail'!U102</f>
        <v>Yangzhou Huayuan</v>
      </c>
      <c r="F27" s="1386" t="s">
        <v>633</v>
      </c>
      <c r="G27" s="1387">
        <f>'Estimate Detail'!E102</f>
        <v>0</v>
      </c>
      <c r="H27" s="1388" t="e">
        <f>IF(F27="KG",I27/G27*1000,0)</f>
        <v>#DIV/0!</v>
      </c>
      <c r="I27" s="1389">
        <f>'Estimate Detail'!X102</f>
        <v>0</v>
      </c>
      <c r="J27" s="1388" t="e">
        <f>IF(F27="KG",K27/G27*1000,0)</f>
        <v>#DIV/0!</v>
      </c>
      <c r="K27" s="1389">
        <f>'Estimate Detail'!H102</f>
        <v>0</v>
      </c>
      <c r="L27" s="1390">
        <f>-'Estimate Detail'!Y102</f>
        <v>0</v>
      </c>
      <c r="M27" s="1391"/>
      <c r="N27" s="1391">
        <f t="shared" si="0"/>
        <v>0</v>
      </c>
      <c r="O27" s="1392"/>
      <c r="P27" s="1364"/>
    </row>
    <row r="28" spans="2:16" s="1393" customFormat="1" ht="17.25" customHeight="1">
      <c r="B28" s="2001" t="str">
        <f>'Estimate Detail'!C103</f>
        <v>Air &amp; Gas Ducts Hangers - Assy No. 41&amp;50</v>
      </c>
      <c r="C28" s="1383" t="str">
        <f>'Estimate Detail'!S103</f>
        <v>E</v>
      </c>
      <c r="D28" s="1384" t="str">
        <f>'Estimate Detail'!T103</f>
        <v>D</v>
      </c>
      <c r="E28" s="1385" t="str">
        <f>'Estimate Detail'!U103</f>
        <v>Jiangsu Power</v>
      </c>
      <c r="F28" s="1386" t="s">
        <v>644</v>
      </c>
      <c r="G28" s="1387">
        <f>'Estimate Detail'!E103</f>
        <v>0</v>
      </c>
      <c r="H28" s="1388"/>
      <c r="I28" s="1389">
        <f>'Estimate Detail'!X103</f>
        <v>0</v>
      </c>
      <c r="J28" s="1388"/>
      <c r="K28" s="1389">
        <f>'Estimate Detail'!H103</f>
        <v>0</v>
      </c>
      <c r="L28" s="1390">
        <f>-'Estimate Detail'!Y103</f>
        <v>0</v>
      </c>
      <c r="M28" s="1391"/>
      <c r="N28" s="1391">
        <f t="shared" si="0"/>
        <v>0</v>
      </c>
      <c r="O28" s="1392"/>
      <c r="P28" s="1364"/>
    </row>
    <row r="29" spans="2:16" s="1393" customFormat="1" ht="17.25" customHeight="1">
      <c r="B29" s="2001" t="str">
        <f>'Estimate Detail'!C104</f>
        <v>Air &amp; Gas Ducts Joint hinge - Assy No. 41&amp;51</v>
      </c>
      <c r="C29" s="1383" t="str">
        <f>'Estimate Detail'!S104</f>
        <v>E</v>
      </c>
      <c r="D29" s="1384" t="str">
        <f>'Estimate Detail'!T104</f>
        <v>D</v>
      </c>
      <c r="E29" s="1385" t="str">
        <f>'Estimate Detail'!U104</f>
        <v>Jiangsu Power</v>
      </c>
      <c r="F29" s="1386" t="s">
        <v>633</v>
      </c>
      <c r="G29" s="1387">
        <f>'Estimate Detail'!E104</f>
        <v>0</v>
      </c>
      <c r="H29" s="1388" t="e">
        <f>IF(F29="KG",I29/G29*1000,0)</f>
        <v>#DIV/0!</v>
      </c>
      <c r="I29" s="1389">
        <f>'Estimate Detail'!X104</f>
        <v>0</v>
      </c>
      <c r="J29" s="1388" t="e">
        <f>IF(F29="KG",K29/G29*1000,0)</f>
        <v>#DIV/0!</v>
      </c>
      <c r="K29" s="1389">
        <f>'Estimate Detail'!H104</f>
        <v>0</v>
      </c>
      <c r="L29" s="1390">
        <f>-'Estimate Detail'!Y104</f>
        <v>0</v>
      </c>
      <c r="M29" s="1391"/>
      <c r="N29" s="1391">
        <f t="shared" si="0"/>
        <v>0</v>
      </c>
      <c r="O29" s="1392"/>
      <c r="P29" s="1364"/>
    </row>
    <row r="30" spans="2:16">
      <c r="B30" s="2001" t="str">
        <f>'Estimate Detail'!C97</f>
        <v>Doors including Connection - Assy No. 23</v>
      </c>
      <c r="C30" s="1383" t="str">
        <f>'Estimate Detail'!S97</f>
        <v>R</v>
      </c>
      <c r="D30" s="1384" t="str">
        <f>'Estimate Detail'!T97</f>
        <v>D</v>
      </c>
      <c r="E30" s="1385" t="str">
        <f>'Estimate Detail'!U97</f>
        <v>Wuhan Huashan</v>
      </c>
      <c r="F30" s="1386" t="s">
        <v>633</v>
      </c>
      <c r="G30" s="1387">
        <f>'Estimate Detail'!E97</f>
        <v>0</v>
      </c>
      <c r="H30" s="1388" t="e">
        <f>IF(F30="KG",I30/G30*1000,0)</f>
        <v>#DIV/0!</v>
      </c>
      <c r="I30" s="1389">
        <f>'Estimate Detail'!X97</f>
        <v>0</v>
      </c>
      <c r="J30" s="1388" t="e">
        <f>IF(F30="KG",K30/G30*1000,0)</f>
        <v>#DIV/0!</v>
      </c>
      <c r="K30" s="1389">
        <f>'Estimate Detail'!H97</f>
        <v>0</v>
      </c>
      <c r="L30" s="1390">
        <f>-'Estimate Detail'!Y97</f>
        <v>0</v>
      </c>
      <c r="M30" s="1391"/>
      <c r="N30" s="1391">
        <f t="shared" si="0"/>
        <v>0</v>
      </c>
      <c r="O30" s="1392"/>
    </row>
    <row r="31" spans="2:16">
      <c r="B31" s="2001" t="str">
        <f>'Estimate Detail'!C107</f>
        <v>Condensate Pumps - Assy No. 64</v>
      </c>
      <c r="C31" s="1383" t="str">
        <f>'Estimate Detail'!S107</f>
        <v>E</v>
      </c>
      <c r="D31" s="1384" t="str">
        <f>'Estimate Detail'!T107</f>
        <v>D</v>
      </c>
      <c r="E31" s="1385" t="str">
        <f>'Estimate Detail'!U107</f>
        <v>Unknown Supplier</v>
      </c>
      <c r="F31" s="1386" t="s">
        <v>644</v>
      </c>
      <c r="G31" s="1387">
        <f>'Estimate Detail'!E107</f>
        <v>0</v>
      </c>
      <c r="H31" s="1388"/>
      <c r="I31" s="1389">
        <f>'Estimate Detail'!X107</f>
        <v>0</v>
      </c>
      <c r="J31" s="1388"/>
      <c r="K31" s="1389">
        <f>'Estimate Detail'!H107</f>
        <v>0</v>
      </c>
      <c r="L31" s="1390">
        <f>-'Estimate Detail'!Y107</f>
        <v>0</v>
      </c>
      <c r="M31" s="1391"/>
      <c r="N31" s="1391">
        <f t="shared" si="0"/>
        <v>0</v>
      </c>
      <c r="O31" s="1392"/>
    </row>
    <row r="32" spans="2:16">
      <c r="B32" s="2001" t="str">
        <f>'Estimate Detail'!C108</f>
        <v>Boiler Circulating Pumps - Assy No. 64</v>
      </c>
      <c r="C32" s="1383" t="str">
        <f>'Estimate Detail'!S108</f>
        <v>R</v>
      </c>
      <c r="D32" s="1384" t="str">
        <f>'Estimate Detail'!T108</f>
        <v>I</v>
      </c>
      <c r="E32" s="1385" t="str">
        <f>'Estimate Detail'!U108</f>
        <v>Torishima</v>
      </c>
      <c r="F32" s="1386" t="s">
        <v>644</v>
      </c>
      <c r="G32" s="1387">
        <f>'Estimate Detail'!E108</f>
        <v>0</v>
      </c>
      <c r="H32" s="1388"/>
      <c r="I32" s="1389">
        <f>K32</f>
        <v>0</v>
      </c>
      <c r="J32" s="1388"/>
      <c r="K32" s="1389">
        <f>'Estimate Detail'!H108</f>
        <v>0</v>
      </c>
      <c r="L32" s="1390">
        <f>-'Estimate Detail'!Y108</f>
        <v>0</v>
      </c>
      <c r="M32" s="1391"/>
      <c r="N32" s="1391">
        <f t="shared" si="0"/>
        <v>0</v>
      </c>
      <c r="O32" s="1392"/>
    </row>
    <row r="33" spans="2:33" s="1393" customFormat="1">
      <c r="B33" s="1374" t="str">
        <f>'Estimate Detail'!C111</f>
        <v>Valves</v>
      </c>
      <c r="C33" s="1375"/>
      <c r="D33" s="1375"/>
      <c r="E33" s="1376"/>
      <c r="F33" s="1375"/>
      <c r="G33" s="1377"/>
      <c r="H33" s="1378"/>
      <c r="I33" s="1379"/>
      <c r="J33" s="1378"/>
      <c r="K33" s="1379"/>
      <c r="L33" s="1379"/>
      <c r="M33" s="1381"/>
      <c r="N33" s="1380">
        <f t="shared" si="0"/>
        <v>0</v>
      </c>
      <c r="O33" s="1381"/>
      <c r="P33" s="1364"/>
    </row>
    <row r="34" spans="2:33">
      <c r="B34" s="1382" t="str">
        <f>'Estimate Detail'!C112</f>
        <v>Safety Valves - Assy No. 24</v>
      </c>
      <c r="C34" s="1383" t="str">
        <f>'Estimate Detail'!S112</f>
        <v>R</v>
      </c>
      <c r="D34" s="1384" t="str">
        <f>'Estimate Detail'!T112</f>
        <v>I</v>
      </c>
      <c r="E34" s="1385" t="str">
        <f>'Estimate Detail'!U112</f>
        <v>Crosby</v>
      </c>
      <c r="F34" s="1386" t="s">
        <v>644</v>
      </c>
      <c r="G34" s="1387">
        <f>'Estimate Detail'!E112</f>
        <v>0</v>
      </c>
      <c r="H34" s="1388"/>
      <c r="I34" s="1389">
        <f>K34</f>
        <v>0</v>
      </c>
      <c r="J34" s="1388"/>
      <c r="K34" s="1389">
        <f>'Estimate Detail'!H112</f>
        <v>0</v>
      </c>
      <c r="L34" s="1390">
        <f>-'Estimate Detail'!Y112</f>
        <v>0</v>
      </c>
      <c r="M34" s="1391"/>
      <c r="N34" s="1391">
        <f t="shared" si="0"/>
        <v>0</v>
      </c>
      <c r="O34" s="1392"/>
    </row>
    <row r="35" spans="2:33" outlineLevel="1">
      <c r="B35" s="1382" t="str">
        <f>'Estimate Detail'!C113</f>
        <v>Gate Valve - Assy No. 24</v>
      </c>
      <c r="C35" s="1383">
        <f>'Estimate Detail'!S113</f>
        <v>0</v>
      </c>
      <c r="D35" s="1384">
        <f>'Estimate Detail'!T113</f>
        <v>0</v>
      </c>
      <c r="E35" s="1385">
        <f>'Estimate Detail'!U113</f>
        <v>0</v>
      </c>
      <c r="F35" s="1386" t="s">
        <v>644</v>
      </c>
      <c r="G35" s="1387">
        <f>'Estimate Detail'!E113</f>
        <v>0</v>
      </c>
      <c r="H35" s="1388"/>
      <c r="I35" s="1389">
        <f>'Estimate Detail'!X113</f>
        <v>0</v>
      </c>
      <c r="J35" s="1388"/>
      <c r="K35" s="1389">
        <f>'Estimate Detail'!H113</f>
        <v>0</v>
      </c>
      <c r="L35" s="1390">
        <f>-'Estimate Detail'!Y113</f>
        <v>0</v>
      </c>
      <c r="M35" s="1391"/>
      <c r="N35" s="1391">
        <f t="shared" si="0"/>
        <v>0</v>
      </c>
      <c r="O35" s="1392"/>
    </row>
    <row r="36" spans="2:33" outlineLevel="1">
      <c r="B36" s="1382" t="str">
        <f>'Estimate Detail'!C114</f>
        <v>Gate Valve - Assy No. 24</v>
      </c>
      <c r="C36" s="1383" t="str">
        <f>'Estimate Detail'!S114</f>
        <v>R</v>
      </c>
      <c r="D36" s="1384" t="str">
        <f>'Estimate Detail'!T114</f>
        <v>I</v>
      </c>
      <c r="E36" s="1385">
        <f>'Estimate Detail'!U114</f>
        <v>0</v>
      </c>
      <c r="F36" s="1386" t="s">
        <v>644</v>
      </c>
      <c r="G36" s="1387">
        <f>'Estimate Detail'!E114</f>
        <v>0</v>
      </c>
      <c r="H36" s="1388"/>
      <c r="I36" s="1389">
        <f>'Estimate Detail'!X114</f>
        <v>0</v>
      </c>
      <c r="J36" s="1388"/>
      <c r="K36" s="1389">
        <f>'Estimate Detail'!H114</f>
        <v>0</v>
      </c>
      <c r="L36" s="1390">
        <f>-'Estimate Detail'!Y114</f>
        <v>0</v>
      </c>
      <c r="M36" s="1391"/>
      <c r="N36" s="1391">
        <f t="shared" si="0"/>
        <v>0</v>
      </c>
      <c r="O36" s="1392"/>
    </row>
    <row r="37" spans="2:33" ht="26.25" customHeight="1">
      <c r="B37" s="1382" t="str">
        <f>'Estimate Detail'!C213</f>
        <v>Control Valves - Assy No. 24</v>
      </c>
      <c r="C37" s="1383" t="str">
        <f>'Estimate Detail'!S213</f>
        <v>R</v>
      </c>
      <c r="D37" s="1384" t="str">
        <f>'Estimate Detail'!T213</f>
        <v>I</v>
      </c>
      <c r="E37" s="1385" t="str">
        <f>'Estimate Detail'!U213</f>
        <v>Valtek</v>
      </c>
      <c r="F37" s="1386" t="s">
        <v>644</v>
      </c>
      <c r="G37" s="1387">
        <f>'Estimate Detail'!E213</f>
        <v>0</v>
      </c>
      <c r="H37" s="1388"/>
      <c r="I37" s="1389">
        <f>'Estimate Detail'!X213</f>
        <v>0</v>
      </c>
      <c r="J37" s="1388"/>
      <c r="K37" s="1389">
        <f>'Estimate Detail'!H213</f>
        <v>0</v>
      </c>
      <c r="L37" s="1390">
        <f>-'Estimate Detail'!Y213</f>
        <v>0</v>
      </c>
      <c r="M37" s="1391"/>
      <c r="N37" s="1391">
        <f t="shared" si="0"/>
        <v>0</v>
      </c>
      <c r="O37" s="1392"/>
    </row>
    <row r="38" spans="2:33" ht="29.25" customHeight="1">
      <c r="B38" s="1382" t="str">
        <f>'Estimate Detail'!C115</f>
        <v>Steam-water System Stop Valve - Assy No. 24</v>
      </c>
      <c r="C38" s="1383" t="str">
        <f>'Estimate Detail'!S115</f>
        <v>R</v>
      </c>
      <c r="D38" s="1384" t="str">
        <f>'Estimate Detail'!T115</f>
        <v>I</v>
      </c>
      <c r="E38" s="1385" t="str">
        <f>'Estimate Detail'!U115</f>
        <v>HP Valve</v>
      </c>
      <c r="F38" s="1386" t="s">
        <v>644</v>
      </c>
      <c r="G38" s="1387">
        <f>'Estimate Detail'!E115</f>
        <v>0</v>
      </c>
      <c r="H38" s="1388"/>
      <c r="I38" s="1389">
        <f>'Estimate Detail'!X115</f>
        <v>0</v>
      </c>
      <c r="J38" s="1388"/>
      <c r="K38" s="1389">
        <f>'Estimate Detail'!H115</f>
        <v>0</v>
      </c>
      <c r="L38" s="1390">
        <f>-'Estimate Detail'!Y115</f>
        <v>0</v>
      </c>
      <c r="M38" s="1391"/>
      <c r="N38" s="1391">
        <f t="shared" si="0"/>
        <v>0</v>
      </c>
      <c r="O38" s="1392"/>
    </row>
    <row r="39" spans="2:33" s="1393" customFormat="1" ht="22.5" customHeight="1">
      <c r="B39" s="1382" t="str">
        <f>'Estimate Detail'!C116</f>
        <v>Steam-water System Stop Valve - Assy No. 24</v>
      </c>
      <c r="C39" s="1383" t="str">
        <f>'Estimate Detail'!S116</f>
        <v>E</v>
      </c>
      <c r="D39" s="1384" t="str">
        <f>'Estimate Detail'!T116</f>
        <v>D</v>
      </c>
      <c r="E39" s="1385" t="str">
        <f>'Estimate Detail'!U116</f>
        <v>HBC Valve</v>
      </c>
      <c r="F39" s="1386" t="s">
        <v>644</v>
      </c>
      <c r="G39" s="1387">
        <f>'Estimate Detail'!E116</f>
        <v>0</v>
      </c>
      <c r="H39" s="1388"/>
      <c r="I39" s="1389">
        <f>'Estimate Detail'!X116</f>
        <v>0</v>
      </c>
      <c r="J39" s="1388"/>
      <c r="K39" s="1389">
        <f>'Estimate Detail'!H116</f>
        <v>0</v>
      </c>
      <c r="L39" s="1390">
        <f>-'Estimate Detail'!Y116</f>
        <v>0</v>
      </c>
      <c r="M39" s="1391"/>
      <c r="N39" s="1391">
        <f t="shared" si="0"/>
        <v>0</v>
      </c>
      <c r="O39" s="1392"/>
      <c r="P39" s="1364"/>
    </row>
    <row r="40" spans="2:33" s="1393" customFormat="1" outlineLevel="1">
      <c r="B40" s="1382" t="str">
        <f>'Estimate Detail'!C117</f>
        <v>Check Valve - Assy No. 24</v>
      </c>
      <c r="C40" s="1383">
        <f>'Estimate Detail'!S117</f>
        <v>0</v>
      </c>
      <c r="D40" s="1384">
        <f>'Estimate Detail'!T117</f>
        <v>0</v>
      </c>
      <c r="E40" s="1385">
        <f>'Estimate Detail'!U117</f>
        <v>0</v>
      </c>
      <c r="F40" s="1386" t="s">
        <v>644</v>
      </c>
      <c r="G40" s="1387">
        <f>'Estimate Detail'!E117</f>
        <v>0</v>
      </c>
      <c r="H40" s="1388"/>
      <c r="I40" s="1389">
        <f>'Estimate Detail'!X117</f>
        <v>0</v>
      </c>
      <c r="J40" s="1388"/>
      <c r="K40" s="1389">
        <f>'Estimate Detail'!H117</f>
        <v>0</v>
      </c>
      <c r="L40" s="1390">
        <f>-'Estimate Detail'!Y117</f>
        <v>0</v>
      </c>
      <c r="M40" s="1391"/>
      <c r="N40" s="1391">
        <f t="shared" si="0"/>
        <v>0</v>
      </c>
      <c r="O40" s="1392"/>
      <c r="P40" s="1364"/>
    </row>
    <row r="41" spans="2:33" s="1393" customFormat="1" ht="32.25" customHeight="1" outlineLevel="1">
      <c r="B41" s="1382" t="str">
        <f>'Estimate Detail'!C118</f>
        <v>Check Valve - Assy No. 24</v>
      </c>
      <c r="C41" s="1383">
        <f>'Estimate Detail'!S118</f>
        <v>0</v>
      </c>
      <c r="D41" s="1384">
        <f>'Estimate Detail'!T118</f>
        <v>0</v>
      </c>
      <c r="E41" s="1385">
        <f>'Estimate Detail'!U118</f>
        <v>0</v>
      </c>
      <c r="F41" s="1386" t="s">
        <v>644</v>
      </c>
      <c r="G41" s="1387">
        <f>'Estimate Detail'!E118</f>
        <v>0</v>
      </c>
      <c r="H41" s="1388"/>
      <c r="I41" s="1389">
        <f>'Estimate Detail'!X118</f>
        <v>0</v>
      </c>
      <c r="J41" s="1388"/>
      <c r="K41" s="1389">
        <f>'Estimate Detail'!H118</f>
        <v>0</v>
      </c>
      <c r="L41" s="1390">
        <f>-'Estimate Detail'!Y118</f>
        <v>0</v>
      </c>
      <c r="M41" s="1391"/>
      <c r="N41" s="1391">
        <f t="shared" si="0"/>
        <v>0</v>
      </c>
      <c r="O41" s="1392"/>
      <c r="P41" s="1364"/>
    </row>
    <row r="42" spans="2:33" s="1393" customFormat="1" ht="21.75" customHeight="1">
      <c r="B42" s="1382" t="str">
        <f>'Estimate Detail'!C119</f>
        <v>Hydrotest Block Valves - Assy No. 24</v>
      </c>
      <c r="C42" s="1383" t="str">
        <f>'Estimate Detail'!S119</f>
        <v>R</v>
      </c>
      <c r="D42" s="1384" t="str">
        <f>'Estimate Detail'!T119</f>
        <v>D</v>
      </c>
      <c r="E42" s="1385" t="str">
        <f>'Estimate Detail'!U119</f>
        <v>HBC Valve</v>
      </c>
      <c r="F42" s="1386" t="s">
        <v>644</v>
      </c>
      <c r="G42" s="1387">
        <f>'Estimate Detail'!E119</f>
        <v>0</v>
      </c>
      <c r="H42" s="1388"/>
      <c r="I42" s="1389">
        <f>'Estimate Detail'!X119</f>
        <v>0</v>
      </c>
      <c r="J42" s="1388"/>
      <c r="K42" s="1389">
        <f>'Estimate Detail'!H119</f>
        <v>0</v>
      </c>
      <c r="L42" s="1390">
        <f>-'Estimate Detail'!Y119</f>
        <v>0</v>
      </c>
      <c r="M42" s="1391"/>
      <c r="N42" s="1391">
        <f t="shared" si="0"/>
        <v>0</v>
      </c>
      <c r="O42" s="1392"/>
      <c r="P42" s="1364"/>
    </row>
    <row r="43" spans="2:33" s="1393" customFormat="1">
      <c r="B43" s="1374" t="str">
        <f>'Estimate Detail'!C120</f>
        <v>Vent Piping &amp; Silencer</v>
      </c>
      <c r="C43" s="1375">
        <f>'Estimate Detail'!S120</f>
        <v>0</v>
      </c>
      <c r="D43" s="1375">
        <f>'Estimate Detail'!T120</f>
        <v>0</v>
      </c>
      <c r="E43" s="1376"/>
      <c r="F43" s="1375"/>
      <c r="G43" s="1377"/>
      <c r="H43" s="1378"/>
      <c r="I43" s="1379"/>
      <c r="J43" s="1378"/>
      <c r="K43" s="1379"/>
      <c r="L43" s="1379"/>
      <c r="M43" s="1381"/>
      <c r="N43" s="1380">
        <f t="shared" si="0"/>
        <v>0</v>
      </c>
      <c r="O43" s="1381"/>
      <c r="P43" s="1364"/>
    </row>
    <row r="44" spans="2:33" s="1393" customFormat="1">
      <c r="B44" s="1382" t="str">
        <f>'Estimate Detail'!C121</f>
        <v>Vent Piping - Assy No. 53</v>
      </c>
      <c r="C44" s="1383" t="str">
        <f>'Estimate Detail'!S121</f>
        <v>R</v>
      </c>
      <c r="D44" s="1384" t="str">
        <f>'Estimate Detail'!T121</f>
        <v>D</v>
      </c>
      <c r="E44" s="1385" t="str">
        <f>'Estimate Detail'!U121</f>
        <v>Jiangnan Environmental</v>
      </c>
      <c r="F44" s="1386" t="s">
        <v>633</v>
      </c>
      <c r="G44" s="1387">
        <f>'Estimate Detail'!E121</f>
        <v>0</v>
      </c>
      <c r="H44" s="1388" t="e">
        <f>IF(F44="KG",I44/G44*1000,0)</f>
        <v>#DIV/0!</v>
      </c>
      <c r="I44" s="1389">
        <f>'Estimate Detail'!X121</f>
        <v>0</v>
      </c>
      <c r="J44" s="1388" t="e">
        <f>IF(F44="KG",K44/G44*1000,0)</f>
        <v>#DIV/0!</v>
      </c>
      <c r="K44" s="1389">
        <f>'Estimate Detail'!H121</f>
        <v>0</v>
      </c>
      <c r="L44" s="1390">
        <f>-'Estimate Detail'!Y121</f>
        <v>0</v>
      </c>
      <c r="M44" s="1391"/>
      <c r="N44" s="1391">
        <f t="shared" si="0"/>
        <v>0</v>
      </c>
      <c r="O44" s="1392"/>
      <c r="P44" s="1364"/>
    </row>
    <row r="45" spans="2:33" s="1393" customFormat="1">
      <c r="B45" s="1382" t="str">
        <f>'Estimate Detail'!C122</f>
        <v>Silencers - Assy No. 53</v>
      </c>
      <c r="C45" s="1383" t="str">
        <f>'Estimate Detail'!S122</f>
        <v>R</v>
      </c>
      <c r="D45" s="1384" t="str">
        <f>'Estimate Detail'!T122</f>
        <v>D</v>
      </c>
      <c r="E45" s="1385" t="str">
        <f>'Estimate Detail'!U122</f>
        <v>Jiangnan Environmental</v>
      </c>
      <c r="F45" s="1386" t="s">
        <v>644</v>
      </c>
      <c r="G45" s="1387">
        <f>'Estimate Detail'!E122</f>
        <v>0</v>
      </c>
      <c r="H45" s="1388"/>
      <c r="I45" s="1389">
        <f>'Estimate Detail'!X122</f>
        <v>0</v>
      </c>
      <c r="J45" s="1388"/>
      <c r="K45" s="1389">
        <f>'Estimate Detail'!H122</f>
        <v>0</v>
      </c>
      <c r="L45" s="1390">
        <f>-'Estimate Detail'!Y122</f>
        <v>0</v>
      </c>
      <c r="M45" s="1391"/>
      <c r="N45" s="1391">
        <f t="shared" si="0"/>
        <v>0</v>
      </c>
      <c r="O45" s="1392"/>
      <c r="P45" s="1364"/>
    </row>
    <row r="46" spans="2:33">
      <c r="B46" s="1374" t="str">
        <f>'Estimate Detail'!C125</f>
        <v>Sootblower(Included Gas-temperature probe)</v>
      </c>
      <c r="C46" s="1375">
        <f>'Estimate Detail'!S125</f>
        <v>0</v>
      </c>
      <c r="D46" s="1375">
        <f>'Estimate Detail'!T125</f>
        <v>0</v>
      </c>
      <c r="E46" s="1376"/>
      <c r="F46" s="1375"/>
      <c r="G46" s="1377"/>
      <c r="H46" s="1378"/>
      <c r="I46" s="1379"/>
      <c r="J46" s="1378"/>
      <c r="K46" s="1379"/>
      <c r="L46" s="1379"/>
      <c r="M46" s="1381"/>
      <c r="N46" s="1380">
        <f t="shared" si="0"/>
        <v>0</v>
      </c>
      <c r="O46" s="1381"/>
      <c r="T46" s="1484"/>
      <c r="U46" s="1485"/>
      <c r="V46" s="1485"/>
      <c r="W46" s="1486"/>
      <c r="X46" s="1485"/>
      <c r="Y46" s="1487"/>
      <c r="Z46" s="1488"/>
      <c r="AA46" s="1489"/>
      <c r="AB46" s="1488"/>
      <c r="AC46" s="1489"/>
      <c r="AD46" s="1489"/>
      <c r="AE46" s="1490"/>
      <c r="AF46" s="1490"/>
      <c r="AG46" s="1491"/>
    </row>
    <row r="47" spans="2:33" s="1396" customFormat="1" ht="24">
      <c r="B47" s="1382" t="str">
        <f>'Estimate Detail'!C126</f>
        <v>Heating surface cleaning system Water - Assy No. 53</v>
      </c>
      <c r="C47" s="1383" t="str">
        <f>'Estimate Detail'!S126</f>
        <v>Q</v>
      </c>
      <c r="D47" s="1384" t="str">
        <f>'Estimate Detail'!T126</f>
        <v>D</v>
      </c>
      <c r="E47" s="1385" t="str">
        <f>'Estimate Detail'!U126</f>
        <v>Shanghai Clyde</v>
      </c>
      <c r="F47" s="1386" t="s">
        <v>644</v>
      </c>
      <c r="G47" s="1387">
        <f>'Estimate Detail'!E126</f>
        <v>0</v>
      </c>
      <c r="H47" s="1388"/>
      <c r="I47" s="1389">
        <f>'Estimate Detail'!X126</f>
        <v>0</v>
      </c>
      <c r="J47" s="1388"/>
      <c r="K47" s="1389">
        <f>'Estimate Detail'!H126</f>
        <v>0</v>
      </c>
      <c r="L47" s="1390">
        <f>-'Estimate Detail'!Y126</f>
        <v>-0.1</v>
      </c>
      <c r="M47" s="1391"/>
      <c r="N47" s="1391">
        <f t="shared" si="0"/>
        <v>-0.1</v>
      </c>
      <c r="O47" s="1392"/>
      <c r="P47" s="1364"/>
      <c r="Q47" s="1414"/>
    </row>
    <row r="48" spans="2:33" s="1396" customFormat="1" ht="24">
      <c r="B48" s="1382" t="str">
        <f>'Estimate Detail'!C127</f>
        <v>Provide Cooling and Sealing Air Fans for Sootblowers - Assy No. 53</v>
      </c>
      <c r="C48" s="1383" t="str">
        <f>'Estimate Detail'!S127</f>
        <v>E</v>
      </c>
      <c r="D48" s="1384" t="str">
        <f>'Estimate Detail'!T127</f>
        <v>D</v>
      </c>
      <c r="E48" s="1385" t="str">
        <f>'Estimate Detail'!U127</f>
        <v>Unknown Supplier</v>
      </c>
      <c r="F48" s="1386" t="s">
        <v>644</v>
      </c>
      <c r="G48" s="1387">
        <f>'Estimate Detail'!E127</f>
        <v>0</v>
      </c>
      <c r="H48" s="1388"/>
      <c r="I48" s="1389">
        <f>'Estimate Detail'!X127</f>
        <v>0</v>
      </c>
      <c r="J48" s="1388"/>
      <c r="K48" s="1389">
        <f>'Estimate Detail'!H127</f>
        <v>0</v>
      </c>
      <c r="L48" s="1390">
        <f>-'Estimate Detail'!Y127</f>
        <v>0</v>
      </c>
      <c r="M48" s="1391"/>
      <c r="N48" s="1391">
        <f>L48+M48</f>
        <v>0</v>
      </c>
      <c r="O48" s="1392"/>
      <c r="P48" s="1364"/>
      <c r="Q48" s="1414"/>
    </row>
    <row r="49" spans="2:33" s="1364" customFormat="1" ht="24">
      <c r="B49" s="1382" t="str">
        <f>'Estimate Detail'!C128</f>
        <v>Acoustic Sootblowers (with control cubicle) - Assy No. 53</v>
      </c>
      <c r="C49" s="1383">
        <f>'Estimate Detail'!S128</f>
        <v>0</v>
      </c>
      <c r="D49" s="1384">
        <f>'Estimate Detail'!T128</f>
        <v>0</v>
      </c>
      <c r="E49" s="1385">
        <f>'Estimate Detail'!U128</f>
        <v>0</v>
      </c>
      <c r="F49" s="1386" t="s">
        <v>644</v>
      </c>
      <c r="G49" s="1387">
        <f>'Estimate Detail'!E128</f>
        <v>0</v>
      </c>
      <c r="H49" s="1388"/>
      <c r="I49" s="1389">
        <f>'Estimate Detail'!X128</f>
        <v>0</v>
      </c>
      <c r="J49" s="1388"/>
      <c r="K49" s="1389">
        <f>'Estimate Detail'!H128</f>
        <v>0</v>
      </c>
      <c r="L49" s="1390">
        <f>-'Estimate Detail'!Y128</f>
        <v>0</v>
      </c>
      <c r="M49" s="1391"/>
      <c r="N49" s="1391">
        <f t="shared" si="0"/>
        <v>0</v>
      </c>
      <c r="O49" s="1392"/>
      <c r="Q49" s="1365"/>
      <c r="R49" s="1365"/>
      <c r="S49" s="1365"/>
      <c r="T49" s="1365"/>
      <c r="U49" s="1365"/>
      <c r="V49" s="1365"/>
      <c r="W49" s="1365"/>
      <c r="X49" s="1365"/>
      <c r="Y49" s="1365"/>
      <c r="Z49" s="1365"/>
      <c r="AA49" s="1365"/>
      <c r="AB49" s="1365"/>
      <c r="AC49" s="1365"/>
      <c r="AD49" s="1365"/>
      <c r="AE49" s="1365"/>
      <c r="AF49" s="1365"/>
      <c r="AG49" s="1365"/>
    </row>
    <row r="50" spans="2:33" s="1364" customFormat="1">
      <c r="B50" s="1374" t="str">
        <f>'Estimate Detail'!C131</f>
        <v>Mill</v>
      </c>
      <c r="C50" s="1375"/>
      <c r="D50" s="1375"/>
      <c r="E50" s="1376"/>
      <c r="F50" s="1375"/>
      <c r="G50" s="1377"/>
      <c r="H50" s="1378"/>
      <c r="I50" s="1379"/>
      <c r="J50" s="1378"/>
      <c r="K50" s="1379"/>
      <c r="L50" s="1379"/>
      <c r="M50" s="1381"/>
      <c r="N50" s="1380"/>
      <c r="O50" s="1381"/>
      <c r="Q50" s="1365"/>
      <c r="R50" s="1365"/>
      <c r="S50" s="1365"/>
      <c r="T50" s="1365"/>
      <c r="U50" s="1365"/>
      <c r="V50" s="1365"/>
      <c r="W50" s="1365"/>
      <c r="X50" s="1365"/>
      <c r="Y50" s="1365"/>
      <c r="Z50" s="1365"/>
      <c r="AA50" s="1365"/>
      <c r="AB50" s="1365"/>
      <c r="AC50" s="1365"/>
      <c r="AD50" s="1365"/>
      <c r="AE50" s="1365"/>
      <c r="AF50" s="1365"/>
      <c r="AG50" s="1365"/>
    </row>
    <row r="51" spans="2:33" s="1364" customFormat="1">
      <c r="B51" s="1382" t="str">
        <f>'Estimate Detail'!C132</f>
        <v>Mills - Main Components</v>
      </c>
      <c r="C51" s="1383" t="str">
        <f>'Estimate Detail'!S132</f>
        <v>Q</v>
      </c>
      <c r="D51" s="1384" t="str">
        <f>'Estimate Detail'!T132</f>
        <v>D</v>
      </c>
      <c r="E51" s="1385" t="str">
        <f>'Estimate Detail'!U132</f>
        <v>WBC</v>
      </c>
      <c r="F51" s="1386" t="s">
        <v>644</v>
      </c>
      <c r="G51" s="1387">
        <f>'Estimate Detail'!E132</f>
        <v>0</v>
      </c>
      <c r="H51" s="1388"/>
      <c r="I51" s="1389">
        <f>'Estimate Detail'!X132</f>
        <v>0</v>
      </c>
      <c r="J51" s="1388"/>
      <c r="K51" s="1389">
        <f>'Estimate Detail'!H132</f>
        <v>0</v>
      </c>
      <c r="L51" s="1390">
        <f>-'Estimate Detail'!Y132</f>
        <v>0</v>
      </c>
      <c r="M51" s="1391"/>
      <c r="N51" s="1391">
        <f t="shared" si="0"/>
        <v>0</v>
      </c>
      <c r="O51" s="1392"/>
      <c r="Q51" s="1365"/>
      <c r="R51" s="1365"/>
      <c r="S51" s="1365"/>
      <c r="T51" s="1365"/>
      <c r="U51" s="1365"/>
      <c r="V51" s="1365"/>
      <c r="W51" s="1365"/>
      <c r="X51" s="1365"/>
      <c r="Y51" s="1365"/>
      <c r="Z51" s="1365"/>
      <c r="AA51" s="1365"/>
      <c r="AB51" s="1365"/>
      <c r="AC51" s="1365"/>
      <c r="AD51" s="1365"/>
      <c r="AE51" s="1365"/>
      <c r="AF51" s="1365"/>
      <c r="AG51" s="1365"/>
    </row>
    <row r="52" spans="2:33" s="1364" customFormat="1">
      <c r="B52" s="1382" t="str">
        <f>'Estimate Detail'!C133</f>
        <v>Mills - Main Components</v>
      </c>
      <c r="C52" s="1383" t="str">
        <f>'Estimate Detail'!S133</f>
        <v>Q</v>
      </c>
      <c r="D52" s="1384" t="str">
        <f>'Estimate Detail'!T133</f>
        <v>I</v>
      </c>
      <c r="E52" s="1385" t="str">
        <f>'Estimate Detail'!U133</f>
        <v>Stuttgart</v>
      </c>
      <c r="F52" s="1386" t="s">
        <v>644</v>
      </c>
      <c r="G52" s="1387">
        <f>'Estimate Detail'!E133</f>
        <v>0</v>
      </c>
      <c r="H52" s="1388"/>
      <c r="I52" s="1389">
        <f>K52</f>
        <v>0</v>
      </c>
      <c r="J52" s="1388"/>
      <c r="K52" s="1389">
        <f>'Estimate Detail'!H133</f>
        <v>0</v>
      </c>
      <c r="L52" s="1390">
        <f>-'Estimate Detail'!Y133</f>
        <v>0</v>
      </c>
      <c r="M52" s="1391"/>
      <c r="N52" s="1391">
        <f t="shared" si="0"/>
        <v>0</v>
      </c>
      <c r="O52" s="1392"/>
      <c r="Q52" s="1365"/>
      <c r="R52" s="1365"/>
      <c r="S52" s="1365"/>
      <c r="T52" s="1365"/>
      <c r="U52" s="1365"/>
      <c r="V52" s="1365"/>
      <c r="W52" s="1365"/>
      <c r="X52" s="1365"/>
      <c r="Y52" s="1365"/>
      <c r="Z52" s="1365"/>
      <c r="AA52" s="1365"/>
      <c r="AB52" s="1365"/>
      <c r="AC52" s="1365"/>
      <c r="AD52" s="1365"/>
      <c r="AE52" s="1365"/>
      <c r="AF52" s="1365"/>
      <c r="AG52" s="1365"/>
    </row>
    <row r="53" spans="2:33" s="1364" customFormat="1" ht="24">
      <c r="B53" s="1382" t="str">
        <f>'Estimate Detail'!C134</f>
        <v>Mills - Drive Component (gear boxes, couplings, lubrication)</v>
      </c>
      <c r="C53" s="1383" t="str">
        <f>'Estimate Detail'!S134</f>
        <v>Q</v>
      </c>
      <c r="D53" s="1384" t="str">
        <f>'Estimate Detail'!T134</f>
        <v>I</v>
      </c>
      <c r="E53" s="1385" t="str">
        <f>'Estimate Detail'!U134</f>
        <v>Stuttgart</v>
      </c>
      <c r="F53" s="1386" t="s">
        <v>644</v>
      </c>
      <c r="G53" s="1387">
        <f>'Estimate Detail'!E134</f>
        <v>0</v>
      </c>
      <c r="H53" s="1388"/>
      <c r="I53" s="1389">
        <f>K53</f>
        <v>0</v>
      </c>
      <c r="J53" s="1388"/>
      <c r="K53" s="1389">
        <f>'Estimate Detail'!H134</f>
        <v>0</v>
      </c>
      <c r="L53" s="1390">
        <f>-'Estimate Detail'!Y134</f>
        <v>0</v>
      </c>
      <c r="M53" s="1391"/>
      <c r="N53" s="1391">
        <f t="shared" si="0"/>
        <v>0</v>
      </c>
      <c r="O53" s="1392"/>
      <c r="Q53" s="1365"/>
      <c r="R53" s="1365"/>
      <c r="S53" s="1365"/>
      <c r="T53" s="1365"/>
      <c r="U53" s="1365"/>
      <c r="V53" s="1365"/>
      <c r="W53" s="1365"/>
      <c r="X53" s="1365"/>
      <c r="Y53" s="1365"/>
      <c r="Z53" s="1365"/>
      <c r="AA53" s="1365"/>
      <c r="AB53" s="1365"/>
      <c r="AC53" s="1365"/>
      <c r="AD53" s="1365"/>
      <c r="AE53" s="1365"/>
      <c r="AF53" s="1365"/>
      <c r="AG53" s="1365"/>
    </row>
    <row r="54" spans="2:33" s="1364" customFormat="1" ht="22.5" customHeight="1">
      <c r="B54" s="1382" t="str">
        <f>'Estimate Detail'!C135</f>
        <v>Mills - Drive Component (gear boxes, couplings, lubrication)</v>
      </c>
      <c r="C54" s="1383" t="str">
        <f>'Estimate Detail'!S135</f>
        <v>Q</v>
      </c>
      <c r="D54" s="1384" t="str">
        <f>'Estimate Detail'!T135</f>
        <v>I</v>
      </c>
      <c r="E54" s="1385" t="str">
        <f>'Estimate Detail'!U135</f>
        <v>USA</v>
      </c>
      <c r="F54" s="1386" t="s">
        <v>644</v>
      </c>
      <c r="G54" s="1387">
        <f>'Estimate Detail'!E135</f>
        <v>0</v>
      </c>
      <c r="H54" s="1388"/>
      <c r="I54" s="1389">
        <f>K54</f>
        <v>0</v>
      </c>
      <c r="J54" s="1388"/>
      <c r="K54" s="1389">
        <f>'Estimate Detail'!H135</f>
        <v>0</v>
      </c>
      <c r="L54" s="1390">
        <f>-'Estimate Detail'!Y135</f>
        <v>0</v>
      </c>
      <c r="M54" s="1391"/>
      <c r="N54" s="1391">
        <f t="shared" si="0"/>
        <v>0</v>
      </c>
      <c r="O54" s="1392"/>
      <c r="Q54" s="1365"/>
      <c r="R54" s="1365"/>
      <c r="S54" s="1365"/>
      <c r="T54" s="1365"/>
      <c r="U54" s="1365"/>
      <c r="V54" s="1365"/>
      <c r="W54" s="1365"/>
      <c r="X54" s="1365"/>
      <c r="Y54" s="1365"/>
      <c r="Z54" s="1365"/>
      <c r="AA54" s="1365"/>
      <c r="AB54" s="1365"/>
      <c r="AC54" s="1365"/>
      <c r="AD54" s="1365"/>
      <c r="AE54" s="1365"/>
      <c r="AF54" s="1365"/>
      <c r="AG54" s="1365"/>
    </row>
    <row r="55" spans="2:33" s="1364" customFormat="1">
      <c r="B55" s="1382" t="str">
        <f>'Estimate Detail'!C136</f>
        <v>Mills - Motors and electrical equipment</v>
      </c>
      <c r="C55" s="1383" t="str">
        <f>'Estimate Detail'!S136</f>
        <v>Q</v>
      </c>
      <c r="D55" s="1384" t="str">
        <f>'Estimate Detail'!T136</f>
        <v>D</v>
      </c>
      <c r="E55" s="1385" t="str">
        <f>'Estimate Detail'!U136</f>
        <v>WBC</v>
      </c>
      <c r="F55" s="1386" t="s">
        <v>644</v>
      </c>
      <c r="G55" s="1387">
        <f>'Estimate Detail'!E136</f>
        <v>0</v>
      </c>
      <c r="H55" s="1388"/>
      <c r="I55" s="1389">
        <f>'Estimate Detail'!X136</f>
        <v>0</v>
      </c>
      <c r="J55" s="1388"/>
      <c r="K55" s="1389">
        <f>'Estimate Detail'!H136</f>
        <v>0</v>
      </c>
      <c r="L55" s="1390">
        <f>-'Estimate Detail'!Y136</f>
        <v>0</v>
      </c>
      <c r="M55" s="1391"/>
      <c r="N55" s="1391">
        <f t="shared" si="0"/>
        <v>0</v>
      </c>
      <c r="O55" s="1392"/>
      <c r="Q55" s="1365"/>
      <c r="R55" s="1365"/>
      <c r="S55" s="1365"/>
      <c r="T55" s="1365"/>
      <c r="U55" s="1365"/>
      <c r="V55" s="1365"/>
      <c r="W55" s="1365"/>
      <c r="X55" s="1365"/>
      <c r="Y55" s="1365"/>
      <c r="Z55" s="1365"/>
      <c r="AA55" s="1365"/>
      <c r="AB55" s="1365"/>
      <c r="AC55" s="1365"/>
      <c r="AD55" s="1365"/>
      <c r="AE55" s="1365"/>
      <c r="AF55" s="1365"/>
      <c r="AG55" s="1365"/>
    </row>
    <row r="56" spans="2:33" s="1364" customFormat="1">
      <c r="B56" s="1382" t="str">
        <f>'Estimate Detail'!C137</f>
        <v>Mills - Motors and electrical equipment</v>
      </c>
      <c r="C56" s="1383" t="str">
        <f>'Estimate Detail'!S137</f>
        <v>Q</v>
      </c>
      <c r="D56" s="1384" t="str">
        <f>'Estimate Detail'!T137</f>
        <v>I</v>
      </c>
      <c r="E56" s="1385" t="str">
        <f>'Estimate Detail'!U137</f>
        <v>Stuttgart</v>
      </c>
      <c r="F56" s="1386" t="s">
        <v>644</v>
      </c>
      <c r="G56" s="1387">
        <f>'Estimate Detail'!E137</f>
        <v>0</v>
      </c>
      <c r="H56" s="1388"/>
      <c r="I56" s="1389">
        <f>K56</f>
        <v>0</v>
      </c>
      <c r="J56" s="1388"/>
      <c r="K56" s="1389">
        <f>'Estimate Detail'!H137</f>
        <v>0</v>
      </c>
      <c r="L56" s="1390">
        <f>-'Estimate Detail'!Y137</f>
        <v>0</v>
      </c>
      <c r="M56" s="1391"/>
      <c r="N56" s="1391">
        <f t="shared" si="0"/>
        <v>0</v>
      </c>
      <c r="O56" s="1392"/>
      <c r="Q56" s="1365"/>
      <c r="R56" s="1365"/>
      <c r="S56" s="1365"/>
      <c r="T56" s="1365"/>
      <c r="U56" s="1365"/>
      <c r="V56" s="1365"/>
      <c r="W56" s="1365"/>
      <c r="X56" s="1365"/>
      <c r="Y56" s="1365"/>
      <c r="Z56" s="1365"/>
      <c r="AA56" s="1365"/>
      <c r="AB56" s="1365"/>
      <c r="AC56" s="1365"/>
      <c r="AD56" s="1365"/>
      <c r="AE56" s="1365"/>
      <c r="AF56" s="1365"/>
      <c r="AG56" s="1365"/>
    </row>
    <row r="57" spans="2:33" s="1364" customFormat="1">
      <c r="B57" s="1382" t="str">
        <f>'Estimate Detail'!C138</f>
        <v>Mills - Auxiliaries (Fans, piping, valves, aggregates)</v>
      </c>
      <c r="C57" s="1383" t="str">
        <f>'Estimate Detail'!S138</f>
        <v>Q</v>
      </c>
      <c r="D57" s="1384" t="str">
        <f>'Estimate Detail'!T138</f>
        <v>I</v>
      </c>
      <c r="E57" s="1385" t="str">
        <f>'Estimate Detail'!U138</f>
        <v>Stuttgart</v>
      </c>
      <c r="F57" s="1386" t="s">
        <v>644</v>
      </c>
      <c r="G57" s="1387">
        <f>'Estimate Detail'!E138</f>
        <v>0</v>
      </c>
      <c r="H57" s="1388"/>
      <c r="I57" s="1389">
        <f>K57</f>
        <v>0</v>
      </c>
      <c r="J57" s="1388"/>
      <c r="K57" s="1389">
        <f>'Estimate Detail'!H138</f>
        <v>0</v>
      </c>
      <c r="L57" s="1390">
        <f>-'Estimate Detail'!Y138</f>
        <v>0</v>
      </c>
      <c r="M57" s="1391"/>
      <c r="N57" s="1391">
        <f t="shared" si="0"/>
        <v>0</v>
      </c>
      <c r="O57" s="1392"/>
      <c r="Q57" s="1365"/>
      <c r="R57" s="1365"/>
      <c r="S57" s="1365"/>
      <c r="T57" s="1365"/>
      <c r="U57" s="1365"/>
      <c r="V57" s="1365"/>
      <c r="W57" s="1365"/>
      <c r="X57" s="1365"/>
      <c r="Y57" s="1365"/>
      <c r="Z57" s="1365"/>
      <c r="AA57" s="1365"/>
      <c r="AB57" s="1365"/>
      <c r="AC57" s="1365"/>
      <c r="AD57" s="1365"/>
      <c r="AE57" s="1365"/>
      <c r="AF57" s="1365"/>
      <c r="AG57" s="1365"/>
    </row>
    <row r="58" spans="2:33" s="1364" customFormat="1">
      <c r="B58" s="1382" t="str">
        <f>'Estimate Detail'!C139</f>
        <v>Mills - Classifier/ BW Vapor Separator</v>
      </c>
      <c r="C58" s="1383" t="str">
        <f>'Estimate Detail'!S139</f>
        <v>Q</v>
      </c>
      <c r="D58" s="1384" t="str">
        <f>'Estimate Detail'!T139</f>
        <v>D</v>
      </c>
      <c r="E58" s="1385" t="str">
        <f>'Estimate Detail'!U139</f>
        <v>WBC</v>
      </c>
      <c r="F58" s="1386" t="s">
        <v>644</v>
      </c>
      <c r="G58" s="1387">
        <f>'Estimate Detail'!E139</f>
        <v>0</v>
      </c>
      <c r="H58" s="1388"/>
      <c r="I58" s="1389">
        <f>'Estimate Detail'!X139</f>
        <v>0</v>
      </c>
      <c r="J58" s="1388"/>
      <c r="K58" s="1389">
        <f>'Estimate Detail'!H139</f>
        <v>0</v>
      </c>
      <c r="L58" s="1390">
        <f>-'Estimate Detail'!Y139</f>
        <v>0</v>
      </c>
      <c r="M58" s="1391"/>
      <c r="N58" s="1391">
        <f t="shared" si="0"/>
        <v>0</v>
      </c>
      <c r="O58" s="1392"/>
      <c r="Q58" s="1365"/>
      <c r="R58" s="1365"/>
      <c r="S58" s="1365"/>
      <c r="T58" s="1365"/>
      <c r="U58" s="1365"/>
      <c r="V58" s="1365"/>
      <c r="W58" s="1365"/>
      <c r="X58" s="1365"/>
      <c r="Y58" s="1365"/>
      <c r="Z58" s="1365"/>
      <c r="AA58" s="1365"/>
      <c r="AB58" s="1365"/>
      <c r="AC58" s="1365"/>
      <c r="AD58" s="1365"/>
      <c r="AE58" s="1365"/>
      <c r="AF58" s="1365"/>
      <c r="AG58" s="1365"/>
    </row>
    <row r="59" spans="2:33" s="1364" customFormat="1" ht="24">
      <c r="B59" s="1382" t="str">
        <f>'Estimate Detail'!C140</f>
        <v>Mills - Instrumentation, control and monitoring equipment</v>
      </c>
      <c r="C59" s="1383" t="str">
        <f>'Estimate Detail'!S140</f>
        <v>Q</v>
      </c>
      <c r="D59" s="1384" t="str">
        <f>'Estimate Detail'!T140</f>
        <v>I</v>
      </c>
      <c r="E59" s="1385" t="str">
        <f>'Estimate Detail'!U140</f>
        <v>Stuttgart</v>
      </c>
      <c r="F59" s="1386" t="s">
        <v>644</v>
      </c>
      <c r="G59" s="1387">
        <f>'Estimate Detail'!E140</f>
        <v>0</v>
      </c>
      <c r="H59" s="1388"/>
      <c r="I59" s="1389">
        <f>'Estimate Detail'!X140</f>
        <v>0</v>
      </c>
      <c r="J59" s="1388"/>
      <c r="K59" s="1389">
        <f>'Estimate Detail'!H140</f>
        <v>0</v>
      </c>
      <c r="L59" s="1390">
        <f>-'Estimate Detail'!Y140</f>
        <v>0</v>
      </c>
      <c r="M59" s="1391"/>
      <c r="N59" s="1391">
        <f t="shared" si="0"/>
        <v>0</v>
      </c>
      <c r="O59" s="1392"/>
      <c r="Q59" s="1365"/>
      <c r="R59" s="1365"/>
      <c r="S59" s="1365"/>
      <c r="T59" s="1365"/>
      <c r="U59" s="1365"/>
      <c r="V59" s="1365"/>
      <c r="W59" s="1365"/>
      <c r="X59" s="1365"/>
      <c r="Y59" s="1365"/>
      <c r="Z59" s="1365"/>
      <c r="AA59" s="1365"/>
      <c r="AB59" s="1365"/>
      <c r="AC59" s="1365"/>
      <c r="AD59" s="1365"/>
      <c r="AE59" s="1365"/>
      <c r="AF59" s="1365"/>
      <c r="AG59" s="1365"/>
    </row>
    <row r="60" spans="2:33" s="1364" customFormat="1">
      <c r="B60" s="1382" t="str">
        <f>'Estimate Detail'!C141</f>
        <v>Mills - Miscellaneous Items</v>
      </c>
      <c r="C60" s="1383" t="str">
        <f>'Estimate Detail'!S141</f>
        <v>Q</v>
      </c>
      <c r="D60" s="1384" t="str">
        <f>'Estimate Detail'!T141</f>
        <v>D</v>
      </c>
      <c r="E60" s="1385" t="str">
        <f>'Estimate Detail'!U141</f>
        <v>WBC</v>
      </c>
      <c r="F60" s="1386" t="s">
        <v>644</v>
      </c>
      <c r="G60" s="1387">
        <f>'Estimate Detail'!E141</f>
        <v>0</v>
      </c>
      <c r="H60" s="1388"/>
      <c r="I60" s="1389">
        <f>'Estimate Detail'!X141</f>
        <v>0</v>
      </c>
      <c r="J60" s="1388"/>
      <c r="K60" s="1389">
        <f>'Estimate Detail'!H141</f>
        <v>0</v>
      </c>
      <c r="L60" s="1390">
        <f>-'Estimate Detail'!Y141</f>
        <v>0</v>
      </c>
      <c r="M60" s="1391"/>
      <c r="N60" s="1391">
        <f t="shared" si="0"/>
        <v>0</v>
      </c>
      <c r="O60" s="1392"/>
      <c r="Q60" s="1365"/>
      <c r="R60" s="1365"/>
      <c r="S60" s="1365"/>
      <c r="T60" s="1365"/>
      <c r="U60" s="1365"/>
      <c r="V60" s="1365"/>
      <c r="W60" s="1365"/>
      <c r="X60" s="1365"/>
      <c r="Y60" s="1365"/>
      <c r="Z60" s="1365"/>
      <c r="AA60" s="1365"/>
      <c r="AB60" s="1365"/>
      <c r="AC60" s="1365"/>
      <c r="AD60" s="1365"/>
      <c r="AE60" s="1365"/>
      <c r="AF60" s="1365"/>
      <c r="AG60" s="1365"/>
    </row>
    <row r="61" spans="2:33" s="1364" customFormat="1">
      <c r="B61" s="1382" t="str">
        <f>'Estimate Detail'!C142</f>
        <v>Mills - Miscellaneous Items</v>
      </c>
      <c r="C61" s="1383" t="str">
        <f>'Estimate Detail'!S142</f>
        <v>Q</v>
      </c>
      <c r="D61" s="1384" t="str">
        <f>'Estimate Detail'!T142</f>
        <v>I</v>
      </c>
      <c r="E61" s="1385" t="str">
        <f>'Estimate Detail'!U142</f>
        <v>Stuttgart</v>
      </c>
      <c r="F61" s="1386" t="s">
        <v>644</v>
      </c>
      <c r="G61" s="1387">
        <f>'Estimate Detail'!E142</f>
        <v>0</v>
      </c>
      <c r="H61" s="1388"/>
      <c r="I61" s="1389">
        <f>K61</f>
        <v>0</v>
      </c>
      <c r="J61" s="1388"/>
      <c r="K61" s="1389">
        <f>'Estimate Detail'!H142</f>
        <v>0</v>
      </c>
      <c r="L61" s="1390">
        <f>-'Estimate Detail'!Y142</f>
        <v>0</v>
      </c>
      <c r="M61" s="1391"/>
      <c r="N61" s="1391">
        <f t="shared" si="0"/>
        <v>0</v>
      </c>
      <c r="O61" s="1392"/>
      <c r="Q61" s="1365"/>
      <c r="R61" s="1365"/>
      <c r="S61" s="1365"/>
      <c r="T61" s="1365"/>
      <c r="U61" s="1365"/>
      <c r="V61" s="1365"/>
      <c r="W61" s="1365"/>
      <c r="X61" s="1365"/>
      <c r="Y61" s="1365"/>
      <c r="Z61" s="1365"/>
      <c r="AA61" s="1365"/>
      <c r="AB61" s="1365"/>
      <c r="AC61" s="1365"/>
      <c r="AD61" s="1365"/>
      <c r="AE61" s="1365"/>
      <c r="AF61" s="1365"/>
      <c r="AG61" s="1365"/>
    </row>
    <row r="62" spans="2:33" s="1364" customFormat="1">
      <c r="B62" s="1374" t="str">
        <f>'Estimate Detail'!C145</f>
        <v>Burners</v>
      </c>
      <c r="C62" s="1375"/>
      <c r="D62" s="1375"/>
      <c r="E62" s="1376"/>
      <c r="F62" s="1375"/>
      <c r="G62" s="1377"/>
      <c r="H62" s="1378"/>
      <c r="I62" s="1379"/>
      <c r="J62" s="1378"/>
      <c r="K62" s="1379"/>
      <c r="L62" s="1379"/>
      <c r="M62" s="1381"/>
      <c r="N62" s="1380"/>
      <c r="O62" s="1381"/>
      <c r="Q62" s="1365"/>
      <c r="R62" s="1365"/>
      <c r="S62" s="1365"/>
      <c r="T62" s="1365"/>
      <c r="U62" s="1365"/>
      <c r="V62" s="1365"/>
      <c r="W62" s="1365"/>
      <c r="X62" s="1365"/>
      <c r="Y62" s="1365"/>
      <c r="Z62" s="1365"/>
      <c r="AA62" s="1365"/>
      <c r="AB62" s="1365"/>
      <c r="AC62" s="1365"/>
      <c r="AD62" s="1365"/>
      <c r="AE62" s="1365"/>
      <c r="AF62" s="1365"/>
      <c r="AG62" s="1365"/>
    </row>
    <row r="63" spans="2:33" s="1364" customFormat="1">
      <c r="B63" s="1382" t="str">
        <f>'Estimate Detail'!C146</f>
        <v>Windbox - Assy No. 12</v>
      </c>
      <c r="C63" s="1383" t="str">
        <f>'Estimate Detail'!S146</f>
        <v>R</v>
      </c>
      <c r="D63" s="1384" t="str">
        <f>'Estimate Detail'!T146</f>
        <v>D</v>
      </c>
      <c r="E63" s="1385" t="str">
        <f>'Estimate Detail'!U146</f>
        <v>Wuxi Huaneng</v>
      </c>
      <c r="F63" s="1386" t="s">
        <v>633</v>
      </c>
      <c r="G63" s="1387">
        <f>'Estimate Detail'!E146</f>
        <v>0</v>
      </c>
      <c r="H63" s="1388" t="e">
        <f>IF(F63="KG",I63/G63*1000,0)</f>
        <v>#DIV/0!</v>
      </c>
      <c r="I63" s="1389">
        <f>'Estimate Detail'!X146</f>
        <v>0</v>
      </c>
      <c r="J63" s="1388" t="e">
        <f>IF(F63="KG",K63/G63*1000,0)</f>
        <v>#DIV/0!</v>
      </c>
      <c r="K63" s="1389">
        <f>'Estimate Detail'!H146</f>
        <v>0</v>
      </c>
      <c r="L63" s="1390">
        <f>-'Estimate Detail'!Y146</f>
        <v>0</v>
      </c>
      <c r="M63" s="1391"/>
      <c r="N63" s="1391">
        <f t="shared" si="0"/>
        <v>0</v>
      </c>
      <c r="O63" s="1392"/>
      <c r="Q63" s="1365"/>
      <c r="R63" s="1365"/>
      <c r="S63" s="1365"/>
      <c r="T63" s="1365"/>
      <c r="U63" s="1365"/>
      <c r="V63" s="1365"/>
      <c r="W63" s="1365"/>
      <c r="X63" s="1365"/>
      <c r="Y63" s="1365"/>
      <c r="Z63" s="1365"/>
      <c r="AA63" s="1365"/>
      <c r="AB63" s="1365"/>
      <c r="AC63" s="1365"/>
      <c r="AD63" s="1365"/>
      <c r="AE63" s="1365"/>
      <c r="AF63" s="1365"/>
      <c r="AG63" s="1365"/>
    </row>
    <row r="64" spans="2:33" s="1364" customFormat="1" outlineLevel="1">
      <c r="B64" s="1382" t="str">
        <f>'Estimate Detail'!C147</f>
        <v>Ring  - Assy No. 12</v>
      </c>
      <c r="C64" s="1383">
        <f>'Estimate Detail'!S147</f>
        <v>0</v>
      </c>
      <c r="D64" s="1384">
        <f>'Estimate Detail'!T147</f>
        <v>0</v>
      </c>
      <c r="E64" s="1385">
        <f>'Estimate Detail'!U147</f>
        <v>0</v>
      </c>
      <c r="F64" s="1386" t="s">
        <v>633</v>
      </c>
      <c r="G64" s="1387">
        <f>'Estimate Detail'!E147</f>
        <v>0</v>
      </c>
      <c r="H64" s="1388"/>
      <c r="I64" s="1389">
        <f>'Estimate Detail'!X147</f>
        <v>0</v>
      </c>
      <c r="J64" s="1388"/>
      <c r="K64" s="1389">
        <f>'Estimate Detail'!H147</f>
        <v>0</v>
      </c>
      <c r="L64" s="1390">
        <f>-'Estimate Detail'!Y147</f>
        <v>0</v>
      </c>
      <c r="M64" s="1391"/>
      <c r="N64" s="1391">
        <f t="shared" si="0"/>
        <v>0</v>
      </c>
      <c r="O64" s="1392"/>
      <c r="Q64" s="1365"/>
      <c r="R64" s="1365"/>
      <c r="S64" s="1365"/>
      <c r="T64" s="1365"/>
      <c r="U64" s="1365"/>
      <c r="V64" s="1365"/>
      <c r="W64" s="1365"/>
      <c r="X64" s="1365"/>
      <c r="Y64" s="1365"/>
      <c r="Z64" s="1365"/>
      <c r="AA64" s="1365"/>
      <c r="AB64" s="1365"/>
      <c r="AC64" s="1365"/>
      <c r="AD64" s="1365"/>
      <c r="AE64" s="1365"/>
      <c r="AF64" s="1365"/>
      <c r="AG64" s="1365"/>
    </row>
    <row r="65" spans="2:33" s="1364" customFormat="1" outlineLevel="1">
      <c r="B65" s="1382" t="str">
        <f>'Estimate Detail'!C148</f>
        <v>Carbon Nozzle  - Assy No. 12</v>
      </c>
      <c r="C65" s="1383">
        <f>'Estimate Detail'!S148</f>
        <v>0</v>
      </c>
      <c r="D65" s="1384">
        <f>'Estimate Detail'!T148</f>
        <v>0</v>
      </c>
      <c r="E65" s="1385">
        <f>'Estimate Detail'!U148</f>
        <v>0</v>
      </c>
      <c r="F65" s="1386" t="s">
        <v>633</v>
      </c>
      <c r="G65" s="1387">
        <f>'Estimate Detail'!E148</f>
        <v>0</v>
      </c>
      <c r="H65" s="1388"/>
      <c r="I65" s="1389">
        <f>'Estimate Detail'!X148</f>
        <v>0</v>
      </c>
      <c r="J65" s="1388"/>
      <c r="K65" s="1389">
        <f>'Estimate Detail'!H148</f>
        <v>0</v>
      </c>
      <c r="L65" s="1390">
        <f>-'Estimate Detail'!Y148</f>
        <v>0</v>
      </c>
      <c r="M65" s="1391"/>
      <c r="N65" s="1391">
        <f t="shared" si="0"/>
        <v>0</v>
      </c>
      <c r="O65" s="1392"/>
      <c r="Q65" s="1365"/>
      <c r="R65" s="1365"/>
      <c r="S65" s="1365"/>
      <c r="T65" s="1365"/>
      <c r="U65" s="1365"/>
      <c r="V65" s="1365"/>
      <c r="W65" s="1365"/>
      <c r="X65" s="1365"/>
      <c r="Y65" s="1365"/>
      <c r="Z65" s="1365"/>
      <c r="AA65" s="1365"/>
      <c r="AB65" s="1365"/>
      <c r="AC65" s="1365"/>
      <c r="AD65" s="1365"/>
      <c r="AE65" s="1365"/>
      <c r="AF65" s="1365"/>
      <c r="AG65" s="1365"/>
    </row>
    <row r="66" spans="2:33" s="1364" customFormat="1" outlineLevel="1">
      <c r="B66" s="1382" t="str">
        <f>'Estimate Detail'!C149</f>
        <v>Windbox Support and Hanger  - Assy No. 12</v>
      </c>
      <c r="C66" s="1383">
        <f>'Estimate Detail'!S149</f>
        <v>0</v>
      </c>
      <c r="D66" s="1384">
        <f>'Estimate Detail'!T149</f>
        <v>0</v>
      </c>
      <c r="E66" s="1385">
        <f>'Estimate Detail'!U149</f>
        <v>0</v>
      </c>
      <c r="F66" s="1386" t="s">
        <v>633</v>
      </c>
      <c r="G66" s="1387">
        <f>'Estimate Detail'!E149</f>
        <v>0</v>
      </c>
      <c r="H66" s="1388"/>
      <c r="I66" s="1389">
        <f>'Estimate Detail'!X149</f>
        <v>0</v>
      </c>
      <c r="J66" s="1388"/>
      <c r="K66" s="1389">
        <f>'Estimate Detail'!H149</f>
        <v>0</v>
      </c>
      <c r="L66" s="1390">
        <f>-'Estimate Detail'!Y149</f>
        <v>0</v>
      </c>
      <c r="M66" s="1391"/>
      <c r="N66" s="1391">
        <f t="shared" si="0"/>
        <v>0</v>
      </c>
      <c r="O66" s="1392"/>
      <c r="Q66" s="1365"/>
      <c r="R66" s="1365"/>
      <c r="S66" s="1365"/>
      <c r="T66" s="1365"/>
      <c r="U66" s="1365"/>
      <c r="V66" s="1365"/>
      <c r="W66" s="1365"/>
      <c r="X66" s="1365"/>
      <c r="Y66" s="1365"/>
      <c r="Z66" s="1365"/>
      <c r="AA66" s="1365"/>
      <c r="AB66" s="1365"/>
      <c r="AC66" s="1365"/>
      <c r="AD66" s="1365"/>
      <c r="AE66" s="1365"/>
      <c r="AF66" s="1365"/>
      <c r="AG66" s="1365"/>
    </row>
    <row r="67" spans="2:33" s="1364" customFormat="1" outlineLevel="1">
      <c r="B67" s="1382" t="str">
        <f>'Estimate Detail'!C150</f>
        <v>Nozzle - Ovenproof Casting - Assy No. 12</v>
      </c>
      <c r="C67" s="1383">
        <f>'Estimate Detail'!S150</f>
        <v>0</v>
      </c>
      <c r="D67" s="1384">
        <f>'Estimate Detail'!T150</f>
        <v>0</v>
      </c>
      <c r="E67" s="1385">
        <f>'Estimate Detail'!U150</f>
        <v>0</v>
      </c>
      <c r="F67" s="1386" t="s">
        <v>633</v>
      </c>
      <c r="G67" s="1387">
        <f>'Estimate Detail'!E150</f>
        <v>0</v>
      </c>
      <c r="H67" s="1388"/>
      <c r="I67" s="1389">
        <f>'Estimate Detail'!X150</f>
        <v>0</v>
      </c>
      <c r="J67" s="1388"/>
      <c r="K67" s="1389">
        <f>'Estimate Detail'!H150</f>
        <v>0</v>
      </c>
      <c r="L67" s="1390">
        <f>-'Estimate Detail'!Y150</f>
        <v>0</v>
      </c>
      <c r="M67" s="1391"/>
      <c r="N67" s="1391">
        <f t="shared" si="0"/>
        <v>0</v>
      </c>
      <c r="O67" s="1392"/>
      <c r="Q67" s="1365"/>
      <c r="R67" s="1365"/>
      <c r="S67" s="1365"/>
      <c r="T67" s="1365"/>
      <c r="U67" s="1365"/>
      <c r="V67" s="1365"/>
      <c r="W67" s="1365"/>
      <c r="X67" s="1365"/>
      <c r="Y67" s="1365"/>
      <c r="Z67" s="1365"/>
      <c r="AA67" s="1365"/>
      <c r="AB67" s="1365"/>
      <c r="AC67" s="1365"/>
      <c r="AD67" s="1365"/>
      <c r="AE67" s="1365"/>
      <c r="AF67" s="1365"/>
      <c r="AG67" s="1365"/>
    </row>
    <row r="68" spans="2:33" s="1364" customFormat="1" outlineLevel="1">
      <c r="B68" s="1382" t="str">
        <f>'Estimate Detail'!C151</f>
        <v>Nozzle - Wearable Casting - Assy No. 12</v>
      </c>
      <c r="C68" s="1383">
        <f>'Estimate Detail'!S151</f>
        <v>0</v>
      </c>
      <c r="D68" s="1384">
        <f>'Estimate Detail'!T151</f>
        <v>0</v>
      </c>
      <c r="E68" s="1385">
        <f>'Estimate Detail'!U151</f>
        <v>0</v>
      </c>
      <c r="F68" s="1386" t="s">
        <v>633</v>
      </c>
      <c r="G68" s="1387">
        <f>'Estimate Detail'!E151</f>
        <v>0</v>
      </c>
      <c r="H68" s="1388"/>
      <c r="I68" s="1389">
        <f>'Estimate Detail'!X151</f>
        <v>0</v>
      </c>
      <c r="J68" s="1388"/>
      <c r="K68" s="1389">
        <f>'Estimate Detail'!H151</f>
        <v>0</v>
      </c>
      <c r="L68" s="1390">
        <f>-'Estimate Detail'!Y151</f>
        <v>0</v>
      </c>
      <c r="M68" s="1391"/>
      <c r="N68" s="1391">
        <f t="shared" si="0"/>
        <v>0</v>
      </c>
      <c r="O68" s="1392"/>
      <c r="Q68" s="1365"/>
      <c r="R68" s="1365"/>
      <c r="S68" s="1365"/>
      <c r="T68" s="1365"/>
      <c r="U68" s="1365"/>
      <c r="V68" s="1365"/>
      <c r="W68" s="1365"/>
      <c r="X68" s="1365"/>
      <c r="Y68" s="1365"/>
      <c r="Z68" s="1365"/>
      <c r="AA68" s="1365"/>
      <c r="AB68" s="1365"/>
      <c r="AC68" s="1365"/>
      <c r="AD68" s="1365"/>
      <c r="AE68" s="1365"/>
      <c r="AF68" s="1365"/>
      <c r="AG68" s="1365"/>
    </row>
    <row r="69" spans="2:33" s="1364" customFormat="1">
      <c r="B69" s="1382" t="str">
        <f>'Estimate Detail'!C152</f>
        <v>Oil Guns &amp; Gas/Oil/HEA Ignitors - Assy No. 12</v>
      </c>
      <c r="C69" s="1383" t="str">
        <f>'Estimate Detail'!S152</f>
        <v>R</v>
      </c>
      <c r="D69" s="1384" t="str">
        <f>'Estimate Detail'!T152</f>
        <v>D</v>
      </c>
      <c r="E69" s="1385" t="str">
        <f>'Estimate Detail'!U152</f>
        <v>Yantai Longyuan</v>
      </c>
      <c r="F69" s="1386" t="s">
        <v>644</v>
      </c>
      <c r="G69" s="1387">
        <f>'Estimate Detail'!E152</f>
        <v>0</v>
      </c>
      <c r="H69" s="1388"/>
      <c r="I69" s="1389">
        <f>'Estimate Detail'!X152</f>
        <v>0</v>
      </c>
      <c r="J69" s="1388"/>
      <c r="K69" s="1389">
        <f>'Estimate Detail'!H152</f>
        <v>0</v>
      </c>
      <c r="L69" s="1390">
        <f>-'Estimate Detail'!Y152</f>
        <v>-0.1</v>
      </c>
      <c r="M69" s="1391"/>
      <c r="N69" s="1391">
        <f t="shared" ref="N69:N117" si="1">L69+M69</f>
        <v>-0.1</v>
      </c>
      <c r="O69" s="1392"/>
      <c r="Q69" s="1365"/>
      <c r="R69" s="1365"/>
      <c r="S69" s="1365"/>
      <c r="T69" s="1365"/>
      <c r="U69" s="1365"/>
      <c r="V69" s="1365"/>
      <c r="W69" s="1365"/>
      <c r="X69" s="1365"/>
      <c r="Y69" s="1365"/>
      <c r="Z69" s="1365"/>
      <c r="AA69" s="1365"/>
      <c r="AB69" s="1365"/>
      <c r="AC69" s="1365"/>
      <c r="AD69" s="1365"/>
      <c r="AE69" s="1365"/>
      <c r="AF69" s="1365"/>
      <c r="AG69" s="1365"/>
    </row>
    <row r="70" spans="2:33" s="1364" customFormat="1" ht="24">
      <c r="B70" s="1382" t="str">
        <f>'Estimate Detail'!C153</f>
        <v>Explosion Proof Enclosures on burner floor only - Assy No. 12</v>
      </c>
      <c r="C70" s="1383" t="str">
        <f>'Estimate Detail'!S153</f>
        <v>E</v>
      </c>
      <c r="D70" s="1384" t="str">
        <f>'Estimate Detail'!T153</f>
        <v>D</v>
      </c>
      <c r="E70" s="1385" t="str">
        <f>'Estimate Detail'!U153</f>
        <v>Unknown Supplier</v>
      </c>
      <c r="F70" s="1386" t="s">
        <v>644</v>
      </c>
      <c r="G70" s="1387">
        <f>'Estimate Detail'!E153</f>
        <v>0</v>
      </c>
      <c r="H70" s="1388"/>
      <c r="I70" s="1389">
        <f>'Estimate Detail'!X153</f>
        <v>0</v>
      </c>
      <c r="J70" s="1388"/>
      <c r="K70" s="1389">
        <f>'Estimate Detail'!H153</f>
        <v>0</v>
      </c>
      <c r="L70" s="1390">
        <f>-'Estimate Detail'!Y153</f>
        <v>0</v>
      </c>
      <c r="M70" s="1391"/>
      <c r="N70" s="1391">
        <f>L70+M70</f>
        <v>0</v>
      </c>
      <c r="O70" s="1392"/>
      <c r="Q70" s="1365"/>
      <c r="R70" s="1365"/>
      <c r="S70" s="1365"/>
      <c r="T70" s="1365"/>
      <c r="U70" s="1365"/>
      <c r="V70" s="1365"/>
      <c r="W70" s="1365"/>
      <c r="X70" s="1365"/>
      <c r="Y70" s="1365"/>
      <c r="Z70" s="1365"/>
      <c r="AA70" s="1365"/>
      <c r="AB70" s="1365"/>
      <c r="AC70" s="1365"/>
      <c r="AD70" s="1365"/>
      <c r="AE70" s="1365"/>
      <c r="AF70" s="1365"/>
      <c r="AG70" s="1365"/>
    </row>
    <row r="71" spans="2:33" s="1364" customFormat="1" outlineLevel="1">
      <c r="B71" s="2001" t="str">
        <f>'Estimate Detail'!C154</f>
        <v>Plasma Firing Equipment - Assy No. 12</v>
      </c>
      <c r="C71" s="1383">
        <f>'Estimate Detail'!S154</f>
        <v>0</v>
      </c>
      <c r="D71" s="1384">
        <f>'Estimate Detail'!T154</f>
        <v>0</v>
      </c>
      <c r="E71" s="1385">
        <f>'Estimate Detail'!U154</f>
        <v>0</v>
      </c>
      <c r="F71" s="1386" t="s">
        <v>644</v>
      </c>
      <c r="G71" s="1387">
        <f>'Estimate Detail'!E154</f>
        <v>0</v>
      </c>
      <c r="H71" s="1388"/>
      <c r="I71" s="1389">
        <f>'Estimate Detail'!X154</f>
        <v>0</v>
      </c>
      <c r="J71" s="1388"/>
      <c r="K71" s="1389">
        <f>'Estimate Detail'!H154</f>
        <v>0</v>
      </c>
      <c r="L71" s="1390">
        <f>-'Estimate Detail'!Y154</f>
        <v>0</v>
      </c>
      <c r="M71" s="1391"/>
      <c r="N71" s="1391">
        <f t="shared" si="1"/>
        <v>0</v>
      </c>
      <c r="O71" s="1392"/>
      <c r="Q71" s="1365"/>
      <c r="R71" s="1365"/>
      <c r="S71" s="1365"/>
      <c r="T71" s="1365"/>
      <c r="U71" s="1365"/>
      <c r="V71" s="1365"/>
      <c r="W71" s="1365"/>
      <c r="X71" s="1365"/>
      <c r="Y71" s="1365"/>
      <c r="Z71" s="1365"/>
      <c r="AA71" s="1365"/>
      <c r="AB71" s="1365"/>
      <c r="AC71" s="1365"/>
      <c r="AD71" s="1365"/>
      <c r="AE71" s="1365"/>
      <c r="AF71" s="1365"/>
      <c r="AG71" s="1365"/>
    </row>
    <row r="72" spans="2:33" s="1364" customFormat="1">
      <c r="B72" s="1374" t="str">
        <f>'Estimate Detail'!C155</f>
        <v>Fuel Piping</v>
      </c>
      <c r="C72" s="1375">
        <f>'Estimate Detail'!S155</f>
        <v>0</v>
      </c>
      <c r="D72" s="1375">
        <f>'Estimate Detail'!T155</f>
        <v>0</v>
      </c>
      <c r="E72" s="1376"/>
      <c r="F72" s="1375"/>
      <c r="G72" s="1377"/>
      <c r="H72" s="1378"/>
      <c r="I72" s="1379"/>
      <c r="J72" s="1378"/>
      <c r="K72" s="1379"/>
      <c r="L72" s="1379"/>
      <c r="M72" s="1381"/>
      <c r="N72" s="1380"/>
      <c r="O72" s="1381"/>
      <c r="Q72" s="1365"/>
      <c r="R72" s="1365"/>
      <c r="S72" s="1365"/>
      <c r="T72" s="1365"/>
      <c r="U72" s="1365"/>
      <c r="V72" s="1365"/>
      <c r="W72" s="1365"/>
      <c r="X72" s="1365"/>
      <c r="Y72" s="1365"/>
      <c r="Z72" s="1365"/>
      <c r="AA72" s="1365"/>
      <c r="AB72" s="1365"/>
      <c r="AC72" s="1365"/>
      <c r="AD72" s="1365"/>
      <c r="AE72" s="1365"/>
      <c r="AF72" s="1365"/>
      <c r="AG72" s="1365"/>
    </row>
    <row r="73" spans="2:33" s="1364" customFormat="1">
      <c r="B73" s="1382" t="str">
        <f>'Estimate Detail'!C156</f>
        <v>Fuel Piping - Assy No. 12</v>
      </c>
      <c r="C73" s="1383" t="str">
        <f>'Estimate Detail'!S156</f>
        <v>R</v>
      </c>
      <c r="D73" s="1384" t="str">
        <f>'Estimate Detail'!T156</f>
        <v>D</v>
      </c>
      <c r="E73" s="1385" t="str">
        <f>'Estimate Detail'!U156</f>
        <v>Yangzhou Huayuan</v>
      </c>
      <c r="F73" s="1386" t="s">
        <v>633</v>
      </c>
      <c r="G73" s="1387">
        <f>'Estimate Detail'!E156</f>
        <v>0</v>
      </c>
      <c r="H73" s="1388" t="e">
        <f>IF(F73="KG",I73/G73*1000,0)</f>
        <v>#DIV/0!</v>
      </c>
      <c r="I73" s="1389">
        <f>'Estimate Detail'!X156</f>
        <v>0</v>
      </c>
      <c r="J73" s="1388" t="e">
        <f>IF(F73="KG",K73/G73*1000,0)</f>
        <v>#DIV/0!</v>
      </c>
      <c r="K73" s="1389">
        <f>'Estimate Detail'!H156</f>
        <v>0</v>
      </c>
      <c r="L73" s="1390">
        <f>-'Estimate Detail'!Y156</f>
        <v>0</v>
      </c>
      <c r="M73" s="1391"/>
      <c r="N73" s="1391">
        <f t="shared" si="1"/>
        <v>0</v>
      </c>
      <c r="O73" s="1392"/>
      <c r="Q73" s="1365"/>
      <c r="R73" s="1365"/>
      <c r="S73" s="1365"/>
      <c r="T73" s="1365"/>
      <c r="U73" s="1365"/>
      <c r="V73" s="1365"/>
      <c r="W73" s="1365"/>
      <c r="X73" s="1365"/>
      <c r="Y73" s="1365"/>
      <c r="Z73" s="1365"/>
      <c r="AA73" s="1365"/>
      <c r="AB73" s="1365"/>
      <c r="AC73" s="1365"/>
      <c r="AD73" s="1365"/>
      <c r="AE73" s="1365"/>
      <c r="AF73" s="1365"/>
      <c r="AG73" s="1365"/>
    </row>
    <row r="74" spans="2:33" s="1364" customFormat="1" outlineLevel="1">
      <c r="B74" s="1382" t="str">
        <f>'Estimate Detail'!C157</f>
        <v>Fuel Piping  Elbow - Assy No. 12</v>
      </c>
      <c r="C74" s="1383">
        <f>'Estimate Detail'!S157</f>
        <v>0</v>
      </c>
      <c r="D74" s="1384">
        <f>'Estimate Detail'!T157</f>
        <v>0</v>
      </c>
      <c r="E74" s="1385">
        <f>'Estimate Detail'!U157</f>
        <v>0</v>
      </c>
      <c r="F74" s="1386" t="s">
        <v>633</v>
      </c>
      <c r="G74" s="1387">
        <f>'Estimate Detail'!E157</f>
        <v>0</v>
      </c>
      <c r="H74" s="1388"/>
      <c r="I74" s="1389">
        <f>'Estimate Detail'!X157</f>
        <v>0</v>
      </c>
      <c r="J74" s="1388"/>
      <c r="K74" s="1389">
        <f>'Estimate Detail'!H157</f>
        <v>0</v>
      </c>
      <c r="L74" s="1390">
        <f>-'Estimate Detail'!Y157</f>
        <v>0</v>
      </c>
      <c r="M74" s="1391"/>
      <c r="N74" s="1391">
        <f t="shared" si="1"/>
        <v>0</v>
      </c>
      <c r="O74" s="1392"/>
      <c r="Q74" s="1365"/>
      <c r="R74" s="1365"/>
      <c r="S74" s="1365"/>
      <c r="T74" s="1365"/>
      <c r="U74" s="1365"/>
      <c r="V74" s="1365"/>
      <c r="W74" s="1365"/>
      <c r="X74" s="1365"/>
      <c r="Y74" s="1365"/>
      <c r="Z74" s="1365"/>
      <c r="AA74" s="1365"/>
      <c r="AB74" s="1365"/>
      <c r="AC74" s="1365"/>
      <c r="AD74" s="1365"/>
      <c r="AE74" s="1365"/>
      <c r="AF74" s="1365"/>
      <c r="AG74" s="1365"/>
    </row>
    <row r="75" spans="2:33" s="1364" customFormat="1">
      <c r="B75" s="1382" t="str">
        <f>'Estimate Detail'!C158</f>
        <v>Fuel Piping Metal Expansion Joints - Assy No. 12</v>
      </c>
      <c r="C75" s="1383" t="str">
        <f>'Estimate Detail'!S158</f>
        <v>R</v>
      </c>
      <c r="D75" s="1384" t="str">
        <f>'Estimate Detail'!T158</f>
        <v>D</v>
      </c>
      <c r="E75" s="1385" t="str">
        <f>'Estimate Detail'!U158</f>
        <v>Jiangsu Baojinlai</v>
      </c>
      <c r="F75" s="1386" t="s">
        <v>644</v>
      </c>
      <c r="G75" s="1387">
        <f>'Estimate Detail'!E158</f>
        <v>0</v>
      </c>
      <c r="H75" s="1388"/>
      <c r="I75" s="1389">
        <f>'Estimate Detail'!X158</f>
        <v>0</v>
      </c>
      <c r="J75" s="1388"/>
      <c r="K75" s="1389">
        <f>'Estimate Detail'!H158</f>
        <v>0</v>
      </c>
      <c r="L75" s="1390">
        <f>-'Estimate Detail'!Y158</f>
        <v>0</v>
      </c>
      <c r="M75" s="1391"/>
      <c r="N75" s="1391">
        <f t="shared" si="1"/>
        <v>0</v>
      </c>
      <c r="O75" s="1392"/>
      <c r="Q75" s="1365"/>
      <c r="R75" s="1365"/>
      <c r="S75" s="1365"/>
      <c r="T75" s="1365"/>
      <c r="U75" s="1365"/>
      <c r="V75" s="1365"/>
      <c r="W75" s="1365"/>
      <c r="X75" s="1365"/>
      <c r="Y75" s="1365"/>
      <c r="Z75" s="1365"/>
      <c r="AA75" s="1365"/>
      <c r="AB75" s="1365"/>
      <c r="AC75" s="1365"/>
      <c r="AD75" s="1365"/>
      <c r="AE75" s="1365"/>
      <c r="AF75" s="1365"/>
      <c r="AG75" s="1365"/>
    </row>
    <row r="76" spans="2:33" s="1364" customFormat="1" outlineLevel="1">
      <c r="B76" s="1382" t="str">
        <f>'Estimate Detail'!C159</f>
        <v>Fuel Piping support hanger - Assy No. 12</v>
      </c>
      <c r="C76" s="1383">
        <f>'Estimate Detail'!S159</f>
        <v>0</v>
      </c>
      <c r="D76" s="1384">
        <f>'Estimate Detail'!T159</f>
        <v>0</v>
      </c>
      <c r="E76" s="1385">
        <f>'Estimate Detail'!U159</f>
        <v>0</v>
      </c>
      <c r="F76" s="1386" t="s">
        <v>633</v>
      </c>
      <c r="G76" s="1387">
        <f>'Estimate Detail'!E159</f>
        <v>0</v>
      </c>
      <c r="H76" s="1388"/>
      <c r="I76" s="1389">
        <f>'Estimate Detail'!X159</f>
        <v>0</v>
      </c>
      <c r="J76" s="1388"/>
      <c r="K76" s="1389">
        <f>'Estimate Detail'!H159</f>
        <v>0</v>
      </c>
      <c r="L76" s="1390">
        <f>-'Estimate Detail'!Y159</f>
        <v>0</v>
      </c>
      <c r="M76" s="1391"/>
      <c r="N76" s="1391">
        <f t="shared" si="1"/>
        <v>0</v>
      </c>
      <c r="O76" s="1392"/>
      <c r="Q76" s="1365"/>
      <c r="R76" s="1365"/>
      <c r="S76" s="1365"/>
      <c r="T76" s="1365"/>
      <c r="U76" s="1365"/>
      <c r="V76" s="1365"/>
      <c r="W76" s="1365"/>
      <c r="X76" s="1365"/>
      <c r="Y76" s="1365"/>
      <c r="Z76" s="1365"/>
      <c r="AA76" s="1365"/>
      <c r="AB76" s="1365"/>
      <c r="AC76" s="1365"/>
      <c r="AD76" s="1365"/>
      <c r="AE76" s="1365"/>
      <c r="AF76" s="1365"/>
      <c r="AG76" s="1365"/>
    </row>
    <row r="77" spans="2:33" s="1364" customFormat="1" outlineLevel="1">
      <c r="B77" s="1382" t="str">
        <f>'Estimate Detail'!C160</f>
        <v>Fuel Piping Adjustable shrinkage cavity - Assy No. 12</v>
      </c>
      <c r="C77" s="1383">
        <f>'Estimate Detail'!S160</f>
        <v>0</v>
      </c>
      <c r="D77" s="1384">
        <f>'Estimate Detail'!T160</f>
        <v>0</v>
      </c>
      <c r="E77" s="1385">
        <f>'Estimate Detail'!U160</f>
        <v>0</v>
      </c>
      <c r="F77" s="1386" t="s">
        <v>644</v>
      </c>
      <c r="G77" s="1387">
        <f>'Estimate Detail'!E160</f>
        <v>0</v>
      </c>
      <c r="H77" s="1388"/>
      <c r="I77" s="1389">
        <f>'Estimate Detail'!X160</f>
        <v>0</v>
      </c>
      <c r="J77" s="1388"/>
      <c r="K77" s="1389">
        <f>'Estimate Detail'!H160</f>
        <v>0</v>
      </c>
      <c r="L77" s="1390">
        <f>-'Estimate Detail'!Y160</f>
        <v>0</v>
      </c>
      <c r="M77" s="1391"/>
      <c r="N77" s="1391">
        <f t="shared" si="1"/>
        <v>0</v>
      </c>
      <c r="O77" s="1392"/>
      <c r="Q77" s="1365"/>
      <c r="R77" s="1365"/>
      <c r="S77" s="1365"/>
      <c r="T77" s="1365"/>
      <c r="U77" s="1365"/>
      <c r="V77" s="1365"/>
      <c r="W77" s="1365"/>
      <c r="X77" s="1365"/>
      <c r="Y77" s="1365"/>
      <c r="Z77" s="1365"/>
      <c r="AA77" s="1365"/>
      <c r="AB77" s="1365"/>
      <c r="AC77" s="1365"/>
      <c r="AD77" s="1365"/>
      <c r="AE77" s="1365"/>
      <c r="AF77" s="1365"/>
      <c r="AG77" s="1365"/>
    </row>
    <row r="78" spans="2:33" s="1364" customFormat="1" outlineLevel="1">
      <c r="B78" s="1382" t="str">
        <f>'Estimate Detail'!C161</f>
        <v>Fuel Piping Fuel Distributor - Assy No. 12</v>
      </c>
      <c r="C78" s="1383">
        <f>'Estimate Detail'!S161</f>
        <v>0</v>
      </c>
      <c r="D78" s="1384">
        <f>'Estimate Detail'!T161</f>
        <v>0</v>
      </c>
      <c r="E78" s="1385">
        <f>'Estimate Detail'!U161</f>
        <v>0</v>
      </c>
      <c r="F78" s="1386" t="s">
        <v>644</v>
      </c>
      <c r="G78" s="1387">
        <f>'Estimate Detail'!E161</f>
        <v>0</v>
      </c>
      <c r="H78" s="1388"/>
      <c r="I78" s="1389">
        <f>'Estimate Detail'!X161</f>
        <v>0</v>
      </c>
      <c r="J78" s="1388"/>
      <c r="K78" s="1389">
        <f>'Estimate Detail'!H161</f>
        <v>0</v>
      </c>
      <c r="L78" s="1390">
        <f>-'Estimate Detail'!Y161</f>
        <v>0</v>
      </c>
      <c r="M78" s="1391"/>
      <c r="N78" s="1391">
        <f t="shared" si="1"/>
        <v>0</v>
      </c>
      <c r="O78" s="1392"/>
      <c r="Q78" s="1365"/>
      <c r="R78" s="1365"/>
      <c r="S78" s="1365"/>
      <c r="T78" s="1365"/>
      <c r="U78" s="1365"/>
      <c r="V78" s="1365"/>
      <c r="W78" s="1365"/>
      <c r="X78" s="1365"/>
      <c r="Y78" s="1365"/>
      <c r="Z78" s="1365"/>
      <c r="AA78" s="1365"/>
      <c r="AB78" s="1365"/>
      <c r="AC78" s="1365"/>
      <c r="AD78" s="1365"/>
      <c r="AE78" s="1365"/>
      <c r="AF78" s="1365"/>
      <c r="AG78" s="1365"/>
    </row>
    <row r="79" spans="2:33" s="1364" customFormat="1" ht="23.25" customHeight="1">
      <c r="B79" s="1382" t="str">
        <f>'Estimate Detail'!C162</f>
        <v>Operated Shut-off Gate for Coal Pipe - Assy No. 12</v>
      </c>
      <c r="C79" s="1383" t="str">
        <f>'Estimate Detail'!S162</f>
        <v>E</v>
      </c>
      <c r="D79" s="1384" t="str">
        <f>'Estimate Detail'!T162</f>
        <v>D</v>
      </c>
      <c r="E79" s="1385" t="str">
        <f>'Estimate Detail'!U162</f>
        <v>Wuhai Huashan</v>
      </c>
      <c r="F79" s="1386" t="s">
        <v>644</v>
      </c>
      <c r="G79" s="1387">
        <f>'Estimate Detail'!E162</f>
        <v>0</v>
      </c>
      <c r="H79" s="1388"/>
      <c r="I79" s="1389">
        <f>'Estimate Detail'!X162</f>
        <v>0</v>
      </c>
      <c r="J79" s="1388"/>
      <c r="K79" s="1389">
        <f>'Estimate Detail'!H162</f>
        <v>0</v>
      </c>
      <c r="L79" s="1390">
        <f>-'Estimate Detail'!Y162</f>
        <v>0</v>
      </c>
      <c r="M79" s="1391"/>
      <c r="N79" s="1391">
        <f t="shared" si="1"/>
        <v>0</v>
      </c>
      <c r="O79" s="1392"/>
      <c r="Q79" s="1365"/>
      <c r="R79" s="1365"/>
      <c r="S79" s="1365"/>
      <c r="T79" s="1365"/>
      <c r="U79" s="1365"/>
      <c r="V79" s="1365"/>
      <c r="W79" s="1365"/>
      <c r="X79" s="1365"/>
      <c r="Y79" s="1365"/>
      <c r="Z79" s="1365"/>
      <c r="AA79" s="1365"/>
      <c r="AB79" s="1365"/>
      <c r="AC79" s="1365"/>
      <c r="AD79" s="1365"/>
      <c r="AE79" s="1365"/>
      <c r="AF79" s="1365"/>
      <c r="AG79" s="1365"/>
    </row>
    <row r="80" spans="2:33" s="1364" customFormat="1">
      <c r="B80" s="1374" t="str">
        <f>'Estimate Detail'!C163</f>
        <v>Oil &amp; Atomizing Air System</v>
      </c>
      <c r="C80" s="1375">
        <f>'Estimate Detail'!S163</f>
        <v>0</v>
      </c>
      <c r="D80" s="1375">
        <f>'Estimate Detail'!T163</f>
        <v>0</v>
      </c>
      <c r="E80" s="1376"/>
      <c r="F80" s="1375"/>
      <c r="G80" s="1377"/>
      <c r="H80" s="1378"/>
      <c r="I80" s="1379"/>
      <c r="J80" s="1378"/>
      <c r="K80" s="1379"/>
      <c r="L80" s="1379"/>
      <c r="M80" s="1381"/>
      <c r="N80" s="1380"/>
      <c r="O80" s="1381"/>
      <c r="Q80" s="1365"/>
      <c r="R80" s="1365"/>
      <c r="S80" s="1365"/>
      <c r="T80" s="1365"/>
      <c r="U80" s="1365"/>
      <c r="V80" s="1365"/>
      <c r="W80" s="1365"/>
      <c r="X80" s="1365"/>
      <c r="Y80" s="1365"/>
      <c r="Z80" s="1365"/>
      <c r="AA80" s="1365"/>
      <c r="AB80" s="1365"/>
      <c r="AC80" s="1365"/>
      <c r="AD80" s="1365"/>
      <c r="AE80" s="1365"/>
      <c r="AF80" s="1365"/>
      <c r="AG80" s="1365"/>
    </row>
    <row r="81" spans="2:33" s="1364" customFormat="1">
      <c r="B81" s="1382" t="str">
        <f>'Estimate Detail'!C164</f>
        <v>Oil System Piping - Assy No. 12</v>
      </c>
      <c r="C81" s="1383" t="str">
        <f>'Estimate Detail'!S164</f>
        <v>E</v>
      </c>
      <c r="D81" s="1384" t="str">
        <f>'Estimate Detail'!T164</f>
        <v>D</v>
      </c>
      <c r="E81" s="1385" t="str">
        <f>'Estimate Detail'!U164</f>
        <v>Unknown Supplier</v>
      </c>
      <c r="F81" s="1386" t="s">
        <v>633</v>
      </c>
      <c r="G81" s="1387">
        <f>'Estimate Detail'!E164</f>
        <v>0</v>
      </c>
      <c r="H81" s="1388" t="e">
        <f>IF(F81="KG",I81/G81*1000,0)</f>
        <v>#DIV/0!</v>
      </c>
      <c r="I81" s="1389">
        <f>'Estimate Detail'!X164</f>
        <v>0</v>
      </c>
      <c r="J81" s="1388" t="e">
        <f>IF(F81="KG",K81/G81*1000,0)</f>
        <v>#DIV/0!</v>
      </c>
      <c r="K81" s="1389">
        <f>'Estimate Detail'!H164</f>
        <v>0</v>
      </c>
      <c r="L81" s="1390">
        <f>-'Estimate Detail'!Y164</f>
        <v>0</v>
      </c>
      <c r="M81" s="1391"/>
      <c r="N81" s="1391">
        <f t="shared" si="1"/>
        <v>0</v>
      </c>
      <c r="O81" s="1392"/>
      <c r="Q81" s="1365"/>
      <c r="R81" s="1365"/>
      <c r="S81" s="1365"/>
      <c r="T81" s="1365"/>
      <c r="U81" s="1365"/>
      <c r="V81" s="1365"/>
      <c r="W81" s="1365"/>
      <c r="X81" s="1365"/>
      <c r="Y81" s="1365"/>
      <c r="Z81" s="1365"/>
      <c r="AA81" s="1365"/>
      <c r="AB81" s="1365"/>
      <c r="AC81" s="1365"/>
      <c r="AD81" s="1365"/>
      <c r="AE81" s="1365"/>
      <c r="AF81" s="1365"/>
      <c r="AG81" s="1365"/>
    </row>
    <row r="82" spans="2:33" s="1364" customFormat="1" outlineLevel="1">
      <c r="B82" s="1382" t="str">
        <f>'Estimate Detail'!C165</f>
        <v>Oil System Valve - Assy No. 12</v>
      </c>
      <c r="C82" s="1383">
        <f>'Estimate Detail'!S165</f>
        <v>0</v>
      </c>
      <c r="D82" s="1384">
        <f>'Estimate Detail'!T165</f>
        <v>0</v>
      </c>
      <c r="E82" s="1385">
        <f>'Estimate Detail'!U165</f>
        <v>0</v>
      </c>
      <c r="F82" s="1386" t="s">
        <v>644</v>
      </c>
      <c r="G82" s="1387">
        <f>'Estimate Detail'!E165</f>
        <v>0</v>
      </c>
      <c r="H82" s="1388"/>
      <c r="I82" s="1389">
        <f>'Estimate Detail'!X165</f>
        <v>0</v>
      </c>
      <c r="J82" s="1388"/>
      <c r="K82" s="1389">
        <f>'Estimate Detail'!H165</f>
        <v>0</v>
      </c>
      <c r="L82" s="1390">
        <f>-'Estimate Detail'!Y165</f>
        <v>0</v>
      </c>
      <c r="M82" s="1391"/>
      <c r="N82" s="1391">
        <f t="shared" si="1"/>
        <v>0</v>
      </c>
      <c r="O82" s="1392"/>
      <c r="Q82" s="1365"/>
      <c r="R82" s="1365"/>
      <c r="S82" s="1365"/>
      <c r="T82" s="1365"/>
      <c r="U82" s="1365"/>
      <c r="V82" s="1365"/>
      <c r="W82" s="1365"/>
      <c r="X82" s="1365"/>
      <c r="Y82" s="1365"/>
      <c r="Z82" s="1365"/>
      <c r="AA82" s="1365"/>
      <c r="AB82" s="1365"/>
      <c r="AC82" s="1365"/>
      <c r="AD82" s="1365"/>
      <c r="AE82" s="1365"/>
      <c r="AF82" s="1365"/>
      <c r="AG82" s="1365"/>
    </row>
    <row r="83" spans="2:33" s="1364" customFormat="1" outlineLevel="1">
      <c r="B83" s="1382" t="str">
        <f>'Estimate Detail'!C166</f>
        <v>Oil System Valve - Assy No. 12</v>
      </c>
      <c r="C83" s="1383">
        <f>'Estimate Detail'!S166</f>
        <v>0</v>
      </c>
      <c r="D83" s="1384">
        <f>'Estimate Detail'!T166</f>
        <v>0</v>
      </c>
      <c r="E83" s="1385">
        <f>'Estimate Detail'!U166</f>
        <v>0</v>
      </c>
      <c r="F83" s="1386" t="s">
        <v>644</v>
      </c>
      <c r="G83" s="1387">
        <f>'Estimate Detail'!E166</f>
        <v>0</v>
      </c>
      <c r="H83" s="1388"/>
      <c r="I83" s="1389">
        <f>'Estimate Detail'!X166</f>
        <v>0</v>
      </c>
      <c r="J83" s="1388"/>
      <c r="K83" s="1389">
        <f>'Estimate Detail'!H166</f>
        <v>0</v>
      </c>
      <c r="L83" s="1390">
        <f>-'Estimate Detail'!Y166</f>
        <v>0</v>
      </c>
      <c r="M83" s="1391"/>
      <c r="N83" s="1391">
        <f t="shared" si="1"/>
        <v>0</v>
      </c>
      <c r="O83" s="1392"/>
      <c r="Q83" s="1365"/>
      <c r="R83" s="1365"/>
      <c r="S83" s="1365"/>
      <c r="T83" s="1365"/>
      <c r="U83" s="1365"/>
      <c r="V83" s="1365"/>
      <c r="W83" s="1365"/>
      <c r="X83" s="1365"/>
      <c r="Y83" s="1365"/>
      <c r="Z83" s="1365"/>
      <c r="AA83" s="1365"/>
      <c r="AB83" s="1365"/>
      <c r="AC83" s="1365"/>
      <c r="AD83" s="1365"/>
      <c r="AE83" s="1365"/>
      <c r="AF83" s="1365"/>
      <c r="AG83" s="1365"/>
    </row>
    <row r="84" spans="2:33" s="1364" customFormat="1" outlineLevel="1">
      <c r="B84" s="1382" t="str">
        <f>'Estimate Detail'!C167</f>
        <v>Oil System FLOW INST - Assy No. 12</v>
      </c>
      <c r="C84" s="1383">
        <f>'Estimate Detail'!S167</f>
        <v>0</v>
      </c>
      <c r="D84" s="1384">
        <f>'Estimate Detail'!T167</f>
        <v>0</v>
      </c>
      <c r="E84" s="1385">
        <f>'Estimate Detail'!U167</f>
        <v>0</v>
      </c>
      <c r="F84" s="1386" t="s">
        <v>644</v>
      </c>
      <c r="G84" s="1387">
        <f>'Estimate Detail'!E167</f>
        <v>0</v>
      </c>
      <c r="H84" s="1388"/>
      <c r="I84" s="1389">
        <f>'Estimate Detail'!X167</f>
        <v>0</v>
      </c>
      <c r="J84" s="1388"/>
      <c r="K84" s="1389">
        <f>'Estimate Detail'!H167</f>
        <v>0</v>
      </c>
      <c r="L84" s="1390">
        <f>-'Estimate Detail'!Y167</f>
        <v>0</v>
      </c>
      <c r="M84" s="1391"/>
      <c r="N84" s="1391">
        <f t="shared" si="1"/>
        <v>0</v>
      </c>
      <c r="O84" s="1392"/>
      <c r="Q84" s="1365"/>
      <c r="R84" s="1365"/>
      <c r="S84" s="1365"/>
      <c r="T84" s="1365"/>
      <c r="U84" s="1365"/>
      <c r="V84" s="1365"/>
      <c r="W84" s="1365"/>
      <c r="X84" s="1365"/>
      <c r="Y84" s="1365"/>
      <c r="Z84" s="1365"/>
      <c r="AA84" s="1365"/>
      <c r="AB84" s="1365"/>
      <c r="AC84" s="1365"/>
      <c r="AD84" s="1365"/>
      <c r="AE84" s="1365"/>
      <c r="AF84" s="1365"/>
      <c r="AG84" s="1365"/>
    </row>
    <row r="85" spans="2:33" s="1364" customFormat="1">
      <c r="B85" s="1374" t="str">
        <f>'Estimate Detail'!C170</f>
        <v>Ash handling System</v>
      </c>
      <c r="C85" s="1375">
        <f>'Estimate Detail'!S170</f>
        <v>0</v>
      </c>
      <c r="D85" s="1375"/>
      <c r="E85" s="1376"/>
      <c r="F85" s="1375"/>
      <c r="G85" s="1377"/>
      <c r="H85" s="1378"/>
      <c r="I85" s="1379"/>
      <c r="J85" s="1378"/>
      <c r="K85" s="1379"/>
      <c r="L85" s="1379"/>
      <c r="M85" s="1381"/>
      <c r="N85" s="1380"/>
      <c r="O85" s="1381"/>
      <c r="Q85" s="1365"/>
      <c r="R85" s="1365"/>
      <c r="S85" s="1365"/>
      <c r="T85" s="1365"/>
      <c r="U85" s="1365"/>
      <c r="V85" s="1365"/>
      <c r="W85" s="1365"/>
      <c r="X85" s="1365"/>
      <c r="Y85" s="1365"/>
      <c r="Z85" s="1365"/>
      <c r="AA85" s="1365"/>
      <c r="AB85" s="1365"/>
      <c r="AC85" s="1365"/>
      <c r="AD85" s="1365"/>
      <c r="AE85" s="1365"/>
      <c r="AF85" s="1365"/>
      <c r="AG85" s="1365"/>
    </row>
    <row r="86" spans="2:33" s="1364" customFormat="1">
      <c r="B86" s="1382" t="str">
        <f>'Estimate Detail'!C171</f>
        <v>Hopper Seal Plate - Assy No. 21</v>
      </c>
      <c r="C86" s="1383" t="str">
        <f>'Estimate Detail'!S171</f>
        <v>R</v>
      </c>
      <c r="D86" s="1384" t="str">
        <f>'Estimate Detail'!T171</f>
        <v>D</v>
      </c>
      <c r="E86" s="1385" t="str">
        <f>'Estimate Detail'!U171</f>
        <v>Wuhan Beifang</v>
      </c>
      <c r="F86" s="1386" t="s">
        <v>633</v>
      </c>
      <c r="G86" s="1387">
        <f>'Estimate Detail'!E171</f>
        <v>0</v>
      </c>
      <c r="H86" s="1388" t="e">
        <f>IF(F86="KG",I86/G86*1000,0)</f>
        <v>#DIV/0!</v>
      </c>
      <c r="I86" s="1389">
        <f>'Estimate Detail'!X171</f>
        <v>0</v>
      </c>
      <c r="J86" s="1388" t="e">
        <f>IF(F86="KG",K86/G86*1000,0)</f>
        <v>#DIV/0!</v>
      </c>
      <c r="K86" s="1389">
        <f>'Estimate Detail'!H171</f>
        <v>0</v>
      </c>
      <c r="L86" s="1390">
        <f>-'Estimate Detail'!Y171</f>
        <v>0</v>
      </c>
      <c r="M86" s="1391"/>
      <c r="N86" s="1391">
        <f t="shared" si="1"/>
        <v>0</v>
      </c>
      <c r="O86" s="1392"/>
      <c r="Q86" s="1365"/>
      <c r="R86" s="1365"/>
      <c r="S86" s="1365"/>
      <c r="T86" s="1365"/>
      <c r="U86" s="1365"/>
      <c r="V86" s="1365"/>
      <c r="W86" s="1365"/>
      <c r="X86" s="1365"/>
      <c r="Y86" s="1365"/>
      <c r="Z86" s="1365"/>
      <c r="AA86" s="1365"/>
      <c r="AB86" s="1365"/>
      <c r="AC86" s="1365"/>
      <c r="AD86" s="1365"/>
      <c r="AE86" s="1365"/>
      <c r="AF86" s="1365"/>
      <c r="AG86" s="1365"/>
    </row>
    <row r="87" spans="2:33" s="1364" customFormat="1">
      <c r="B87" s="1382" t="str">
        <f>'Estimate Detail'!C172</f>
        <v>Pusher type grate</v>
      </c>
      <c r="C87" s="1383" t="str">
        <f>'Estimate Detail'!S172</f>
        <v>Q</v>
      </c>
      <c r="D87" s="1384" t="str">
        <f>'Estimate Detail'!T172</f>
        <v>I</v>
      </c>
      <c r="E87" s="1385" t="str">
        <f>'Estimate Detail'!U172</f>
        <v>Stuttgart</v>
      </c>
      <c r="F87" s="1386" t="s">
        <v>644</v>
      </c>
      <c r="G87" s="1387">
        <f>'Estimate Detail'!E172</f>
        <v>0</v>
      </c>
      <c r="H87" s="1388"/>
      <c r="I87" s="1389">
        <f>K87</f>
        <v>0</v>
      </c>
      <c r="J87" s="1388"/>
      <c r="K87" s="1389">
        <f>'Estimate Detail'!H172</f>
        <v>0</v>
      </c>
      <c r="L87" s="1390">
        <f>-'Estimate Detail'!Y172</f>
        <v>0</v>
      </c>
      <c r="M87" s="1391"/>
      <c r="N87" s="1391">
        <f t="shared" si="1"/>
        <v>0</v>
      </c>
      <c r="O87" s="1392"/>
      <c r="Q87" s="1365"/>
      <c r="R87" s="1365"/>
      <c r="S87" s="1365"/>
      <c r="T87" s="1365"/>
      <c r="U87" s="1365"/>
      <c r="V87" s="1365"/>
      <c r="W87" s="1365"/>
      <c r="X87" s="1365"/>
      <c r="Y87" s="1365"/>
      <c r="Z87" s="1365"/>
      <c r="AA87" s="1365"/>
      <c r="AB87" s="1365"/>
      <c r="AC87" s="1365"/>
      <c r="AD87" s="1365"/>
      <c r="AE87" s="1365"/>
      <c r="AF87" s="1365"/>
      <c r="AG87" s="1365"/>
    </row>
    <row r="88" spans="2:33" s="1364" customFormat="1">
      <c r="B88" s="1374" t="str">
        <f>'Estimate Detail'!C175</f>
        <v>Air &amp; Duct</v>
      </c>
      <c r="C88" s="1375">
        <f>'Estimate Detail'!S175</f>
        <v>0</v>
      </c>
      <c r="D88" s="1375">
        <f>'Estimate Detail'!T175</f>
        <v>0</v>
      </c>
      <c r="E88" s="1376"/>
      <c r="F88" s="1375"/>
      <c r="G88" s="1377"/>
      <c r="H88" s="1378"/>
      <c r="I88" s="1379"/>
      <c r="J88" s="1378"/>
      <c r="K88" s="1379"/>
      <c r="L88" s="1379"/>
      <c r="M88" s="1381"/>
      <c r="N88" s="1380"/>
      <c r="O88" s="1381"/>
      <c r="Q88" s="1365"/>
      <c r="R88" s="1365"/>
      <c r="S88" s="1365"/>
      <c r="T88" s="1365"/>
      <c r="U88" s="1365"/>
      <c r="V88" s="1365"/>
      <c r="W88" s="1365"/>
      <c r="X88" s="1365"/>
      <c r="Y88" s="1365"/>
      <c r="Z88" s="1365"/>
      <c r="AA88" s="1365"/>
      <c r="AB88" s="1365"/>
      <c r="AC88" s="1365"/>
      <c r="AD88" s="1365"/>
      <c r="AE88" s="1365"/>
      <c r="AF88" s="1365"/>
      <c r="AG88" s="1365"/>
    </row>
    <row r="89" spans="2:33" s="1364" customFormat="1">
      <c r="B89" s="1382" t="str">
        <f>'Estimate Detail'!C176</f>
        <v>Air Ducts - Assy No. 41</v>
      </c>
      <c r="C89" s="1383" t="str">
        <f>'Estimate Detail'!S176</f>
        <v>R</v>
      </c>
      <c r="D89" s="1384" t="str">
        <f>'Estimate Detail'!T176</f>
        <v>D</v>
      </c>
      <c r="E89" s="1385" t="str">
        <f>'Estimate Detail'!U176</f>
        <v>Zhongnan Electric</v>
      </c>
      <c r="F89" s="1386" t="s">
        <v>633</v>
      </c>
      <c r="G89" s="1387">
        <f>'Estimate Detail'!E176</f>
        <v>0</v>
      </c>
      <c r="H89" s="1388" t="e">
        <f>IF(F89="KG",I89/G89*1000,0)</f>
        <v>#DIV/0!</v>
      </c>
      <c r="I89" s="1389">
        <f>'Estimate Detail'!X176</f>
        <v>0</v>
      </c>
      <c r="J89" s="1388" t="e">
        <f>IF(F89="KG",K89/G89*1000,0)</f>
        <v>#DIV/0!</v>
      </c>
      <c r="K89" s="1389">
        <f>'Estimate Detail'!H176</f>
        <v>0</v>
      </c>
      <c r="L89" s="1390">
        <f>-'Estimate Detail'!Y176</f>
        <v>0</v>
      </c>
      <c r="M89" s="1391"/>
      <c r="N89" s="1391">
        <f t="shared" si="1"/>
        <v>0</v>
      </c>
      <c r="O89" s="1392"/>
      <c r="Q89" s="1365"/>
      <c r="R89" s="1365"/>
      <c r="S89" s="1365"/>
      <c r="T89" s="1365"/>
      <c r="U89" s="1365"/>
      <c r="V89" s="1365"/>
      <c r="W89" s="1365"/>
      <c r="X89" s="1365"/>
      <c r="Y89" s="1365"/>
      <c r="Z89" s="1365"/>
      <c r="AA89" s="1365"/>
      <c r="AB89" s="1365"/>
      <c r="AC89" s="1365"/>
      <c r="AD89" s="1365"/>
      <c r="AE89" s="1365"/>
      <c r="AF89" s="1365"/>
      <c r="AG89" s="1365"/>
    </row>
    <row r="90" spans="2:33" s="1364" customFormat="1">
      <c r="B90" s="1382" t="str">
        <f>'Estimate Detail'!C177</f>
        <v>Air Ducts actuators - Assy No.41</v>
      </c>
      <c r="C90" s="1383" t="str">
        <f>'Estimate Detail'!S177</f>
        <v>E</v>
      </c>
      <c r="D90" s="1384" t="str">
        <f>'Estimate Detail'!T177</f>
        <v>D</v>
      </c>
      <c r="E90" s="1385" t="str">
        <f>'Estimate Detail'!U177</f>
        <v>Lanzhou Changxin</v>
      </c>
      <c r="F90" s="1386" t="s">
        <v>644</v>
      </c>
      <c r="G90" s="1387">
        <f>'Estimate Detail'!E177</f>
        <v>0</v>
      </c>
      <c r="H90" s="1388"/>
      <c r="I90" s="1389">
        <f>'Estimate Detail'!X177</f>
        <v>0</v>
      </c>
      <c r="J90" s="1388"/>
      <c r="K90" s="1389">
        <f>'Estimate Detail'!H177</f>
        <v>0</v>
      </c>
      <c r="L90" s="1390">
        <f>-'Estimate Detail'!Y177</f>
        <v>0</v>
      </c>
      <c r="M90" s="1391"/>
      <c r="N90" s="1391">
        <f t="shared" si="1"/>
        <v>0</v>
      </c>
      <c r="O90" s="1392"/>
      <c r="Q90" s="1365"/>
      <c r="R90" s="1365"/>
      <c r="S90" s="1365"/>
      <c r="T90" s="1365"/>
      <c r="U90" s="1365"/>
      <c r="V90" s="1365"/>
      <c r="W90" s="1365"/>
      <c r="X90" s="1365"/>
      <c r="Y90" s="1365"/>
      <c r="Z90" s="1365"/>
      <c r="AA90" s="1365"/>
      <c r="AB90" s="1365"/>
      <c r="AC90" s="1365"/>
      <c r="AD90" s="1365"/>
      <c r="AE90" s="1365"/>
      <c r="AF90" s="1365"/>
      <c r="AG90" s="1365"/>
    </row>
    <row r="91" spans="2:33" s="1364" customFormat="1">
      <c r="B91" s="1382" t="str">
        <f>'Estimate Detail'!C178</f>
        <v>Air Ducts Damper - Assy No. 41</v>
      </c>
      <c r="C91" s="1383" t="str">
        <f>'Estimate Detail'!S178</f>
        <v>E</v>
      </c>
      <c r="D91" s="1384" t="str">
        <f>'Estimate Detail'!T178</f>
        <v>D</v>
      </c>
      <c r="E91" s="1385" t="str">
        <f>'Estimate Detail'!U178</f>
        <v>Lanzhou Changxin</v>
      </c>
      <c r="F91" s="1386" t="s">
        <v>644</v>
      </c>
      <c r="G91" s="1387">
        <f>'Estimate Detail'!E178</f>
        <v>0</v>
      </c>
      <c r="H91" s="1388"/>
      <c r="I91" s="1389">
        <f>'Estimate Detail'!X178</f>
        <v>0</v>
      </c>
      <c r="J91" s="1388"/>
      <c r="K91" s="1389">
        <f>'Estimate Detail'!H178</f>
        <v>0</v>
      </c>
      <c r="L91" s="1390">
        <f>-'Estimate Detail'!Y178</f>
        <v>0</v>
      </c>
      <c r="M91" s="1391"/>
      <c r="N91" s="1391">
        <f t="shared" si="1"/>
        <v>0</v>
      </c>
      <c r="O91" s="1392"/>
      <c r="Q91" s="1365"/>
      <c r="R91" s="1365"/>
      <c r="S91" s="1365"/>
      <c r="T91" s="1365"/>
      <c r="U91" s="1365"/>
      <c r="V91" s="1365"/>
      <c r="W91" s="1365"/>
      <c r="X91" s="1365"/>
      <c r="Y91" s="1365"/>
      <c r="Z91" s="1365"/>
      <c r="AA91" s="1365"/>
      <c r="AB91" s="1365"/>
      <c r="AC91" s="1365"/>
      <c r="AD91" s="1365"/>
      <c r="AE91" s="1365"/>
      <c r="AF91" s="1365"/>
      <c r="AG91" s="1365"/>
    </row>
    <row r="92" spans="2:33" s="1364" customFormat="1">
      <c r="B92" s="1382" t="str">
        <f>'Estimate Detail'!C179</f>
        <v>Gas Duct - Assy No. 50</v>
      </c>
      <c r="C92" s="1383" t="str">
        <f>'Estimate Detail'!S179</f>
        <v>R</v>
      </c>
      <c r="D92" s="1384" t="str">
        <f>'Estimate Detail'!T179</f>
        <v>D</v>
      </c>
      <c r="E92" s="1385" t="str">
        <f>'Estimate Detail'!U179</f>
        <v>Zhongnan Electric</v>
      </c>
      <c r="F92" s="1386" t="s">
        <v>633</v>
      </c>
      <c r="G92" s="1387">
        <f>'Estimate Detail'!E179</f>
        <v>0</v>
      </c>
      <c r="H92" s="1388" t="e">
        <f>IF(F92="KG",I92/G92*1000,0)</f>
        <v>#DIV/0!</v>
      </c>
      <c r="I92" s="1389">
        <f>'Estimate Detail'!X179</f>
        <v>0</v>
      </c>
      <c r="J92" s="1388" t="e">
        <f>IF(F92="KG",K92/G92*1000,0)</f>
        <v>#DIV/0!</v>
      </c>
      <c r="K92" s="1389">
        <f>'Estimate Detail'!H179</f>
        <v>0</v>
      </c>
      <c r="L92" s="1390">
        <f>-'Estimate Detail'!Y179</f>
        <v>0</v>
      </c>
      <c r="M92" s="1391"/>
      <c r="N92" s="1391">
        <f t="shared" si="1"/>
        <v>0</v>
      </c>
      <c r="O92" s="1392"/>
      <c r="Q92" s="1365"/>
      <c r="R92" s="1365"/>
      <c r="S92" s="1365"/>
      <c r="T92" s="1365"/>
      <c r="U92" s="1365"/>
      <c r="V92" s="1365"/>
      <c r="W92" s="1365"/>
      <c r="X92" s="1365"/>
      <c r="Y92" s="1365"/>
      <c r="Z92" s="1365"/>
      <c r="AA92" s="1365"/>
      <c r="AB92" s="1365"/>
      <c r="AC92" s="1365"/>
      <c r="AD92" s="1365"/>
      <c r="AE92" s="1365"/>
      <c r="AF92" s="1365"/>
      <c r="AG92" s="1365"/>
    </row>
    <row r="93" spans="2:33" s="1364" customFormat="1">
      <c r="B93" s="1382" t="str">
        <f>'Estimate Detail'!C180</f>
        <v>Gas Duct actuators- Assy No. 50</v>
      </c>
      <c r="C93" s="1383" t="str">
        <f>'Estimate Detail'!S180</f>
        <v>E</v>
      </c>
      <c r="D93" s="1384" t="str">
        <f>'Estimate Detail'!T180</f>
        <v>D</v>
      </c>
      <c r="E93" s="1385" t="str">
        <f>'Estimate Detail'!U180</f>
        <v>Lanzhou Changxin</v>
      </c>
      <c r="F93" s="1386" t="s">
        <v>644</v>
      </c>
      <c r="G93" s="1387">
        <f>'Estimate Detail'!E180</f>
        <v>0</v>
      </c>
      <c r="H93" s="1388"/>
      <c r="I93" s="1389">
        <f>'Estimate Detail'!X180</f>
        <v>0</v>
      </c>
      <c r="J93" s="1388"/>
      <c r="K93" s="1389">
        <f>'Estimate Detail'!H180</f>
        <v>0</v>
      </c>
      <c r="L93" s="1390">
        <f>-'Estimate Detail'!Y180</f>
        <v>0</v>
      </c>
      <c r="M93" s="1391"/>
      <c r="N93" s="1391">
        <f t="shared" si="1"/>
        <v>0</v>
      </c>
      <c r="O93" s="1392"/>
      <c r="Q93" s="1365"/>
      <c r="R93" s="1365"/>
      <c r="S93" s="1365"/>
      <c r="T93" s="1365"/>
      <c r="U93" s="1365"/>
      <c r="V93" s="1365"/>
      <c r="W93" s="1365"/>
      <c r="X93" s="1365"/>
      <c r="Y93" s="1365"/>
      <c r="Z93" s="1365"/>
      <c r="AA93" s="1365"/>
      <c r="AB93" s="1365"/>
      <c r="AC93" s="1365"/>
      <c r="AD93" s="1365"/>
      <c r="AE93" s="1365"/>
      <c r="AF93" s="1365"/>
      <c r="AG93" s="1365"/>
    </row>
    <row r="94" spans="2:33" s="1364" customFormat="1">
      <c r="B94" s="1382" t="str">
        <f>'Estimate Detail'!C181</f>
        <v>Gas Ducts Damper - Assy No. 50</v>
      </c>
      <c r="C94" s="1383" t="str">
        <f>'Estimate Detail'!S181</f>
        <v>E</v>
      </c>
      <c r="D94" s="1384" t="str">
        <f>'Estimate Detail'!T181</f>
        <v>D</v>
      </c>
      <c r="E94" s="1385" t="str">
        <f>'Estimate Detail'!U181</f>
        <v>Lanzhou Changxin</v>
      </c>
      <c r="F94" s="1386" t="s">
        <v>644</v>
      </c>
      <c r="G94" s="1387">
        <f>'Estimate Detail'!E181</f>
        <v>0</v>
      </c>
      <c r="H94" s="1388"/>
      <c r="I94" s="1389">
        <f>'Estimate Detail'!X181</f>
        <v>0</v>
      </c>
      <c r="J94" s="1388"/>
      <c r="K94" s="1389">
        <f>'Estimate Detail'!H181</f>
        <v>0</v>
      </c>
      <c r="L94" s="1390">
        <f>-'Estimate Detail'!Y181</f>
        <v>0</v>
      </c>
      <c r="M94" s="1391"/>
      <c r="N94" s="1391">
        <f t="shared" si="1"/>
        <v>0</v>
      </c>
      <c r="O94" s="1392"/>
      <c r="Q94" s="1365"/>
      <c r="R94" s="1365"/>
      <c r="S94" s="1365"/>
      <c r="T94" s="1365"/>
      <c r="U94" s="1365"/>
      <c r="V94" s="1365"/>
      <c r="W94" s="1365"/>
      <c r="X94" s="1365"/>
      <c r="Y94" s="1365"/>
      <c r="Z94" s="1365"/>
      <c r="AA94" s="1365"/>
      <c r="AB94" s="1365"/>
      <c r="AC94" s="1365"/>
      <c r="AD94" s="1365"/>
      <c r="AE94" s="1365"/>
      <c r="AF94" s="1365"/>
      <c r="AG94" s="1365"/>
    </row>
    <row r="95" spans="2:33" s="1364" customFormat="1">
      <c r="B95" s="1382" t="str">
        <f>'Estimate Detail'!C182</f>
        <v>Nonferrous Expansion Joints - Assy No. 41</v>
      </c>
      <c r="C95" s="1383" t="str">
        <f>'Estimate Detail'!S182</f>
        <v>R</v>
      </c>
      <c r="D95" s="1384" t="str">
        <f>'Estimate Detail'!T182</f>
        <v>D</v>
      </c>
      <c r="E95" s="1385" t="str">
        <f>'Estimate Detail'!U182</f>
        <v>Jiangsu Baojinlai</v>
      </c>
      <c r="F95" s="1386" t="s">
        <v>644</v>
      </c>
      <c r="G95" s="1387">
        <f>'Estimate Detail'!E182</f>
        <v>0</v>
      </c>
      <c r="H95" s="1388"/>
      <c r="I95" s="1389">
        <f>'Estimate Detail'!X182</f>
        <v>0</v>
      </c>
      <c r="J95" s="1388"/>
      <c r="K95" s="1389">
        <f>'Estimate Detail'!H182</f>
        <v>0</v>
      </c>
      <c r="L95" s="1390">
        <f>-'Estimate Detail'!Y182</f>
        <v>0</v>
      </c>
      <c r="M95" s="1391"/>
      <c r="N95" s="1391">
        <f t="shared" si="1"/>
        <v>0</v>
      </c>
      <c r="O95" s="1392"/>
      <c r="Q95" s="1365"/>
      <c r="R95" s="1365"/>
      <c r="S95" s="1365"/>
      <c r="T95" s="1365"/>
      <c r="U95" s="1365"/>
      <c r="V95" s="1365"/>
      <c r="W95" s="1365"/>
      <c r="X95" s="1365"/>
      <c r="Y95" s="1365"/>
      <c r="Z95" s="1365"/>
      <c r="AA95" s="1365"/>
      <c r="AB95" s="1365"/>
      <c r="AC95" s="1365"/>
      <c r="AD95" s="1365"/>
      <c r="AE95" s="1365"/>
      <c r="AF95" s="1365"/>
      <c r="AG95" s="1365"/>
    </row>
    <row r="96" spans="2:33" s="1364" customFormat="1">
      <c r="B96" s="1382" t="str">
        <f>'Estimate Detail'!C183</f>
        <v>Metal Expansion Joints  - Assy No. 41</v>
      </c>
      <c r="C96" s="1383" t="str">
        <f>'Estimate Detail'!S183</f>
        <v>R</v>
      </c>
      <c r="D96" s="1384" t="str">
        <f>'Estimate Detail'!T183</f>
        <v>D</v>
      </c>
      <c r="E96" s="1385" t="str">
        <f>'Estimate Detail'!U183</f>
        <v>Jiangsu Baojinlai</v>
      </c>
      <c r="F96" s="1386" t="s">
        <v>644</v>
      </c>
      <c r="G96" s="1387">
        <f>'Estimate Detail'!E183</f>
        <v>0</v>
      </c>
      <c r="H96" s="1388"/>
      <c r="I96" s="1389">
        <f>'Estimate Detail'!X183</f>
        <v>0</v>
      </c>
      <c r="J96" s="1388"/>
      <c r="K96" s="1389">
        <f>'Estimate Detail'!H183</f>
        <v>0</v>
      </c>
      <c r="L96" s="1390">
        <f>-'Estimate Detail'!Y183</f>
        <v>0</v>
      </c>
      <c r="M96" s="1391"/>
      <c r="N96" s="1391">
        <f t="shared" si="1"/>
        <v>0</v>
      </c>
      <c r="O96" s="1392"/>
      <c r="Q96" s="1365"/>
      <c r="R96" s="1365"/>
      <c r="S96" s="1365"/>
      <c r="T96" s="1365"/>
      <c r="U96" s="1365"/>
      <c r="V96" s="1365"/>
      <c r="W96" s="1365"/>
      <c r="X96" s="1365"/>
      <c r="Y96" s="1365"/>
      <c r="Z96" s="1365"/>
      <c r="AA96" s="1365"/>
      <c r="AB96" s="1365"/>
      <c r="AC96" s="1365"/>
      <c r="AD96" s="1365"/>
      <c r="AE96" s="1365"/>
      <c r="AF96" s="1365"/>
      <c r="AG96" s="1365"/>
    </row>
    <row r="97" spans="2:33" s="1364" customFormat="1">
      <c r="B97" s="1382" t="str">
        <f>'Estimate Detail'!C184</f>
        <v>Seal &amp; Cooling Air Systems</v>
      </c>
      <c r="C97" s="1383" t="str">
        <f>'Estimate Detail'!S184</f>
        <v>E</v>
      </c>
      <c r="D97" s="1384" t="str">
        <f>'Estimate Detail'!T184</f>
        <v>D</v>
      </c>
      <c r="E97" s="1385" t="str">
        <f>'Estimate Detail'!U184</f>
        <v>Unknown Supplier</v>
      </c>
      <c r="F97" s="1386" t="s">
        <v>633</v>
      </c>
      <c r="G97" s="1387">
        <f>'Estimate Detail'!E184</f>
        <v>0</v>
      </c>
      <c r="H97" s="1388" t="e">
        <f>IF(F97="KG",I97/G97*1000,0)</f>
        <v>#DIV/0!</v>
      </c>
      <c r="I97" s="1389">
        <f>'Estimate Detail'!X184</f>
        <v>0</v>
      </c>
      <c r="J97" s="1388" t="e">
        <f>IF(F97="KG",K97/G97*1000,0)</f>
        <v>#DIV/0!</v>
      </c>
      <c r="K97" s="1389">
        <f>'Estimate Detail'!H184</f>
        <v>0</v>
      </c>
      <c r="L97" s="1390">
        <f>-'Estimate Detail'!Y184</f>
        <v>0</v>
      </c>
      <c r="M97" s="1391"/>
      <c r="N97" s="1391">
        <f t="shared" si="1"/>
        <v>0</v>
      </c>
      <c r="O97" s="1392"/>
      <c r="Q97" s="1365"/>
      <c r="R97" s="1365"/>
      <c r="S97" s="1365"/>
      <c r="T97" s="1365"/>
      <c r="U97" s="1365"/>
      <c r="V97" s="1365"/>
      <c r="W97" s="1365"/>
      <c r="X97" s="1365"/>
      <c r="Y97" s="1365"/>
      <c r="Z97" s="1365"/>
      <c r="AA97" s="1365"/>
      <c r="AB97" s="1365"/>
      <c r="AC97" s="1365"/>
      <c r="AD97" s="1365"/>
      <c r="AE97" s="1365"/>
      <c r="AF97" s="1365"/>
      <c r="AG97" s="1365"/>
    </row>
    <row r="98" spans="2:33" s="1364" customFormat="1" outlineLevel="1">
      <c r="B98" s="2001" t="str">
        <f>'Estimate Detail'!C187</f>
        <v>SCR Complete System - Assy No. 66</v>
      </c>
      <c r="C98" s="1383">
        <f>'Estimate Detail'!S187</f>
        <v>0</v>
      </c>
      <c r="D98" s="1384">
        <f>'Estimate Detail'!T187</f>
        <v>0</v>
      </c>
      <c r="E98" s="1385">
        <f>'Estimate Detail'!U187</f>
        <v>0</v>
      </c>
      <c r="F98" s="1386" t="s">
        <v>644</v>
      </c>
      <c r="G98" s="1387">
        <f>'Estimate Detail'!E187</f>
        <v>0</v>
      </c>
      <c r="H98" s="1388"/>
      <c r="I98" s="1389">
        <f>'Estimate Detail'!X187</f>
        <v>0</v>
      </c>
      <c r="J98" s="1388"/>
      <c r="K98" s="1389">
        <f>'Estimate Detail'!H187</f>
        <v>0</v>
      </c>
      <c r="L98" s="1390">
        <f>-'Estimate Detail'!Y187</f>
        <v>0</v>
      </c>
      <c r="M98" s="1391"/>
      <c r="N98" s="1391">
        <f t="shared" si="1"/>
        <v>0</v>
      </c>
      <c r="O98" s="1392"/>
      <c r="Q98" s="1365"/>
      <c r="R98" s="1365"/>
      <c r="S98" s="1365"/>
      <c r="T98" s="1365"/>
      <c r="U98" s="1365"/>
      <c r="V98" s="1365"/>
      <c r="W98" s="1365"/>
      <c r="X98" s="1365"/>
      <c r="Y98" s="1365"/>
      <c r="Z98" s="1365"/>
      <c r="AA98" s="1365"/>
      <c r="AB98" s="1365"/>
      <c r="AC98" s="1365"/>
      <c r="AD98" s="1365"/>
      <c r="AE98" s="1365"/>
      <c r="AF98" s="1365"/>
      <c r="AG98" s="1365"/>
    </row>
    <row r="99" spans="2:33" s="1364" customFormat="1">
      <c r="B99" s="1374" t="str">
        <f>'Estimate Detail'!C190</f>
        <v>Air Preheater</v>
      </c>
      <c r="C99" s="1375">
        <f>'Estimate Detail'!S190</f>
        <v>0</v>
      </c>
      <c r="D99" s="1375">
        <f>'Estimate Detail'!T190</f>
        <v>0</v>
      </c>
      <c r="E99" s="1376"/>
      <c r="F99" s="1375"/>
      <c r="G99" s="1377"/>
      <c r="H99" s="1378"/>
      <c r="I99" s="1379"/>
      <c r="J99" s="1378"/>
      <c r="K99" s="1379"/>
      <c r="L99" s="1379"/>
      <c r="M99" s="1381"/>
      <c r="N99" s="1380"/>
      <c r="O99" s="1381"/>
      <c r="Q99" s="1365"/>
      <c r="R99" s="1365"/>
      <c r="S99" s="1365"/>
      <c r="T99" s="1365"/>
      <c r="U99" s="1365"/>
      <c r="V99" s="1365"/>
      <c r="W99" s="1365"/>
      <c r="X99" s="1365"/>
      <c r="Y99" s="1365"/>
      <c r="Z99" s="1365"/>
      <c r="AA99" s="1365"/>
      <c r="AB99" s="1365"/>
      <c r="AC99" s="1365"/>
      <c r="AD99" s="1365"/>
      <c r="AE99" s="1365"/>
      <c r="AF99" s="1365"/>
      <c r="AG99" s="1365"/>
    </row>
    <row r="100" spans="2:33" s="1364" customFormat="1">
      <c r="B100" s="1382" t="str">
        <f>'Estimate Detail'!C191</f>
        <v>Air Preheater - Assy No. 06</v>
      </c>
      <c r="C100" s="1383" t="str">
        <f>'Estimate Detail'!S191</f>
        <v>Q</v>
      </c>
      <c r="D100" s="1384" t="str">
        <f>'Estimate Detail'!T191</f>
        <v>D</v>
      </c>
      <c r="E100" s="1385" t="str">
        <f>'Estimate Detail'!U191</f>
        <v>Avros</v>
      </c>
      <c r="F100" s="1386" t="s">
        <v>644</v>
      </c>
      <c r="G100" s="1387">
        <f>'Estimate Detail'!E191</f>
        <v>0</v>
      </c>
      <c r="H100" s="1388"/>
      <c r="I100" s="1389">
        <f>'Estimate Detail'!X191</f>
        <v>0</v>
      </c>
      <c r="J100" s="1388"/>
      <c r="K100" s="1389">
        <f>'Estimate Detail'!H191</f>
        <v>0</v>
      </c>
      <c r="L100" s="1390">
        <f>-'Estimate Detail'!Y191</f>
        <v>-0.05</v>
      </c>
      <c r="M100" s="1391"/>
      <c r="N100" s="1391">
        <f t="shared" si="1"/>
        <v>-0.05</v>
      </c>
      <c r="O100" s="1392"/>
      <c r="Q100" s="1365"/>
      <c r="R100" s="1365"/>
      <c r="S100" s="1365"/>
      <c r="T100" s="1365"/>
      <c r="U100" s="1365"/>
      <c r="V100" s="1365"/>
      <c r="W100" s="1365"/>
      <c r="X100" s="1365"/>
      <c r="Y100" s="1365"/>
      <c r="Z100" s="1365"/>
      <c r="AA100" s="1365"/>
      <c r="AB100" s="1365"/>
      <c r="AC100" s="1365"/>
      <c r="AD100" s="1365"/>
      <c r="AE100" s="1365"/>
      <c r="AF100" s="1365"/>
      <c r="AG100" s="1365"/>
    </row>
    <row r="101" spans="2:33" s="1364" customFormat="1">
      <c r="B101" s="1382" t="str">
        <f>'Estimate Detail'!C192</f>
        <v>Steam coil air heater</v>
      </c>
      <c r="C101" s="1383" t="str">
        <f>'Estimate Detail'!S192</f>
        <v>R</v>
      </c>
      <c r="D101" s="1384" t="str">
        <f>'Estimate Detail'!T192</f>
        <v>D</v>
      </c>
      <c r="E101" s="1385" t="str">
        <f>'Estimate Detail'!U192</f>
        <v>wuxi huatong</v>
      </c>
      <c r="F101" s="1386" t="s">
        <v>644</v>
      </c>
      <c r="G101" s="1387">
        <f>'Estimate Detail'!E192</f>
        <v>0</v>
      </c>
      <c r="H101" s="1388"/>
      <c r="I101" s="1389">
        <f>'Estimate Detail'!X192</f>
        <v>0</v>
      </c>
      <c r="J101" s="1388"/>
      <c r="K101" s="1389">
        <f>'Estimate Detail'!H192</f>
        <v>0</v>
      </c>
      <c r="L101" s="1390">
        <f>-'Estimate Detail'!Y192</f>
        <v>0</v>
      </c>
      <c r="M101" s="1391"/>
      <c r="N101" s="1391">
        <f t="shared" si="1"/>
        <v>0</v>
      </c>
      <c r="O101" s="1392"/>
      <c r="Q101" s="1365"/>
      <c r="R101" s="1365"/>
      <c r="S101" s="1365"/>
      <c r="T101" s="1365"/>
      <c r="U101" s="1365"/>
      <c r="V101" s="1365"/>
      <c r="W101" s="1365"/>
      <c r="X101" s="1365"/>
      <c r="Y101" s="1365"/>
      <c r="Z101" s="1365"/>
      <c r="AA101" s="1365"/>
      <c r="AB101" s="1365"/>
      <c r="AC101" s="1365"/>
      <c r="AD101" s="1365"/>
      <c r="AE101" s="1365"/>
      <c r="AF101" s="1365"/>
      <c r="AG101" s="1365"/>
    </row>
    <row r="102" spans="2:33" s="1364" customFormat="1">
      <c r="B102" s="1374" t="str">
        <f>'Estimate Detail'!C195</f>
        <v>Fans</v>
      </c>
      <c r="C102" s="1375">
        <f>'Estimate Detail'!S195</f>
        <v>0</v>
      </c>
      <c r="D102" s="1375">
        <f>'Estimate Detail'!T195</f>
        <v>0</v>
      </c>
      <c r="E102" s="1376"/>
      <c r="F102" s="1375"/>
      <c r="G102" s="1377"/>
      <c r="H102" s="1378"/>
      <c r="I102" s="1379"/>
      <c r="J102" s="1378"/>
      <c r="K102" s="1379"/>
      <c r="L102" s="1379"/>
      <c r="M102" s="1381"/>
      <c r="N102" s="1380"/>
      <c r="O102" s="1381"/>
      <c r="Q102" s="1365"/>
      <c r="R102" s="1365"/>
      <c r="S102" s="1365"/>
      <c r="T102" s="1365"/>
      <c r="U102" s="1365"/>
      <c r="V102" s="1365"/>
      <c r="W102" s="1365"/>
      <c r="X102" s="1365"/>
      <c r="Y102" s="1365"/>
      <c r="Z102" s="1365"/>
      <c r="AA102" s="1365"/>
      <c r="AB102" s="1365"/>
      <c r="AC102" s="1365"/>
      <c r="AD102" s="1365"/>
      <c r="AE102" s="1365"/>
      <c r="AF102" s="1365"/>
      <c r="AG102" s="1365"/>
    </row>
    <row r="103" spans="2:33" outlineLevel="1">
      <c r="B103" s="1382" t="str">
        <f>'Estimate Detail'!C196</f>
        <v>PA Fans</v>
      </c>
      <c r="C103" s="1383">
        <f>'Estimate Detail'!S196</f>
        <v>0</v>
      </c>
      <c r="D103" s="1384">
        <f>'Estimate Detail'!T196</f>
        <v>0</v>
      </c>
      <c r="E103" s="1385">
        <f>'Estimate Detail'!U196</f>
        <v>0</v>
      </c>
      <c r="F103" s="1386" t="s">
        <v>644</v>
      </c>
      <c r="G103" s="1387">
        <f>'Estimate Detail'!E196</f>
        <v>0</v>
      </c>
      <c r="H103" s="1388"/>
      <c r="I103" s="1389">
        <f>'Estimate Detail'!X196</f>
        <v>0</v>
      </c>
      <c r="J103" s="1388"/>
      <c r="K103" s="1389">
        <f>'Estimate Detail'!H196</f>
        <v>0</v>
      </c>
      <c r="L103" s="1390">
        <f>-'Estimate Detail'!Y196</f>
        <v>0</v>
      </c>
      <c r="M103" s="1391"/>
      <c r="N103" s="1391">
        <f t="shared" si="1"/>
        <v>0</v>
      </c>
      <c r="O103" s="1392"/>
    </row>
    <row r="104" spans="2:33">
      <c r="B104" s="1382" t="str">
        <f>'Estimate Detail'!C197</f>
        <v>FD / Secondary Air Fans</v>
      </c>
      <c r="C104" s="1383" t="str">
        <f>'Estimate Detail'!S197</f>
        <v>Q</v>
      </c>
      <c r="D104" s="1384" t="str">
        <f>'Estimate Detail'!T197</f>
        <v>D</v>
      </c>
      <c r="E104" s="1385" t="str">
        <f>'Estimate Detail'!U197</f>
        <v>TLT-TURBO (SICHUAN)</v>
      </c>
      <c r="F104" s="1386" t="s">
        <v>644</v>
      </c>
      <c r="G104" s="1387">
        <f>'Estimate Detail'!E197</f>
        <v>0</v>
      </c>
      <c r="H104" s="1388"/>
      <c r="I104" s="1389">
        <f>'Estimate Detail'!X197</f>
        <v>0</v>
      </c>
      <c r="J104" s="1388"/>
      <c r="K104" s="1389">
        <f>'Estimate Detail'!H197</f>
        <v>0</v>
      </c>
      <c r="L104" s="1390">
        <f>-'Estimate Detail'!Y197</f>
        <v>-0.1</v>
      </c>
      <c r="M104" s="1391"/>
      <c r="N104" s="1391">
        <f t="shared" si="1"/>
        <v>-0.1</v>
      </c>
      <c r="O104" s="1392"/>
    </row>
    <row r="105" spans="2:33" s="1396" customFormat="1" outlineLevel="1">
      <c r="B105" s="1382" t="str">
        <f>'Estimate Detail'!C198</f>
        <v>ID Fans</v>
      </c>
      <c r="C105" s="1383">
        <f>'Estimate Detail'!S198</f>
        <v>0</v>
      </c>
      <c r="D105" s="1384">
        <f>'Estimate Detail'!T198</f>
        <v>0</v>
      </c>
      <c r="E105" s="1385">
        <f>'Estimate Detail'!U198</f>
        <v>0</v>
      </c>
      <c r="F105" s="1386" t="s">
        <v>644</v>
      </c>
      <c r="G105" s="1387">
        <f>'Estimate Detail'!E198</f>
        <v>0</v>
      </c>
      <c r="H105" s="1388"/>
      <c r="I105" s="1389">
        <f>'Estimate Detail'!X198</f>
        <v>0</v>
      </c>
      <c r="J105" s="1388"/>
      <c r="K105" s="1389">
        <f>'Estimate Detail'!H198</f>
        <v>0</v>
      </c>
      <c r="L105" s="1390">
        <f>-'Estimate Detail'!Y198</f>
        <v>0</v>
      </c>
      <c r="M105" s="1391"/>
      <c r="N105" s="1391">
        <f t="shared" si="1"/>
        <v>0</v>
      </c>
      <c r="O105" s="1392"/>
      <c r="P105" s="1364"/>
    </row>
    <row r="106" spans="2:33" s="1397" customFormat="1" outlineLevel="1">
      <c r="B106" s="1382" t="str">
        <f>'Estimate Detail'!C199</f>
        <v>GR Fans</v>
      </c>
      <c r="C106" s="1383">
        <f>'Estimate Detail'!S199</f>
        <v>0</v>
      </c>
      <c r="D106" s="1384">
        <f>'Estimate Detail'!T199</f>
        <v>0</v>
      </c>
      <c r="E106" s="1385">
        <f>'Estimate Detail'!U199</f>
        <v>0</v>
      </c>
      <c r="F106" s="1386" t="s">
        <v>644</v>
      </c>
      <c r="G106" s="1387">
        <f>'Estimate Detail'!E199</f>
        <v>0</v>
      </c>
      <c r="H106" s="1388"/>
      <c r="I106" s="1389">
        <f>'Estimate Detail'!X199</f>
        <v>0</v>
      </c>
      <c r="J106" s="1388"/>
      <c r="K106" s="1389">
        <f>'Estimate Detail'!H199</f>
        <v>0</v>
      </c>
      <c r="L106" s="1390">
        <f>-'Estimate Detail'!Y199</f>
        <v>0</v>
      </c>
      <c r="M106" s="1391"/>
      <c r="N106" s="1391">
        <f t="shared" si="1"/>
        <v>0</v>
      </c>
      <c r="O106" s="1392"/>
      <c r="P106" s="1364"/>
    </row>
    <row r="107" spans="2:33" s="1397" customFormat="1" outlineLevel="1">
      <c r="B107" s="2001" t="str">
        <f>'Estimate Detail'!C202</f>
        <v>Flue Gas Heat Recovery System</v>
      </c>
      <c r="C107" s="1383">
        <f>'Estimate Detail'!S202</f>
        <v>0</v>
      </c>
      <c r="D107" s="1384">
        <f>'Estimate Detail'!T202</f>
        <v>0</v>
      </c>
      <c r="E107" s="1385">
        <f>'Estimate Detail'!U202</f>
        <v>0</v>
      </c>
      <c r="F107" s="1386" t="s">
        <v>644</v>
      </c>
      <c r="G107" s="1387">
        <f>'Estimate Detail'!E202</f>
        <v>0</v>
      </c>
      <c r="H107" s="1388"/>
      <c r="I107" s="1389">
        <f>'Estimate Detail'!X202</f>
        <v>0</v>
      </c>
      <c r="J107" s="1388"/>
      <c r="K107" s="1389">
        <f>'Estimate Detail'!H202</f>
        <v>0</v>
      </c>
      <c r="L107" s="1390">
        <f>-'Estimate Detail'!Y202</f>
        <v>0</v>
      </c>
      <c r="M107" s="1391"/>
      <c r="N107" s="1391">
        <f t="shared" si="1"/>
        <v>0</v>
      </c>
      <c r="O107" s="1392"/>
      <c r="P107" s="1364"/>
    </row>
    <row r="108" spans="2:33" s="1397" customFormat="1">
      <c r="B108" s="1374" t="str">
        <f>'Estimate Detail'!C205</f>
        <v>Motors</v>
      </c>
      <c r="C108" s="1375">
        <f>'Estimate Detail'!S205</f>
        <v>0</v>
      </c>
      <c r="D108" s="1375">
        <f>'Estimate Detail'!T205</f>
        <v>0</v>
      </c>
      <c r="E108" s="1376"/>
      <c r="F108" s="1375"/>
      <c r="G108" s="1377"/>
      <c r="H108" s="1378"/>
      <c r="I108" s="1379"/>
      <c r="J108" s="1378"/>
      <c r="K108" s="1379"/>
      <c r="L108" s="1379"/>
      <c r="M108" s="1381"/>
      <c r="N108" s="1380"/>
      <c r="O108" s="1381"/>
      <c r="P108" s="1364"/>
    </row>
    <row r="109" spans="2:33" s="1397" customFormat="1" outlineLevel="1">
      <c r="B109" s="1382" t="str">
        <f>'Estimate Detail'!C206</f>
        <v>PA Fan Motors</v>
      </c>
      <c r="C109" s="1383">
        <f>'Estimate Detail'!S206</f>
        <v>0</v>
      </c>
      <c r="D109" s="1384">
        <f>'Estimate Detail'!T206</f>
        <v>0</v>
      </c>
      <c r="E109" s="1385">
        <f>'Estimate Detail'!U206</f>
        <v>0</v>
      </c>
      <c r="F109" s="1386" t="s">
        <v>644</v>
      </c>
      <c r="G109" s="1387">
        <f>'Estimate Detail'!E206</f>
        <v>0</v>
      </c>
      <c r="H109" s="1388"/>
      <c r="I109" s="1389">
        <f>'Estimate Detail'!X206</f>
        <v>0</v>
      </c>
      <c r="J109" s="1388"/>
      <c r="K109" s="1389">
        <f>'Estimate Detail'!H206</f>
        <v>0</v>
      </c>
      <c r="L109" s="1390">
        <f>-'Estimate Detail'!Y206</f>
        <v>0</v>
      </c>
      <c r="M109" s="1391"/>
      <c r="N109" s="1391">
        <f t="shared" si="1"/>
        <v>0</v>
      </c>
      <c r="O109" s="1392"/>
      <c r="P109" s="1364"/>
    </row>
    <row r="110" spans="2:33" s="1397" customFormat="1">
      <c r="B110" s="1382" t="str">
        <f>'Estimate Detail'!C207</f>
        <v>FD  Motors(Provide Oversized Motors)</v>
      </c>
      <c r="C110" s="1383" t="str">
        <f>'Estimate Detail'!S207</f>
        <v>E</v>
      </c>
      <c r="D110" s="1384" t="str">
        <f>'Estimate Detail'!T207</f>
        <v>D</v>
      </c>
      <c r="E110" s="1385" t="str">
        <f>'Estimate Detail'!U207</f>
        <v>Unknown Supplier</v>
      </c>
      <c r="F110" s="1386" t="s">
        <v>644</v>
      </c>
      <c r="G110" s="1387">
        <f>'Estimate Detail'!E207</f>
        <v>0</v>
      </c>
      <c r="H110" s="1388"/>
      <c r="I110" s="1389">
        <f>'Estimate Detail'!X207</f>
        <v>0</v>
      </c>
      <c r="J110" s="1388"/>
      <c r="K110" s="1389">
        <f>'Estimate Detail'!H207</f>
        <v>0</v>
      </c>
      <c r="L110" s="1390">
        <f>-'Estimate Detail'!Y207</f>
        <v>0</v>
      </c>
      <c r="M110" s="1391"/>
      <c r="N110" s="1391">
        <f t="shared" si="1"/>
        <v>0</v>
      </c>
      <c r="O110" s="1392"/>
      <c r="P110" s="1364"/>
    </row>
    <row r="111" spans="2:33" s="1397" customFormat="1" outlineLevel="1">
      <c r="B111" s="1382" t="str">
        <f>'Estimate Detail'!C208</f>
        <v>ID Fan Motors</v>
      </c>
      <c r="C111" s="1383">
        <f>'Estimate Detail'!S208</f>
        <v>0</v>
      </c>
      <c r="D111" s="1384">
        <f>'Estimate Detail'!T208</f>
        <v>0</v>
      </c>
      <c r="E111" s="1385">
        <f>'Estimate Detail'!U208</f>
        <v>0</v>
      </c>
      <c r="F111" s="1386" t="s">
        <v>644</v>
      </c>
      <c r="G111" s="1387">
        <f>'Estimate Detail'!E208</f>
        <v>0</v>
      </c>
      <c r="H111" s="1388"/>
      <c r="I111" s="1389">
        <f>'Estimate Detail'!X208</f>
        <v>0</v>
      </c>
      <c r="J111" s="1388"/>
      <c r="K111" s="1389">
        <f>'Estimate Detail'!H208</f>
        <v>0</v>
      </c>
      <c r="L111" s="1390">
        <f>-'Estimate Detail'!Y208</f>
        <v>0</v>
      </c>
      <c r="M111" s="1391"/>
      <c r="N111" s="1391">
        <f t="shared" si="1"/>
        <v>0</v>
      </c>
      <c r="O111" s="1392"/>
      <c r="P111" s="1364"/>
    </row>
    <row r="112" spans="2:33" s="1397" customFormat="1" outlineLevel="1">
      <c r="B112" s="1382" t="str">
        <f>'Estimate Detail'!C209</f>
        <v>GR Fan Motors</v>
      </c>
      <c r="C112" s="1383">
        <f>'Estimate Detail'!S209</f>
        <v>0</v>
      </c>
      <c r="D112" s="1384">
        <f>'Estimate Detail'!T209</f>
        <v>0</v>
      </c>
      <c r="E112" s="1385">
        <f>'Estimate Detail'!U209</f>
        <v>0</v>
      </c>
      <c r="F112" s="1386" t="s">
        <v>644</v>
      </c>
      <c r="G112" s="1387">
        <f>'Estimate Detail'!E209</f>
        <v>0</v>
      </c>
      <c r="H112" s="1388"/>
      <c r="I112" s="1389">
        <f>'Estimate Detail'!X209</f>
        <v>0</v>
      </c>
      <c r="J112" s="1388"/>
      <c r="K112" s="1389">
        <f>'Estimate Detail'!H209</f>
        <v>0</v>
      </c>
      <c r="L112" s="1390">
        <f>-'Estimate Detail'!Y209</f>
        <v>0</v>
      </c>
      <c r="M112" s="1391"/>
      <c r="N112" s="1391">
        <f t="shared" si="1"/>
        <v>0</v>
      </c>
      <c r="O112" s="1392"/>
      <c r="P112" s="1364"/>
    </row>
    <row r="113" spans="2:15" ht="24.75" customHeight="1">
      <c r="B113" s="1374" t="str">
        <f>'Estimate Detail'!C212</f>
        <v>Controls &amp; Instrumentation</v>
      </c>
      <c r="C113" s="1375">
        <f>'Estimate Detail'!S212</f>
        <v>0</v>
      </c>
      <c r="D113" s="1375">
        <f>'Estimate Detail'!T212</f>
        <v>0</v>
      </c>
      <c r="E113" s="1376"/>
      <c r="F113" s="1375"/>
      <c r="G113" s="1377"/>
      <c r="H113" s="1378"/>
      <c r="I113" s="1379"/>
      <c r="J113" s="1378"/>
      <c r="K113" s="1379"/>
      <c r="L113" s="1379"/>
      <c r="M113" s="1381"/>
      <c r="N113" s="1380"/>
      <c r="O113" s="1381"/>
    </row>
    <row r="114" spans="2:15" ht="24.75" customHeight="1" outlineLevel="1">
      <c r="B114" s="1382" t="str">
        <f>'Estimate Detail'!C214</f>
        <v>Windbox SA Damper / SOFA Damper Actuator - Assy No. 12</v>
      </c>
      <c r="C114" s="1383">
        <f>'Estimate Detail'!S214</f>
        <v>0</v>
      </c>
      <c r="D114" s="1384">
        <f>'Estimate Detail'!T214</f>
        <v>0</v>
      </c>
      <c r="E114" s="1385">
        <f>'Estimate Detail'!U214</f>
        <v>0</v>
      </c>
      <c r="F114" s="1386" t="s">
        <v>644</v>
      </c>
      <c r="G114" s="1387">
        <f>'Estimate Detail'!E214</f>
        <v>0</v>
      </c>
      <c r="H114" s="1388"/>
      <c r="I114" s="1389">
        <f>'Estimate Detail'!X214</f>
        <v>0</v>
      </c>
      <c r="J114" s="1388"/>
      <c r="K114" s="1389">
        <f>'Estimate Detail'!H214</f>
        <v>0</v>
      </c>
      <c r="L114" s="1390">
        <f>-'Estimate Detail'!Y214</f>
        <v>0</v>
      </c>
      <c r="M114" s="1391"/>
      <c r="N114" s="1391">
        <f t="shared" si="1"/>
        <v>0</v>
      </c>
      <c r="O114" s="1392"/>
    </row>
    <row r="115" spans="2:15" ht="24.75" customHeight="1" outlineLevel="1">
      <c r="B115" s="1382" t="str">
        <f>'Estimate Detail'!C215</f>
        <v>Nozzle Tilting Actuator - Assy No. 12</v>
      </c>
      <c r="C115" s="1383">
        <f>'Estimate Detail'!S215</f>
        <v>0</v>
      </c>
      <c r="D115" s="1384">
        <f>'Estimate Detail'!T215</f>
        <v>0</v>
      </c>
      <c r="E115" s="1385">
        <f>'Estimate Detail'!U215</f>
        <v>0</v>
      </c>
      <c r="F115" s="1386" t="s">
        <v>644</v>
      </c>
      <c r="G115" s="1387">
        <f>'Estimate Detail'!E215</f>
        <v>0</v>
      </c>
      <c r="H115" s="1388"/>
      <c r="I115" s="1389">
        <f>'Estimate Detail'!X215</f>
        <v>0</v>
      </c>
      <c r="J115" s="1388"/>
      <c r="K115" s="1389">
        <f>'Estimate Detail'!H215</f>
        <v>0</v>
      </c>
      <c r="L115" s="1390">
        <f>-'Estimate Detail'!Y215</f>
        <v>0</v>
      </c>
      <c r="M115" s="1391"/>
      <c r="N115" s="1391">
        <f t="shared" si="1"/>
        <v>0</v>
      </c>
      <c r="O115" s="1392"/>
    </row>
    <row r="116" spans="2:15" ht="24.75" customHeight="1">
      <c r="B116" s="1382" t="str">
        <f>'Estimate Detail'!C216</f>
        <v>Balance Vessel - Assy No. 64</v>
      </c>
      <c r="C116" s="1383" t="str">
        <f>'Estimate Detail'!S216</f>
        <v>E</v>
      </c>
      <c r="D116" s="1384" t="str">
        <f>'Estimate Detail'!T216</f>
        <v>D</v>
      </c>
      <c r="E116" s="1385" t="str">
        <f>'Estimate Detail'!U216</f>
        <v>Tieling Tieguang</v>
      </c>
      <c r="F116" s="1386" t="s">
        <v>644</v>
      </c>
      <c r="G116" s="1387">
        <f>'Estimate Detail'!E216</f>
        <v>0</v>
      </c>
      <c r="H116" s="1388"/>
      <c r="I116" s="1389">
        <f>'Estimate Detail'!X216</f>
        <v>0</v>
      </c>
      <c r="J116" s="1388"/>
      <c r="K116" s="1389">
        <f>'Estimate Detail'!H216</f>
        <v>0</v>
      </c>
      <c r="L116" s="1390">
        <f>-'Estimate Detail'!Y216</f>
        <v>0</v>
      </c>
      <c r="M116" s="1391"/>
      <c r="N116" s="1391">
        <f t="shared" si="1"/>
        <v>0</v>
      </c>
      <c r="O116" s="1392"/>
    </row>
    <row r="117" spans="2:15" ht="24.75" customHeight="1">
      <c r="B117" s="1382" t="str">
        <f>'Estimate Detail'!C217</f>
        <v>Steam/Water Flow  Measurement equipment - Assy No. 61</v>
      </c>
      <c r="C117" s="1383" t="str">
        <f>'Estimate Detail'!S217</f>
        <v>R</v>
      </c>
      <c r="D117" s="1384" t="str">
        <f>'Estimate Detail'!T217</f>
        <v>D</v>
      </c>
      <c r="E117" s="1385" t="str">
        <f>'Estimate Detail'!U217</f>
        <v>Jiangyin Shenzhou</v>
      </c>
      <c r="F117" s="1386" t="s">
        <v>644</v>
      </c>
      <c r="G117" s="1387">
        <f>'Estimate Detail'!E217</f>
        <v>0</v>
      </c>
      <c r="H117" s="1388"/>
      <c r="I117" s="1389">
        <f>'Estimate Detail'!X217</f>
        <v>0</v>
      </c>
      <c r="J117" s="1388"/>
      <c r="K117" s="1389">
        <f>'Estimate Detail'!H217</f>
        <v>0</v>
      </c>
      <c r="L117" s="1390">
        <f>-'Estimate Detail'!Y217</f>
        <v>0</v>
      </c>
      <c r="M117" s="1391"/>
      <c r="N117" s="1391">
        <f t="shared" si="1"/>
        <v>0</v>
      </c>
      <c r="O117" s="1392"/>
    </row>
    <row r="118" spans="2:15" ht="24.75" customHeight="1">
      <c r="B118" s="1382" t="str">
        <f>'Estimate Detail'!C218</f>
        <v>Unblocking sampling Device - Assy No. 61</v>
      </c>
      <c r="C118" s="1383" t="str">
        <f>'Estimate Detail'!S218</f>
        <v>R</v>
      </c>
      <c r="D118" s="1384" t="str">
        <f>'Estimate Detail'!T218</f>
        <v>D</v>
      </c>
      <c r="E118" s="1385" t="str">
        <f>'Estimate Detail'!U218</f>
        <v>Jiangyin Shenzhou</v>
      </c>
      <c r="F118" s="1386" t="s">
        <v>644</v>
      </c>
      <c r="G118" s="1387">
        <f>'Estimate Detail'!E218</f>
        <v>0</v>
      </c>
      <c r="H118" s="1388"/>
      <c r="I118" s="1389">
        <f>'Estimate Detail'!X218</f>
        <v>0</v>
      </c>
      <c r="J118" s="1388"/>
      <c r="K118" s="1389">
        <f>'Estimate Detail'!H218</f>
        <v>0</v>
      </c>
      <c r="L118" s="1390">
        <f>-'Estimate Detail'!Y218</f>
        <v>0</v>
      </c>
      <c r="M118" s="1391"/>
      <c r="N118" s="1391">
        <f t="shared" ref="N118:N145" si="2">L118+M118</f>
        <v>0</v>
      </c>
      <c r="O118" s="1392"/>
    </row>
    <row r="119" spans="2:15" ht="24.75" customHeight="1">
      <c r="B119" s="1382" t="str">
        <f>'Estimate Detail'!C219</f>
        <v>Thermocouple - Assy No. 61</v>
      </c>
      <c r="C119" s="1383" t="str">
        <f>'Estimate Detail'!S219</f>
        <v>R</v>
      </c>
      <c r="D119" s="1384" t="str">
        <f>'Estimate Detail'!T219</f>
        <v>D</v>
      </c>
      <c r="E119" s="1385" t="str">
        <f>'Estimate Detail'!U219</f>
        <v>Anhui Tiankang</v>
      </c>
      <c r="F119" s="1386" t="s">
        <v>644</v>
      </c>
      <c r="G119" s="1387">
        <f>'Estimate Detail'!E219</f>
        <v>0</v>
      </c>
      <c r="H119" s="1388"/>
      <c r="I119" s="1389">
        <f>'Estimate Detail'!X219</f>
        <v>0</v>
      </c>
      <c r="J119" s="1388"/>
      <c r="K119" s="1389">
        <f>'Estimate Detail'!H219</f>
        <v>0</v>
      </c>
      <c r="L119" s="1390">
        <f>-'Estimate Detail'!Y219</f>
        <v>0</v>
      </c>
      <c r="M119" s="1391"/>
      <c r="N119" s="1391">
        <f t="shared" si="2"/>
        <v>0</v>
      </c>
      <c r="O119" s="1392"/>
    </row>
    <row r="120" spans="2:15" ht="24.75" customHeight="1">
      <c r="B120" s="1382" t="str">
        <f>'Estimate Detail'!C220</f>
        <v>Air Flow Measure - Assy No. 61</v>
      </c>
      <c r="C120" s="1383" t="str">
        <f>'Estimate Detail'!S220</f>
        <v>R</v>
      </c>
      <c r="D120" s="1384" t="str">
        <f>'Estimate Detail'!T220</f>
        <v>D</v>
      </c>
      <c r="E120" s="1385" t="str">
        <f>'Estimate Detail'!U220</f>
        <v>Nanjing Watt</v>
      </c>
      <c r="F120" s="1386" t="s">
        <v>644</v>
      </c>
      <c r="G120" s="1387">
        <f>'Estimate Detail'!E220</f>
        <v>0</v>
      </c>
      <c r="H120" s="1388"/>
      <c r="I120" s="1389">
        <f>'Estimate Detail'!X220</f>
        <v>0</v>
      </c>
      <c r="J120" s="1388"/>
      <c r="K120" s="1389">
        <f>'Estimate Detail'!H220</f>
        <v>0</v>
      </c>
      <c r="L120" s="1390">
        <f>-'Estimate Detail'!Y220</f>
        <v>0</v>
      </c>
      <c r="M120" s="1391"/>
      <c r="N120" s="1391">
        <f t="shared" si="2"/>
        <v>0</v>
      </c>
      <c r="O120" s="1392"/>
    </row>
    <row r="121" spans="2:15" ht="24.75" customHeight="1">
      <c r="B121" s="1382" t="str">
        <f>'Estimate Detail'!C221</f>
        <v>Pressure Switch - Assy No. 61</v>
      </c>
      <c r="C121" s="1383" t="str">
        <f>'Estimate Detail'!S221</f>
        <v>E</v>
      </c>
      <c r="D121" s="1384" t="str">
        <f>'Estimate Detail'!T221</f>
        <v>I</v>
      </c>
      <c r="E121" s="1385" t="str">
        <f>'Estimate Detail'!U221</f>
        <v>Rosemount</v>
      </c>
      <c r="F121" s="1386" t="s">
        <v>644</v>
      </c>
      <c r="G121" s="1387">
        <f>'Estimate Detail'!E221</f>
        <v>0</v>
      </c>
      <c r="H121" s="1388"/>
      <c r="I121" s="1389">
        <f>'Estimate Detail'!X221</f>
        <v>0</v>
      </c>
      <c r="J121" s="1388"/>
      <c r="K121" s="1389">
        <f>'Estimate Detail'!H221</f>
        <v>0</v>
      </c>
      <c r="L121" s="1390">
        <f>-'Estimate Detail'!Y221</f>
        <v>0</v>
      </c>
      <c r="M121" s="1391"/>
      <c r="N121" s="1391">
        <f t="shared" si="2"/>
        <v>0</v>
      </c>
      <c r="O121" s="1392"/>
    </row>
    <row r="122" spans="2:15" ht="24.75" customHeight="1">
      <c r="B122" s="1382" t="str">
        <f>'Estimate Detail'!C222</f>
        <v>Pressure Transmitters - Assy No. 61</v>
      </c>
      <c r="C122" s="1383" t="str">
        <f>'Estimate Detail'!S222</f>
        <v>E</v>
      </c>
      <c r="D122" s="1384" t="str">
        <f>'Estimate Detail'!T222</f>
        <v>I</v>
      </c>
      <c r="E122" s="1385" t="str">
        <f>'Estimate Detail'!U222</f>
        <v>Rosemount</v>
      </c>
      <c r="F122" s="1386" t="s">
        <v>644</v>
      </c>
      <c r="G122" s="1387">
        <f>'Estimate Detail'!E222</f>
        <v>0</v>
      </c>
      <c r="H122" s="1388"/>
      <c r="I122" s="1389">
        <f>'Estimate Detail'!X222</f>
        <v>0</v>
      </c>
      <c r="J122" s="1388"/>
      <c r="K122" s="1389">
        <f>'Estimate Detail'!H222</f>
        <v>0</v>
      </c>
      <c r="L122" s="1390">
        <f>-'Estimate Detail'!Y222</f>
        <v>0</v>
      </c>
      <c r="M122" s="1391"/>
      <c r="N122" s="1391">
        <f t="shared" si="2"/>
        <v>0</v>
      </c>
      <c r="O122" s="1392"/>
    </row>
    <row r="123" spans="2:15" ht="24.75" customHeight="1">
      <c r="B123" s="1382" t="str">
        <f>'Estimate Detail'!C223</f>
        <v>Pressure/Temperature watch - Assy No. 61</v>
      </c>
      <c r="C123" s="1383" t="str">
        <f>'Estimate Detail'!S223</f>
        <v>E</v>
      </c>
      <c r="D123" s="1384" t="str">
        <f>'Estimate Detail'!T223</f>
        <v>I</v>
      </c>
      <c r="E123" s="1385" t="str">
        <f>'Estimate Detail'!U223</f>
        <v>Unknown Supplier</v>
      </c>
      <c r="F123" s="1386" t="s">
        <v>644</v>
      </c>
      <c r="G123" s="1387">
        <f>'Estimate Detail'!E223</f>
        <v>0</v>
      </c>
      <c r="H123" s="1388"/>
      <c r="I123" s="1389">
        <f>'Estimate Detail'!X223</f>
        <v>0</v>
      </c>
      <c r="J123" s="1388"/>
      <c r="K123" s="1389">
        <f>'Estimate Detail'!H223</f>
        <v>0</v>
      </c>
      <c r="L123" s="1390">
        <f>-'Estimate Detail'!Y223</f>
        <v>0</v>
      </c>
      <c r="M123" s="1391"/>
      <c r="N123" s="1391">
        <f t="shared" si="2"/>
        <v>0</v>
      </c>
      <c r="O123" s="1392"/>
    </row>
    <row r="124" spans="2:15" ht="24.75" customHeight="1">
      <c r="B124" s="1382" t="str">
        <f>'Estimate Detail'!C224</f>
        <v>Leak detection system - Assy No. 61</v>
      </c>
      <c r="C124" s="1383" t="str">
        <f>'Estimate Detail'!S224</f>
        <v>R</v>
      </c>
      <c r="D124" s="1384" t="str">
        <f>'Estimate Detail'!T224</f>
        <v>D</v>
      </c>
      <c r="E124" s="1385" t="str">
        <f>'Estimate Detail'!U224</f>
        <v>NanJing Qingneng</v>
      </c>
      <c r="F124" s="1386" t="s">
        <v>644</v>
      </c>
      <c r="G124" s="1387">
        <f>'Estimate Detail'!E224</f>
        <v>0</v>
      </c>
      <c r="H124" s="1388"/>
      <c r="I124" s="1389">
        <f>'Estimate Detail'!X224</f>
        <v>0</v>
      </c>
      <c r="J124" s="1388"/>
      <c r="K124" s="1389">
        <f>'Estimate Detail'!H224</f>
        <v>0</v>
      </c>
      <c r="L124" s="1390">
        <f>-'Estimate Detail'!Y224</f>
        <v>0</v>
      </c>
      <c r="M124" s="1391"/>
      <c r="N124" s="1391">
        <f t="shared" si="2"/>
        <v>0</v>
      </c>
      <c r="O124" s="1392"/>
    </row>
    <row r="125" spans="2:15" ht="24.75" customHeight="1">
      <c r="B125" s="1382" t="str">
        <f>'Estimate Detail'!C225</f>
        <v>Flame Scanner and Cooling Air System - Assy No. 61</v>
      </c>
      <c r="C125" s="1383" t="str">
        <f>'Estimate Detail'!S225</f>
        <v>R</v>
      </c>
      <c r="D125" s="1384" t="str">
        <f>'Estimate Detail'!T225</f>
        <v>I</v>
      </c>
      <c r="E125" s="1385" t="str">
        <f>'Estimate Detail'!U225</f>
        <v>COEN</v>
      </c>
      <c r="F125" s="1386" t="s">
        <v>644</v>
      </c>
      <c r="G125" s="1387">
        <f>'Estimate Detail'!E225</f>
        <v>0</v>
      </c>
      <c r="H125" s="1388"/>
      <c r="I125" s="1389">
        <f>'Estimate Detail'!X225</f>
        <v>0</v>
      </c>
      <c r="J125" s="1388"/>
      <c r="K125" s="1389">
        <f>'Estimate Detail'!H225</f>
        <v>0</v>
      </c>
      <c r="L125" s="1390">
        <f>-'Estimate Detail'!Y225</f>
        <v>0</v>
      </c>
      <c r="M125" s="1391"/>
      <c r="N125" s="1391">
        <f t="shared" si="2"/>
        <v>0</v>
      </c>
      <c r="O125" s="1392"/>
    </row>
    <row r="126" spans="2:15" ht="24.75" customHeight="1">
      <c r="B126" s="1382" t="str">
        <f>'Estimate Detail'!C226</f>
        <v>CCTV System - Assy No. 61</v>
      </c>
      <c r="C126" s="1383" t="str">
        <f>'Estimate Detail'!S226</f>
        <v>R</v>
      </c>
      <c r="D126" s="1384" t="str">
        <f>'Estimate Detail'!T226</f>
        <v>D</v>
      </c>
      <c r="E126" s="1385" t="str">
        <f>'Estimate Detail'!U226</f>
        <v>Changchun Boiler Instrumentation</v>
      </c>
      <c r="F126" s="1386" t="s">
        <v>644</v>
      </c>
      <c r="G126" s="1387">
        <f>'Estimate Detail'!E226</f>
        <v>0</v>
      </c>
      <c r="H126" s="1388"/>
      <c r="I126" s="1389">
        <f>'Estimate Detail'!X226</f>
        <v>0</v>
      </c>
      <c r="J126" s="1388"/>
      <c r="K126" s="1389">
        <f>'Estimate Detail'!H226</f>
        <v>0</v>
      </c>
      <c r="L126" s="1390">
        <f>-'Estimate Detail'!Y226</f>
        <v>0</v>
      </c>
      <c r="M126" s="1391"/>
      <c r="N126" s="1391">
        <f t="shared" si="2"/>
        <v>0</v>
      </c>
      <c r="O126" s="1392"/>
    </row>
    <row r="127" spans="2:15" ht="24.75" customHeight="1">
      <c r="B127" s="1382" t="str">
        <f>'Estimate Detail'!C227</f>
        <v>CCTV System - Assy No. 61</v>
      </c>
      <c r="C127" s="1383" t="str">
        <f>'Estimate Detail'!S227</f>
        <v>R</v>
      </c>
      <c r="D127" s="1384" t="str">
        <f>'Estimate Detail'!T227</f>
        <v>D</v>
      </c>
      <c r="E127" s="1385" t="str">
        <f>'Estimate Detail'!U227</f>
        <v>Changchun Boiler Instrumentation</v>
      </c>
      <c r="F127" s="1386" t="s">
        <v>644</v>
      </c>
      <c r="G127" s="1387">
        <f>'Estimate Detail'!E227</f>
        <v>0</v>
      </c>
      <c r="H127" s="1388"/>
      <c r="I127" s="1389">
        <f>'Estimate Detail'!X227</f>
        <v>0</v>
      </c>
      <c r="J127" s="1388"/>
      <c r="K127" s="1389">
        <f>'Estimate Detail'!H227</f>
        <v>0</v>
      </c>
      <c r="L127" s="1390">
        <f>-'Estimate Detail'!Y227</f>
        <v>0</v>
      </c>
      <c r="M127" s="1391"/>
      <c r="N127" s="1391">
        <f>L127+M127</f>
        <v>0</v>
      </c>
      <c r="O127" s="1392"/>
    </row>
    <row r="128" spans="2:15" ht="24.75" customHeight="1" outlineLevel="1">
      <c r="B128" s="1382" t="str">
        <f>'Estimate Detail'!C228</f>
        <v>Magnetic flap water level gauge - Assy No. 61</v>
      </c>
      <c r="C128" s="1383">
        <f>'Estimate Detail'!S228</f>
        <v>0</v>
      </c>
      <c r="D128" s="1384">
        <f>'Estimate Detail'!T228</f>
        <v>0</v>
      </c>
      <c r="E128" s="1385">
        <f>'Estimate Detail'!U228</f>
        <v>0</v>
      </c>
      <c r="F128" s="1386" t="s">
        <v>644</v>
      </c>
      <c r="G128" s="1387">
        <f>'Estimate Detail'!E228</f>
        <v>0</v>
      </c>
      <c r="H128" s="1388"/>
      <c r="I128" s="1389">
        <f>'Estimate Detail'!X228</f>
        <v>0</v>
      </c>
      <c r="J128" s="1388"/>
      <c r="K128" s="1389">
        <f>'Estimate Detail'!H228</f>
        <v>0</v>
      </c>
      <c r="L128" s="1390">
        <f>-'Estimate Detail'!Y228</f>
        <v>0</v>
      </c>
      <c r="M128" s="1391"/>
      <c r="N128" s="1391">
        <f t="shared" si="2"/>
        <v>0</v>
      </c>
      <c r="O128" s="1392"/>
    </row>
    <row r="129" spans="2:16" ht="24.75" customHeight="1" outlineLevel="1">
      <c r="B129" s="1382" t="str">
        <f>'Estimate Detail'!C229</f>
        <v>O2 Analyzer  Equipment - Assy No. 61</v>
      </c>
      <c r="C129" s="1383">
        <f>'Estimate Detail'!S229</f>
        <v>0</v>
      </c>
      <c r="D129" s="1384">
        <f>'Estimate Detail'!T229</f>
        <v>0</v>
      </c>
      <c r="E129" s="1385">
        <f>'Estimate Detail'!U229</f>
        <v>0</v>
      </c>
      <c r="F129" s="1386" t="s">
        <v>644</v>
      </c>
      <c r="G129" s="1387">
        <f>'Estimate Detail'!E229</f>
        <v>0</v>
      </c>
      <c r="H129" s="1388"/>
      <c r="I129" s="1389">
        <f>'Estimate Detail'!X229</f>
        <v>0</v>
      </c>
      <c r="J129" s="1388"/>
      <c r="K129" s="1389">
        <f>'Estimate Detail'!H229</f>
        <v>0</v>
      </c>
      <c r="L129" s="1390">
        <f>-'Estimate Detail'!Y229</f>
        <v>0</v>
      </c>
      <c r="M129" s="1391"/>
      <c r="N129" s="1391">
        <f t="shared" si="2"/>
        <v>0</v>
      </c>
      <c r="O129" s="1392"/>
    </row>
    <row r="130" spans="2:16" ht="24.75" customHeight="1">
      <c r="B130" s="1382" t="str">
        <f>'Estimate Detail'!C230</f>
        <v>Ash Hopper Level Gauge - Assy No. 61</v>
      </c>
      <c r="C130" s="1383" t="str">
        <f>'Estimate Detail'!S230</f>
        <v>E</v>
      </c>
      <c r="D130" s="1384" t="str">
        <f>'Estimate Detail'!T230</f>
        <v>D</v>
      </c>
      <c r="E130" s="1385" t="str">
        <f>'Estimate Detail'!U230</f>
        <v>Unknown Supplier</v>
      </c>
      <c r="F130" s="1386" t="s">
        <v>644</v>
      </c>
      <c r="G130" s="1387">
        <f>'Estimate Detail'!E230</f>
        <v>0</v>
      </c>
      <c r="H130" s="1388"/>
      <c r="I130" s="1389">
        <f>'Estimate Detail'!X230</f>
        <v>0</v>
      </c>
      <c r="J130" s="1388"/>
      <c r="K130" s="1389">
        <f>'Estimate Detail'!H230</f>
        <v>0</v>
      </c>
      <c r="L130" s="1390">
        <f>-'Estimate Detail'!Y230</f>
        <v>0</v>
      </c>
      <c r="M130" s="1391"/>
      <c r="N130" s="1391">
        <f t="shared" si="2"/>
        <v>0</v>
      </c>
      <c r="O130" s="1392"/>
    </row>
    <row r="131" spans="2:16" ht="24.75" customHeight="1" outlineLevel="1">
      <c r="B131" s="1382" t="str">
        <f>'Estimate Detail'!C231</f>
        <v>Blank</v>
      </c>
      <c r="C131" s="1383">
        <f>'Estimate Detail'!S231</f>
        <v>0</v>
      </c>
      <c r="D131" s="1384">
        <f>'Estimate Detail'!T231</f>
        <v>0</v>
      </c>
      <c r="E131" s="1385">
        <f>'Estimate Detail'!U231</f>
        <v>0</v>
      </c>
      <c r="F131" s="1386" t="s">
        <v>644</v>
      </c>
      <c r="G131" s="1387">
        <f>'Estimate Detail'!E231</f>
        <v>0</v>
      </c>
      <c r="H131" s="1388"/>
      <c r="I131" s="1389">
        <f>'Estimate Detail'!X231</f>
        <v>0</v>
      </c>
      <c r="J131" s="1388"/>
      <c r="K131" s="1389">
        <f>'Estimate Detail'!H231</f>
        <v>0</v>
      </c>
      <c r="L131" s="1390">
        <f>-'Estimate Detail'!Y231</f>
        <v>0</v>
      </c>
      <c r="M131" s="1391"/>
      <c r="N131" s="1391">
        <f t="shared" si="2"/>
        <v>0</v>
      </c>
      <c r="O131" s="1392"/>
    </row>
    <row r="132" spans="2:16" ht="24.75" customHeight="1" outlineLevel="1">
      <c r="B132" s="1382" t="str">
        <f>'Estimate Detail'!C232</f>
        <v>Blank</v>
      </c>
      <c r="C132" s="1383">
        <f>'Estimate Detail'!S232</f>
        <v>0</v>
      </c>
      <c r="D132" s="1384">
        <f>'Estimate Detail'!T232</f>
        <v>0</v>
      </c>
      <c r="E132" s="1385">
        <f>'Estimate Detail'!U232</f>
        <v>0</v>
      </c>
      <c r="F132" s="1386" t="s">
        <v>644</v>
      </c>
      <c r="G132" s="1387">
        <f>'Estimate Detail'!E232</f>
        <v>0</v>
      </c>
      <c r="H132" s="1388"/>
      <c r="I132" s="1389">
        <f>'Estimate Detail'!X232</f>
        <v>0</v>
      </c>
      <c r="J132" s="1388"/>
      <c r="K132" s="1389">
        <f>'Estimate Detail'!H232</f>
        <v>0</v>
      </c>
      <c r="L132" s="1390">
        <f>-'Estimate Detail'!Y232</f>
        <v>0</v>
      </c>
      <c r="M132" s="1391"/>
      <c r="N132" s="1391">
        <f t="shared" si="2"/>
        <v>0</v>
      </c>
      <c r="O132" s="1392"/>
    </row>
    <row r="133" spans="2:16" ht="24.75" customHeight="1">
      <c r="B133" s="2001" t="str">
        <f>'Estimate Detail'!C235</f>
        <v>Hoists &amp; Trolleys</v>
      </c>
      <c r="C133" s="1383" t="str">
        <f>'Estimate Detail'!S235</f>
        <v>E</v>
      </c>
      <c r="D133" s="1384" t="str">
        <f>'Estimate Detail'!T235</f>
        <v>D</v>
      </c>
      <c r="E133" s="1385" t="str">
        <f>'Estimate Detail'!U235</f>
        <v>Xinxiang Hoisting</v>
      </c>
      <c r="F133" s="1386" t="s">
        <v>644</v>
      </c>
      <c r="G133" s="1387">
        <f>'Estimate Detail'!E235</f>
        <v>0</v>
      </c>
      <c r="H133" s="1388"/>
      <c r="I133" s="1389">
        <f>'Estimate Detail'!X235</f>
        <v>0</v>
      </c>
      <c r="J133" s="1388"/>
      <c r="K133" s="1389">
        <f>'Estimate Detail'!H235</f>
        <v>0</v>
      </c>
      <c r="L133" s="1390">
        <f>-'Estimate Detail'!Y235</f>
        <v>0</v>
      </c>
      <c r="M133" s="1391"/>
      <c r="N133" s="1391">
        <f t="shared" si="2"/>
        <v>0</v>
      </c>
      <c r="O133" s="1392"/>
    </row>
    <row r="134" spans="2:16" ht="24.75" customHeight="1">
      <c r="B134" s="2001" t="str">
        <f>'Estimate Detail'!C236</f>
        <v>Wrench - Assy No. 07</v>
      </c>
      <c r="C134" s="1383" t="str">
        <f>'Estimate Detail'!S236</f>
        <v>E</v>
      </c>
      <c r="D134" s="1384" t="str">
        <f>'Estimate Detail'!T236</f>
        <v>I</v>
      </c>
      <c r="E134" s="1385" t="str">
        <f>'Estimate Detail'!U236</f>
        <v>Qian Tian</v>
      </c>
      <c r="F134" s="1386" t="s">
        <v>644</v>
      </c>
      <c r="G134" s="1387">
        <f>'Estimate Detail'!E236</f>
        <v>0</v>
      </c>
      <c r="H134" s="1388"/>
      <c r="I134" s="1389">
        <f>'Estimate Detail'!X236</f>
        <v>0</v>
      </c>
      <c r="J134" s="1388"/>
      <c r="K134" s="1389">
        <f>'Estimate Detail'!H236</f>
        <v>0</v>
      </c>
      <c r="L134" s="1390">
        <f>-'Estimate Detail'!Y236</f>
        <v>0</v>
      </c>
      <c r="M134" s="1391"/>
      <c r="N134" s="1391">
        <f t="shared" si="2"/>
        <v>0</v>
      </c>
      <c r="O134" s="1392"/>
    </row>
    <row r="135" spans="2:16" ht="24.75" customHeight="1">
      <c r="B135" s="2001" t="str">
        <f>'Estimate Detail'!C237</f>
        <v>Maintenance Platform - Assy No. 26</v>
      </c>
      <c r="C135" s="1383" t="str">
        <f>'Estimate Detail'!S237</f>
        <v>R</v>
      </c>
      <c r="D135" s="1384" t="str">
        <f>'Estimate Detail'!T237</f>
        <v>D</v>
      </c>
      <c r="E135" s="1385" t="str">
        <f>'Estimate Detail'!U237</f>
        <v>Aerosun Corporation</v>
      </c>
      <c r="F135" s="1386" t="s">
        <v>644</v>
      </c>
      <c r="G135" s="1387">
        <f>'Estimate Detail'!E237</f>
        <v>0</v>
      </c>
      <c r="H135" s="1388"/>
      <c r="I135" s="1389">
        <f>'Estimate Detail'!X237</f>
        <v>0</v>
      </c>
      <c r="J135" s="1388"/>
      <c r="K135" s="1389">
        <f>'Estimate Detail'!H237</f>
        <v>0</v>
      </c>
      <c r="L135" s="1390">
        <f>-'Estimate Detail'!Y237</f>
        <v>0</v>
      </c>
      <c r="M135" s="1391"/>
      <c r="N135" s="1391">
        <f t="shared" si="2"/>
        <v>0</v>
      </c>
      <c r="O135" s="1392"/>
    </row>
    <row r="136" spans="2:16" ht="24.75" customHeight="1">
      <c r="B136" s="2001" t="str">
        <f>'Estimate Detail'!C238</f>
        <v>Hangers for Internal Pipes - Assy No. 22</v>
      </c>
      <c r="C136" s="1383" t="str">
        <f>'Estimate Detail'!S238</f>
        <v>R</v>
      </c>
      <c r="D136" s="1384" t="str">
        <f>'Estimate Detail'!T238</f>
        <v>D</v>
      </c>
      <c r="E136" s="1385" t="str">
        <f>'Estimate Detail'!U238</f>
        <v>Yangzhou Huayuan</v>
      </c>
      <c r="F136" s="1386" t="s">
        <v>633</v>
      </c>
      <c r="G136" s="1387">
        <f>'Estimate Detail'!E238</f>
        <v>0</v>
      </c>
      <c r="H136" s="1388" t="e">
        <f>IF(F136="KG",I136/G136*1000,0)</f>
        <v>#DIV/0!</v>
      </c>
      <c r="I136" s="1389">
        <f>'Estimate Detail'!X238</f>
        <v>0</v>
      </c>
      <c r="J136" s="1388" t="e">
        <f>IF(F136="KG",K136/G136*1000,0)</f>
        <v>#DIV/0!</v>
      </c>
      <c r="K136" s="1389">
        <f>'Estimate Detail'!H238</f>
        <v>0</v>
      </c>
      <c r="L136" s="1390">
        <f>-'Estimate Detail'!Y238</f>
        <v>0</v>
      </c>
      <c r="M136" s="1391"/>
      <c r="N136" s="1391">
        <f t="shared" si="2"/>
        <v>0</v>
      </c>
      <c r="O136" s="1392"/>
    </row>
    <row r="137" spans="2:16" ht="24.75" customHeight="1">
      <c r="B137" s="2001" t="str">
        <f>'Estimate Detail'!C239</f>
        <v>Hangers for External Pipes - Assy No. 29</v>
      </c>
      <c r="C137" s="1383" t="str">
        <f>'Estimate Detail'!S239</f>
        <v>R</v>
      </c>
      <c r="D137" s="1384" t="str">
        <f>'Estimate Detail'!T239</f>
        <v>D</v>
      </c>
      <c r="E137" s="1385" t="str">
        <f>'Estimate Detail'!U239</f>
        <v>Yangzhou Huayuan</v>
      </c>
      <c r="F137" s="1386" t="s">
        <v>633</v>
      </c>
      <c r="G137" s="1387">
        <f>'Estimate Detail'!E239</f>
        <v>0</v>
      </c>
      <c r="H137" s="1388" t="e">
        <f>IF(F137="KG",I137/G137*1000,0)</f>
        <v>#DIV/0!</v>
      </c>
      <c r="I137" s="1389">
        <f>'Estimate Detail'!X239</f>
        <v>0</v>
      </c>
      <c r="J137" s="1388" t="e">
        <f>IF(F137="KG",K137/G137*1000,0)</f>
        <v>#DIV/0!</v>
      </c>
      <c r="K137" s="1389">
        <f>'Estimate Detail'!H239</f>
        <v>0</v>
      </c>
      <c r="L137" s="1390">
        <f>-'Estimate Detail'!Y239</f>
        <v>0</v>
      </c>
      <c r="M137" s="1391"/>
      <c r="N137" s="1391">
        <f t="shared" si="2"/>
        <v>0</v>
      </c>
      <c r="O137" s="1392"/>
    </row>
    <row r="138" spans="2:16" ht="24.75" customHeight="1" outlineLevel="1">
      <c r="B138" s="2001" t="str">
        <f>'Estimate Detail'!C240</f>
        <v>Elevator (personnal &amp; cargo)</v>
      </c>
      <c r="C138" s="1383">
        <f>'Estimate Detail'!S240</f>
        <v>0</v>
      </c>
      <c r="D138" s="1384">
        <f>'Estimate Detail'!T240</f>
        <v>0</v>
      </c>
      <c r="E138" s="1385">
        <f>'Estimate Detail'!U240</f>
        <v>0</v>
      </c>
      <c r="F138" s="1386" t="s">
        <v>644</v>
      </c>
      <c r="G138" s="1387">
        <f>'Estimate Detail'!E240</f>
        <v>0</v>
      </c>
      <c r="H138" s="1388"/>
      <c r="I138" s="1389">
        <f>'Estimate Detail'!X240</f>
        <v>0</v>
      </c>
      <c r="J138" s="1388"/>
      <c r="K138" s="1389">
        <f>'Estimate Detail'!H240</f>
        <v>0</v>
      </c>
      <c r="L138" s="1390">
        <f>-'Estimate Detail'!Y240</f>
        <v>0</v>
      </c>
      <c r="M138" s="1391"/>
      <c r="N138" s="1391">
        <f t="shared" si="2"/>
        <v>0</v>
      </c>
      <c r="O138" s="1392"/>
    </row>
    <row r="139" spans="2:16" ht="24.75" customHeight="1">
      <c r="B139" s="1374" t="str">
        <f>'Estimate Detail'!C243</f>
        <v>Refractory, Insulation, Lagging &amp; Painting</v>
      </c>
      <c r="C139" s="1375">
        <f>'Estimate Detail'!S243</f>
        <v>0</v>
      </c>
      <c r="D139" s="1375">
        <f>'Estimate Detail'!T243</f>
        <v>0</v>
      </c>
      <c r="E139" s="1376"/>
      <c r="F139" s="1375"/>
      <c r="G139" s="1377"/>
      <c r="H139" s="1378"/>
      <c r="I139" s="1379"/>
      <c r="J139" s="1378"/>
      <c r="K139" s="1379"/>
      <c r="L139" s="1379"/>
      <c r="M139" s="1381"/>
      <c r="N139" s="1380"/>
      <c r="O139" s="1381"/>
    </row>
    <row r="140" spans="2:16" ht="24.75" customHeight="1">
      <c r="B140" s="1382" t="str">
        <f>'Estimate Detail'!C244</f>
        <v>Insulation metal settings - Assy No. 10</v>
      </c>
      <c r="C140" s="1383" t="str">
        <f>'Estimate Detail'!S244</f>
        <v>R</v>
      </c>
      <c r="D140" s="1384" t="str">
        <f>'Estimate Detail'!T244</f>
        <v>D</v>
      </c>
      <c r="E140" s="1385" t="str">
        <f>'Estimate Detail'!U244</f>
        <v>Suzhou Lanjing</v>
      </c>
      <c r="F140" s="1386" t="s">
        <v>633</v>
      </c>
      <c r="G140" s="1387">
        <f>'Estimate Detail'!E244</f>
        <v>0</v>
      </c>
      <c r="H140" s="1388" t="e">
        <f>IF(F140="KG",I140/G140*1000,0)</f>
        <v>#DIV/0!</v>
      </c>
      <c r="I140" s="1389">
        <f>'Estimate Detail'!X244</f>
        <v>0</v>
      </c>
      <c r="J140" s="1388" t="e">
        <f>IF(F140="KG",K140/G140*1000,0)</f>
        <v>#DIV/0!</v>
      </c>
      <c r="K140" s="1389">
        <f>'Estimate Detail'!H244</f>
        <v>0</v>
      </c>
      <c r="L140" s="1390">
        <f>-'Estimate Detail'!Y244</f>
        <v>0</v>
      </c>
      <c r="M140" s="1391"/>
      <c r="N140" s="1391">
        <f t="shared" si="2"/>
        <v>0</v>
      </c>
      <c r="O140" s="1392"/>
    </row>
    <row r="141" spans="2:16" ht="24.75" customHeight="1" outlineLevel="1">
      <c r="B141" s="1382" t="str">
        <f>'Estimate Detail'!C245</f>
        <v>Refractory castable - Assy No. 10</v>
      </c>
      <c r="C141" s="1383">
        <f>'Estimate Detail'!S245</f>
        <v>0</v>
      </c>
      <c r="D141" s="1384">
        <f>'Estimate Detail'!T245</f>
        <v>0</v>
      </c>
      <c r="E141" s="1385">
        <f>'Estimate Detail'!U245</f>
        <v>0</v>
      </c>
      <c r="F141" s="1386" t="s">
        <v>644</v>
      </c>
      <c r="G141" s="1387">
        <f>'Estimate Detail'!E245</f>
        <v>0</v>
      </c>
      <c r="H141" s="1388"/>
      <c r="I141" s="1389">
        <f>'Estimate Detail'!X245</f>
        <v>0</v>
      </c>
      <c r="J141" s="1388"/>
      <c r="K141" s="1389">
        <f>'Estimate Detail'!H245</f>
        <v>0</v>
      </c>
      <c r="L141" s="1390">
        <f>-'Estimate Detail'!Y245</f>
        <v>0</v>
      </c>
      <c r="M141" s="1391"/>
      <c r="N141" s="1391">
        <f t="shared" si="2"/>
        <v>0</v>
      </c>
      <c r="O141" s="1392"/>
    </row>
    <row r="142" spans="2:16" s="1397" customFormat="1" outlineLevel="1">
      <c r="B142" s="1382" t="str">
        <f>'Estimate Detail'!C246</f>
        <v>Refractory material - Assy No. 10</v>
      </c>
      <c r="C142" s="1383">
        <f>'Estimate Detail'!S246</f>
        <v>0</v>
      </c>
      <c r="D142" s="1384">
        <f>'Estimate Detail'!T246</f>
        <v>0</v>
      </c>
      <c r="E142" s="1385">
        <f>'Estimate Detail'!U246</f>
        <v>0</v>
      </c>
      <c r="F142" s="1386" t="s">
        <v>644</v>
      </c>
      <c r="G142" s="1387">
        <f>'Estimate Detail'!E246</f>
        <v>0</v>
      </c>
      <c r="H142" s="1388"/>
      <c r="I142" s="1389">
        <f>'Estimate Detail'!X246</f>
        <v>0</v>
      </c>
      <c r="J142" s="1388"/>
      <c r="K142" s="1389">
        <f>'Estimate Detail'!H246</f>
        <v>0</v>
      </c>
      <c r="L142" s="1390">
        <f>-'Estimate Detail'!Y246</f>
        <v>0</v>
      </c>
      <c r="M142" s="1391"/>
      <c r="N142" s="1391">
        <f t="shared" si="2"/>
        <v>0</v>
      </c>
      <c r="O142" s="1392"/>
      <c r="P142" s="1364"/>
    </row>
    <row r="143" spans="2:16" s="1396" customFormat="1">
      <c r="B143" s="1374" t="str">
        <f>'Estimate Detail'!C250</f>
        <v>WBC-Spare parts</v>
      </c>
      <c r="C143" s="1375">
        <f>'Estimate Detail'!S250</f>
        <v>0</v>
      </c>
      <c r="D143" s="1375">
        <f>'Estimate Detail'!T250</f>
        <v>0</v>
      </c>
      <c r="E143" s="1376"/>
      <c r="F143" s="1375"/>
      <c r="G143" s="1377"/>
      <c r="H143" s="1378"/>
      <c r="I143" s="1379"/>
      <c r="J143" s="1378"/>
      <c r="K143" s="1379"/>
      <c r="L143" s="1379"/>
      <c r="M143" s="1381"/>
      <c r="N143" s="1380"/>
      <c r="O143" s="1381"/>
      <c r="P143" s="1364"/>
    </row>
    <row r="144" spans="2:16" s="1396" customFormat="1" outlineLevel="1">
      <c r="B144" s="1382" t="str">
        <f>'Estimate Detail'!C251</f>
        <v>Spare Parts - Mandatory</v>
      </c>
      <c r="C144" s="1383">
        <f>'Estimate Detail'!S251</f>
        <v>0</v>
      </c>
      <c r="D144" s="1384">
        <f>'Estimate Detail'!T251</f>
        <v>0</v>
      </c>
      <c r="E144" s="1385">
        <f>'Estimate Detail'!U251</f>
        <v>0</v>
      </c>
      <c r="F144" s="1386" t="s">
        <v>633</v>
      </c>
      <c r="G144" s="1387">
        <f>'Estimate Detail'!E251</f>
        <v>0</v>
      </c>
      <c r="H144" s="1388"/>
      <c r="I144" s="1389">
        <f>'Estimate Detail'!X251</f>
        <v>0</v>
      </c>
      <c r="J144" s="1388"/>
      <c r="K144" s="1389">
        <f>'Estimate Detail'!H251</f>
        <v>0</v>
      </c>
      <c r="L144" s="1390">
        <f>-'Estimate Detail'!Y251</f>
        <v>0</v>
      </c>
      <c r="M144" s="1391"/>
      <c r="N144" s="1391">
        <f t="shared" si="2"/>
        <v>0</v>
      </c>
      <c r="O144" s="1392"/>
      <c r="P144" s="1364"/>
    </row>
    <row r="145" spans="2:16" s="1396" customFormat="1" outlineLevel="1">
      <c r="B145" s="1382" t="str">
        <f>'Estimate Detail'!C252</f>
        <v>Spare Parts - Recommended</v>
      </c>
      <c r="C145" s="1383">
        <f>'Estimate Detail'!S252</f>
        <v>0</v>
      </c>
      <c r="D145" s="1384">
        <f>'Estimate Detail'!T252</f>
        <v>0</v>
      </c>
      <c r="E145" s="1385">
        <f>'Estimate Detail'!U252</f>
        <v>0</v>
      </c>
      <c r="F145" s="1386" t="s">
        <v>633</v>
      </c>
      <c r="G145" s="1387">
        <f>'Estimate Detail'!E252</f>
        <v>0</v>
      </c>
      <c r="H145" s="1388"/>
      <c r="I145" s="1389">
        <f>'Estimate Detail'!X252</f>
        <v>0</v>
      </c>
      <c r="J145" s="1388"/>
      <c r="K145" s="1389">
        <f>'Estimate Detail'!H252</f>
        <v>0</v>
      </c>
      <c r="L145" s="1390">
        <f>-'Estimate Detail'!Y252</f>
        <v>0</v>
      </c>
      <c r="M145" s="1391"/>
      <c r="N145" s="1391">
        <f t="shared" si="2"/>
        <v>0</v>
      </c>
      <c r="O145" s="1392"/>
      <c r="P145" s="1364"/>
    </row>
    <row r="146" spans="2:16">
      <c r="B146" s="1398" t="s">
        <v>629</v>
      </c>
      <c r="C146" s="1398"/>
      <c r="D146" s="1398"/>
      <c r="E146" s="1398"/>
      <c r="F146" s="1398"/>
      <c r="G146" s="1398"/>
      <c r="H146" s="1399"/>
      <c r="I146" s="1400">
        <f>SUM(I6:I145)</f>
        <v>0</v>
      </c>
      <c r="J146" s="1399"/>
      <c r="K146" s="1400">
        <f>SUM(K6:K145)</f>
        <v>0</v>
      </c>
      <c r="L146" s="1400"/>
      <c r="M146" s="1398"/>
      <c r="N146" s="1415" t="e">
        <f>(K146-I146)/I146</f>
        <v>#DIV/0!</v>
      </c>
      <c r="O146" s="1398"/>
    </row>
    <row r="147" spans="2:16">
      <c r="K147" s="1401">
        <f>K146-I146</f>
        <v>0</v>
      </c>
    </row>
  </sheetData>
  <autoFilter ref="B5:P147" xr:uid="{00000000-0009-0000-0000-000008000000}"/>
  <mergeCells count="9">
    <mergeCell ref="H4:I4"/>
    <mergeCell ref="J4:K4"/>
    <mergeCell ref="O4:O5"/>
    <mergeCell ref="B4:B5"/>
    <mergeCell ref="C4:C5"/>
    <mergeCell ref="D4:D5"/>
    <mergeCell ref="E4:E5"/>
    <mergeCell ref="F4:F5"/>
    <mergeCell ref="G4:G5"/>
  </mergeCells>
  <phoneticPr fontId="4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 filterMode="1"/>
  <dimension ref="B1:G21"/>
  <sheetViews>
    <sheetView showGridLines="0" workbookViewId="0">
      <selection activeCell="I31" sqref="I31"/>
    </sheetView>
  </sheetViews>
  <sheetFormatPr defaultRowHeight="13.5"/>
  <cols>
    <col min="1" max="1" width="1.28515625" style="1403" customWidth="1"/>
    <col min="2" max="2" width="23.5703125" style="1403" bestFit="1" customWidth="1"/>
    <col min="3" max="3" width="16.7109375" style="1403" customWidth="1"/>
    <col min="4" max="4" width="29.7109375" style="1403" customWidth="1"/>
    <col min="5" max="5" width="18" style="1403" bestFit="1" customWidth="1"/>
    <col min="6" max="6" width="13" style="1403" bestFit="1" customWidth="1"/>
    <col min="7" max="7" width="24" style="1403" customWidth="1"/>
    <col min="8" max="16384" width="9.140625" style="1403"/>
  </cols>
  <sheetData>
    <row r="1" spans="2:7" ht="15.75" customHeight="1">
      <c r="B1" s="1402"/>
    </row>
    <row r="2" spans="2:7" ht="20.25">
      <c r="B2" s="2709" t="s">
        <v>634</v>
      </c>
      <c r="C2" s="2710"/>
      <c r="D2" s="2710"/>
      <c r="E2" s="2710"/>
      <c r="F2" s="2710"/>
      <c r="G2" s="2711"/>
    </row>
    <row r="3" spans="2:7" ht="20.100000000000001" customHeight="1">
      <c r="B3" s="1404" t="s">
        <v>635</v>
      </c>
      <c r="C3" s="1405"/>
      <c r="D3" s="1406"/>
      <c r="E3" s="1406"/>
      <c r="F3" s="1406"/>
      <c r="G3" s="1407" t="s">
        <v>619</v>
      </c>
    </row>
    <row r="4" spans="2:7" ht="20.100000000000001" customHeight="1">
      <c r="B4" s="1408" t="s">
        <v>458</v>
      </c>
      <c r="C4" s="1408" t="s">
        <v>346</v>
      </c>
      <c r="D4" s="1408" t="s">
        <v>636</v>
      </c>
      <c r="E4" s="1409" t="s">
        <v>637</v>
      </c>
      <c r="F4" s="1409" t="s">
        <v>638</v>
      </c>
      <c r="G4" s="1409" t="s">
        <v>630</v>
      </c>
    </row>
    <row r="5" spans="2:7" ht="15">
      <c r="B5" s="1408" t="str">
        <f>'Estimate Detail'!C60</f>
        <v>Water Cooling System</v>
      </c>
      <c r="C5" s="1408" t="s">
        <v>424</v>
      </c>
      <c r="D5" s="1410">
        <f>'Estimate Detail'!E60</f>
        <v>0</v>
      </c>
      <c r="E5" s="1410">
        <f>D5</f>
        <v>0</v>
      </c>
      <c r="F5" s="1411" t="e">
        <f>(E5-D5)/D5</f>
        <v>#DIV/0!</v>
      </c>
      <c r="G5" s="1412"/>
    </row>
    <row r="6" spans="2:7" ht="20.100000000000001" customHeight="1">
      <c r="B6" s="1408" t="str">
        <f>'Estimate Detail'!C61</f>
        <v>Superheater internal surfaces</v>
      </c>
      <c r="C6" s="1408" t="s">
        <v>424</v>
      </c>
      <c r="D6" s="1410">
        <f>'Estimate Detail'!E61</f>
        <v>0</v>
      </c>
      <c r="E6" s="1410">
        <f t="shared" ref="E6:E20" si="0">D6</f>
        <v>0</v>
      </c>
      <c r="F6" s="1411" t="e">
        <f t="shared" ref="F6:F20" si="1">(E6-D6)/D6</f>
        <v>#DIV/0!</v>
      </c>
      <c r="G6" s="1408"/>
    </row>
    <row r="7" spans="2:7" ht="20.100000000000001" customHeight="1">
      <c r="B7" s="1408" t="str">
        <f>'Estimate Detail'!C62</f>
        <v>Superheater backpass wall</v>
      </c>
      <c r="C7" s="1408" t="s">
        <v>424</v>
      </c>
      <c r="D7" s="1410">
        <f>'Estimate Detail'!E62</f>
        <v>0</v>
      </c>
      <c r="E7" s="1410">
        <f t="shared" si="0"/>
        <v>0</v>
      </c>
      <c r="F7" s="1411" t="e">
        <f t="shared" si="1"/>
        <v>#DIV/0!</v>
      </c>
      <c r="G7" s="1408"/>
    </row>
    <row r="8" spans="2:7" ht="20.100000000000001" customHeight="1">
      <c r="B8" s="1408" t="str">
        <f>'Estimate Detail'!C63</f>
        <v>Reheater</v>
      </c>
      <c r="C8" s="1408" t="s">
        <v>424</v>
      </c>
      <c r="D8" s="1410">
        <f>'Estimate Detail'!E63</f>
        <v>0</v>
      </c>
      <c r="E8" s="1410">
        <f t="shared" si="0"/>
        <v>0</v>
      </c>
      <c r="F8" s="1411" t="e">
        <f t="shared" si="1"/>
        <v>#DIV/0!</v>
      </c>
      <c r="G8" s="1408"/>
    </row>
    <row r="9" spans="2:7" ht="20.100000000000001" customHeight="1">
      <c r="B9" s="1408" t="str">
        <f>'Estimate Detail'!C64</f>
        <v>Economizer</v>
      </c>
      <c r="C9" s="1408" t="s">
        <v>424</v>
      </c>
      <c r="D9" s="1410">
        <f>'Estimate Detail'!E64</f>
        <v>0</v>
      </c>
      <c r="E9" s="1410">
        <f t="shared" si="0"/>
        <v>0</v>
      </c>
      <c r="F9" s="1411" t="e">
        <f t="shared" si="1"/>
        <v>#DIV/0!</v>
      </c>
      <c r="G9" s="1408"/>
    </row>
    <row r="10" spans="2:7" ht="20.100000000000001" hidden="1" customHeight="1">
      <c r="B10" s="1408" t="str">
        <f>'Estimate Detail'!C65</f>
        <v>Boiler Internal Piping</v>
      </c>
      <c r="C10" s="1408" t="s">
        <v>424</v>
      </c>
      <c r="D10" s="1410">
        <f>'Estimate Detail'!E65</f>
        <v>0</v>
      </c>
      <c r="E10" s="1410">
        <f t="shared" si="0"/>
        <v>0</v>
      </c>
      <c r="F10" s="1411" t="e">
        <f t="shared" si="1"/>
        <v>#DIV/0!</v>
      </c>
      <c r="G10" s="1408"/>
    </row>
    <row r="11" spans="2:7" ht="20.100000000000001" hidden="1" customHeight="1">
      <c r="B11" s="1408" t="str">
        <f>'Estimate Detail'!C66</f>
        <v>Ancillaries</v>
      </c>
      <c r="C11" s="1408" t="s">
        <v>424</v>
      </c>
      <c r="D11" s="1410">
        <f>'Estimate Detail'!E66</f>
        <v>0</v>
      </c>
      <c r="E11" s="1410">
        <f t="shared" si="0"/>
        <v>0</v>
      </c>
      <c r="F11" s="1411" t="e">
        <f t="shared" si="1"/>
        <v>#DIV/0!</v>
      </c>
      <c r="G11" s="1408"/>
    </row>
    <row r="12" spans="2:7" ht="20.100000000000001" hidden="1" customHeight="1">
      <c r="B12" s="1408" t="str">
        <f>'Estimate Detail'!C67</f>
        <v>Boiler External Piping</v>
      </c>
      <c r="C12" s="1408" t="s">
        <v>424</v>
      </c>
      <c r="D12" s="1410">
        <f>'Estimate Detail'!E67</f>
        <v>0</v>
      </c>
      <c r="E12" s="1410">
        <f t="shared" si="0"/>
        <v>0</v>
      </c>
      <c r="F12" s="1411" t="e">
        <f t="shared" si="1"/>
        <v>#DIV/0!</v>
      </c>
      <c r="G12" s="1413"/>
    </row>
    <row r="13" spans="2:7" ht="20.100000000000001" customHeight="1">
      <c r="B13" s="1408" t="str">
        <f>'Estimate Detail'!C68</f>
        <v>Roof  Links</v>
      </c>
      <c r="C13" s="2415"/>
      <c r="D13" s="1410">
        <f>'Estimate Detail'!E68</f>
        <v>0</v>
      </c>
      <c r="E13" s="1410">
        <f t="shared" si="0"/>
        <v>0</v>
      </c>
      <c r="F13" s="1411" t="e">
        <f t="shared" si="1"/>
        <v>#DIV/0!</v>
      </c>
      <c r="G13" s="2416"/>
    </row>
    <row r="14" spans="2:7" ht="20.100000000000001" hidden="1" customHeight="1">
      <c r="B14" s="1408" t="str">
        <f>'Estimate Detail'!C69</f>
        <v>Spare Parts</v>
      </c>
      <c r="C14" s="2415"/>
      <c r="D14" s="1410">
        <f>'Estimate Detail'!E69</f>
        <v>12</v>
      </c>
      <c r="E14" s="1410">
        <f t="shared" si="0"/>
        <v>12</v>
      </c>
      <c r="F14" s="1411">
        <f t="shared" si="1"/>
        <v>0</v>
      </c>
      <c r="G14" s="2416"/>
    </row>
    <row r="15" spans="2:7" ht="20.100000000000001" customHeight="1">
      <c r="B15" s="1408" t="str">
        <f>'Estimate Detail'!C70</f>
        <v>Start Up System</v>
      </c>
      <c r="C15" s="2415"/>
      <c r="D15" s="1410">
        <f>'Estimate Detail'!E70</f>
        <v>0</v>
      </c>
      <c r="E15" s="1410">
        <f t="shared" si="0"/>
        <v>0</v>
      </c>
      <c r="F15" s="1411" t="e">
        <f t="shared" si="1"/>
        <v>#DIV/0!</v>
      </c>
      <c r="G15" s="2416"/>
    </row>
    <row r="16" spans="2:7" ht="20.100000000000001" hidden="1" customHeight="1">
      <c r="B16" s="1408" t="str">
        <f>'Estimate Detail'!C71</f>
        <v>Drums</v>
      </c>
      <c r="C16" s="2415"/>
      <c r="D16" s="1410">
        <f>'Estimate Detail'!E71</f>
        <v>0</v>
      </c>
      <c r="E16" s="1410">
        <f t="shared" si="0"/>
        <v>0</v>
      </c>
      <c r="F16" s="1411" t="e">
        <f t="shared" si="1"/>
        <v>#DIV/0!</v>
      </c>
      <c r="G16" s="2416"/>
    </row>
    <row r="17" spans="2:7" ht="20.100000000000001" customHeight="1">
      <c r="B17" s="1408" t="str">
        <f>'Estimate Detail'!C72</f>
        <v>Shotpeening</v>
      </c>
      <c r="C17" s="2415"/>
      <c r="D17" s="1410">
        <f>'Estimate Detail'!E72</f>
        <v>0</v>
      </c>
      <c r="E17" s="1410">
        <f t="shared" si="0"/>
        <v>0</v>
      </c>
      <c r="F17" s="1411" t="e">
        <f t="shared" si="1"/>
        <v>#DIV/0!</v>
      </c>
      <c r="G17" s="2416"/>
    </row>
    <row r="18" spans="2:7" s="2426" customFormat="1" ht="20.100000000000001" customHeight="1">
      <c r="B18" s="2417" t="str">
        <f>'Estimate Detail'!C73</f>
        <v>Total Man-hours</v>
      </c>
      <c r="C18" s="2418"/>
      <c r="D18" s="2419">
        <f>'Estimate Detail'!E73</f>
        <v>12</v>
      </c>
      <c r="E18" s="2423">
        <f t="shared" si="0"/>
        <v>12</v>
      </c>
      <c r="F18" s="2424">
        <f t="shared" si="1"/>
        <v>0</v>
      </c>
      <c r="G18" s="2420"/>
    </row>
    <row r="19" spans="2:7" ht="20.100000000000001" customHeight="1">
      <c r="B19" s="1408" t="str">
        <f>'Estimate Detail'!C74</f>
        <v>Hours/Ton</v>
      </c>
      <c r="C19" s="2415"/>
      <c r="D19" s="1410">
        <f>'Estimate Detail'!E74</f>
        <v>3.8780121838501733</v>
      </c>
      <c r="E19" s="1410">
        <f t="shared" si="0"/>
        <v>3.8780121838501733</v>
      </c>
      <c r="F19" s="1411">
        <f t="shared" si="1"/>
        <v>0</v>
      </c>
      <c r="G19" s="2416"/>
    </row>
    <row r="20" spans="2:7" s="2426" customFormat="1" ht="20.100000000000001" customHeight="1">
      <c r="B20" s="2421" t="str">
        <f>'Estimate Detail'!C75</f>
        <v>Factory Quality Inspection hours</v>
      </c>
      <c r="C20" s="2422"/>
      <c r="D20" s="2423">
        <f>'Estimate Detail'!E75</f>
        <v>0.84000000000000008</v>
      </c>
      <c r="E20" s="2423">
        <f t="shared" si="0"/>
        <v>0.84000000000000008</v>
      </c>
      <c r="F20" s="2424">
        <f t="shared" si="1"/>
        <v>0</v>
      </c>
      <c r="G20" s="2425"/>
    </row>
    <row r="21" spans="2:7" s="2426" customFormat="1" ht="20.100000000000001" customHeight="1">
      <c r="B21" s="2417" t="s">
        <v>640</v>
      </c>
      <c r="C21" s="2417"/>
      <c r="D21" s="2427">
        <f>D18+D20</f>
        <v>12.84</v>
      </c>
      <c r="E21" s="2427">
        <f>E18+E20</f>
        <v>12.84</v>
      </c>
      <c r="F21" s="2427"/>
      <c r="G21" s="2421"/>
    </row>
  </sheetData>
  <autoFilter ref="B4:G21" xr:uid="{00000000-0009-0000-0000-000009000000}">
    <filterColumn colId="2">
      <filters>
        <filter val="11,927"/>
        <filter val="198,787"/>
        <filter val="2,668"/>
        <filter val="210,714"/>
        <filter val="27,803"/>
        <filter val="27,806"/>
        <filter val="33,452"/>
        <filter val="37"/>
        <filter val="4,105"/>
        <filter val="43,237"/>
        <filter val="50,477"/>
        <filter val="9,238"/>
      </filters>
    </filterColumn>
  </autoFilter>
  <mergeCells count="1">
    <mergeCell ref="B2:G2"/>
  </mergeCells>
  <phoneticPr fontId="42" type="noConversion"/>
  <pageMargins left="0.7" right="0.7" top="0.75" bottom="0.75" header="0.3" footer="0.3"/>
  <pageSetup orientation="portrait" horizontalDpi="200" verticalDpi="200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6" filterMode="1"/>
  <dimension ref="A1:AE256"/>
  <sheetViews>
    <sheetView showZeros="0" zoomScaleNormal="100" workbookViewId="0">
      <pane xSplit="1" ySplit="4" topLeftCell="B99" activePane="bottomRight" state="frozen"/>
      <selection activeCell="F14" sqref="F14"/>
      <selection pane="topRight" activeCell="F14" sqref="F14"/>
      <selection pane="bottomLeft" activeCell="F14" sqref="F14"/>
      <selection pane="bottomRight" activeCell="J160" sqref="J160"/>
    </sheetView>
  </sheetViews>
  <sheetFormatPr defaultRowHeight="12.75" outlineLevelCol="1"/>
  <cols>
    <col min="1" max="1" width="11.140625" style="1430" customWidth="1"/>
    <col min="2" max="2" width="15.140625" style="1430" customWidth="1"/>
    <col min="3" max="3" width="9.140625" style="1430" customWidth="1"/>
    <col min="4" max="4" width="9.140625" style="1430"/>
    <col min="5" max="5" width="32.140625" style="1430" customWidth="1"/>
    <col min="6" max="6" width="9.140625" style="1430" customWidth="1"/>
    <col min="7" max="7" width="33.140625" style="1430" hidden="1" customWidth="1"/>
    <col min="8" max="9" width="9.140625" style="1430" hidden="1" customWidth="1"/>
    <col min="10" max="10" width="11.140625" style="2032" customWidth="1"/>
    <col min="11" max="11" width="9.140625" style="1430" customWidth="1"/>
    <col min="12" max="12" width="14.28515625" style="1430" customWidth="1"/>
    <col min="13" max="14" width="9.140625" style="1430" customWidth="1"/>
    <col min="15" max="15" width="10.28515625" style="1430" customWidth="1"/>
    <col min="16" max="16" width="9.140625" style="1430" customWidth="1"/>
    <col min="17" max="19" width="9.140625" style="1430" customWidth="1" outlineLevel="1"/>
    <col min="20" max="20" width="9.7109375" style="1452" customWidth="1" outlineLevel="1"/>
    <col min="21" max="21" width="16.28515625" style="1430" customWidth="1" outlineLevel="1"/>
    <col min="22" max="23" width="9.140625" style="1430" customWidth="1" outlineLevel="1"/>
    <col min="24" max="24" width="9.140625" style="1453" customWidth="1"/>
    <col min="25" max="25" width="9.140625" style="1430" hidden="1" customWidth="1"/>
    <col min="26" max="26" width="10.28515625" style="1430" hidden="1" customWidth="1"/>
    <col min="27" max="27" width="11.28515625" style="1430" hidden="1" customWidth="1"/>
    <col min="28" max="28" width="9.140625" style="1430" hidden="1" customWidth="1"/>
    <col min="29" max="29" width="9.7109375" style="1430" hidden="1" customWidth="1"/>
    <col min="30" max="30" width="9.85546875" style="1430" hidden="1" customWidth="1"/>
    <col min="31" max="31" width="9.140625" style="1430" hidden="1" customWidth="1"/>
    <col min="32" max="16384" width="9.140625" style="1430"/>
  </cols>
  <sheetData>
    <row r="1" spans="1:26">
      <c r="A1" s="1427" t="s">
        <v>1244</v>
      </c>
      <c r="B1" s="1427"/>
      <c r="C1" s="1427"/>
      <c r="D1" s="1427"/>
      <c r="E1" s="1427"/>
      <c r="F1" s="1427"/>
      <c r="G1" s="1427"/>
      <c r="H1" s="1427"/>
      <c r="I1" s="1427"/>
      <c r="J1" s="2028"/>
      <c r="K1" s="1427"/>
      <c r="L1" s="1427"/>
      <c r="M1" s="1427"/>
      <c r="N1" s="1427"/>
      <c r="O1" s="1427"/>
      <c r="P1" s="1427"/>
      <c r="Q1" s="1427"/>
      <c r="R1" s="1427"/>
      <c r="S1" s="1427"/>
      <c r="T1" s="1427"/>
      <c r="U1" s="1427"/>
      <c r="V1" s="1428"/>
      <c r="W1" s="1427"/>
      <c r="X1" s="1429"/>
    </row>
    <row r="2" spans="1:26" ht="14.25">
      <c r="A2" s="1431" t="s">
        <v>645</v>
      </c>
      <c r="B2" s="1432"/>
      <c r="C2" s="1432"/>
      <c r="D2" s="1432"/>
      <c r="E2" s="1432"/>
      <c r="F2" s="1432"/>
      <c r="G2" s="1432"/>
      <c r="H2" s="1432"/>
      <c r="I2" s="1432"/>
      <c r="J2" s="2029"/>
      <c r="K2" s="1432"/>
      <c r="L2" s="1432"/>
      <c r="M2" s="1432"/>
      <c r="N2" s="1432"/>
      <c r="O2" s="1432"/>
      <c r="P2" s="1432"/>
      <c r="Q2" s="1432"/>
      <c r="R2" s="1432"/>
      <c r="S2" s="1432"/>
      <c r="T2" s="1433"/>
      <c r="U2" s="1432"/>
      <c r="V2" s="1434"/>
      <c r="W2" s="1432"/>
      <c r="X2" s="1435"/>
    </row>
    <row r="3" spans="1:26" ht="14.25">
      <c r="A3" s="1436"/>
      <c r="B3" s="1436"/>
      <c r="C3" s="1436"/>
      <c r="D3" s="1436"/>
      <c r="E3" s="1436"/>
      <c r="F3" s="1436"/>
      <c r="G3" s="1436"/>
      <c r="H3" s="1436"/>
      <c r="I3" s="1436"/>
      <c r="J3" s="2030"/>
      <c r="K3" s="1436"/>
      <c r="L3" s="1436"/>
      <c r="M3" s="1436"/>
      <c r="N3" s="1436"/>
      <c r="O3" s="1436"/>
      <c r="P3" s="1436"/>
      <c r="Q3" s="1436"/>
      <c r="R3" s="1436"/>
      <c r="S3" s="1436"/>
      <c r="T3" s="1437"/>
      <c r="U3" s="1436"/>
      <c r="V3" s="1436"/>
      <c r="W3" s="1436"/>
      <c r="X3" s="1435"/>
    </row>
    <row r="4" spans="1:26" s="1442" customFormat="1" ht="36">
      <c r="A4" s="1438" t="s">
        <v>646</v>
      </c>
      <c r="B4" s="1438" t="s">
        <v>647</v>
      </c>
      <c r="C4" s="1438" t="s">
        <v>648</v>
      </c>
      <c r="D4" s="1438" t="s">
        <v>649</v>
      </c>
      <c r="E4" s="1438" t="s">
        <v>650</v>
      </c>
      <c r="F4" s="1438" t="s">
        <v>651</v>
      </c>
      <c r="G4" s="1438" t="s">
        <v>652</v>
      </c>
      <c r="H4" s="1438" t="s">
        <v>653</v>
      </c>
      <c r="I4" s="1438" t="s">
        <v>654</v>
      </c>
      <c r="J4" s="2031" t="s">
        <v>655</v>
      </c>
      <c r="K4" s="1438" t="s">
        <v>580</v>
      </c>
      <c r="L4" s="1438" t="s">
        <v>656</v>
      </c>
      <c r="M4" s="1438" t="s">
        <v>657</v>
      </c>
      <c r="N4" s="1438" t="s">
        <v>658</v>
      </c>
      <c r="O4" s="1438" t="s">
        <v>659</v>
      </c>
      <c r="P4" s="1438" t="s">
        <v>660</v>
      </c>
      <c r="Q4" s="1438" t="s">
        <v>661</v>
      </c>
      <c r="R4" s="1438" t="s">
        <v>662</v>
      </c>
      <c r="S4" s="1438" t="s">
        <v>663</v>
      </c>
      <c r="T4" s="1439" t="s">
        <v>664</v>
      </c>
      <c r="U4" s="1438" t="s">
        <v>630</v>
      </c>
      <c r="V4" s="1440" t="s">
        <v>665</v>
      </c>
      <c r="W4" s="1441" t="s">
        <v>666</v>
      </c>
      <c r="X4" s="1476"/>
    </row>
    <row r="5" spans="1:26" s="1442" customFormat="1" hidden="1">
      <c r="A5" s="1994" t="str">
        <f>'Estimate Detail'!B79</f>
        <v>050103</v>
      </c>
      <c r="B5" s="1443"/>
      <c r="C5" s="1443" t="s">
        <v>667</v>
      </c>
      <c r="D5" s="1443" t="s">
        <v>668</v>
      </c>
      <c r="E5" s="1994" t="str">
        <f>'Estimate Detail'!C79</f>
        <v>Main steel structure - Assy No. 07</v>
      </c>
      <c r="F5" s="1994" t="str">
        <f>'Estimate Detail'!AJ79</f>
        <v>MAT/HW</v>
      </c>
      <c r="G5" s="1994" t="str">
        <f>'Estimate Detail'!U79</f>
        <v>Ningbo Huaye</v>
      </c>
      <c r="H5" s="1994" t="str">
        <f>'Estimate Detail'!AK79</f>
        <v>External</v>
      </c>
      <c r="I5" s="1443" t="str">
        <f>'Estimate Detail'!AL79</f>
        <v>CN</v>
      </c>
      <c r="J5" s="2014">
        <f>'Estimate Detail'!AM79</f>
        <v>1</v>
      </c>
      <c r="K5" s="1495" t="str">
        <f>'Estimate Detail'!AN79</f>
        <v>set</v>
      </c>
      <c r="L5" s="2014">
        <f>'Estimate Detail'!AO79</f>
        <v>0</v>
      </c>
      <c r="M5" s="1443" t="str">
        <f>'Estimate Detail'!AP79</f>
        <v>CNY</v>
      </c>
      <c r="N5" s="1443" t="str">
        <f>'Estimate Detail'!AQ79</f>
        <v>BOCE</v>
      </c>
      <c r="O5" s="1443" t="str">
        <f>'Estimate Detail'!AR79</f>
        <v>CNAP</v>
      </c>
      <c r="P5" s="1443" t="str">
        <f>'Estimate Detail'!AS79</f>
        <v>A</v>
      </c>
      <c r="Q5" s="1443" t="str">
        <f>'Estimate Detail'!AT79</f>
        <v>FOB SH</v>
      </c>
      <c r="R5" s="1443" t="str">
        <f>'Estimate Detail'!AU79</f>
        <v>CN</v>
      </c>
      <c r="S5" s="1443" t="str">
        <f>'Estimate Detail'!AV79</f>
        <v>YES</v>
      </c>
      <c r="T5" s="1444">
        <f>'Estimate Detail'!AW79</f>
        <v>42683</v>
      </c>
      <c r="U5" s="1443" t="s">
        <v>667</v>
      </c>
      <c r="V5" s="1445" t="s">
        <v>667</v>
      </c>
      <c r="W5" s="1443" t="s">
        <v>667</v>
      </c>
      <c r="X5" s="1477"/>
      <c r="Y5" s="1442" t="s">
        <v>129</v>
      </c>
      <c r="Z5" s="1474" t="b">
        <f>IF(M5="KCNY",L5,IF(M5="KUSD",L5*$O$245,IF(M5="KEUR",L5*$O$243)))</f>
        <v>0</v>
      </c>
    </row>
    <row r="6" spans="1:26" s="1442" customFormat="1" hidden="1">
      <c r="A6" s="1994" t="str">
        <f>'Estimate Detail'!B80</f>
        <v>050102</v>
      </c>
      <c r="B6" s="1443"/>
      <c r="C6" s="1443" t="s">
        <v>667</v>
      </c>
      <c r="D6" s="1443" t="s">
        <v>668</v>
      </c>
      <c r="E6" s="1443" t="str">
        <f>'Estimate Detail'!C80</f>
        <v>Top Girder - Assy No. 07</v>
      </c>
      <c r="F6" s="1443" t="str">
        <f>'Estimate Detail'!AJ80</f>
        <v>MAT/HW</v>
      </c>
      <c r="G6" s="1443" t="str">
        <f>'Estimate Detail'!U80</f>
        <v>Ningbo Huaye</v>
      </c>
      <c r="H6" s="1443" t="str">
        <f>'Estimate Detail'!AK80</f>
        <v>External</v>
      </c>
      <c r="I6" s="1443" t="str">
        <f>'Estimate Detail'!AL80</f>
        <v>CN</v>
      </c>
      <c r="J6" s="2014">
        <f>'Estimate Detail'!AM80</f>
        <v>1</v>
      </c>
      <c r="K6" s="1495" t="str">
        <f>'Estimate Detail'!AN80</f>
        <v>set</v>
      </c>
      <c r="L6" s="2014">
        <f>'Estimate Detail'!AO80</f>
        <v>0</v>
      </c>
      <c r="M6" s="1443" t="str">
        <f>'Estimate Detail'!AP80</f>
        <v>CNY</v>
      </c>
      <c r="N6" s="1443" t="str">
        <f>'Estimate Detail'!AQ80</f>
        <v>BOCE</v>
      </c>
      <c r="O6" s="1443" t="str">
        <f>'Estimate Detail'!AR80</f>
        <v>CNAP</v>
      </c>
      <c r="P6" s="1443" t="str">
        <f>'Estimate Detail'!AS80</f>
        <v>A</v>
      </c>
      <c r="Q6" s="1443" t="str">
        <f>'Estimate Detail'!AT80</f>
        <v>FOB SH</v>
      </c>
      <c r="R6" s="1443" t="str">
        <f>'Estimate Detail'!AU80</f>
        <v>CN</v>
      </c>
      <c r="S6" s="1443" t="str">
        <f>'Estimate Detail'!AV80</f>
        <v>YES</v>
      </c>
      <c r="T6" s="1444">
        <f>'Estimate Detail'!AW80</f>
        <v>42683</v>
      </c>
      <c r="U6" s="1443" t="s">
        <v>667</v>
      </c>
      <c r="V6" s="1445" t="s">
        <v>667</v>
      </c>
      <c r="W6" s="1443" t="s">
        <v>667</v>
      </c>
      <c r="X6" s="1477"/>
      <c r="Y6" s="1442" t="s">
        <v>129</v>
      </c>
      <c r="Z6" s="1474" t="b">
        <f>IF(M6="KCNY",L6,IF(M6="KUSD",L6*$O$245,IF(M6="KEUR",L6*$O$243)))</f>
        <v>0</v>
      </c>
    </row>
    <row r="7" spans="1:26" s="1442" customFormat="1" hidden="1">
      <c r="A7" s="1994" t="str">
        <f>'Estimate Detail'!B81</f>
        <v>050104</v>
      </c>
      <c r="B7" s="1443"/>
      <c r="C7" s="1443" t="s">
        <v>667</v>
      </c>
      <c r="D7" s="1443" t="s">
        <v>668</v>
      </c>
      <c r="E7" s="1443" t="str">
        <f>'Estimate Detail'!C81</f>
        <v>Secondary SS  - Assy No. 07</v>
      </c>
      <c r="F7" s="1443" t="str">
        <f>'Estimate Detail'!AJ81</f>
        <v>MAT/HW</v>
      </c>
      <c r="G7" s="1443" t="str">
        <f>'Estimate Detail'!U81</f>
        <v>Ningbo Huaye</v>
      </c>
      <c r="H7" s="1443" t="str">
        <f>'Estimate Detail'!AK81</f>
        <v>External</v>
      </c>
      <c r="I7" s="1443" t="str">
        <f>'Estimate Detail'!AL81</f>
        <v>CN</v>
      </c>
      <c r="J7" s="2014">
        <f>'Estimate Detail'!AM81</f>
        <v>1</v>
      </c>
      <c r="K7" s="1495" t="str">
        <f>'Estimate Detail'!AN81</f>
        <v>set</v>
      </c>
      <c r="L7" s="2014">
        <f>'Estimate Detail'!AO81</f>
        <v>0</v>
      </c>
      <c r="M7" s="1443" t="str">
        <f>'Estimate Detail'!AP81</f>
        <v>CNY</v>
      </c>
      <c r="N7" s="1443" t="str">
        <f>'Estimate Detail'!AQ81</f>
        <v>BOCE</v>
      </c>
      <c r="O7" s="1443" t="str">
        <f>'Estimate Detail'!AR81</f>
        <v>CNAP</v>
      </c>
      <c r="P7" s="1443" t="str">
        <f>'Estimate Detail'!AS81</f>
        <v>A</v>
      </c>
      <c r="Q7" s="1443" t="str">
        <f>'Estimate Detail'!AT81</f>
        <v>FOB SH</v>
      </c>
      <c r="R7" s="1443" t="str">
        <f>'Estimate Detail'!AU81</f>
        <v>CN</v>
      </c>
      <c r="S7" s="1443" t="str">
        <f>'Estimate Detail'!AV81</f>
        <v>YES</v>
      </c>
      <c r="T7" s="1444">
        <f>'Estimate Detail'!AW81</f>
        <v>42683</v>
      </c>
      <c r="U7" s="1443" t="s">
        <v>667</v>
      </c>
      <c r="V7" s="1445" t="s">
        <v>667</v>
      </c>
      <c r="W7" s="1443" t="s">
        <v>667</v>
      </c>
      <c r="X7" s="1477"/>
      <c r="Y7" s="1442" t="s">
        <v>129</v>
      </c>
      <c r="Z7" s="1474" t="b">
        <f>IF(M7="KCNY",L7,IF(M7="KUSD",L7*$O$245,IF(M7="KEUR",L7*$O$243)))</f>
        <v>0</v>
      </c>
    </row>
    <row r="8" spans="1:26" s="1442" customFormat="1" hidden="1">
      <c r="A8" s="1994" t="str">
        <f>'Estimate Detail'!B82</f>
        <v>050103</v>
      </c>
      <c r="B8" s="1443"/>
      <c r="C8" s="1443" t="s">
        <v>667</v>
      </c>
      <c r="D8" s="1443" t="s">
        <v>668</v>
      </c>
      <c r="E8" s="1443" t="str">
        <f>'Estimate Detail'!C82</f>
        <v>Cross Member - Assy No. 07</v>
      </c>
      <c r="F8" s="1443" t="str">
        <f>'Estimate Detail'!AJ82</f>
        <v>MAT/HW</v>
      </c>
      <c r="G8" s="1443" t="str">
        <f>'Estimate Detail'!U82</f>
        <v>Ningbo Huaye</v>
      </c>
      <c r="H8" s="1443" t="str">
        <f>'Estimate Detail'!AK82</f>
        <v>External</v>
      </c>
      <c r="I8" s="1443" t="str">
        <f>'Estimate Detail'!AL82</f>
        <v>CN</v>
      </c>
      <c r="J8" s="2014">
        <f>'Estimate Detail'!AM82</f>
        <v>1</v>
      </c>
      <c r="K8" s="1495" t="str">
        <f>'Estimate Detail'!AN82</f>
        <v>set</v>
      </c>
      <c r="L8" s="2014">
        <f>'Estimate Detail'!AO82</f>
        <v>0</v>
      </c>
      <c r="M8" s="1443" t="str">
        <f>'Estimate Detail'!AP82</f>
        <v>CNY</v>
      </c>
      <c r="N8" s="1443" t="str">
        <f>'Estimate Detail'!AQ82</f>
        <v>BOCE</v>
      </c>
      <c r="O8" s="1443" t="str">
        <f>'Estimate Detail'!AR82</f>
        <v>CNAP</v>
      </c>
      <c r="P8" s="1443" t="str">
        <f>'Estimate Detail'!AS82</f>
        <v>A</v>
      </c>
      <c r="Q8" s="1443" t="str">
        <f>'Estimate Detail'!AT82</f>
        <v>FOB SH</v>
      </c>
      <c r="R8" s="1443" t="str">
        <f>'Estimate Detail'!AU82</f>
        <v>CN</v>
      </c>
      <c r="S8" s="1443" t="str">
        <f>'Estimate Detail'!AV82</f>
        <v>YES</v>
      </c>
      <c r="T8" s="1444">
        <f>'Estimate Detail'!AW82</f>
        <v>42683</v>
      </c>
      <c r="U8" s="1443" t="s">
        <v>667</v>
      </c>
      <c r="V8" s="1445" t="s">
        <v>667</v>
      </c>
      <c r="W8" s="1443" t="s">
        <v>667</v>
      </c>
      <c r="X8" s="1477"/>
      <c r="Y8" s="1442" t="s">
        <v>129</v>
      </c>
      <c r="Z8" s="1474" t="b">
        <f>IF(M8="KCNY",L8,IF(M8="KUSD",L8*$O$245,IF(M8="KEUR",L8*$O$243)))</f>
        <v>0</v>
      </c>
    </row>
    <row r="9" spans="1:26" s="1442" customFormat="1" ht="22.5" hidden="1">
      <c r="A9" s="1994" t="str">
        <f>'Estimate Detail'!B86</f>
        <v>050110</v>
      </c>
      <c r="B9" s="1443"/>
      <c r="C9" s="1443" t="s">
        <v>667</v>
      </c>
      <c r="D9" s="1443" t="s">
        <v>668</v>
      </c>
      <c r="E9" s="1443" t="str">
        <f>'Estimate Detail'!C86</f>
        <v>Provide FD fan Rain Enclosures - Assy No. 07</v>
      </c>
      <c r="F9" s="1443" t="str">
        <f>'Estimate Detail'!AJ86</f>
        <v>MAT/HW</v>
      </c>
      <c r="G9" s="1443" t="str">
        <f>'Estimate Detail'!U86</f>
        <v>Unknown Supplier</v>
      </c>
      <c r="H9" s="1443" t="str">
        <f>'Estimate Detail'!AK86</f>
        <v>External</v>
      </c>
      <c r="I9" s="1443" t="str">
        <f>'Estimate Detail'!AL86</f>
        <v>CN</v>
      </c>
      <c r="J9" s="2014">
        <f>'Estimate Detail'!AM86</f>
        <v>1</v>
      </c>
      <c r="K9" s="1495" t="str">
        <f>'Estimate Detail'!AN86</f>
        <v>set</v>
      </c>
      <c r="L9" s="2014">
        <f>'Estimate Detail'!AO86</f>
        <v>0</v>
      </c>
      <c r="M9" s="1443" t="str">
        <f>'Estimate Detail'!AP86</f>
        <v>CNY</v>
      </c>
      <c r="N9" s="1443" t="str">
        <f>'Estimate Detail'!AQ86</f>
        <v>BOCE</v>
      </c>
      <c r="O9" s="1443" t="str">
        <f>'Estimate Detail'!AR86</f>
        <v>CNAP</v>
      </c>
      <c r="P9" s="1443" t="str">
        <f>'Estimate Detail'!AS86</f>
        <v>B</v>
      </c>
      <c r="Q9" s="1443" t="str">
        <f>'Estimate Detail'!AT86</f>
        <v>FOB SH</v>
      </c>
      <c r="R9" s="1443" t="str">
        <f>'Estimate Detail'!AU86</f>
        <v>CN</v>
      </c>
      <c r="S9" s="1443" t="str">
        <f>'Estimate Detail'!AV86</f>
        <v>YES</v>
      </c>
      <c r="T9" s="1444">
        <f>'Estimate Detail'!AW86</f>
        <v>42683</v>
      </c>
      <c r="U9" s="1443" t="s">
        <v>667</v>
      </c>
      <c r="V9" s="1445" t="s">
        <v>667</v>
      </c>
      <c r="W9" s="1443" t="s">
        <v>667</v>
      </c>
      <c r="X9" s="1477"/>
      <c r="Z9" s="1474"/>
    </row>
    <row r="10" spans="1:26" s="1442" customFormat="1" hidden="1">
      <c r="A10" s="1994" t="str">
        <f>'Estimate Detail'!B88</f>
        <v>050105</v>
      </c>
      <c r="B10" s="1443"/>
      <c r="C10" s="1443" t="s">
        <v>667</v>
      </c>
      <c r="D10" s="1443" t="s">
        <v>668</v>
      </c>
      <c r="E10" s="1443" t="str">
        <f>'Estimate Detail'!C88</f>
        <v>Platforms - Assy No. 08</v>
      </c>
      <c r="F10" s="1443" t="str">
        <f>'Estimate Detail'!AJ88</f>
        <v>MAT/HW</v>
      </c>
      <c r="G10" s="1443" t="str">
        <f>'Estimate Detail'!U88</f>
        <v>Sinosteel Yantai</v>
      </c>
      <c r="H10" s="1443" t="str">
        <f>'Estimate Detail'!AK88</f>
        <v>External</v>
      </c>
      <c r="I10" s="1443" t="str">
        <f>'Estimate Detail'!AL88</f>
        <v>CN</v>
      </c>
      <c r="J10" s="2014">
        <f>'Estimate Detail'!AM88</f>
        <v>1</v>
      </c>
      <c r="K10" s="1495" t="str">
        <f>'Estimate Detail'!AN88</f>
        <v>set</v>
      </c>
      <c r="L10" s="2014">
        <f>'Estimate Detail'!AO88</f>
        <v>0</v>
      </c>
      <c r="M10" s="1443" t="str">
        <f>'Estimate Detail'!AP88</f>
        <v>CNY</v>
      </c>
      <c r="N10" s="1443" t="str">
        <f>'Estimate Detail'!AQ88</f>
        <v>BOCE</v>
      </c>
      <c r="O10" s="1443" t="str">
        <f>'Estimate Detail'!AR88</f>
        <v>CNAP</v>
      </c>
      <c r="P10" s="1443" t="str">
        <f>'Estimate Detail'!AS88</f>
        <v>A</v>
      </c>
      <c r="Q10" s="1443" t="str">
        <f>'Estimate Detail'!AT88</f>
        <v>FOB SH</v>
      </c>
      <c r="R10" s="1443" t="str">
        <f>'Estimate Detail'!AU88</f>
        <v>CN</v>
      </c>
      <c r="S10" s="1443" t="str">
        <f>'Estimate Detail'!AV88</f>
        <v>YES</v>
      </c>
      <c r="T10" s="1444">
        <f>'Estimate Detail'!AW88</f>
        <v>42683</v>
      </c>
      <c r="U10" s="1443" t="s">
        <v>667</v>
      </c>
      <c r="V10" s="1445" t="s">
        <v>667</v>
      </c>
      <c r="W10" s="1443" t="s">
        <v>667</v>
      </c>
      <c r="X10" s="1477"/>
      <c r="Z10" s="1474"/>
    </row>
    <row r="11" spans="1:26" s="1442" customFormat="1" hidden="1">
      <c r="A11" s="1994" t="str">
        <f>'Estimate Detail'!B89</f>
        <v>050105</v>
      </c>
      <c r="B11" s="1443"/>
      <c r="C11" s="1443" t="s">
        <v>667</v>
      </c>
      <c r="D11" s="1443" t="s">
        <v>668</v>
      </c>
      <c r="E11" s="1443" t="str">
        <f>'Estimate Detail'!C89</f>
        <v>Stairs - Assy No. 08</v>
      </c>
      <c r="F11" s="1443" t="str">
        <f>'Estimate Detail'!AJ89</f>
        <v>MAT/HW</v>
      </c>
      <c r="G11" s="1443" t="str">
        <f>'Estimate Detail'!U89</f>
        <v>Sinosteel Yantai</v>
      </c>
      <c r="H11" s="1443" t="str">
        <f>'Estimate Detail'!AK89</f>
        <v>External</v>
      </c>
      <c r="I11" s="1443" t="str">
        <f>'Estimate Detail'!AL89</f>
        <v>CN</v>
      </c>
      <c r="J11" s="2014">
        <f>'Estimate Detail'!AM89</f>
        <v>1</v>
      </c>
      <c r="K11" s="1495" t="str">
        <f>'Estimate Detail'!AN89</f>
        <v>set</v>
      </c>
      <c r="L11" s="2014">
        <f>'Estimate Detail'!AO89</f>
        <v>0</v>
      </c>
      <c r="M11" s="1443" t="str">
        <f>'Estimate Detail'!AP89</f>
        <v>CNY</v>
      </c>
      <c r="N11" s="1443" t="str">
        <f>'Estimate Detail'!AQ89</f>
        <v>BOCE</v>
      </c>
      <c r="O11" s="1443" t="str">
        <f>'Estimate Detail'!AR89</f>
        <v>CNAP</v>
      </c>
      <c r="P11" s="1443" t="str">
        <f>'Estimate Detail'!AS89</f>
        <v>A</v>
      </c>
      <c r="Q11" s="1443" t="str">
        <f>'Estimate Detail'!AT89</f>
        <v>FOB SH</v>
      </c>
      <c r="R11" s="1443" t="str">
        <f>'Estimate Detail'!AU89</f>
        <v>CN</v>
      </c>
      <c r="S11" s="1443" t="str">
        <f>'Estimate Detail'!AV89</f>
        <v>YES</v>
      </c>
      <c r="T11" s="1444">
        <f>'Estimate Detail'!AW89</f>
        <v>42683</v>
      </c>
      <c r="U11" s="1443" t="s">
        <v>667</v>
      </c>
      <c r="V11" s="1445" t="s">
        <v>667</v>
      </c>
      <c r="W11" s="1443" t="s">
        <v>667</v>
      </c>
      <c r="X11" s="1477"/>
      <c r="Z11" s="1474"/>
    </row>
    <row r="12" spans="1:26" s="1442" customFormat="1" hidden="1">
      <c r="A12" s="1994" t="str">
        <f>'Estimate Detail'!B94</f>
        <v>050201</v>
      </c>
      <c r="B12" s="1443"/>
      <c r="C12" s="1443" t="s">
        <v>667</v>
      </c>
      <c r="D12" s="1443" t="s">
        <v>668</v>
      </c>
      <c r="E12" s="1443" t="str">
        <f>'Estimate Detail'!C94</f>
        <v>Buckstays - Assy No. 33</v>
      </c>
      <c r="F12" s="1443" t="str">
        <f>'Estimate Detail'!AJ94</f>
        <v>MAT/HW</v>
      </c>
      <c r="G12" s="1443" t="str">
        <f>'Estimate Detail'!U94</f>
        <v>Wuhan Beifang</v>
      </c>
      <c r="H12" s="1443" t="str">
        <f>'Estimate Detail'!AK94</f>
        <v>External</v>
      </c>
      <c r="I12" s="1443" t="str">
        <f>'Estimate Detail'!AL94</f>
        <v>CN</v>
      </c>
      <c r="J12" s="2014">
        <f>'Estimate Detail'!AM94</f>
        <v>1</v>
      </c>
      <c r="K12" s="1495" t="str">
        <f>'Estimate Detail'!AN94</f>
        <v>set</v>
      </c>
      <c r="L12" s="2014">
        <f>'Estimate Detail'!AO94</f>
        <v>0</v>
      </c>
      <c r="M12" s="1443" t="str">
        <f>'Estimate Detail'!AP94</f>
        <v>CNY</v>
      </c>
      <c r="N12" s="1443" t="str">
        <f>'Estimate Detail'!AQ94</f>
        <v>BOCE</v>
      </c>
      <c r="O12" s="1443" t="str">
        <f>'Estimate Detail'!AR94</f>
        <v>CNAP</v>
      </c>
      <c r="P12" s="1443" t="str">
        <f>'Estimate Detail'!AS94</f>
        <v>A</v>
      </c>
      <c r="Q12" s="1443" t="str">
        <f>'Estimate Detail'!AT94</f>
        <v>FOB SH</v>
      </c>
      <c r="R12" s="1443" t="str">
        <f>'Estimate Detail'!AU94</f>
        <v>CN</v>
      </c>
      <c r="S12" s="1443" t="str">
        <f>'Estimate Detail'!AV94</f>
        <v>YES</v>
      </c>
      <c r="T12" s="1444">
        <f>'Estimate Detail'!AW94</f>
        <v>42683</v>
      </c>
      <c r="U12" s="1443" t="s">
        <v>667</v>
      </c>
      <c r="V12" s="1445" t="s">
        <v>667</v>
      </c>
      <c r="W12" s="1443" t="s">
        <v>667</v>
      </c>
      <c r="X12" s="1477"/>
      <c r="Z12" s="1474"/>
    </row>
    <row r="13" spans="1:26" s="1442" customFormat="1" hidden="1">
      <c r="A13" s="1994" t="str">
        <f>'Estimate Detail'!B96</f>
        <v>050202</v>
      </c>
      <c r="B13" s="1443"/>
      <c r="C13" s="1443" t="s">
        <v>667</v>
      </c>
      <c r="D13" s="1443" t="s">
        <v>668</v>
      </c>
      <c r="E13" s="1443" t="str">
        <f>'Estimate Detail'!C96</f>
        <v>Outer Casing - Assy No. 09</v>
      </c>
      <c r="F13" s="1443" t="str">
        <f>'Estimate Detail'!AJ96</f>
        <v>MAT/HW</v>
      </c>
      <c r="G13" s="1443" t="str">
        <f>'Estimate Detail'!U96</f>
        <v>Yixing Kaimeilong</v>
      </c>
      <c r="H13" s="1443" t="str">
        <f>'Estimate Detail'!AK96</f>
        <v>External</v>
      </c>
      <c r="I13" s="1443" t="str">
        <f>'Estimate Detail'!AL96</f>
        <v>CN</v>
      </c>
      <c r="J13" s="2014">
        <f>'Estimate Detail'!AM96</f>
        <v>1</v>
      </c>
      <c r="K13" s="1495" t="str">
        <f>'Estimate Detail'!AN96</f>
        <v>set</v>
      </c>
      <c r="L13" s="2014">
        <f>'Estimate Detail'!AO96</f>
        <v>0</v>
      </c>
      <c r="M13" s="1443" t="str">
        <f>'Estimate Detail'!AP96</f>
        <v>CNY</v>
      </c>
      <c r="N13" s="1443" t="str">
        <f>'Estimate Detail'!AQ96</f>
        <v>BOCE</v>
      </c>
      <c r="O13" s="1443" t="str">
        <f>'Estimate Detail'!AR96</f>
        <v>CNAP</v>
      </c>
      <c r="P13" s="1443" t="str">
        <f>'Estimate Detail'!AS96</f>
        <v>B</v>
      </c>
      <c r="Q13" s="1443" t="str">
        <f>'Estimate Detail'!AT96</f>
        <v>FOB SH</v>
      </c>
      <c r="R13" s="1443" t="str">
        <f>'Estimate Detail'!AU96</f>
        <v>CN</v>
      </c>
      <c r="S13" s="1443" t="str">
        <f>'Estimate Detail'!AV96</f>
        <v>YES</v>
      </c>
      <c r="T13" s="1444">
        <f>'Estimate Detail'!AW96</f>
        <v>42683</v>
      </c>
      <c r="U13" s="1443" t="s">
        <v>667</v>
      </c>
      <c r="V13" s="1445" t="s">
        <v>667</v>
      </c>
      <c r="W13" s="1443" t="s">
        <v>667</v>
      </c>
      <c r="X13" s="1477"/>
      <c r="Z13" s="1474"/>
    </row>
    <row r="14" spans="1:26" s="1442" customFormat="1" ht="22.5" hidden="1">
      <c r="A14" s="1994" t="str">
        <f>'Estimate Detail'!B101</f>
        <v>050211</v>
      </c>
      <c r="B14" s="1443"/>
      <c r="C14" s="1443" t="s">
        <v>667</v>
      </c>
      <c r="D14" s="1443" t="s">
        <v>668</v>
      </c>
      <c r="E14" s="1443" t="str">
        <f>'Estimate Detail'!C101</f>
        <v>Pressure Parts Hangers &amp; Supports - Assy No. 32</v>
      </c>
      <c r="F14" s="1443" t="str">
        <f>'Estimate Detail'!AJ101</f>
        <v>MAT/HW</v>
      </c>
      <c r="G14" s="1443" t="str">
        <f>'Estimate Detail'!U101</f>
        <v>Yangzhou Huayuan</v>
      </c>
      <c r="H14" s="1443" t="str">
        <f>'Estimate Detail'!AK101</f>
        <v>External</v>
      </c>
      <c r="I14" s="1443" t="str">
        <f>'Estimate Detail'!AL101</f>
        <v>CN</v>
      </c>
      <c r="J14" s="2014">
        <f>'Estimate Detail'!AM101</f>
        <v>1</v>
      </c>
      <c r="K14" s="1495" t="str">
        <f>'Estimate Detail'!AN101</f>
        <v>set</v>
      </c>
      <c r="L14" s="2014">
        <f>'Estimate Detail'!AO101</f>
        <v>0</v>
      </c>
      <c r="M14" s="1443" t="str">
        <f>'Estimate Detail'!AP101</f>
        <v>CNY</v>
      </c>
      <c r="N14" s="1443" t="str">
        <f>'Estimate Detail'!AQ101</f>
        <v>BOCE</v>
      </c>
      <c r="O14" s="1443" t="str">
        <f>'Estimate Detail'!AR101</f>
        <v>CNAP</v>
      </c>
      <c r="P14" s="1443" t="str">
        <f>'Estimate Detail'!AS101</f>
        <v>B</v>
      </c>
      <c r="Q14" s="1443" t="str">
        <f>'Estimate Detail'!AT101</f>
        <v>FOB SH</v>
      </c>
      <c r="R14" s="1443" t="str">
        <f>'Estimate Detail'!AU101</f>
        <v>CN</v>
      </c>
      <c r="S14" s="1443" t="str">
        <f>'Estimate Detail'!AV101</f>
        <v>YES</v>
      </c>
      <c r="T14" s="1444">
        <f>'Estimate Detail'!AW101</f>
        <v>42683</v>
      </c>
      <c r="U14" s="1443" t="s">
        <v>667</v>
      </c>
      <c r="V14" s="1445" t="s">
        <v>667</v>
      </c>
      <c r="W14" s="1443" t="s">
        <v>667</v>
      </c>
      <c r="X14" s="1477"/>
      <c r="Z14" s="1474"/>
    </row>
    <row r="15" spans="1:26" s="1442" customFormat="1" hidden="1">
      <c r="A15" s="1994" t="str">
        <f>'Estimate Detail'!B102</f>
        <v>050211</v>
      </c>
      <c r="B15" s="1443"/>
      <c r="C15" s="1443" t="s">
        <v>667</v>
      </c>
      <c r="D15" s="1443" t="s">
        <v>668</v>
      </c>
      <c r="E15" s="1443" t="str">
        <f>'Estimate Detail'!C102</f>
        <v>Start Up System Hangers - Assy No. 64</v>
      </c>
      <c r="F15" s="1443" t="str">
        <f>'Estimate Detail'!AJ102</f>
        <v>MAT/HW</v>
      </c>
      <c r="G15" s="1443" t="str">
        <f>'Estimate Detail'!U102</f>
        <v>Yangzhou Huayuan</v>
      </c>
      <c r="H15" s="1443" t="str">
        <f>'Estimate Detail'!AK102</f>
        <v>External</v>
      </c>
      <c r="I15" s="1443" t="str">
        <f>'Estimate Detail'!AL102</f>
        <v>CN</v>
      </c>
      <c r="J15" s="2014">
        <f>'Estimate Detail'!AM102</f>
        <v>1</v>
      </c>
      <c r="K15" s="1495" t="str">
        <f>'Estimate Detail'!AN102</f>
        <v>set</v>
      </c>
      <c r="L15" s="2014">
        <f>'Estimate Detail'!AO102</f>
        <v>0</v>
      </c>
      <c r="M15" s="1443" t="str">
        <f>'Estimate Detail'!AP102</f>
        <v>CNY</v>
      </c>
      <c r="N15" s="1443" t="str">
        <f>'Estimate Detail'!AQ102</f>
        <v>BOCE</v>
      </c>
      <c r="O15" s="1443" t="str">
        <f>'Estimate Detail'!AR102</f>
        <v>CNAP</v>
      </c>
      <c r="P15" s="1443" t="str">
        <f>'Estimate Detail'!AS102</f>
        <v>B</v>
      </c>
      <c r="Q15" s="1443" t="str">
        <f>'Estimate Detail'!AT102</f>
        <v>FOB SH</v>
      </c>
      <c r="R15" s="1443" t="str">
        <f>'Estimate Detail'!AU102</f>
        <v>CN</v>
      </c>
      <c r="S15" s="1443" t="str">
        <f>'Estimate Detail'!AV102</f>
        <v>YES</v>
      </c>
      <c r="T15" s="1444">
        <f>'Estimate Detail'!AW102</f>
        <v>42683</v>
      </c>
      <c r="U15" s="1443" t="s">
        <v>667</v>
      </c>
      <c r="V15" s="1445" t="s">
        <v>667</v>
      </c>
      <c r="W15" s="1443" t="s">
        <v>667</v>
      </c>
      <c r="X15" s="1477"/>
      <c r="Z15" s="1474"/>
    </row>
    <row r="16" spans="1:26" s="1442" customFormat="1" hidden="1">
      <c r="A16" s="1994" t="str">
        <f>'Estimate Detail'!B103</f>
        <v>050213</v>
      </c>
      <c r="B16" s="1443"/>
      <c r="C16" s="1443" t="s">
        <v>667</v>
      </c>
      <c r="D16" s="1443" t="s">
        <v>668</v>
      </c>
      <c r="E16" s="1443" t="str">
        <f>'Estimate Detail'!C103</f>
        <v>Air &amp; Gas Ducts Hangers - Assy No. 41&amp;50</v>
      </c>
      <c r="F16" s="1443" t="str">
        <f>'Estimate Detail'!AJ103</f>
        <v>MAT/HW</v>
      </c>
      <c r="G16" s="1443" t="str">
        <f>'Estimate Detail'!U103</f>
        <v>Jiangsu Power</v>
      </c>
      <c r="H16" s="1443" t="str">
        <f>'Estimate Detail'!AK103</f>
        <v>External</v>
      </c>
      <c r="I16" s="1443" t="str">
        <f>'Estimate Detail'!AL103</f>
        <v>CN</v>
      </c>
      <c r="J16" s="2014">
        <f>'Estimate Detail'!AM103</f>
        <v>1</v>
      </c>
      <c r="K16" s="1495" t="str">
        <f>'Estimate Detail'!AN103</f>
        <v>set</v>
      </c>
      <c r="L16" s="2014">
        <f>'Estimate Detail'!AO103</f>
        <v>0</v>
      </c>
      <c r="M16" s="1443" t="str">
        <f>'Estimate Detail'!AP103</f>
        <v>CNY</v>
      </c>
      <c r="N16" s="1443" t="str">
        <f>'Estimate Detail'!AQ103</f>
        <v>BOCE</v>
      </c>
      <c r="O16" s="1443" t="str">
        <f>'Estimate Detail'!AR103</f>
        <v>CNAP</v>
      </c>
      <c r="P16" s="1443" t="str">
        <f>'Estimate Detail'!AS103</f>
        <v>B</v>
      </c>
      <c r="Q16" s="1443" t="str">
        <f>'Estimate Detail'!AT103</f>
        <v>FOB SH</v>
      </c>
      <c r="R16" s="1443" t="str">
        <f>'Estimate Detail'!AU103</f>
        <v>CN</v>
      </c>
      <c r="S16" s="1443" t="str">
        <f>'Estimate Detail'!AV103</f>
        <v>YES</v>
      </c>
      <c r="T16" s="1444">
        <f>'Estimate Detail'!AW103</f>
        <v>42683</v>
      </c>
      <c r="U16" s="1443" t="s">
        <v>667</v>
      </c>
      <c r="V16" s="1445" t="s">
        <v>667</v>
      </c>
      <c r="W16" s="1443" t="s">
        <v>667</v>
      </c>
      <c r="X16" s="1477"/>
      <c r="Z16" s="1474"/>
    </row>
    <row r="17" spans="1:26" s="1442" customFormat="1" ht="22.5" hidden="1">
      <c r="A17" s="1994" t="str">
        <f>'Estimate Detail'!B104</f>
        <v>050213</v>
      </c>
      <c r="B17" s="1443"/>
      <c r="C17" s="1443" t="s">
        <v>667</v>
      </c>
      <c r="D17" s="1443" t="s">
        <v>668</v>
      </c>
      <c r="E17" s="1443" t="str">
        <f>'Estimate Detail'!C104</f>
        <v>Air &amp; Gas Ducts Joint hinge - Assy No. 41&amp;51</v>
      </c>
      <c r="F17" s="1443" t="str">
        <f>'Estimate Detail'!AJ104</f>
        <v>MAT/HW</v>
      </c>
      <c r="G17" s="1443" t="str">
        <f>'Estimate Detail'!U104</f>
        <v>Jiangsu Power</v>
      </c>
      <c r="H17" s="1443" t="str">
        <f>'Estimate Detail'!AK104</f>
        <v>External</v>
      </c>
      <c r="I17" s="1443" t="str">
        <f>'Estimate Detail'!AL104</f>
        <v>CN</v>
      </c>
      <c r="J17" s="2014">
        <f>'Estimate Detail'!AM104</f>
        <v>1</v>
      </c>
      <c r="K17" s="1495" t="str">
        <f>'Estimate Detail'!AN104</f>
        <v>set</v>
      </c>
      <c r="L17" s="2014">
        <f>'Estimate Detail'!AO104</f>
        <v>0</v>
      </c>
      <c r="M17" s="1443" t="str">
        <f>'Estimate Detail'!AP104</f>
        <v>CNY</v>
      </c>
      <c r="N17" s="1443" t="str">
        <f>'Estimate Detail'!AQ104</f>
        <v>BOCE</v>
      </c>
      <c r="O17" s="1443" t="str">
        <f>'Estimate Detail'!AR104</f>
        <v>CNAP</v>
      </c>
      <c r="P17" s="1443" t="str">
        <f>'Estimate Detail'!AS104</f>
        <v>B</v>
      </c>
      <c r="Q17" s="1443" t="str">
        <f>'Estimate Detail'!AT104</f>
        <v>FOB SH</v>
      </c>
      <c r="R17" s="1443" t="str">
        <f>'Estimate Detail'!AU104</f>
        <v>CN</v>
      </c>
      <c r="S17" s="1443" t="str">
        <f>'Estimate Detail'!AV104</f>
        <v>YES</v>
      </c>
      <c r="T17" s="1444">
        <f>'Estimate Detail'!AW104</f>
        <v>42683</v>
      </c>
      <c r="U17" s="1443" t="s">
        <v>667</v>
      </c>
      <c r="V17" s="1445" t="s">
        <v>667</v>
      </c>
      <c r="W17" s="1443" t="s">
        <v>667</v>
      </c>
      <c r="X17" s="1477"/>
      <c r="Z17" s="1474"/>
    </row>
    <row r="18" spans="1:26" s="1442" customFormat="1" hidden="1">
      <c r="A18" s="1994" t="str">
        <f>'Estimate Detail'!B97</f>
        <v>050203</v>
      </c>
      <c r="B18" s="1443"/>
      <c r="C18" s="1443" t="s">
        <v>667</v>
      </c>
      <c r="D18" s="1443" t="s">
        <v>668</v>
      </c>
      <c r="E18" s="1443" t="str">
        <f>'Estimate Detail'!C97</f>
        <v>Doors including Connection - Assy No. 23</v>
      </c>
      <c r="F18" s="1443" t="str">
        <f>'Estimate Detail'!AJ97</f>
        <v>MAT/HW</v>
      </c>
      <c r="G18" s="1443" t="str">
        <f>'Estimate Detail'!U97</f>
        <v>Wuhan Huashan</v>
      </c>
      <c r="H18" s="1443" t="str">
        <f>'Estimate Detail'!AK97</f>
        <v>External</v>
      </c>
      <c r="I18" s="1443" t="str">
        <f>'Estimate Detail'!AL97</f>
        <v>CN</v>
      </c>
      <c r="J18" s="2014">
        <f>'Estimate Detail'!AM97</f>
        <v>1</v>
      </c>
      <c r="K18" s="1495" t="str">
        <f>'Estimate Detail'!AN97</f>
        <v>set</v>
      </c>
      <c r="L18" s="2014">
        <f>'Estimate Detail'!AO97</f>
        <v>0</v>
      </c>
      <c r="M18" s="1443" t="str">
        <f>'Estimate Detail'!AP97</f>
        <v>CNY</v>
      </c>
      <c r="N18" s="1443" t="str">
        <f>'Estimate Detail'!AQ97</f>
        <v>BOCE</v>
      </c>
      <c r="O18" s="1443" t="str">
        <f>'Estimate Detail'!AR97</f>
        <v>CNAP</v>
      </c>
      <c r="P18" s="1443" t="str">
        <f>'Estimate Detail'!AS97</f>
        <v>B</v>
      </c>
      <c r="Q18" s="1443" t="str">
        <f>'Estimate Detail'!AT97</f>
        <v>FOB SH</v>
      </c>
      <c r="R18" s="1443" t="str">
        <f>'Estimate Detail'!AU97</f>
        <v>CN</v>
      </c>
      <c r="S18" s="1443" t="str">
        <f>'Estimate Detail'!AV97</f>
        <v>YES</v>
      </c>
      <c r="T18" s="1444">
        <f>'Estimate Detail'!AW97</f>
        <v>42683</v>
      </c>
      <c r="U18" s="1443" t="s">
        <v>667</v>
      </c>
      <c r="V18" s="1445" t="s">
        <v>667</v>
      </c>
      <c r="W18" s="1443" t="s">
        <v>667</v>
      </c>
      <c r="X18" s="1477"/>
      <c r="Z18" s="1474"/>
    </row>
    <row r="19" spans="1:26" s="1442" customFormat="1" hidden="1">
      <c r="A19" s="1994" t="str">
        <f>'Estimate Detail'!B107</f>
        <v>050401</v>
      </c>
      <c r="B19" s="1443"/>
      <c r="C19" s="1443" t="s">
        <v>667</v>
      </c>
      <c r="D19" s="1443" t="s">
        <v>668</v>
      </c>
      <c r="E19" s="1443" t="str">
        <f>'Estimate Detail'!C107</f>
        <v>Condensate Pumps - Assy No. 64</v>
      </c>
      <c r="F19" s="1443" t="str">
        <f>'Estimate Detail'!AJ107</f>
        <v>MAT/HW</v>
      </c>
      <c r="G19" s="1443" t="str">
        <f>'Estimate Detail'!U107</f>
        <v>Unknown Supplier</v>
      </c>
      <c r="H19" s="1443" t="str">
        <f>'Estimate Detail'!AK107</f>
        <v>External</v>
      </c>
      <c r="I19" s="1443" t="str">
        <f>'Estimate Detail'!AL107</f>
        <v>CN</v>
      </c>
      <c r="J19" s="2014">
        <f>'Estimate Detail'!AM107</f>
        <v>1</v>
      </c>
      <c r="K19" s="1495" t="str">
        <f>'Estimate Detail'!AN107</f>
        <v>set</v>
      </c>
      <c r="L19" s="2014">
        <f>'Estimate Detail'!AO107</f>
        <v>0</v>
      </c>
      <c r="M19" s="1443" t="str">
        <f>'Estimate Detail'!AP107</f>
        <v>CNY</v>
      </c>
      <c r="N19" s="1443" t="str">
        <f>'Estimate Detail'!AQ107</f>
        <v>BOCE</v>
      </c>
      <c r="O19" s="1443" t="str">
        <f>'Estimate Detail'!AR107</f>
        <v>CNAP</v>
      </c>
      <c r="P19" s="1443" t="str">
        <f>'Estimate Detail'!AS107</f>
        <v>B</v>
      </c>
      <c r="Q19" s="1443" t="str">
        <f>'Estimate Detail'!AT107</f>
        <v>FOB SH</v>
      </c>
      <c r="R19" s="1443" t="str">
        <f>'Estimate Detail'!AU107</f>
        <v>CN</v>
      </c>
      <c r="S19" s="1443" t="str">
        <f>'Estimate Detail'!AV107</f>
        <v>YES</v>
      </c>
      <c r="T19" s="1444">
        <f>'Estimate Detail'!AW107</f>
        <v>42683</v>
      </c>
      <c r="U19" s="1443" t="s">
        <v>667</v>
      </c>
      <c r="V19" s="1445" t="s">
        <v>667</v>
      </c>
      <c r="W19" s="1443" t="s">
        <v>667</v>
      </c>
      <c r="X19" s="1477"/>
      <c r="Z19" s="1474"/>
    </row>
    <row r="20" spans="1:26" s="1442" customFormat="1" hidden="1">
      <c r="A20" s="1994" t="str">
        <f>'Estimate Detail'!B108</f>
        <v>050401</v>
      </c>
      <c r="B20" s="1443"/>
      <c r="C20" s="1443" t="s">
        <v>667</v>
      </c>
      <c r="D20" s="1443" t="s">
        <v>668</v>
      </c>
      <c r="E20" s="1443" t="str">
        <f>'Estimate Detail'!C108</f>
        <v>Boiler Circulating Pumps - Assy No. 64</v>
      </c>
      <c r="F20" s="1443" t="str">
        <f>'Estimate Detail'!AJ108</f>
        <v>MAT/HW</v>
      </c>
      <c r="G20" s="1443" t="str">
        <f>'Estimate Detail'!U108</f>
        <v>Torishima</v>
      </c>
      <c r="H20" s="1443" t="str">
        <f>'Estimate Detail'!AK108</f>
        <v>External</v>
      </c>
      <c r="I20" s="1443" t="str">
        <f>'Estimate Detail'!AL108</f>
        <v>JP</v>
      </c>
      <c r="J20" s="2014">
        <f>'Estimate Detail'!AM108</f>
        <v>1</v>
      </c>
      <c r="K20" s="1495" t="str">
        <f>'Estimate Detail'!AN108</f>
        <v>set</v>
      </c>
      <c r="L20" s="2014">
        <f>'Estimate Detail'!AO108</f>
        <v>0</v>
      </c>
      <c r="M20" s="1443" t="str">
        <f>'Estimate Detail'!AP108</f>
        <v>JPY</v>
      </c>
      <c r="N20" s="1443" t="str">
        <f>'Estimate Detail'!AQ108</f>
        <v>BOCE</v>
      </c>
      <c r="O20" s="1443" t="str">
        <f>'Estimate Detail'!AR108</f>
        <v>CNAP</v>
      </c>
      <c r="P20" s="1443" t="str">
        <f>'Estimate Detail'!AS108</f>
        <v>B</v>
      </c>
      <c r="Q20" s="1443" t="str">
        <f>'Estimate Detail'!AT108</f>
        <v>FOB SH</v>
      </c>
      <c r="R20" s="1443" t="str">
        <f>'Estimate Detail'!AU108</f>
        <v>JP</v>
      </c>
      <c r="S20" s="1443" t="str">
        <f>'Estimate Detail'!AV108</f>
        <v>YES</v>
      </c>
      <c r="T20" s="1444">
        <f>'Estimate Detail'!AW108</f>
        <v>42683</v>
      </c>
      <c r="U20" s="1443" t="s">
        <v>667</v>
      </c>
      <c r="V20" s="1445" t="s">
        <v>667</v>
      </c>
      <c r="W20" s="1443" t="s">
        <v>667</v>
      </c>
      <c r="X20" s="1477"/>
      <c r="Z20" s="1474"/>
    </row>
    <row r="21" spans="1:26" s="1442" customFormat="1" hidden="1">
      <c r="A21" s="1994" t="str">
        <f>'Estimate Detail'!B112</f>
        <v>050504</v>
      </c>
      <c r="B21" s="1443"/>
      <c r="C21" s="1443" t="s">
        <v>667</v>
      </c>
      <c r="D21" s="1443" t="s">
        <v>668</v>
      </c>
      <c r="E21" s="1443" t="str">
        <f>'Estimate Detail'!C112</f>
        <v>Safety Valves - Assy No. 24</v>
      </c>
      <c r="F21" s="1443" t="str">
        <f>'Estimate Detail'!AJ112</f>
        <v>MAT/HW</v>
      </c>
      <c r="G21" s="1443" t="str">
        <f>'Estimate Detail'!U112</f>
        <v>Crosby</v>
      </c>
      <c r="H21" s="1443" t="str">
        <f>'Estimate Detail'!AK112</f>
        <v>External</v>
      </c>
      <c r="I21" s="1443" t="str">
        <f>'Estimate Detail'!AL112</f>
        <v>US</v>
      </c>
      <c r="J21" s="2014">
        <f>'Estimate Detail'!AM112</f>
        <v>1</v>
      </c>
      <c r="K21" s="1495" t="str">
        <f>'Estimate Detail'!AN112</f>
        <v>set</v>
      </c>
      <c r="L21" s="2014">
        <f>'Estimate Detail'!AO112</f>
        <v>0</v>
      </c>
      <c r="M21" s="1443" t="str">
        <f>'Estimate Detail'!AP112</f>
        <v>USD</v>
      </c>
      <c r="N21" s="1443" t="str">
        <f>'Estimate Detail'!AQ112</f>
        <v>BOCE</v>
      </c>
      <c r="O21" s="1443" t="str">
        <f>'Estimate Detail'!AR112</f>
        <v>CNAP</v>
      </c>
      <c r="P21" s="1443" t="str">
        <f>'Estimate Detail'!AS112</f>
        <v>B</v>
      </c>
      <c r="Q21" s="1443" t="str">
        <f>'Estimate Detail'!AT112</f>
        <v>FOB SH</v>
      </c>
      <c r="R21" s="1443" t="str">
        <f>'Estimate Detail'!AU112</f>
        <v>US</v>
      </c>
      <c r="S21" s="1443" t="str">
        <f>'Estimate Detail'!AV112</f>
        <v>YES</v>
      </c>
      <c r="T21" s="1444">
        <f>'Estimate Detail'!AW112</f>
        <v>42683</v>
      </c>
      <c r="U21" s="1443" t="s">
        <v>667</v>
      </c>
      <c r="V21" s="1445" t="s">
        <v>667</v>
      </c>
      <c r="W21" s="1443" t="s">
        <v>667</v>
      </c>
      <c r="X21" s="1477"/>
      <c r="Z21" s="1474"/>
    </row>
    <row r="22" spans="1:26" s="1442" customFormat="1" hidden="1">
      <c r="A22" s="1994" t="str">
        <f>'Estimate Detail'!B213</f>
        <v>051606</v>
      </c>
      <c r="B22" s="1443"/>
      <c r="C22" s="1443" t="s">
        <v>667</v>
      </c>
      <c r="D22" s="1443" t="s">
        <v>668</v>
      </c>
      <c r="E22" s="1443" t="str">
        <f>'Estimate Detail'!C213</f>
        <v>Control Valves - Assy No. 24</v>
      </c>
      <c r="F22" s="1443" t="str">
        <f>'Estimate Detail'!AJ213</f>
        <v>MAT/HW</v>
      </c>
      <c r="G22" s="1443" t="str">
        <f>'Estimate Detail'!U213</f>
        <v>Valtek</v>
      </c>
      <c r="H22" s="1443" t="str">
        <f>'Estimate Detail'!AK213</f>
        <v>External</v>
      </c>
      <c r="I22" s="1443" t="str">
        <f>'Estimate Detail'!AL213</f>
        <v>CN</v>
      </c>
      <c r="J22" s="2014">
        <f>'Estimate Detail'!AM213</f>
        <v>1</v>
      </c>
      <c r="K22" s="1495" t="str">
        <f>'Estimate Detail'!AN213</f>
        <v>set</v>
      </c>
      <c r="L22" s="2014">
        <f>'Estimate Detail'!AO213</f>
        <v>0</v>
      </c>
      <c r="M22" s="1443" t="str">
        <f>'Estimate Detail'!AP213</f>
        <v>CNY</v>
      </c>
      <c r="N22" s="1443" t="str">
        <f>'Estimate Detail'!AQ213</f>
        <v>BOCE</v>
      </c>
      <c r="O22" s="1443" t="str">
        <f>'Estimate Detail'!AR213</f>
        <v>CNAP</v>
      </c>
      <c r="P22" s="1443" t="str">
        <f>'Estimate Detail'!AS213</f>
        <v>B</v>
      </c>
      <c r="Q22" s="1443" t="str">
        <f>'Estimate Detail'!AT213</f>
        <v>FOB SH</v>
      </c>
      <c r="R22" s="1443" t="str">
        <f>'Estimate Detail'!AU213</f>
        <v>CN</v>
      </c>
      <c r="S22" s="1443" t="str">
        <f>'Estimate Detail'!AV213</f>
        <v>YES</v>
      </c>
      <c r="T22" s="1444">
        <f>'Estimate Detail'!AW213</f>
        <v>42683</v>
      </c>
      <c r="U22" s="1443" t="s">
        <v>667</v>
      </c>
      <c r="V22" s="1445" t="s">
        <v>667</v>
      </c>
      <c r="W22" s="1443" t="s">
        <v>667</v>
      </c>
      <c r="X22" s="1477"/>
      <c r="Y22" s="1442" t="s">
        <v>129</v>
      </c>
      <c r="Z22" s="1474" t="b">
        <f t="shared" ref="Z22:Z28" si="0">IF(M22="KCNY",L22,IF(M22="KUSD",L22*$O$245,IF(M22="KEUR",L22*$O$243)))</f>
        <v>0</v>
      </c>
    </row>
    <row r="23" spans="1:26" s="1442" customFormat="1" ht="22.5" hidden="1">
      <c r="A23" s="1994" t="str">
        <f>'Estimate Detail'!B115</f>
        <v>050503</v>
      </c>
      <c r="B23" s="1443"/>
      <c r="C23" s="1443" t="s">
        <v>667</v>
      </c>
      <c r="D23" s="1443" t="s">
        <v>668</v>
      </c>
      <c r="E23" s="1443" t="str">
        <f>'Estimate Detail'!C115</f>
        <v>Steam-water System Stop Valve - Assy No. 24</v>
      </c>
      <c r="F23" s="1443" t="str">
        <f>'Estimate Detail'!AJ115</f>
        <v>MAT/HW</v>
      </c>
      <c r="G23" s="1443" t="str">
        <f>'Estimate Detail'!U115</f>
        <v>HP Valve</v>
      </c>
      <c r="H23" s="1443" t="str">
        <f>'Estimate Detail'!AK115</f>
        <v>External</v>
      </c>
      <c r="I23" s="1443" t="str">
        <f>'Estimate Detail'!AL115</f>
        <v>CN</v>
      </c>
      <c r="J23" s="2014">
        <f>'Estimate Detail'!AM115</f>
        <v>1</v>
      </c>
      <c r="K23" s="1495" t="str">
        <f>'Estimate Detail'!AN115</f>
        <v>set</v>
      </c>
      <c r="L23" s="2014">
        <f>'Estimate Detail'!AO115</f>
        <v>0</v>
      </c>
      <c r="M23" s="1443" t="str">
        <f>'Estimate Detail'!AP115</f>
        <v>CNY</v>
      </c>
      <c r="N23" s="1443" t="str">
        <f>'Estimate Detail'!AQ115</f>
        <v>BOCE</v>
      </c>
      <c r="O23" s="1443" t="str">
        <f>'Estimate Detail'!AR115</f>
        <v>CNAP</v>
      </c>
      <c r="P23" s="1443" t="str">
        <f>'Estimate Detail'!AS115</f>
        <v>B</v>
      </c>
      <c r="Q23" s="1443" t="str">
        <f>'Estimate Detail'!AT115</f>
        <v>FOB SH</v>
      </c>
      <c r="R23" s="1443" t="str">
        <f>'Estimate Detail'!AU115</f>
        <v>CN</v>
      </c>
      <c r="S23" s="1443" t="str">
        <f>'Estimate Detail'!AV115</f>
        <v>YES</v>
      </c>
      <c r="T23" s="1444">
        <f>'Estimate Detail'!AW115</f>
        <v>42683</v>
      </c>
      <c r="U23" s="1443" t="s">
        <v>667</v>
      </c>
      <c r="V23" s="1445" t="s">
        <v>667</v>
      </c>
      <c r="W23" s="1443" t="s">
        <v>667</v>
      </c>
      <c r="X23" s="1477"/>
      <c r="Y23" s="1442" t="s">
        <v>129</v>
      </c>
      <c r="Z23" s="1472" t="b">
        <f t="shared" si="0"/>
        <v>0</v>
      </c>
    </row>
    <row r="24" spans="1:26" s="1442" customFormat="1" ht="22.5" hidden="1">
      <c r="A24" s="1994" t="str">
        <f>'Estimate Detail'!B116</f>
        <v>050503</v>
      </c>
      <c r="B24" s="1443"/>
      <c r="C24" s="1443" t="s">
        <v>667</v>
      </c>
      <c r="D24" s="1443" t="s">
        <v>668</v>
      </c>
      <c r="E24" s="1443" t="str">
        <f>'Estimate Detail'!C116</f>
        <v>Steam-water System Stop Valve - Assy No. 24</v>
      </c>
      <c r="F24" s="1443" t="str">
        <f>'Estimate Detail'!AJ116</f>
        <v>MAT/HW</v>
      </c>
      <c r="G24" s="1443" t="str">
        <f>'Estimate Detail'!U116</f>
        <v>HBC Valve</v>
      </c>
      <c r="H24" s="1443" t="str">
        <f>'Estimate Detail'!AK116</f>
        <v>External</v>
      </c>
      <c r="I24" s="1443" t="str">
        <f>'Estimate Detail'!AL116</f>
        <v>CN</v>
      </c>
      <c r="J24" s="2014">
        <f>'Estimate Detail'!AM116</f>
        <v>1</v>
      </c>
      <c r="K24" s="1495" t="str">
        <f>'Estimate Detail'!AN116</f>
        <v>set</v>
      </c>
      <c r="L24" s="2014">
        <f>'Estimate Detail'!AO116</f>
        <v>0</v>
      </c>
      <c r="M24" s="1443" t="str">
        <f>'Estimate Detail'!AP116</f>
        <v>CNY</v>
      </c>
      <c r="N24" s="1443" t="str">
        <f>'Estimate Detail'!AQ116</f>
        <v>BOCE</v>
      </c>
      <c r="O24" s="1443" t="str">
        <f>'Estimate Detail'!AR116</f>
        <v>CNAP</v>
      </c>
      <c r="P24" s="1443" t="str">
        <f>'Estimate Detail'!AS116</f>
        <v>B</v>
      </c>
      <c r="Q24" s="1443" t="str">
        <f>'Estimate Detail'!AT116</f>
        <v>FOB SH</v>
      </c>
      <c r="R24" s="1443" t="str">
        <f>'Estimate Detail'!AU116</f>
        <v>CN</v>
      </c>
      <c r="S24" s="1443" t="str">
        <f>'Estimate Detail'!AV116</f>
        <v>YES</v>
      </c>
      <c r="T24" s="1444">
        <f>'Estimate Detail'!AW116</f>
        <v>42683</v>
      </c>
      <c r="U24" s="1443" t="s">
        <v>667</v>
      </c>
      <c r="V24" s="1445" t="s">
        <v>667</v>
      </c>
      <c r="W24" s="1443" t="s">
        <v>667</v>
      </c>
      <c r="X24" s="1477"/>
      <c r="Y24" s="1442" t="s">
        <v>129</v>
      </c>
      <c r="Z24" s="1472" t="b">
        <f t="shared" si="0"/>
        <v>0</v>
      </c>
    </row>
    <row r="25" spans="1:26" s="1442" customFormat="1" hidden="1">
      <c r="A25" s="1994" t="str">
        <f>'Estimate Detail'!B119</f>
        <v>050507</v>
      </c>
      <c r="B25" s="1443"/>
      <c r="C25" s="1443" t="s">
        <v>667</v>
      </c>
      <c r="D25" s="1443" t="s">
        <v>668</v>
      </c>
      <c r="E25" s="1443" t="str">
        <f>'Estimate Detail'!C119</f>
        <v>Hydrotest Block Valves - Assy No. 24</v>
      </c>
      <c r="F25" s="1443" t="str">
        <f>'Estimate Detail'!AJ119</f>
        <v>MAT/HW</v>
      </c>
      <c r="G25" s="1443" t="str">
        <f>'Estimate Detail'!U119</f>
        <v>HBC Valve</v>
      </c>
      <c r="H25" s="1443" t="str">
        <f>'Estimate Detail'!AK119</f>
        <v>External</v>
      </c>
      <c r="I25" s="1443" t="str">
        <f>'Estimate Detail'!AL119</f>
        <v>CN</v>
      </c>
      <c r="J25" s="2014">
        <f>'Estimate Detail'!AM119</f>
        <v>1</v>
      </c>
      <c r="K25" s="1495" t="str">
        <f>'Estimate Detail'!AN119</f>
        <v>set</v>
      </c>
      <c r="L25" s="2014">
        <f>'Estimate Detail'!AO119</f>
        <v>0</v>
      </c>
      <c r="M25" s="1443" t="str">
        <f>'Estimate Detail'!AP119</f>
        <v>CNY</v>
      </c>
      <c r="N25" s="1443" t="str">
        <f>'Estimate Detail'!AQ119</f>
        <v>BOCE</v>
      </c>
      <c r="O25" s="1443" t="str">
        <f>'Estimate Detail'!AR119</f>
        <v>CNAP</v>
      </c>
      <c r="P25" s="1443" t="str">
        <f>'Estimate Detail'!AS119</f>
        <v>B</v>
      </c>
      <c r="Q25" s="1443" t="str">
        <f>'Estimate Detail'!AT119</f>
        <v>FOB SH</v>
      </c>
      <c r="R25" s="1443" t="str">
        <f>'Estimate Detail'!AU119</f>
        <v>CN</v>
      </c>
      <c r="S25" s="1443" t="str">
        <f>'Estimate Detail'!AV119</f>
        <v>YES</v>
      </c>
      <c r="T25" s="1444">
        <f>'Estimate Detail'!AW119</f>
        <v>42683</v>
      </c>
      <c r="U25" s="1443" t="s">
        <v>667</v>
      </c>
      <c r="V25" s="1445" t="s">
        <v>667</v>
      </c>
      <c r="W25" s="1443" t="s">
        <v>667</v>
      </c>
      <c r="X25" s="1477"/>
      <c r="Y25" s="1442" t="s">
        <v>129</v>
      </c>
      <c r="Z25" s="1474" t="b">
        <f t="shared" si="0"/>
        <v>0</v>
      </c>
    </row>
    <row r="26" spans="1:26" s="1442" customFormat="1" hidden="1">
      <c r="A26" s="1994" t="str">
        <f>'Estimate Detail'!B121</f>
        <v>050504</v>
      </c>
      <c r="B26" s="1443"/>
      <c r="C26" s="1443" t="s">
        <v>667</v>
      </c>
      <c r="D26" s="1443" t="s">
        <v>668</v>
      </c>
      <c r="E26" s="1443" t="str">
        <f>'Estimate Detail'!C121</f>
        <v>Vent Piping - Assy No. 53</v>
      </c>
      <c r="F26" s="1443" t="str">
        <f>'Estimate Detail'!AJ121</f>
        <v>MAT/HW</v>
      </c>
      <c r="G26" s="1443" t="str">
        <f>'Estimate Detail'!U121</f>
        <v>Jiangnan Environmental</v>
      </c>
      <c r="H26" s="1443" t="str">
        <f>'Estimate Detail'!AK121</f>
        <v>External</v>
      </c>
      <c r="I26" s="1443" t="str">
        <f>'Estimate Detail'!AL121</f>
        <v>CN</v>
      </c>
      <c r="J26" s="2014">
        <f>'Estimate Detail'!AM121</f>
        <v>1</v>
      </c>
      <c r="K26" s="1495" t="str">
        <f>'Estimate Detail'!AN121</f>
        <v>set</v>
      </c>
      <c r="L26" s="2014">
        <f>'Estimate Detail'!AO121</f>
        <v>0</v>
      </c>
      <c r="M26" s="1443" t="str">
        <f>'Estimate Detail'!AP121</f>
        <v>CNY</v>
      </c>
      <c r="N26" s="1443" t="str">
        <f>'Estimate Detail'!AQ121</f>
        <v>BOCE</v>
      </c>
      <c r="O26" s="1443" t="str">
        <f>'Estimate Detail'!AR121</f>
        <v>CNAP</v>
      </c>
      <c r="P26" s="1443" t="str">
        <f>'Estimate Detail'!AS121</f>
        <v>B</v>
      </c>
      <c r="Q26" s="1443" t="str">
        <f>'Estimate Detail'!AT121</f>
        <v>FOB SH</v>
      </c>
      <c r="R26" s="1443" t="str">
        <f>'Estimate Detail'!AU121</f>
        <v>CN</v>
      </c>
      <c r="S26" s="1443" t="str">
        <f>'Estimate Detail'!AV121</f>
        <v>YES</v>
      </c>
      <c r="T26" s="1444">
        <f>'Estimate Detail'!AW121</f>
        <v>42683</v>
      </c>
      <c r="U26" s="1443" t="s">
        <v>667</v>
      </c>
      <c r="V26" s="1445" t="s">
        <v>667</v>
      </c>
      <c r="W26" s="1443" t="s">
        <v>667</v>
      </c>
      <c r="X26" s="1477"/>
      <c r="Y26" s="1442" t="s">
        <v>129</v>
      </c>
      <c r="Z26" s="1474" t="b">
        <f t="shared" si="0"/>
        <v>0</v>
      </c>
    </row>
    <row r="27" spans="1:26" s="1442" customFormat="1" hidden="1">
      <c r="A27" s="1994" t="str">
        <f>'Estimate Detail'!B122</f>
        <v>050504</v>
      </c>
      <c r="B27" s="1443"/>
      <c r="C27" s="1443" t="s">
        <v>667</v>
      </c>
      <c r="D27" s="1443" t="s">
        <v>668</v>
      </c>
      <c r="E27" s="1443" t="str">
        <f>'Estimate Detail'!C122</f>
        <v>Silencers - Assy No. 53</v>
      </c>
      <c r="F27" s="1443" t="str">
        <f>'Estimate Detail'!AJ122</f>
        <v>MAT/HW</v>
      </c>
      <c r="G27" s="1443" t="str">
        <f>'Estimate Detail'!U122</f>
        <v>Jiangnan Environmental</v>
      </c>
      <c r="H27" s="1443" t="str">
        <f>'Estimate Detail'!AK122</f>
        <v>External</v>
      </c>
      <c r="I27" s="1443" t="str">
        <f>'Estimate Detail'!AL122</f>
        <v>CN</v>
      </c>
      <c r="J27" s="2014">
        <f>'Estimate Detail'!AM122</f>
        <v>1</v>
      </c>
      <c r="K27" s="1495" t="str">
        <f>'Estimate Detail'!AN122</f>
        <v>set</v>
      </c>
      <c r="L27" s="2014">
        <f>'Estimate Detail'!AO122</f>
        <v>0</v>
      </c>
      <c r="M27" s="1443" t="str">
        <f>'Estimate Detail'!AP122</f>
        <v>CNY</v>
      </c>
      <c r="N27" s="1443" t="str">
        <f>'Estimate Detail'!AQ122</f>
        <v>BOCE</v>
      </c>
      <c r="O27" s="1443" t="str">
        <f>'Estimate Detail'!AR122</f>
        <v>CNAP</v>
      </c>
      <c r="P27" s="1443" t="str">
        <f>'Estimate Detail'!AS122</f>
        <v>B</v>
      </c>
      <c r="Q27" s="1443" t="str">
        <f>'Estimate Detail'!AT122</f>
        <v>FOB SH</v>
      </c>
      <c r="R27" s="1443" t="str">
        <f>'Estimate Detail'!AU122</f>
        <v>CN</v>
      </c>
      <c r="S27" s="1443" t="str">
        <f>'Estimate Detail'!AV122</f>
        <v>YES</v>
      </c>
      <c r="T27" s="1444">
        <f>'Estimate Detail'!AW122</f>
        <v>42683</v>
      </c>
      <c r="U27" s="1443" t="s">
        <v>667</v>
      </c>
      <c r="V27" s="1445" t="s">
        <v>667</v>
      </c>
      <c r="W27" s="1443" t="s">
        <v>667</v>
      </c>
      <c r="X27" s="1477"/>
      <c r="Y27" s="1442" t="s">
        <v>129</v>
      </c>
      <c r="Z27" s="1474" t="b">
        <f t="shared" si="0"/>
        <v>0</v>
      </c>
    </row>
    <row r="28" spans="1:26" s="1442" customFormat="1" ht="22.5" hidden="1">
      <c r="A28" s="1994" t="str">
        <f>'Estimate Detail'!B126</f>
        <v>050602</v>
      </c>
      <c r="B28" s="1443"/>
      <c r="C28" s="1443" t="s">
        <v>667</v>
      </c>
      <c r="D28" s="1443" t="s">
        <v>668</v>
      </c>
      <c r="E28" s="1443" t="str">
        <f>'Estimate Detail'!C126</f>
        <v>Heating surface cleaning system Water - Assy No. 53</v>
      </c>
      <c r="F28" s="1443" t="str">
        <f>'Estimate Detail'!AJ126</f>
        <v>MAT/HW</v>
      </c>
      <c r="G28" s="1443" t="str">
        <f>'Estimate Detail'!U126</f>
        <v>Shanghai Clyde</v>
      </c>
      <c r="H28" s="1443" t="str">
        <f>'Estimate Detail'!AK126</f>
        <v>External</v>
      </c>
      <c r="I28" s="1443" t="str">
        <f>'Estimate Detail'!AL126</f>
        <v>CN</v>
      </c>
      <c r="J28" s="2014">
        <f>'Estimate Detail'!AM126</f>
        <v>1</v>
      </c>
      <c r="K28" s="1495" t="str">
        <f>'Estimate Detail'!AN126</f>
        <v>set</v>
      </c>
      <c r="L28" s="2014">
        <f>'Estimate Detail'!AO126</f>
        <v>0</v>
      </c>
      <c r="M28" s="1443" t="str">
        <f>'Estimate Detail'!AP126</f>
        <v>CNY</v>
      </c>
      <c r="N28" s="1443" t="str">
        <f>'Estimate Detail'!AQ126</f>
        <v>BOCE</v>
      </c>
      <c r="O28" s="1443" t="str">
        <f>'Estimate Detail'!AR126</f>
        <v>CNAP</v>
      </c>
      <c r="P28" s="1443" t="str">
        <f>'Estimate Detail'!AS126</f>
        <v>A</v>
      </c>
      <c r="Q28" s="1443" t="str">
        <f>'Estimate Detail'!AT126</f>
        <v>FOB SH</v>
      </c>
      <c r="R28" s="1443" t="str">
        <f>'Estimate Detail'!AU126</f>
        <v>CN</v>
      </c>
      <c r="S28" s="1443" t="str">
        <f>'Estimate Detail'!AV126</f>
        <v>YES</v>
      </c>
      <c r="T28" s="1444">
        <f>'Estimate Detail'!AW126</f>
        <v>42683</v>
      </c>
      <c r="U28" s="1443" t="s">
        <v>667</v>
      </c>
      <c r="V28" s="1445" t="s">
        <v>667</v>
      </c>
      <c r="W28" s="1443" t="s">
        <v>667</v>
      </c>
      <c r="X28" s="1477"/>
      <c r="Y28" s="1442" t="s">
        <v>129</v>
      </c>
      <c r="Z28" s="1474" t="b">
        <f t="shared" si="0"/>
        <v>0</v>
      </c>
    </row>
    <row r="29" spans="1:26" s="1442" customFormat="1" ht="22.5" hidden="1">
      <c r="A29" s="1994" t="str">
        <f>'Estimate Detail'!B127</f>
        <v>050602</v>
      </c>
      <c r="B29" s="1443"/>
      <c r="C29" s="1443" t="s">
        <v>667</v>
      </c>
      <c r="D29" s="1443" t="s">
        <v>668</v>
      </c>
      <c r="E29" s="1443" t="str">
        <f>'Estimate Detail'!C127</f>
        <v>Provide Cooling and Sealing Air Fans for Sootblowers - Assy No. 53</v>
      </c>
      <c r="F29" s="1443" t="str">
        <f>'Estimate Detail'!AJ127</f>
        <v>MAT/HW</v>
      </c>
      <c r="G29" s="1443" t="str">
        <f>'Estimate Detail'!U127</f>
        <v>Unknown Supplier</v>
      </c>
      <c r="H29" s="1443" t="str">
        <f>'Estimate Detail'!AK127</f>
        <v>External</v>
      </c>
      <c r="I29" s="1443" t="str">
        <f>'Estimate Detail'!AL127</f>
        <v>CN</v>
      </c>
      <c r="J29" s="2014">
        <f>'Estimate Detail'!AM127</f>
        <v>1</v>
      </c>
      <c r="K29" s="1495" t="str">
        <f>'Estimate Detail'!AN127</f>
        <v>set</v>
      </c>
      <c r="L29" s="2014">
        <f>'Estimate Detail'!AO127</f>
        <v>0</v>
      </c>
      <c r="M29" s="1443" t="str">
        <f>'Estimate Detail'!AP127</f>
        <v>CNY</v>
      </c>
      <c r="N29" s="1443" t="str">
        <f>'Estimate Detail'!AQ127</f>
        <v>BOCE</v>
      </c>
      <c r="O29" s="1443" t="str">
        <f>'Estimate Detail'!AR127</f>
        <v>CNAP</v>
      </c>
      <c r="P29" s="1443" t="str">
        <f>'Estimate Detail'!AS127</f>
        <v>B</v>
      </c>
      <c r="Q29" s="1443" t="str">
        <f>'Estimate Detail'!AT127</f>
        <v>FOB SH</v>
      </c>
      <c r="R29" s="1443" t="str">
        <f>'Estimate Detail'!AU127</f>
        <v>CN</v>
      </c>
      <c r="S29" s="1443" t="str">
        <f>'Estimate Detail'!AV127</f>
        <v>YES</v>
      </c>
      <c r="T29" s="1444">
        <f>'Estimate Detail'!AW127</f>
        <v>42683</v>
      </c>
      <c r="U29" s="1443" t="s">
        <v>667</v>
      </c>
      <c r="V29" s="1445" t="s">
        <v>667</v>
      </c>
      <c r="W29" s="1443" t="s">
        <v>667</v>
      </c>
      <c r="X29" s="1477"/>
      <c r="Z29" s="1474"/>
    </row>
    <row r="30" spans="1:26" s="1442" customFormat="1" hidden="1">
      <c r="A30" s="1994" t="str">
        <f>'Estimate Detail'!B132</f>
        <v>050721</v>
      </c>
      <c r="B30" s="1492"/>
      <c r="C30" s="1492" t="s">
        <v>667</v>
      </c>
      <c r="D30" s="1492" t="s">
        <v>668</v>
      </c>
      <c r="E30" s="1492" t="str">
        <f>'Estimate Detail'!C132</f>
        <v>Mills - Main Components</v>
      </c>
      <c r="F30" s="1492" t="str">
        <f>'Estimate Detail'!AJ132</f>
        <v>MAT/HW</v>
      </c>
      <c r="G30" s="1492" t="str">
        <f>'Estimate Detail'!U132</f>
        <v>WBC</v>
      </c>
      <c r="H30" s="1492" t="str">
        <f>'Estimate Detail'!AK132</f>
        <v>External</v>
      </c>
      <c r="I30" s="1492" t="str">
        <f>'Estimate Detail'!AL132</f>
        <v>CN</v>
      </c>
      <c r="J30" s="2015">
        <f>'Estimate Detail'!AM132</f>
        <v>1</v>
      </c>
      <c r="K30" s="1495" t="str">
        <f>'Estimate Detail'!AN132</f>
        <v>set</v>
      </c>
      <c r="L30" s="2015">
        <f>'Estimate Detail'!AO132</f>
        <v>0</v>
      </c>
      <c r="M30" s="1492" t="str">
        <f>'Estimate Detail'!AP132</f>
        <v>CNY</v>
      </c>
      <c r="N30" s="1492" t="str">
        <f>'Estimate Detail'!AQ132</f>
        <v>BOCE</v>
      </c>
      <c r="O30" s="1492" t="str">
        <f>'Estimate Detail'!AR132</f>
        <v>CNAP</v>
      </c>
      <c r="P30" s="1492" t="str">
        <f>'Estimate Detail'!AS132</f>
        <v>A</v>
      </c>
      <c r="Q30" s="1492" t="str">
        <f>'Estimate Detail'!AT132</f>
        <v>FOB SH</v>
      </c>
      <c r="R30" s="1492" t="str">
        <f>'Estimate Detail'!AU132</f>
        <v>CN</v>
      </c>
      <c r="S30" s="1492" t="str">
        <f>'Estimate Detail'!AV132</f>
        <v>YES</v>
      </c>
      <c r="T30" s="1497">
        <f>'Estimate Detail'!AW132</f>
        <v>42683</v>
      </c>
      <c r="U30" s="1492" t="s">
        <v>667</v>
      </c>
      <c r="V30" s="1493" t="s">
        <v>667</v>
      </c>
      <c r="W30" s="1492" t="s">
        <v>667</v>
      </c>
      <c r="X30" s="1477"/>
      <c r="Z30" s="1474"/>
    </row>
    <row r="31" spans="1:26" s="1442" customFormat="1" hidden="1">
      <c r="A31" s="1994" t="str">
        <f>'Estimate Detail'!B133</f>
        <v>050721</v>
      </c>
      <c r="B31" s="1443"/>
      <c r="C31" s="1443" t="s">
        <v>667</v>
      </c>
      <c r="D31" s="1443" t="s">
        <v>668</v>
      </c>
      <c r="E31" s="1443" t="str">
        <f>'Estimate Detail'!C133</f>
        <v>Mills - Main Components</v>
      </c>
      <c r="F31" s="1443" t="str">
        <f>'Estimate Detail'!AJ133</f>
        <v>MAT/HW</v>
      </c>
      <c r="G31" s="1443" t="str">
        <f>'Estimate Detail'!U133</f>
        <v>Stuttgart</v>
      </c>
      <c r="H31" s="1443" t="str">
        <f>'Estimate Detail'!AK133</f>
        <v>External</v>
      </c>
      <c r="I31" s="1443" t="str">
        <f>'Estimate Detail'!AL133</f>
        <v>DE</v>
      </c>
      <c r="J31" s="2014">
        <f>'Estimate Detail'!AM133</f>
        <v>1</v>
      </c>
      <c r="K31" s="1495" t="str">
        <f>'Estimate Detail'!AN133</f>
        <v>set</v>
      </c>
      <c r="L31" s="2014">
        <f>'Estimate Detail'!AO133</f>
        <v>0</v>
      </c>
      <c r="M31" s="1446" t="str">
        <f>'Estimate Detail'!AP133</f>
        <v>EUR</v>
      </c>
      <c r="N31" s="1443" t="str">
        <f>'Estimate Detail'!AQ133</f>
        <v>BOCE</v>
      </c>
      <c r="O31" s="1443" t="str">
        <f>'Estimate Detail'!AR133</f>
        <v>CNAP</v>
      </c>
      <c r="P31" s="1443" t="str">
        <f>'Estimate Detail'!AS133</f>
        <v>A</v>
      </c>
      <c r="Q31" s="1443" t="str">
        <f>'Estimate Detail'!AT133</f>
        <v>FOB SH</v>
      </c>
      <c r="R31" s="1443" t="str">
        <f>'Estimate Detail'!AU133</f>
        <v>DE</v>
      </c>
      <c r="S31" s="1443" t="str">
        <f>'Estimate Detail'!AV133</f>
        <v>YES</v>
      </c>
      <c r="T31" s="1444">
        <f>'Estimate Detail'!AW133</f>
        <v>42683</v>
      </c>
      <c r="U31" s="1443"/>
      <c r="V31" s="1445"/>
      <c r="W31" s="1443"/>
      <c r="X31" s="1477"/>
      <c r="Y31" s="1442" t="s">
        <v>129</v>
      </c>
      <c r="Z31" s="1472" t="b">
        <f>IF(M31="KCNY",L31,IF(M31="KUSD",L31*$O$245,IF(M31="KEUR",L31*$O$243)))</f>
        <v>0</v>
      </c>
    </row>
    <row r="32" spans="1:26" s="1442" customFormat="1" ht="22.5" hidden="1">
      <c r="A32" s="1994" t="str">
        <f>'Estimate Detail'!B134</f>
        <v>050722</v>
      </c>
      <c r="B32" s="1443"/>
      <c r="C32" s="1443" t="s">
        <v>667</v>
      </c>
      <c r="D32" s="1443" t="s">
        <v>668</v>
      </c>
      <c r="E32" s="1443" t="str">
        <f>'Estimate Detail'!C134</f>
        <v>Mills - Drive Component (gear boxes, couplings, lubrication)</v>
      </c>
      <c r="F32" s="1443" t="str">
        <f>'Estimate Detail'!AJ134</f>
        <v>MAT/HW</v>
      </c>
      <c r="G32" s="1443" t="str">
        <f>'Estimate Detail'!U134</f>
        <v>Stuttgart</v>
      </c>
      <c r="H32" s="1443" t="str">
        <f>'Estimate Detail'!AK134</f>
        <v>External</v>
      </c>
      <c r="I32" s="1443" t="str">
        <f>'Estimate Detail'!AL134</f>
        <v>DE</v>
      </c>
      <c r="J32" s="2014">
        <f>'Estimate Detail'!AM134</f>
        <v>1</v>
      </c>
      <c r="K32" s="1495" t="str">
        <f>'Estimate Detail'!AN134</f>
        <v>set</v>
      </c>
      <c r="L32" s="2014">
        <f>'Estimate Detail'!AO134</f>
        <v>0</v>
      </c>
      <c r="M32" s="1446" t="str">
        <f>'Estimate Detail'!AP134</f>
        <v>EUR</v>
      </c>
      <c r="N32" s="1443" t="str">
        <f>'Estimate Detail'!AQ134</f>
        <v>BOCE</v>
      </c>
      <c r="O32" s="1443" t="str">
        <f>'Estimate Detail'!AR134</f>
        <v>CNAP</v>
      </c>
      <c r="P32" s="1443" t="str">
        <f>'Estimate Detail'!AS134</f>
        <v>A</v>
      </c>
      <c r="Q32" s="1443" t="str">
        <f>'Estimate Detail'!AT134</f>
        <v>FOB SH</v>
      </c>
      <c r="R32" s="1443" t="str">
        <f>'Estimate Detail'!AU134</f>
        <v>DE</v>
      </c>
      <c r="S32" s="1443" t="str">
        <f>'Estimate Detail'!AV134</f>
        <v>YES</v>
      </c>
      <c r="T32" s="1444">
        <f>'Estimate Detail'!AW134</f>
        <v>42683</v>
      </c>
      <c r="U32" s="1443"/>
      <c r="V32" s="1445"/>
      <c r="W32" s="1443"/>
      <c r="X32" s="1477"/>
      <c r="Z32" s="1472"/>
    </row>
    <row r="33" spans="1:26" s="1442" customFormat="1" ht="22.5" hidden="1">
      <c r="A33" s="1994" t="str">
        <f>'Estimate Detail'!B135</f>
        <v>050722</v>
      </c>
      <c r="B33" s="1492"/>
      <c r="C33" s="1492" t="s">
        <v>667</v>
      </c>
      <c r="D33" s="1443" t="s">
        <v>668</v>
      </c>
      <c r="E33" s="1443" t="str">
        <f>'Estimate Detail'!C135</f>
        <v>Mills - Drive Component (gear boxes, couplings, lubrication)</v>
      </c>
      <c r="F33" s="1443" t="str">
        <f>'Estimate Detail'!AJ135</f>
        <v>MAT/HW</v>
      </c>
      <c r="G33" s="1443" t="str">
        <f>'Estimate Detail'!U135</f>
        <v>USA</v>
      </c>
      <c r="H33" s="1443" t="str">
        <f>'Estimate Detail'!AK135</f>
        <v>External</v>
      </c>
      <c r="I33" s="1443" t="str">
        <f>'Estimate Detail'!AL135</f>
        <v>US</v>
      </c>
      <c r="J33" s="2014">
        <f>'Estimate Detail'!AM135</f>
        <v>1</v>
      </c>
      <c r="K33" s="1495" t="str">
        <f>'Estimate Detail'!AN135</f>
        <v>set</v>
      </c>
      <c r="L33" s="2015">
        <f>'Estimate Detail'!AO135</f>
        <v>0</v>
      </c>
      <c r="M33" s="1446" t="str">
        <f>'Estimate Detail'!AP135</f>
        <v>USD</v>
      </c>
      <c r="N33" s="1443" t="str">
        <f>'Estimate Detail'!AQ135</f>
        <v>BOCE</v>
      </c>
      <c r="O33" s="1443" t="str">
        <f>'Estimate Detail'!AR135</f>
        <v>CNAP</v>
      </c>
      <c r="P33" s="1443" t="str">
        <f>'Estimate Detail'!AS135</f>
        <v>A</v>
      </c>
      <c r="Q33" s="1443" t="str">
        <f>'Estimate Detail'!AT135</f>
        <v>FOB SH</v>
      </c>
      <c r="R33" s="1443" t="str">
        <f>'Estimate Detail'!AU135</f>
        <v>US</v>
      </c>
      <c r="S33" s="1443" t="str">
        <f>'Estimate Detail'!AV135</f>
        <v>YES</v>
      </c>
      <c r="T33" s="1444">
        <f>'Estimate Detail'!AW135</f>
        <v>42683</v>
      </c>
      <c r="U33" s="1492"/>
      <c r="V33" s="1493"/>
      <c r="W33" s="1492"/>
      <c r="X33" s="1477"/>
      <c r="Z33" s="1472"/>
    </row>
    <row r="34" spans="1:26" s="1442" customFormat="1" hidden="1">
      <c r="A34" s="1994" t="str">
        <f>'Estimate Detail'!B136</f>
        <v>050723</v>
      </c>
      <c r="B34" s="1443"/>
      <c r="C34" s="1443" t="s">
        <v>667</v>
      </c>
      <c r="D34" s="1443" t="s">
        <v>668</v>
      </c>
      <c r="E34" s="1443" t="str">
        <f>'Estimate Detail'!C136</f>
        <v>Mills - Motors and electrical equipment</v>
      </c>
      <c r="F34" s="1443" t="str">
        <f>'Estimate Detail'!AJ136</f>
        <v>MAT/HW</v>
      </c>
      <c r="G34" s="1443" t="str">
        <f>'Estimate Detail'!U136</f>
        <v>WBC</v>
      </c>
      <c r="H34" s="1443" t="str">
        <f>'Estimate Detail'!AK136</f>
        <v>External</v>
      </c>
      <c r="I34" s="1443" t="str">
        <f>'Estimate Detail'!AL136</f>
        <v>CN</v>
      </c>
      <c r="J34" s="2014">
        <f>'Estimate Detail'!AM136</f>
        <v>1</v>
      </c>
      <c r="K34" s="1495" t="str">
        <f>'Estimate Detail'!AN136</f>
        <v>set</v>
      </c>
      <c r="L34" s="2014">
        <f>'Estimate Detail'!AO136</f>
        <v>0</v>
      </c>
      <c r="M34" s="1443" t="str">
        <f>'Estimate Detail'!AP136</f>
        <v>CNY</v>
      </c>
      <c r="N34" s="1443" t="str">
        <f>'Estimate Detail'!AQ136</f>
        <v>BOCE</v>
      </c>
      <c r="O34" s="1443" t="str">
        <f>'Estimate Detail'!AR136</f>
        <v>CNAP</v>
      </c>
      <c r="P34" s="1443" t="str">
        <f>'Estimate Detail'!AS136</f>
        <v>A</v>
      </c>
      <c r="Q34" s="1443" t="str">
        <f>'Estimate Detail'!AT136</f>
        <v>FOB SH</v>
      </c>
      <c r="R34" s="1443" t="str">
        <f>'Estimate Detail'!AU136</f>
        <v>CN</v>
      </c>
      <c r="S34" s="1443" t="str">
        <f>'Estimate Detail'!AV136</f>
        <v>YES</v>
      </c>
      <c r="T34" s="1444">
        <f>'Estimate Detail'!AW136</f>
        <v>42683</v>
      </c>
      <c r="U34" s="1443"/>
      <c r="V34" s="1445"/>
      <c r="W34" s="1443"/>
      <c r="X34" s="1477"/>
      <c r="Y34" s="1442" t="s">
        <v>129</v>
      </c>
      <c r="Z34" s="1474" t="b">
        <f t="shared" ref="Z34:Z40" si="1">IF(M34="KCNY",L34,IF(M34="KUSD",L34*$O$245,IF(M34="KEUR",L34*$O$243)))</f>
        <v>0</v>
      </c>
    </row>
    <row r="35" spans="1:26" s="1442" customFormat="1" hidden="1">
      <c r="A35" s="1994" t="str">
        <f>'Estimate Detail'!B137</f>
        <v>050723</v>
      </c>
      <c r="B35" s="1443"/>
      <c r="C35" s="1443" t="s">
        <v>667</v>
      </c>
      <c r="D35" s="1443" t="s">
        <v>668</v>
      </c>
      <c r="E35" s="1443" t="str">
        <f>'Estimate Detail'!C137</f>
        <v>Mills - Motors and electrical equipment</v>
      </c>
      <c r="F35" s="1443" t="str">
        <f>'Estimate Detail'!AJ137</f>
        <v>MAT/HW</v>
      </c>
      <c r="G35" s="1443" t="str">
        <f>'Estimate Detail'!U137</f>
        <v>Stuttgart</v>
      </c>
      <c r="H35" s="1443" t="str">
        <f>'Estimate Detail'!AK137</f>
        <v>External</v>
      </c>
      <c r="I35" s="1443" t="str">
        <f>'Estimate Detail'!AL137</f>
        <v>DE</v>
      </c>
      <c r="J35" s="2014">
        <f>'Estimate Detail'!AM137</f>
        <v>1</v>
      </c>
      <c r="K35" s="1495" t="str">
        <f>'Estimate Detail'!AN137</f>
        <v>set</v>
      </c>
      <c r="L35" s="2014">
        <f>'Estimate Detail'!AO137</f>
        <v>0</v>
      </c>
      <c r="M35" s="1443" t="str">
        <f>'Estimate Detail'!AP137</f>
        <v>EUR</v>
      </c>
      <c r="N35" s="1443" t="str">
        <f>'Estimate Detail'!AQ137</f>
        <v>BOCE</v>
      </c>
      <c r="O35" s="1443" t="str">
        <f>'Estimate Detail'!AR137</f>
        <v>CNAP</v>
      </c>
      <c r="P35" s="1443" t="str">
        <f>'Estimate Detail'!AS137</f>
        <v>A</v>
      </c>
      <c r="Q35" s="1443" t="str">
        <f>'Estimate Detail'!AT137</f>
        <v>FOB SH</v>
      </c>
      <c r="R35" s="1443" t="str">
        <f>'Estimate Detail'!AU137</f>
        <v>DE</v>
      </c>
      <c r="S35" s="1443" t="str">
        <f>'Estimate Detail'!AV137</f>
        <v>YES</v>
      </c>
      <c r="T35" s="1444">
        <f>'Estimate Detail'!AW137</f>
        <v>42683</v>
      </c>
      <c r="U35" s="1443" t="s">
        <v>667</v>
      </c>
      <c r="V35" s="1445" t="s">
        <v>667</v>
      </c>
      <c r="W35" s="1443" t="s">
        <v>667</v>
      </c>
      <c r="X35" s="1477"/>
      <c r="Y35" s="1442" t="s">
        <v>129</v>
      </c>
      <c r="Z35" s="1474" t="b">
        <f t="shared" si="1"/>
        <v>0</v>
      </c>
    </row>
    <row r="36" spans="1:26" s="1442" customFormat="1" ht="22.5" hidden="1">
      <c r="A36" s="1994" t="str">
        <f>'Estimate Detail'!B138</f>
        <v>050724</v>
      </c>
      <c r="B36" s="1443"/>
      <c r="C36" s="1443" t="s">
        <v>667</v>
      </c>
      <c r="D36" s="1443" t="s">
        <v>668</v>
      </c>
      <c r="E36" s="1443" t="str">
        <f>'Estimate Detail'!C138</f>
        <v>Mills - Auxiliaries (Fans, piping, valves, aggregates)</v>
      </c>
      <c r="F36" s="1443" t="str">
        <f>'Estimate Detail'!AJ138</f>
        <v>MAT/HW</v>
      </c>
      <c r="G36" s="1443" t="str">
        <f>'Estimate Detail'!U138</f>
        <v>Stuttgart</v>
      </c>
      <c r="H36" s="1443" t="str">
        <f>'Estimate Detail'!AK138</f>
        <v>External</v>
      </c>
      <c r="I36" s="1443" t="str">
        <f>'Estimate Detail'!AL138</f>
        <v>DE</v>
      </c>
      <c r="J36" s="2014">
        <f>'Estimate Detail'!AM138</f>
        <v>1</v>
      </c>
      <c r="K36" s="1495" t="str">
        <f>'Estimate Detail'!AN138</f>
        <v>set</v>
      </c>
      <c r="L36" s="2014">
        <f>'Estimate Detail'!AO138</f>
        <v>0</v>
      </c>
      <c r="M36" s="1443" t="str">
        <f>'Estimate Detail'!AP138</f>
        <v>EUR</v>
      </c>
      <c r="N36" s="1443" t="str">
        <f>'Estimate Detail'!AQ138</f>
        <v>BOCE</v>
      </c>
      <c r="O36" s="1443" t="str">
        <f>'Estimate Detail'!AR138</f>
        <v>CNAP</v>
      </c>
      <c r="P36" s="1443" t="str">
        <f>'Estimate Detail'!AS138</f>
        <v>A</v>
      </c>
      <c r="Q36" s="1443" t="str">
        <f>'Estimate Detail'!AT138</f>
        <v>FOB SH</v>
      </c>
      <c r="R36" s="1443" t="str">
        <f>'Estimate Detail'!AU138</f>
        <v>DE</v>
      </c>
      <c r="S36" s="1443" t="str">
        <f>'Estimate Detail'!AV138</f>
        <v>YES</v>
      </c>
      <c r="T36" s="1444">
        <f>'Estimate Detail'!AW138</f>
        <v>42683</v>
      </c>
      <c r="U36" s="1443" t="s">
        <v>667</v>
      </c>
      <c r="V36" s="1445" t="s">
        <v>667</v>
      </c>
      <c r="W36" s="1443" t="s">
        <v>667</v>
      </c>
      <c r="X36" s="1477"/>
      <c r="Y36" s="1442" t="s">
        <v>129</v>
      </c>
      <c r="Z36" s="1474" t="b">
        <f t="shared" si="1"/>
        <v>0</v>
      </c>
    </row>
    <row r="37" spans="1:26" s="1442" customFormat="1" hidden="1">
      <c r="A37" s="1994" t="str">
        <f>'Estimate Detail'!B139</f>
        <v>050726</v>
      </c>
      <c r="B37" s="1443"/>
      <c r="C37" s="1443" t="s">
        <v>667</v>
      </c>
      <c r="D37" s="1443" t="s">
        <v>668</v>
      </c>
      <c r="E37" s="1443" t="str">
        <f>'Estimate Detail'!C139</f>
        <v>Mills - Classifier/ BW Vapor Separator</v>
      </c>
      <c r="F37" s="1443" t="str">
        <f>'Estimate Detail'!AJ139</f>
        <v>MAT/HW</v>
      </c>
      <c r="G37" s="1443" t="str">
        <f>'Estimate Detail'!U139</f>
        <v>WBC</v>
      </c>
      <c r="H37" s="1443" t="str">
        <f>'Estimate Detail'!AK139</f>
        <v>External</v>
      </c>
      <c r="I37" s="1443" t="str">
        <f>'Estimate Detail'!AL139</f>
        <v>CN</v>
      </c>
      <c r="J37" s="2014">
        <f>'Estimate Detail'!AM139</f>
        <v>1</v>
      </c>
      <c r="K37" s="1495" t="str">
        <f>'Estimate Detail'!AN139</f>
        <v>set</v>
      </c>
      <c r="L37" s="2014">
        <f>'Estimate Detail'!AO139</f>
        <v>0</v>
      </c>
      <c r="M37" s="1443" t="str">
        <f>'Estimate Detail'!AP139</f>
        <v>CNY</v>
      </c>
      <c r="N37" s="1443" t="str">
        <f>'Estimate Detail'!AQ139</f>
        <v>BOCE</v>
      </c>
      <c r="O37" s="1443" t="str">
        <f>'Estimate Detail'!AR139</f>
        <v>CNAP</v>
      </c>
      <c r="P37" s="1443" t="str">
        <f>'Estimate Detail'!AS139</f>
        <v>A</v>
      </c>
      <c r="Q37" s="1443" t="str">
        <f>'Estimate Detail'!AT139</f>
        <v>FOB SH</v>
      </c>
      <c r="R37" s="1443" t="str">
        <f>'Estimate Detail'!AU139</f>
        <v>CN</v>
      </c>
      <c r="S37" s="1443" t="str">
        <f>'Estimate Detail'!AV139</f>
        <v>YES</v>
      </c>
      <c r="T37" s="1444">
        <f>'Estimate Detail'!AW139</f>
        <v>42683</v>
      </c>
      <c r="U37" s="1443" t="s">
        <v>667</v>
      </c>
      <c r="V37" s="1445" t="s">
        <v>667</v>
      </c>
      <c r="W37" s="1443" t="s">
        <v>667</v>
      </c>
      <c r="X37" s="1477"/>
      <c r="Y37" s="1442" t="s">
        <v>129</v>
      </c>
      <c r="Z37" s="1474" t="b">
        <f t="shared" si="1"/>
        <v>0</v>
      </c>
    </row>
    <row r="38" spans="1:26" s="1442" customFormat="1" ht="22.5" hidden="1">
      <c r="A38" s="1994" t="str">
        <f>'Estimate Detail'!B140</f>
        <v>050728</v>
      </c>
      <c r="B38" s="1443"/>
      <c r="C38" s="1443" t="s">
        <v>667</v>
      </c>
      <c r="D38" s="1443" t="s">
        <v>668</v>
      </c>
      <c r="E38" s="1443" t="str">
        <f>'Estimate Detail'!C140</f>
        <v>Mills - Instrumentation, control and monitoring equipment</v>
      </c>
      <c r="F38" s="1443" t="str">
        <f>'Estimate Detail'!AJ140</f>
        <v>MAT/HW</v>
      </c>
      <c r="G38" s="1443" t="str">
        <f>'Estimate Detail'!U140</f>
        <v>Stuttgart</v>
      </c>
      <c r="H38" s="1443" t="str">
        <f>'Estimate Detail'!AK140</f>
        <v>External</v>
      </c>
      <c r="I38" s="1443" t="str">
        <f>'Estimate Detail'!AL140</f>
        <v>DE</v>
      </c>
      <c r="J38" s="2014">
        <f>'Estimate Detail'!AM140</f>
        <v>1</v>
      </c>
      <c r="K38" s="1495" t="str">
        <f>'Estimate Detail'!AN140</f>
        <v>set</v>
      </c>
      <c r="L38" s="2014">
        <f>'Estimate Detail'!AO140</f>
        <v>0</v>
      </c>
      <c r="M38" s="1443" t="str">
        <f>'Estimate Detail'!AP140</f>
        <v>EUR</v>
      </c>
      <c r="N38" s="1443" t="str">
        <f>'Estimate Detail'!AQ140</f>
        <v>BOCE</v>
      </c>
      <c r="O38" s="1443" t="str">
        <f>'Estimate Detail'!AR140</f>
        <v>CNAP</v>
      </c>
      <c r="P38" s="1443" t="str">
        <f>'Estimate Detail'!AS140</f>
        <v>A</v>
      </c>
      <c r="Q38" s="1443" t="str">
        <f>'Estimate Detail'!AT140</f>
        <v>FOB SH</v>
      </c>
      <c r="R38" s="1443" t="str">
        <f>'Estimate Detail'!AU140</f>
        <v>DE</v>
      </c>
      <c r="S38" s="1443" t="str">
        <f>'Estimate Detail'!AV140</f>
        <v>YES</v>
      </c>
      <c r="T38" s="1444">
        <f>'Estimate Detail'!AW140</f>
        <v>42683</v>
      </c>
      <c r="U38" s="1443" t="s">
        <v>667</v>
      </c>
      <c r="V38" s="1445" t="s">
        <v>667</v>
      </c>
      <c r="W38" s="1443" t="s">
        <v>667</v>
      </c>
      <c r="X38" s="1477"/>
      <c r="Y38" s="1442" t="s">
        <v>129</v>
      </c>
      <c r="Z38" s="1474" t="b">
        <f t="shared" si="1"/>
        <v>0</v>
      </c>
    </row>
    <row r="39" spans="1:26" s="1442" customFormat="1" hidden="1">
      <c r="A39" s="1994" t="str">
        <f>'Estimate Detail'!B141</f>
        <v>050729</v>
      </c>
      <c r="B39" s="1443"/>
      <c r="C39" s="1443" t="s">
        <v>667</v>
      </c>
      <c r="D39" s="1443" t="s">
        <v>668</v>
      </c>
      <c r="E39" s="1443" t="str">
        <f>'Estimate Detail'!C141</f>
        <v>Mills - Miscellaneous Items</v>
      </c>
      <c r="F39" s="1443" t="str">
        <f>'Estimate Detail'!AJ141</f>
        <v>MAT/HW</v>
      </c>
      <c r="G39" s="1443" t="str">
        <f>'Estimate Detail'!U141</f>
        <v>WBC</v>
      </c>
      <c r="H39" s="1443" t="str">
        <f>'Estimate Detail'!AK141</f>
        <v>External</v>
      </c>
      <c r="I39" s="1443" t="str">
        <f>'Estimate Detail'!AL141</f>
        <v>CN</v>
      </c>
      <c r="J39" s="2014">
        <f>'Estimate Detail'!AM141</f>
        <v>1</v>
      </c>
      <c r="K39" s="1495" t="str">
        <f>'Estimate Detail'!AN141</f>
        <v>set</v>
      </c>
      <c r="L39" s="2014">
        <f>'Estimate Detail'!AO141</f>
        <v>0</v>
      </c>
      <c r="M39" s="1443" t="str">
        <f>'Estimate Detail'!AP141</f>
        <v>CNY</v>
      </c>
      <c r="N39" s="1443" t="str">
        <f>'Estimate Detail'!AQ141</f>
        <v>BOCE</v>
      </c>
      <c r="O39" s="1443" t="str">
        <f>'Estimate Detail'!AR141</f>
        <v>CNAP</v>
      </c>
      <c r="P39" s="1443" t="str">
        <f>'Estimate Detail'!AS141</f>
        <v>A</v>
      </c>
      <c r="Q39" s="1443" t="str">
        <f>'Estimate Detail'!AT141</f>
        <v>FOB SH</v>
      </c>
      <c r="R39" s="1443" t="str">
        <f>'Estimate Detail'!AU141</f>
        <v>CN</v>
      </c>
      <c r="S39" s="1443" t="str">
        <f>'Estimate Detail'!AV141</f>
        <v>YES</v>
      </c>
      <c r="T39" s="1444">
        <f>'Estimate Detail'!AW141</f>
        <v>42683</v>
      </c>
      <c r="U39" s="1443"/>
      <c r="V39" s="1445" t="s">
        <v>667</v>
      </c>
      <c r="W39" s="1443" t="s">
        <v>667</v>
      </c>
      <c r="X39" s="1477"/>
      <c r="Y39" s="1442" t="s">
        <v>129</v>
      </c>
      <c r="Z39" s="1474" t="b">
        <f t="shared" si="1"/>
        <v>0</v>
      </c>
    </row>
    <row r="40" spans="1:26" s="1442" customFormat="1" hidden="1">
      <c r="A40" s="1994" t="str">
        <f>'Estimate Detail'!B142</f>
        <v>050730</v>
      </c>
      <c r="B40" s="1443"/>
      <c r="C40" s="1443" t="s">
        <v>667</v>
      </c>
      <c r="D40" s="1443" t="s">
        <v>668</v>
      </c>
      <c r="E40" s="1443" t="str">
        <f>'Estimate Detail'!C142</f>
        <v>Mills - Miscellaneous Items</v>
      </c>
      <c r="F40" s="1443" t="str">
        <f>'Estimate Detail'!AJ142</f>
        <v>MAT/HW</v>
      </c>
      <c r="G40" s="1443" t="str">
        <f>'Estimate Detail'!U142</f>
        <v>Stuttgart</v>
      </c>
      <c r="H40" s="1443" t="str">
        <f>'Estimate Detail'!AK142</f>
        <v>External</v>
      </c>
      <c r="I40" s="1443" t="str">
        <f>'Estimate Detail'!AL142</f>
        <v>DE</v>
      </c>
      <c r="J40" s="2014">
        <f>'Estimate Detail'!AM142</f>
        <v>1</v>
      </c>
      <c r="K40" s="1495" t="str">
        <f>'Estimate Detail'!AN142</f>
        <v>set</v>
      </c>
      <c r="L40" s="2014">
        <f>'Estimate Detail'!AO142</f>
        <v>0</v>
      </c>
      <c r="M40" s="1443" t="str">
        <f>'Estimate Detail'!AP142</f>
        <v>EUR</v>
      </c>
      <c r="N40" s="1443" t="str">
        <f>'Estimate Detail'!AQ142</f>
        <v>BOCE</v>
      </c>
      <c r="O40" s="1443" t="str">
        <f>'Estimate Detail'!AR142</f>
        <v>CNAP</v>
      </c>
      <c r="P40" s="1443" t="str">
        <f>'Estimate Detail'!AS142</f>
        <v>A</v>
      </c>
      <c r="Q40" s="1443" t="str">
        <f>'Estimate Detail'!AT142</f>
        <v>FOB SH</v>
      </c>
      <c r="R40" s="1443" t="str">
        <f>'Estimate Detail'!AU142</f>
        <v>DE</v>
      </c>
      <c r="S40" s="1443" t="str">
        <f>'Estimate Detail'!AV142</f>
        <v>YES</v>
      </c>
      <c r="T40" s="1444">
        <f>'Estimate Detail'!AW142</f>
        <v>42683</v>
      </c>
      <c r="U40" s="1443"/>
      <c r="V40" s="1445" t="s">
        <v>667</v>
      </c>
      <c r="W40" s="1443" t="s">
        <v>667</v>
      </c>
      <c r="X40" s="1477"/>
      <c r="Y40" s="1442" t="s">
        <v>129</v>
      </c>
      <c r="Z40" s="1474" t="b">
        <f t="shared" si="1"/>
        <v>0</v>
      </c>
    </row>
    <row r="41" spans="1:26" s="1442" customFormat="1" hidden="1">
      <c r="A41" s="1994" t="str">
        <f>'Estimate Detail'!B146</f>
        <v>050804</v>
      </c>
      <c r="B41" s="1443"/>
      <c r="C41" s="1443" t="s">
        <v>667</v>
      </c>
      <c r="D41" s="1443" t="s">
        <v>668</v>
      </c>
      <c r="E41" s="1443" t="str">
        <f>'Estimate Detail'!C146</f>
        <v>Windbox - Assy No. 12</v>
      </c>
      <c r="F41" s="1443" t="str">
        <f>'Estimate Detail'!AJ146</f>
        <v>MAT/HW</v>
      </c>
      <c r="G41" s="1443" t="str">
        <f>'Estimate Detail'!U146</f>
        <v>Wuxi Huaneng</v>
      </c>
      <c r="H41" s="1443" t="str">
        <f>'Estimate Detail'!AK146</f>
        <v>External</v>
      </c>
      <c r="I41" s="1443" t="str">
        <f>'Estimate Detail'!AL146</f>
        <v>CN</v>
      </c>
      <c r="J41" s="2014">
        <f>'Estimate Detail'!AM146</f>
        <v>1</v>
      </c>
      <c r="K41" s="1495" t="str">
        <f>'Estimate Detail'!AN146</f>
        <v>set</v>
      </c>
      <c r="L41" s="2014">
        <f>'Estimate Detail'!AO146</f>
        <v>0</v>
      </c>
      <c r="M41" s="1443" t="str">
        <f>'Estimate Detail'!AP146</f>
        <v>CNY</v>
      </c>
      <c r="N41" s="1443" t="str">
        <f>'Estimate Detail'!AQ146</f>
        <v>BOCE</v>
      </c>
      <c r="O41" s="1443" t="str">
        <f>'Estimate Detail'!AR146</f>
        <v>CNAP</v>
      </c>
      <c r="P41" s="1443" t="str">
        <f>'Estimate Detail'!AS146</f>
        <v>B</v>
      </c>
      <c r="Q41" s="1443" t="str">
        <f>'Estimate Detail'!AT146</f>
        <v>FOB SH</v>
      </c>
      <c r="R41" s="1443" t="str">
        <f>'Estimate Detail'!AU146</f>
        <v>CN</v>
      </c>
      <c r="S41" s="1443" t="str">
        <f>'Estimate Detail'!AV146</f>
        <v>YES</v>
      </c>
      <c r="T41" s="1444">
        <f>'Estimate Detail'!AW146</f>
        <v>42683</v>
      </c>
      <c r="U41" s="1443" t="s">
        <v>667</v>
      </c>
      <c r="V41" s="1445" t="s">
        <v>667</v>
      </c>
      <c r="W41" s="1443" t="s">
        <v>667</v>
      </c>
      <c r="X41" s="1477"/>
      <c r="Z41" s="1474"/>
    </row>
    <row r="42" spans="1:26" s="1442" customFormat="1" ht="22.5" hidden="1">
      <c r="A42" s="1994" t="str">
        <f>'Estimate Detail'!B152</f>
        <v>050805</v>
      </c>
      <c r="B42" s="1443"/>
      <c r="C42" s="1443" t="s">
        <v>667</v>
      </c>
      <c r="D42" s="1443" t="s">
        <v>668</v>
      </c>
      <c r="E42" s="1443" t="str">
        <f>'Estimate Detail'!C152</f>
        <v>Oil Guns &amp; Gas/Oil/HEA Ignitors - Assy No. 12</v>
      </c>
      <c r="F42" s="1443" t="str">
        <f>'Estimate Detail'!AJ152</f>
        <v>MAT/HW</v>
      </c>
      <c r="G42" s="1443" t="str">
        <f>'Estimate Detail'!U152</f>
        <v>Yantai Longyuan</v>
      </c>
      <c r="H42" s="1443" t="str">
        <f>'Estimate Detail'!AK152</f>
        <v>External</v>
      </c>
      <c r="I42" s="1443" t="str">
        <f>'Estimate Detail'!AL152</f>
        <v>CN</v>
      </c>
      <c r="J42" s="2014">
        <f>'Estimate Detail'!AM152</f>
        <v>1</v>
      </c>
      <c r="K42" s="1495" t="str">
        <f>'Estimate Detail'!AN152</f>
        <v>set</v>
      </c>
      <c r="L42" s="2014">
        <f>'Estimate Detail'!AO152</f>
        <v>0</v>
      </c>
      <c r="M42" s="1443" t="str">
        <f>'Estimate Detail'!AP152</f>
        <v>CNY</v>
      </c>
      <c r="N42" s="1443" t="str">
        <f>'Estimate Detail'!AQ152</f>
        <v>BOCE</v>
      </c>
      <c r="O42" s="1443" t="str">
        <f>'Estimate Detail'!AR152</f>
        <v>CNAP</v>
      </c>
      <c r="P42" s="1443" t="str">
        <f>'Estimate Detail'!AS152</f>
        <v>B</v>
      </c>
      <c r="Q42" s="1443" t="str">
        <f>'Estimate Detail'!AT152</f>
        <v>FOB SH</v>
      </c>
      <c r="R42" s="1443" t="str">
        <f>'Estimate Detail'!AU152</f>
        <v>CN</v>
      </c>
      <c r="S42" s="1443" t="str">
        <f>'Estimate Detail'!AV152</f>
        <v>YES</v>
      </c>
      <c r="T42" s="1444">
        <f>'Estimate Detail'!AW152</f>
        <v>42683</v>
      </c>
      <c r="U42" s="1443" t="s">
        <v>667</v>
      </c>
      <c r="V42" s="1445" t="s">
        <v>667</v>
      </c>
      <c r="W42" s="1443" t="s">
        <v>667</v>
      </c>
      <c r="X42" s="1477"/>
      <c r="Y42" s="1442" t="s">
        <v>129</v>
      </c>
      <c r="Z42" s="1474" t="b">
        <f>IF(M42="KCNY",L42,IF(M42="KUSD",L42*$O$245,IF(M42="KEUR",L42*$O$243)))</f>
        <v>0</v>
      </c>
    </row>
    <row r="43" spans="1:26" s="1442" customFormat="1" ht="22.5" hidden="1">
      <c r="A43" s="1994" t="str">
        <f>'Estimate Detail'!B153</f>
        <v>050804</v>
      </c>
      <c r="B43" s="1443"/>
      <c r="C43" s="1443" t="s">
        <v>667</v>
      </c>
      <c r="D43" s="1443" t="s">
        <v>668</v>
      </c>
      <c r="E43" s="1443" t="str">
        <f>'Estimate Detail'!C153</f>
        <v>Explosion Proof Enclosures on burner floor only - Assy No. 12</v>
      </c>
      <c r="F43" s="1443" t="str">
        <f>'Estimate Detail'!AJ153</f>
        <v>MAT/HW</v>
      </c>
      <c r="G43" s="1443" t="str">
        <f>'Estimate Detail'!U153</f>
        <v>Unknown Supplier</v>
      </c>
      <c r="H43" s="1443" t="str">
        <f>'Estimate Detail'!AK153</f>
        <v>External</v>
      </c>
      <c r="I43" s="1443" t="str">
        <f>'Estimate Detail'!AL153</f>
        <v>CN</v>
      </c>
      <c r="J43" s="2014">
        <f>'Estimate Detail'!AM153</f>
        <v>1</v>
      </c>
      <c r="K43" s="1495" t="str">
        <f>'Estimate Detail'!AN153</f>
        <v>set</v>
      </c>
      <c r="L43" s="2014">
        <f>'Estimate Detail'!AO153</f>
        <v>0</v>
      </c>
      <c r="M43" s="1443" t="str">
        <f>'Estimate Detail'!AP153</f>
        <v>CNY</v>
      </c>
      <c r="N43" s="1443" t="str">
        <f>'Estimate Detail'!AQ153</f>
        <v>BOCE</v>
      </c>
      <c r="O43" s="1443" t="str">
        <f>'Estimate Detail'!AR153</f>
        <v>CNAP</v>
      </c>
      <c r="P43" s="1443" t="str">
        <f>'Estimate Detail'!AS153</f>
        <v>B</v>
      </c>
      <c r="Q43" s="1443" t="str">
        <f>'Estimate Detail'!AT153</f>
        <v>FOB SH</v>
      </c>
      <c r="R43" s="1443" t="str">
        <f>'Estimate Detail'!AU153</f>
        <v>CN</v>
      </c>
      <c r="S43" s="1443" t="str">
        <f>'Estimate Detail'!AV153</f>
        <v>YES</v>
      </c>
      <c r="T43" s="1444">
        <f>'Estimate Detail'!AW153</f>
        <v>42683</v>
      </c>
      <c r="U43" s="1443" t="s">
        <v>667</v>
      </c>
      <c r="V43" s="1445" t="s">
        <v>667</v>
      </c>
      <c r="W43" s="1443" t="s">
        <v>667</v>
      </c>
      <c r="X43" s="1477"/>
      <c r="Z43" s="1474"/>
    </row>
    <row r="44" spans="1:26" s="1442" customFormat="1" hidden="1">
      <c r="A44" s="1994" t="str">
        <f>'Estimate Detail'!B156</f>
        <v>050803</v>
      </c>
      <c r="B44" s="1495"/>
      <c r="C44" s="1495" t="s">
        <v>667</v>
      </c>
      <c r="D44" s="1495" t="s">
        <v>668</v>
      </c>
      <c r="E44" s="1494" t="str">
        <f>'Estimate Detail'!C156</f>
        <v>Fuel Piping - Assy No. 12</v>
      </c>
      <c r="F44" s="1495" t="str">
        <f>'Estimate Detail'!AJ156</f>
        <v>MAT/HW</v>
      </c>
      <c r="G44" s="1495" t="str">
        <f>'Estimate Detail'!U156</f>
        <v>Yangzhou Huayuan</v>
      </c>
      <c r="H44" s="1495" t="str">
        <f>'Estimate Detail'!AK156</f>
        <v>External</v>
      </c>
      <c r="I44" s="1495" t="str">
        <f>'Estimate Detail'!AL156</f>
        <v>CN</v>
      </c>
      <c r="J44" s="2014">
        <f>'Estimate Detail'!AM156</f>
        <v>1</v>
      </c>
      <c r="K44" s="1495" t="str">
        <f>'Estimate Detail'!AN156</f>
        <v>set</v>
      </c>
      <c r="L44" s="2015">
        <f>'Estimate Detail'!AO156</f>
        <v>0</v>
      </c>
      <c r="M44" s="1443" t="str">
        <f>'Estimate Detail'!AP156</f>
        <v>CNY</v>
      </c>
      <c r="N44" s="1443" t="str">
        <f>'Estimate Detail'!AQ156</f>
        <v>BOCE</v>
      </c>
      <c r="O44" s="1443" t="str">
        <f>'Estimate Detail'!AR156</f>
        <v>CNAP</v>
      </c>
      <c r="P44" s="1443" t="str">
        <f>'Estimate Detail'!AS156</f>
        <v>B</v>
      </c>
      <c r="Q44" s="1443" t="str">
        <f>'Estimate Detail'!AT156</f>
        <v>FOB SH</v>
      </c>
      <c r="R44" s="1495" t="str">
        <f>'Estimate Detail'!AU156</f>
        <v>CN</v>
      </c>
      <c r="S44" s="1495" t="str">
        <f>'Estimate Detail'!AV156</f>
        <v>YES</v>
      </c>
      <c r="T44" s="1444">
        <f>'Estimate Detail'!AW156</f>
        <v>42683</v>
      </c>
      <c r="U44" s="1495"/>
      <c r="V44" s="1496"/>
      <c r="W44" s="1495"/>
      <c r="X44" s="1477"/>
      <c r="Y44" s="1442" t="s">
        <v>129</v>
      </c>
      <c r="Z44" s="1472" t="e">
        <f>IF(#REF!="KCNY",#REF!,IF(#REF!="KUSD",#REF!*$O$245,IF(#REF!="KEUR",#REF!*$O$243)))</f>
        <v>#REF!</v>
      </c>
    </row>
    <row r="45" spans="1:26" s="1442" customFormat="1" ht="22.5" hidden="1">
      <c r="A45" s="1994" t="str">
        <f>'Estimate Detail'!B158</f>
        <v>050803</v>
      </c>
      <c r="B45" s="1443"/>
      <c r="C45" s="1443" t="s">
        <v>667</v>
      </c>
      <c r="D45" s="1443" t="s">
        <v>668</v>
      </c>
      <c r="E45" s="1443" t="str">
        <f>'Estimate Detail'!C158</f>
        <v>Fuel Piping Metal Expansion Joints - Assy No. 12</v>
      </c>
      <c r="F45" s="1443" t="str">
        <f>'Estimate Detail'!AJ158</f>
        <v>MAT/HW</v>
      </c>
      <c r="G45" s="1443" t="str">
        <f>'Estimate Detail'!U158</f>
        <v>Jiangsu Baojinlai</v>
      </c>
      <c r="H45" s="1443" t="str">
        <f>'Estimate Detail'!AK158</f>
        <v>External</v>
      </c>
      <c r="I45" s="1443" t="str">
        <f>'Estimate Detail'!AL158</f>
        <v>CN</v>
      </c>
      <c r="J45" s="2014">
        <f>'Estimate Detail'!AM158</f>
        <v>1</v>
      </c>
      <c r="K45" s="1495" t="str">
        <f>'Estimate Detail'!AN158</f>
        <v>set</v>
      </c>
      <c r="L45" s="2014">
        <f>'Estimate Detail'!AO158</f>
        <v>0</v>
      </c>
      <c r="M45" s="1443" t="str">
        <f>'Estimate Detail'!AP158</f>
        <v>CNY</v>
      </c>
      <c r="N45" s="1443" t="str">
        <f>'Estimate Detail'!AQ158</f>
        <v>BOCE</v>
      </c>
      <c r="O45" s="1443" t="str">
        <f>'Estimate Detail'!AR158</f>
        <v>CNAP</v>
      </c>
      <c r="P45" s="1443" t="str">
        <f>'Estimate Detail'!AS158</f>
        <v>B</v>
      </c>
      <c r="Q45" s="1443" t="str">
        <f>'Estimate Detail'!AT158</f>
        <v>FOB SH</v>
      </c>
      <c r="R45" s="1443" t="str">
        <f>'Estimate Detail'!AU158</f>
        <v>CN</v>
      </c>
      <c r="S45" s="1443" t="str">
        <f>'Estimate Detail'!AV158</f>
        <v>YES</v>
      </c>
      <c r="T45" s="1444">
        <f>'Estimate Detail'!AW158</f>
        <v>42683</v>
      </c>
      <c r="U45" s="1443" t="s">
        <v>667</v>
      </c>
      <c r="V45" s="1445" t="s">
        <v>667</v>
      </c>
      <c r="W45" s="1443" t="s">
        <v>667</v>
      </c>
      <c r="X45" s="1475"/>
      <c r="Y45" s="1442" t="s">
        <v>703</v>
      </c>
      <c r="Z45" s="1472" t="b">
        <f>IF(M46="KCNY",L46,IF(M46="KUSD",L46*$O$245,IF(M46="KEUR",L46*$O$243)))</f>
        <v>0</v>
      </c>
    </row>
    <row r="46" spans="1:26" s="1442" customFormat="1" ht="22.5" hidden="1">
      <c r="A46" s="1994" t="str">
        <f>'Estimate Detail'!B162</f>
        <v>050803</v>
      </c>
      <c r="B46" s="1443"/>
      <c r="C46" s="1443" t="s">
        <v>667</v>
      </c>
      <c r="D46" s="1443" t="s">
        <v>668</v>
      </c>
      <c r="E46" s="1443" t="str">
        <f>'Estimate Detail'!C162</f>
        <v>Operated Shut-off Gate for Coal Pipe - Assy No. 12</v>
      </c>
      <c r="F46" s="1443" t="str">
        <f>'Estimate Detail'!AJ162</f>
        <v>MAT/HW</v>
      </c>
      <c r="G46" s="1443" t="str">
        <f>'Estimate Detail'!U162</f>
        <v>Wuhai Huashan</v>
      </c>
      <c r="H46" s="1443" t="str">
        <f>'Estimate Detail'!AK162</f>
        <v>External</v>
      </c>
      <c r="I46" s="1443" t="str">
        <f>'Estimate Detail'!AL162</f>
        <v>CN</v>
      </c>
      <c r="J46" s="2014">
        <f>'Estimate Detail'!AM162</f>
        <v>1</v>
      </c>
      <c r="K46" s="1495" t="str">
        <f>'Estimate Detail'!AN162</f>
        <v>set</v>
      </c>
      <c r="L46" s="2014">
        <f>'Estimate Detail'!AO162</f>
        <v>0</v>
      </c>
      <c r="M46" s="1446" t="str">
        <f>'Estimate Detail'!AP162</f>
        <v>CNY</v>
      </c>
      <c r="N46" s="1443" t="str">
        <f>'Estimate Detail'!AQ162</f>
        <v>BOCE</v>
      </c>
      <c r="O46" s="1443" t="str">
        <f>'Estimate Detail'!AR162</f>
        <v>CNAP</v>
      </c>
      <c r="P46" s="1443" t="str">
        <f>'Estimate Detail'!AS162</f>
        <v>B</v>
      </c>
      <c r="Q46" s="1443" t="str">
        <f>'Estimate Detail'!AT162</f>
        <v>FOB SH</v>
      </c>
      <c r="R46" s="1443" t="str">
        <f>'Estimate Detail'!AU162</f>
        <v>CN</v>
      </c>
      <c r="S46" s="1443" t="str">
        <f>'Estimate Detail'!AV162</f>
        <v>YES</v>
      </c>
      <c r="T46" s="1444">
        <f>'Estimate Detail'!AW162</f>
        <v>42683</v>
      </c>
      <c r="U46" s="1443" t="s">
        <v>667</v>
      </c>
      <c r="V46" s="1445" t="s">
        <v>667</v>
      </c>
      <c r="W46" s="1443" t="s">
        <v>667</v>
      </c>
      <c r="X46" s="1475"/>
      <c r="Y46" s="1442" t="s">
        <v>703</v>
      </c>
      <c r="Z46" s="1472" t="e">
        <f>IF(#REF!="KCNY",#REF!,IF(#REF!="KUSD",#REF!*$O$245,IF(#REF!="KEUR",#REF!*$O$243)))</f>
        <v>#REF!</v>
      </c>
    </row>
    <row r="47" spans="1:26" s="1442" customFormat="1" hidden="1">
      <c r="A47" s="1994" t="str">
        <f>'Estimate Detail'!B164</f>
        <v>050806</v>
      </c>
      <c r="B47" s="1443"/>
      <c r="C47" s="1443" t="s">
        <v>667</v>
      </c>
      <c r="D47" s="1443" t="s">
        <v>668</v>
      </c>
      <c r="E47" s="1443" t="str">
        <f>'Estimate Detail'!C164</f>
        <v>Oil System Piping - Assy No. 12</v>
      </c>
      <c r="F47" s="1443" t="str">
        <f>'Estimate Detail'!AJ164</f>
        <v>MAT/HW</v>
      </c>
      <c r="G47" s="1443" t="str">
        <f>'Estimate Detail'!U164</f>
        <v>Unknown Supplier</v>
      </c>
      <c r="H47" s="1443" t="str">
        <f>'Estimate Detail'!AK164</f>
        <v>External</v>
      </c>
      <c r="I47" s="1443" t="str">
        <f>'Estimate Detail'!AL164</f>
        <v>CN</v>
      </c>
      <c r="J47" s="2014">
        <f>'Estimate Detail'!AM164</f>
        <v>1</v>
      </c>
      <c r="K47" s="1495" t="str">
        <f>'Estimate Detail'!AN164</f>
        <v>set</v>
      </c>
      <c r="L47" s="2014">
        <f>'Estimate Detail'!AO164</f>
        <v>0</v>
      </c>
      <c r="M47" s="1443" t="str">
        <f>'Estimate Detail'!AP164</f>
        <v>CNY</v>
      </c>
      <c r="N47" s="1443" t="str">
        <f>'Estimate Detail'!AQ164</f>
        <v>BOCE</v>
      </c>
      <c r="O47" s="1443" t="str">
        <f>'Estimate Detail'!AR164</f>
        <v>CNAP</v>
      </c>
      <c r="P47" s="1443" t="str">
        <f>'Estimate Detail'!AS164</f>
        <v>B</v>
      </c>
      <c r="Q47" s="1443" t="str">
        <f>'Estimate Detail'!AT164</f>
        <v>FOB SH</v>
      </c>
      <c r="R47" s="1443" t="str">
        <f>'Estimate Detail'!AU164</f>
        <v>CN</v>
      </c>
      <c r="S47" s="1443" t="str">
        <f>'Estimate Detail'!AV164</f>
        <v>YES</v>
      </c>
      <c r="T47" s="1444">
        <f>'Estimate Detail'!AW164</f>
        <v>42683</v>
      </c>
      <c r="U47" s="1443" t="s">
        <v>667</v>
      </c>
      <c r="V47" s="1445" t="s">
        <v>667</v>
      </c>
      <c r="W47" s="1443" t="s">
        <v>667</v>
      </c>
      <c r="X47" s="1475"/>
      <c r="Y47" s="1442" t="s">
        <v>421</v>
      </c>
      <c r="Z47" s="1472" t="e">
        <f>IF(#REF!="KCNY",#REF!,IF(#REF!="KUSD",#REF!*$O$245,IF(#REF!="KEUR",#REF!*$O$243)))</f>
        <v>#REF!</v>
      </c>
    </row>
    <row r="48" spans="1:26" s="1442" customFormat="1" hidden="1">
      <c r="A48" s="1994" t="str">
        <f>'Estimate Detail'!B171</f>
        <v>050905</v>
      </c>
      <c r="B48" s="1443"/>
      <c r="C48" s="1443" t="s">
        <v>667</v>
      </c>
      <c r="D48" s="1443" t="s">
        <v>668</v>
      </c>
      <c r="E48" s="1443" t="str">
        <f>'Estimate Detail'!C171</f>
        <v>Hopper Seal Plate - Assy No. 21</v>
      </c>
      <c r="F48" s="1443" t="str">
        <f>'Estimate Detail'!AJ171</f>
        <v>MAT/HW</v>
      </c>
      <c r="G48" s="1443" t="str">
        <f>'Estimate Detail'!U171</f>
        <v>Wuhan Beifang</v>
      </c>
      <c r="H48" s="1443" t="str">
        <f>'Estimate Detail'!AK171</f>
        <v>External</v>
      </c>
      <c r="I48" s="1443" t="str">
        <f>'Estimate Detail'!AL171</f>
        <v>CN</v>
      </c>
      <c r="J48" s="2014">
        <f>'Estimate Detail'!AM171</f>
        <v>1</v>
      </c>
      <c r="K48" s="1495" t="str">
        <f>'Estimate Detail'!AN171</f>
        <v>set</v>
      </c>
      <c r="L48" s="2014">
        <f>'Estimate Detail'!AO171</f>
        <v>0</v>
      </c>
      <c r="M48" s="1443" t="str">
        <f>'Estimate Detail'!AP171</f>
        <v>CNY</v>
      </c>
      <c r="N48" s="1443" t="str">
        <f>'Estimate Detail'!AQ171</f>
        <v>BOCE</v>
      </c>
      <c r="O48" s="1443" t="str">
        <f>'Estimate Detail'!AR171</f>
        <v>CNAP</v>
      </c>
      <c r="P48" s="1443" t="str">
        <f>'Estimate Detail'!AS171</f>
        <v>B</v>
      </c>
      <c r="Q48" s="1443" t="str">
        <f>'Estimate Detail'!AT171</f>
        <v>FOB SH</v>
      </c>
      <c r="R48" s="1443" t="str">
        <f>'Estimate Detail'!AU171</f>
        <v>CN</v>
      </c>
      <c r="S48" s="1443" t="str">
        <f>'Estimate Detail'!AV171</f>
        <v>YES</v>
      </c>
      <c r="T48" s="1444">
        <f>'Estimate Detail'!AW171</f>
        <v>42683</v>
      </c>
      <c r="U48" s="1443" t="s">
        <v>667</v>
      </c>
      <c r="V48" s="1445" t="s">
        <v>667</v>
      </c>
      <c r="W48" s="1443" t="s">
        <v>667</v>
      </c>
      <c r="X48" s="1475"/>
      <c r="Y48" s="1442" t="s">
        <v>421</v>
      </c>
      <c r="Z48" s="1472" t="b">
        <f>IF(M49="KCNY",L49,IF(M49="KUSD",L49*$O$245,IF(M49="KEUR",L49*$O$243)))</f>
        <v>0</v>
      </c>
    </row>
    <row r="49" spans="1:26" s="1442" customFormat="1" hidden="1">
      <c r="A49" s="1994" t="str">
        <f>'Estimate Detail'!B172</f>
        <v>050905</v>
      </c>
      <c r="B49" s="1443"/>
      <c r="C49" s="1443" t="s">
        <v>667</v>
      </c>
      <c r="D49" s="1443" t="s">
        <v>668</v>
      </c>
      <c r="E49" s="1443" t="str">
        <f>'Estimate Detail'!C172</f>
        <v>Pusher type grate</v>
      </c>
      <c r="F49" s="1443" t="str">
        <f>'Estimate Detail'!AJ172</f>
        <v>MAT/HW</v>
      </c>
      <c r="G49" s="1443" t="str">
        <f>'Estimate Detail'!U172</f>
        <v>Stuttgart</v>
      </c>
      <c r="H49" s="1443" t="str">
        <f>'Estimate Detail'!AK172</f>
        <v>External</v>
      </c>
      <c r="I49" s="1443" t="str">
        <f>'Estimate Detail'!AL172</f>
        <v>DE</v>
      </c>
      <c r="J49" s="2014">
        <f>'Estimate Detail'!AM172</f>
        <v>1</v>
      </c>
      <c r="K49" s="1495" t="str">
        <f>'Estimate Detail'!AN172</f>
        <v>set</v>
      </c>
      <c r="L49" s="2014">
        <f>'Estimate Detail'!AO172</f>
        <v>0</v>
      </c>
      <c r="M49" s="1443" t="str">
        <f>'Estimate Detail'!AP172</f>
        <v>EUR</v>
      </c>
      <c r="N49" s="1443" t="str">
        <f>'Estimate Detail'!AQ172</f>
        <v>BOCE</v>
      </c>
      <c r="O49" s="1443" t="str">
        <f>'Estimate Detail'!AR172</f>
        <v>CNAP</v>
      </c>
      <c r="P49" s="1443" t="str">
        <f>'Estimate Detail'!AS172</f>
        <v>A</v>
      </c>
      <c r="Q49" s="1443" t="str">
        <f>'Estimate Detail'!AT172</f>
        <v>FOB SH</v>
      </c>
      <c r="R49" s="1443" t="str">
        <f>'Estimate Detail'!AU172</f>
        <v>DE</v>
      </c>
      <c r="S49" s="1443" t="str">
        <f>'Estimate Detail'!AV172</f>
        <v>YES</v>
      </c>
      <c r="T49" s="1444">
        <f>'Estimate Detail'!AW172</f>
        <v>42682</v>
      </c>
      <c r="U49" s="1443" t="s">
        <v>667</v>
      </c>
      <c r="V49" s="1445" t="s">
        <v>667</v>
      </c>
      <c r="W49" s="1443" t="s">
        <v>667</v>
      </c>
      <c r="X49" s="1475"/>
      <c r="Y49" s="1442" t="s">
        <v>704</v>
      </c>
      <c r="Z49" s="1472" t="e">
        <f>IF(#REF!="KCNY",#REF!,IF(#REF!="KUSD",#REF!*$O$245,IF(#REF!="KEUR",#REF!*$O$243)))</f>
        <v>#REF!</v>
      </c>
    </row>
    <row r="50" spans="1:26" s="1442" customFormat="1" hidden="1">
      <c r="A50" s="1994" t="str">
        <f>'Estimate Detail'!B176</f>
        <v>051005</v>
      </c>
      <c r="B50" s="1492"/>
      <c r="C50" s="1492" t="s">
        <v>667</v>
      </c>
      <c r="D50" s="1443" t="s">
        <v>668</v>
      </c>
      <c r="E50" s="1443" t="str">
        <f>'Estimate Detail'!C176</f>
        <v>Air Ducts - Assy No. 41</v>
      </c>
      <c r="F50" s="1443" t="str">
        <f>'Estimate Detail'!AJ176</f>
        <v>MAT/HW</v>
      </c>
      <c r="G50" s="1443" t="str">
        <f>'Estimate Detail'!U176</f>
        <v>Zhongnan Electric</v>
      </c>
      <c r="H50" s="1443" t="str">
        <f>'Estimate Detail'!AK176</f>
        <v>External</v>
      </c>
      <c r="I50" s="1443" t="str">
        <f>'Estimate Detail'!AL176</f>
        <v>CN</v>
      </c>
      <c r="J50" s="2014">
        <f>'Estimate Detail'!AM176</f>
        <v>1</v>
      </c>
      <c r="K50" s="1495" t="str">
        <f>'Estimate Detail'!AN176</f>
        <v>set</v>
      </c>
      <c r="L50" s="2014">
        <f>'Estimate Detail'!AO176</f>
        <v>0</v>
      </c>
      <c r="M50" s="1443" t="str">
        <f>'Estimate Detail'!AP176</f>
        <v>CNY</v>
      </c>
      <c r="N50" s="1443" t="str">
        <f>'Estimate Detail'!AQ176</f>
        <v>BOCE</v>
      </c>
      <c r="O50" s="1443" t="str">
        <f>'Estimate Detail'!AR176</f>
        <v>CNAP</v>
      </c>
      <c r="P50" s="1443" t="str">
        <f>'Estimate Detail'!AS176</f>
        <v>B</v>
      </c>
      <c r="Q50" s="1443" t="str">
        <f>'Estimate Detail'!AT176</f>
        <v>FOB SH</v>
      </c>
      <c r="R50" s="1443" t="str">
        <f>'Estimate Detail'!AU176</f>
        <v>CN</v>
      </c>
      <c r="S50" s="1443" t="str">
        <f>'Estimate Detail'!AV176</f>
        <v>YES</v>
      </c>
      <c r="T50" s="1444">
        <f>'Estimate Detail'!AW176</f>
        <v>42683</v>
      </c>
      <c r="U50" s="1443" t="s">
        <v>667</v>
      </c>
      <c r="V50" s="1445" t="s">
        <v>667</v>
      </c>
      <c r="W50" s="1443" t="s">
        <v>667</v>
      </c>
      <c r="X50" s="1475"/>
      <c r="Z50" s="1472"/>
    </row>
    <row r="51" spans="1:26" s="1442" customFormat="1" hidden="1">
      <c r="A51" s="1994" t="str">
        <f>'Estimate Detail'!B177</f>
        <v>051005</v>
      </c>
      <c r="B51" s="1492"/>
      <c r="C51" s="1492" t="s">
        <v>667</v>
      </c>
      <c r="D51" s="1492" t="s">
        <v>668</v>
      </c>
      <c r="E51" s="1492" t="str">
        <f>'Estimate Detail'!C177</f>
        <v>Air Ducts actuators - Assy No.41</v>
      </c>
      <c r="F51" s="1492" t="str">
        <f>'Estimate Detail'!AJ177</f>
        <v>MAT/HW</v>
      </c>
      <c r="G51" s="1492" t="str">
        <f>'Estimate Detail'!U177</f>
        <v>Lanzhou Changxin</v>
      </c>
      <c r="H51" s="1492" t="str">
        <f>'Estimate Detail'!AK177</f>
        <v>External</v>
      </c>
      <c r="I51" s="1492" t="str">
        <f>'Estimate Detail'!AL177</f>
        <v>CN</v>
      </c>
      <c r="J51" s="2015">
        <f>'Estimate Detail'!AM177</f>
        <v>1</v>
      </c>
      <c r="K51" s="1495" t="str">
        <f>'Estimate Detail'!AN177</f>
        <v>set</v>
      </c>
      <c r="L51" s="2015">
        <f>'Estimate Detail'!AO177</f>
        <v>0</v>
      </c>
      <c r="M51" s="1492" t="str">
        <f>'Estimate Detail'!AP177</f>
        <v>CNY</v>
      </c>
      <c r="N51" s="1492" t="str">
        <f>'Estimate Detail'!AQ177</f>
        <v>BOCE</v>
      </c>
      <c r="O51" s="1492" t="str">
        <f>'Estimate Detail'!AR177</f>
        <v>CNAP</v>
      </c>
      <c r="P51" s="1443" t="str">
        <f>'Estimate Detail'!AS177</f>
        <v>B</v>
      </c>
      <c r="Q51" s="1492" t="str">
        <f>'Estimate Detail'!AT177</f>
        <v>FOB SH</v>
      </c>
      <c r="R51" s="1492" t="str">
        <f>'Estimate Detail'!AU177</f>
        <v>CN</v>
      </c>
      <c r="S51" s="1492" t="str">
        <f>'Estimate Detail'!AV177</f>
        <v>YES</v>
      </c>
      <c r="T51" s="1497">
        <f>'Estimate Detail'!AW177</f>
        <v>42683</v>
      </c>
      <c r="U51" s="1492" t="s">
        <v>667</v>
      </c>
      <c r="V51" s="1493" t="s">
        <v>667</v>
      </c>
      <c r="W51" s="1492" t="s">
        <v>667</v>
      </c>
      <c r="X51" s="1475"/>
      <c r="Z51" s="1472"/>
    </row>
    <row r="52" spans="1:26" s="1442" customFormat="1" hidden="1">
      <c r="A52" s="1994" t="str">
        <f>'Estimate Detail'!B178</f>
        <v>051004</v>
      </c>
      <c r="B52" s="1492"/>
      <c r="C52" s="1492" t="s">
        <v>667</v>
      </c>
      <c r="D52" s="1492" t="s">
        <v>668</v>
      </c>
      <c r="E52" s="1492" t="str">
        <f>'Estimate Detail'!C178</f>
        <v>Air Ducts Damper - Assy No. 41</v>
      </c>
      <c r="F52" s="1492" t="str">
        <f>'Estimate Detail'!AJ178</f>
        <v>MAT/HW</v>
      </c>
      <c r="G52" s="1492" t="str">
        <f>'Estimate Detail'!U178</f>
        <v>Lanzhou Changxin</v>
      </c>
      <c r="H52" s="1492" t="str">
        <f>'Estimate Detail'!AK178</f>
        <v>External</v>
      </c>
      <c r="I52" s="1492" t="str">
        <f>'Estimate Detail'!AL178</f>
        <v>CN</v>
      </c>
      <c r="J52" s="2015">
        <f>'Estimate Detail'!AM178</f>
        <v>1</v>
      </c>
      <c r="K52" s="1495" t="str">
        <f>'Estimate Detail'!AN178</f>
        <v>set</v>
      </c>
      <c r="L52" s="2015">
        <f>'Estimate Detail'!AO178</f>
        <v>0</v>
      </c>
      <c r="M52" s="1492" t="str">
        <f>'Estimate Detail'!AP178</f>
        <v>CNY</v>
      </c>
      <c r="N52" s="1492" t="str">
        <f>'Estimate Detail'!AQ178</f>
        <v>BOCE</v>
      </c>
      <c r="O52" s="1492" t="str">
        <f>'Estimate Detail'!AR178</f>
        <v>CNAP</v>
      </c>
      <c r="P52" s="1443" t="str">
        <f>'Estimate Detail'!AS178</f>
        <v>B</v>
      </c>
      <c r="Q52" s="1492" t="str">
        <f>'Estimate Detail'!AT178</f>
        <v>FOB SH</v>
      </c>
      <c r="R52" s="1492" t="str">
        <f>'Estimate Detail'!AU178</f>
        <v>CN</v>
      </c>
      <c r="S52" s="1492" t="str">
        <f>'Estimate Detail'!AV178</f>
        <v>YES</v>
      </c>
      <c r="T52" s="1497">
        <f>'Estimate Detail'!AW178</f>
        <v>42683</v>
      </c>
      <c r="U52" s="1492" t="s">
        <v>667</v>
      </c>
      <c r="V52" s="1493" t="s">
        <v>667</v>
      </c>
      <c r="W52" s="1492" t="s">
        <v>667</v>
      </c>
      <c r="X52" s="1475"/>
      <c r="Z52" s="1472"/>
    </row>
    <row r="53" spans="1:26" s="1442" customFormat="1" hidden="1">
      <c r="A53" s="1994" t="str">
        <f>'Estimate Detail'!B179</f>
        <v>051006</v>
      </c>
      <c r="B53" s="1492"/>
      <c r="C53" s="1492" t="s">
        <v>667</v>
      </c>
      <c r="D53" s="1492" t="s">
        <v>668</v>
      </c>
      <c r="E53" s="1492" t="str">
        <f>'Estimate Detail'!C179</f>
        <v>Gas Duct - Assy No. 50</v>
      </c>
      <c r="F53" s="1492" t="str">
        <f>'Estimate Detail'!AJ179</f>
        <v>MAT/HW</v>
      </c>
      <c r="G53" s="1492" t="str">
        <f>'Estimate Detail'!U179</f>
        <v>Zhongnan Electric</v>
      </c>
      <c r="H53" s="1492" t="str">
        <f>'Estimate Detail'!AK179</f>
        <v>External</v>
      </c>
      <c r="I53" s="1492" t="str">
        <f>'Estimate Detail'!AL179</f>
        <v>CN</v>
      </c>
      <c r="J53" s="2015">
        <f>'Estimate Detail'!AM179</f>
        <v>1</v>
      </c>
      <c r="K53" s="1495" t="str">
        <f>'Estimate Detail'!AN179</f>
        <v>set</v>
      </c>
      <c r="L53" s="2015">
        <f>'Estimate Detail'!AO179</f>
        <v>0</v>
      </c>
      <c r="M53" s="1492" t="str">
        <f>'Estimate Detail'!AP179</f>
        <v>CNY</v>
      </c>
      <c r="N53" s="1492" t="str">
        <f>'Estimate Detail'!AQ179</f>
        <v>BOCE</v>
      </c>
      <c r="O53" s="1492" t="str">
        <f>'Estimate Detail'!AR179</f>
        <v>CNAP</v>
      </c>
      <c r="P53" s="1443" t="str">
        <f>'Estimate Detail'!AS179</f>
        <v>B</v>
      </c>
      <c r="Q53" s="1492" t="str">
        <f>'Estimate Detail'!AT179</f>
        <v>FOB SH</v>
      </c>
      <c r="R53" s="1492" t="str">
        <f>'Estimate Detail'!AU179</f>
        <v>CN</v>
      </c>
      <c r="S53" s="1492" t="str">
        <f>'Estimate Detail'!AV179</f>
        <v>YES</v>
      </c>
      <c r="T53" s="1497">
        <f>'Estimate Detail'!AW179</f>
        <v>42683</v>
      </c>
      <c r="U53" s="1492" t="s">
        <v>667</v>
      </c>
      <c r="V53" s="1493" t="s">
        <v>667</v>
      </c>
      <c r="W53" s="1492" t="s">
        <v>667</v>
      </c>
      <c r="X53" s="1475"/>
      <c r="Z53" s="1472"/>
    </row>
    <row r="54" spans="1:26" s="1442" customFormat="1" hidden="1">
      <c r="A54" s="1994" t="str">
        <f>'Estimate Detail'!B180</f>
        <v>051006</v>
      </c>
      <c r="B54" s="1492"/>
      <c r="C54" s="1492" t="s">
        <v>667</v>
      </c>
      <c r="D54" s="1492" t="s">
        <v>668</v>
      </c>
      <c r="E54" s="1492" t="str">
        <f>'Estimate Detail'!C180</f>
        <v>Gas Duct actuators- Assy No. 50</v>
      </c>
      <c r="F54" s="1492" t="str">
        <f>'Estimate Detail'!AJ180</f>
        <v>MAT/HW</v>
      </c>
      <c r="G54" s="1492" t="str">
        <f>'Estimate Detail'!U180</f>
        <v>Lanzhou Changxin</v>
      </c>
      <c r="H54" s="1492" t="str">
        <f>'Estimate Detail'!AK180</f>
        <v>External</v>
      </c>
      <c r="I54" s="1492" t="str">
        <f>'Estimate Detail'!AL180</f>
        <v>CN</v>
      </c>
      <c r="J54" s="2015">
        <f>'Estimate Detail'!AM180</f>
        <v>1</v>
      </c>
      <c r="K54" s="1495" t="str">
        <f>'Estimate Detail'!AN180</f>
        <v>set</v>
      </c>
      <c r="L54" s="2015">
        <f>'Estimate Detail'!AO180</f>
        <v>0</v>
      </c>
      <c r="M54" s="1492" t="str">
        <f>'Estimate Detail'!AP180</f>
        <v>CNY</v>
      </c>
      <c r="N54" s="1492" t="str">
        <f>'Estimate Detail'!AQ180</f>
        <v>BOCE</v>
      </c>
      <c r="O54" s="1492" t="str">
        <f>'Estimate Detail'!AR180</f>
        <v>CNAP</v>
      </c>
      <c r="P54" s="1443" t="str">
        <f>'Estimate Detail'!AS180</f>
        <v>B</v>
      </c>
      <c r="Q54" s="1492" t="str">
        <f>'Estimate Detail'!AT180</f>
        <v>FOB SH</v>
      </c>
      <c r="R54" s="1492" t="str">
        <f>'Estimate Detail'!AU180</f>
        <v>CN</v>
      </c>
      <c r="S54" s="1492" t="str">
        <f>'Estimate Detail'!AV180</f>
        <v>YES</v>
      </c>
      <c r="T54" s="1497">
        <f>'Estimate Detail'!AW180</f>
        <v>42683</v>
      </c>
      <c r="U54" s="1492" t="s">
        <v>667</v>
      </c>
      <c r="V54" s="1493" t="s">
        <v>667</v>
      </c>
      <c r="W54" s="1492" t="s">
        <v>667</v>
      </c>
      <c r="X54" s="1475"/>
      <c r="Z54" s="1472"/>
    </row>
    <row r="55" spans="1:26" s="1442" customFormat="1" hidden="1">
      <c r="A55" s="1994" t="str">
        <f>'Estimate Detail'!B181</f>
        <v>051004</v>
      </c>
      <c r="B55" s="1443"/>
      <c r="C55" s="1443" t="s">
        <v>667</v>
      </c>
      <c r="D55" s="1443" t="s">
        <v>668</v>
      </c>
      <c r="E55" s="1443" t="str">
        <f>'Estimate Detail'!C181</f>
        <v>Gas Ducts Damper - Assy No. 50</v>
      </c>
      <c r="F55" s="1443" t="str">
        <f>'Estimate Detail'!AJ181</f>
        <v>MAT/HW</v>
      </c>
      <c r="G55" s="1443" t="str">
        <f>'Estimate Detail'!U181</f>
        <v>Lanzhou Changxin</v>
      </c>
      <c r="H55" s="1443" t="str">
        <f>'Estimate Detail'!AK181</f>
        <v>External</v>
      </c>
      <c r="I55" s="1443" t="str">
        <f>'Estimate Detail'!AL181</f>
        <v>CN</v>
      </c>
      <c r="J55" s="2014">
        <f>'Estimate Detail'!AM181</f>
        <v>1</v>
      </c>
      <c r="K55" s="1993" t="str">
        <f>'Estimate Detail'!AN181</f>
        <v>set</v>
      </c>
      <c r="L55" s="2014">
        <f>'Estimate Detail'!AO181</f>
        <v>0</v>
      </c>
      <c r="M55" s="1443" t="str">
        <f>'Estimate Detail'!AP181</f>
        <v>CNY</v>
      </c>
      <c r="N55" s="1443" t="str">
        <f>'Estimate Detail'!AQ181</f>
        <v>BOCE</v>
      </c>
      <c r="O55" s="1443" t="str">
        <f>'Estimate Detail'!AR181</f>
        <v>CNAP</v>
      </c>
      <c r="P55" s="1443" t="str">
        <f>'Estimate Detail'!AS181</f>
        <v>B</v>
      </c>
      <c r="Q55" s="1443" t="str">
        <f>'Estimate Detail'!AT181</f>
        <v>FOB SH</v>
      </c>
      <c r="R55" s="1443" t="str">
        <f>'Estimate Detail'!AU181</f>
        <v>CN</v>
      </c>
      <c r="S55" s="1443" t="str">
        <f>'Estimate Detail'!AV181</f>
        <v>YES</v>
      </c>
      <c r="T55" s="1444">
        <f>'Estimate Detail'!AW181</f>
        <v>42683</v>
      </c>
      <c r="U55" s="1443"/>
      <c r="V55" s="1445"/>
      <c r="W55" s="1443"/>
      <c r="X55" s="1475"/>
      <c r="Z55" s="1472"/>
    </row>
    <row r="56" spans="1:26" s="1442" customFormat="1" hidden="1">
      <c r="A56" s="1994" t="str">
        <f>'Estimate Detail'!B182</f>
        <v>051003</v>
      </c>
      <c r="B56" s="1443"/>
      <c r="C56" s="1443" t="s">
        <v>667</v>
      </c>
      <c r="D56" s="1443" t="s">
        <v>668</v>
      </c>
      <c r="E56" s="1443" t="str">
        <f>'Estimate Detail'!C182</f>
        <v>Nonferrous Expansion Joints - Assy No. 41</v>
      </c>
      <c r="F56" s="1443" t="str">
        <f>'Estimate Detail'!AJ182</f>
        <v>MAT/HW</v>
      </c>
      <c r="G56" s="1443" t="str">
        <f>'Estimate Detail'!U182</f>
        <v>Jiangsu Baojinlai</v>
      </c>
      <c r="H56" s="1443" t="str">
        <f>'Estimate Detail'!AK182</f>
        <v>External</v>
      </c>
      <c r="I56" s="1443" t="str">
        <f>'Estimate Detail'!AL182</f>
        <v>CN</v>
      </c>
      <c r="J56" s="2014">
        <f>'Estimate Detail'!AM182</f>
        <v>1</v>
      </c>
      <c r="K56" s="1993" t="str">
        <f>'Estimate Detail'!AN182</f>
        <v>set</v>
      </c>
      <c r="L56" s="2014">
        <f>'Estimate Detail'!AO182</f>
        <v>0</v>
      </c>
      <c r="M56" s="1443" t="str">
        <f>'Estimate Detail'!AP182</f>
        <v>CNY</v>
      </c>
      <c r="N56" s="1443" t="str">
        <f>'Estimate Detail'!AQ182</f>
        <v>BOCE</v>
      </c>
      <c r="O56" s="1443" t="str">
        <f>'Estimate Detail'!AR182</f>
        <v>CNAP</v>
      </c>
      <c r="P56" s="1443" t="str">
        <f>'Estimate Detail'!AS182</f>
        <v>B</v>
      </c>
      <c r="Q56" s="1443" t="str">
        <f>'Estimate Detail'!AT182</f>
        <v>FOB SH</v>
      </c>
      <c r="R56" s="1443" t="str">
        <f>'Estimate Detail'!AU182</f>
        <v>CN</v>
      </c>
      <c r="S56" s="1443" t="str">
        <f>'Estimate Detail'!AV182</f>
        <v>YES</v>
      </c>
      <c r="T56" s="1444">
        <f>'Estimate Detail'!AW182</f>
        <v>42683</v>
      </c>
      <c r="U56" s="1443"/>
      <c r="V56" s="1445"/>
      <c r="W56" s="1443"/>
      <c r="X56" s="1475"/>
      <c r="Z56" s="1472"/>
    </row>
    <row r="57" spans="1:26" s="1442" customFormat="1" hidden="1">
      <c r="A57" s="1994" t="str">
        <f>'Estimate Detail'!B183</f>
        <v>051003</v>
      </c>
      <c r="B57" s="1443"/>
      <c r="C57" s="1443" t="s">
        <v>667</v>
      </c>
      <c r="D57" s="1443" t="s">
        <v>668</v>
      </c>
      <c r="E57" s="1443" t="str">
        <f>'Estimate Detail'!C183</f>
        <v>Metal Expansion Joints  - Assy No. 41</v>
      </c>
      <c r="F57" s="1443" t="str">
        <f>'Estimate Detail'!AJ183</f>
        <v>MAT/HW</v>
      </c>
      <c r="G57" s="1443" t="str">
        <f>'Estimate Detail'!U183</f>
        <v>Jiangsu Baojinlai</v>
      </c>
      <c r="H57" s="1443" t="str">
        <f>'Estimate Detail'!AK183</f>
        <v>External</v>
      </c>
      <c r="I57" s="1443" t="str">
        <f>'Estimate Detail'!AL183</f>
        <v>CN</v>
      </c>
      <c r="J57" s="2014">
        <f>'Estimate Detail'!AM183</f>
        <v>1</v>
      </c>
      <c r="K57" s="1993" t="str">
        <f>'Estimate Detail'!AN183</f>
        <v>set</v>
      </c>
      <c r="L57" s="2014">
        <f>'Estimate Detail'!AO183</f>
        <v>0</v>
      </c>
      <c r="M57" s="1443" t="str">
        <f>'Estimate Detail'!AP183</f>
        <v>CNY</v>
      </c>
      <c r="N57" s="1443" t="str">
        <f>'Estimate Detail'!AQ183</f>
        <v>BOCE</v>
      </c>
      <c r="O57" s="1443" t="str">
        <f>'Estimate Detail'!AR183</f>
        <v>CNAP</v>
      </c>
      <c r="P57" s="1443" t="str">
        <f>'Estimate Detail'!AS183</f>
        <v>B</v>
      </c>
      <c r="Q57" s="1443" t="str">
        <f>'Estimate Detail'!AT183</f>
        <v>FOB SH</v>
      </c>
      <c r="R57" s="1443" t="str">
        <f>'Estimate Detail'!AU183</f>
        <v>CN</v>
      </c>
      <c r="S57" s="1443" t="str">
        <f>'Estimate Detail'!AV183</f>
        <v>YES</v>
      </c>
      <c r="T57" s="1444">
        <f>'Estimate Detail'!AW183</f>
        <v>42683</v>
      </c>
      <c r="U57" s="1443"/>
      <c r="V57" s="1445"/>
      <c r="W57" s="1443"/>
      <c r="X57" s="1475"/>
      <c r="Z57" s="1472"/>
    </row>
    <row r="58" spans="1:26" s="1442" customFormat="1" hidden="1">
      <c r="A58" s="1994" t="str">
        <f>'Estimate Detail'!B184</f>
        <v>051007</v>
      </c>
      <c r="B58" s="1443"/>
      <c r="C58" s="1443" t="s">
        <v>667</v>
      </c>
      <c r="D58" s="1443" t="s">
        <v>668</v>
      </c>
      <c r="E58" s="1443" t="str">
        <f>'Estimate Detail'!C184</f>
        <v>Seal &amp; Cooling Air Systems</v>
      </c>
      <c r="F58" s="1443" t="str">
        <f>'Estimate Detail'!AJ184</f>
        <v>MAT/HW</v>
      </c>
      <c r="G58" s="1443" t="str">
        <f>'Estimate Detail'!U184</f>
        <v>Unknown Supplier</v>
      </c>
      <c r="H58" s="1443" t="str">
        <f>'Estimate Detail'!AK184</f>
        <v>External</v>
      </c>
      <c r="I58" s="1443" t="str">
        <f>'Estimate Detail'!AL184</f>
        <v>CN</v>
      </c>
      <c r="J58" s="2014">
        <f>'Estimate Detail'!AM184</f>
        <v>1</v>
      </c>
      <c r="K58" s="1993" t="str">
        <f>'Estimate Detail'!AN184</f>
        <v>set</v>
      </c>
      <c r="L58" s="2014">
        <f>'Estimate Detail'!AO184</f>
        <v>0</v>
      </c>
      <c r="M58" s="1443" t="str">
        <f>'Estimate Detail'!AP184</f>
        <v>CNY</v>
      </c>
      <c r="N58" s="1443" t="str">
        <f>'Estimate Detail'!AQ184</f>
        <v>BOCE</v>
      </c>
      <c r="O58" s="1443" t="str">
        <f>'Estimate Detail'!AR184</f>
        <v>CNAP</v>
      </c>
      <c r="P58" s="1443" t="str">
        <f>'Estimate Detail'!AS184</f>
        <v>B</v>
      </c>
      <c r="Q58" s="1443" t="str">
        <f>'Estimate Detail'!AT184</f>
        <v>FOB SH</v>
      </c>
      <c r="R58" s="1443" t="str">
        <f>'Estimate Detail'!AU184</f>
        <v>CN</v>
      </c>
      <c r="S58" s="1443" t="str">
        <f>'Estimate Detail'!AV184</f>
        <v>YES</v>
      </c>
      <c r="T58" s="1444">
        <f>'Estimate Detail'!AW184</f>
        <v>42683</v>
      </c>
      <c r="U58" s="1443"/>
      <c r="V58" s="1445"/>
      <c r="W58" s="1443"/>
      <c r="X58" s="1475"/>
      <c r="Z58" s="1472"/>
    </row>
    <row r="59" spans="1:26" s="1442" customFormat="1" hidden="1">
      <c r="A59" s="1994" t="str">
        <f>'Estimate Detail'!B191</f>
        <v>051201</v>
      </c>
      <c r="B59" s="1443"/>
      <c r="C59" s="1443" t="s">
        <v>667</v>
      </c>
      <c r="D59" s="1443" t="s">
        <v>668</v>
      </c>
      <c r="E59" s="1443" t="str">
        <f>'Estimate Detail'!C191</f>
        <v>Air Preheater - Assy No. 06</v>
      </c>
      <c r="F59" s="1443" t="str">
        <f>'Estimate Detail'!AJ191</f>
        <v>MAT/HW</v>
      </c>
      <c r="G59" s="1443" t="str">
        <f>'Estimate Detail'!U191</f>
        <v>Avros</v>
      </c>
      <c r="H59" s="1443" t="str">
        <f>'Estimate Detail'!AK191</f>
        <v>External</v>
      </c>
      <c r="I59" s="1443" t="str">
        <f>'Estimate Detail'!AL191</f>
        <v>CN</v>
      </c>
      <c r="J59" s="2014">
        <f>'Estimate Detail'!AM191</f>
        <v>1</v>
      </c>
      <c r="K59" s="1993" t="str">
        <f>'Estimate Detail'!AN191</f>
        <v>set</v>
      </c>
      <c r="L59" s="2014">
        <f>'Estimate Detail'!AO191</f>
        <v>0</v>
      </c>
      <c r="M59" s="1443" t="str">
        <f>'Estimate Detail'!AP191</f>
        <v>CNY</v>
      </c>
      <c r="N59" s="1443" t="str">
        <f>'Estimate Detail'!AQ191</f>
        <v>BOCE</v>
      </c>
      <c r="O59" s="1443" t="str">
        <f>'Estimate Detail'!AR191</f>
        <v>CNAP</v>
      </c>
      <c r="P59" s="1443" t="str">
        <f>'Estimate Detail'!AS191</f>
        <v>A</v>
      </c>
      <c r="Q59" s="1443" t="str">
        <f>'Estimate Detail'!AT191</f>
        <v>FOB SH</v>
      </c>
      <c r="R59" s="1443" t="str">
        <f>'Estimate Detail'!AU191</f>
        <v>CN</v>
      </c>
      <c r="S59" s="1443" t="str">
        <f>'Estimate Detail'!AV191</f>
        <v>YES</v>
      </c>
      <c r="T59" s="1444">
        <f>'Estimate Detail'!AW191</f>
        <v>42683</v>
      </c>
      <c r="U59" s="1443"/>
      <c r="V59" s="1445"/>
      <c r="W59" s="1443"/>
      <c r="X59" s="1475"/>
      <c r="Z59" s="1472"/>
    </row>
    <row r="60" spans="1:26" s="1442" customFormat="1" hidden="1">
      <c r="A60" s="1994" t="str">
        <f>'Estimate Detail'!B192</f>
        <v>051206</v>
      </c>
      <c r="B60" s="1443"/>
      <c r="C60" s="1443" t="s">
        <v>667</v>
      </c>
      <c r="D60" s="1443" t="s">
        <v>668</v>
      </c>
      <c r="E60" s="1443" t="str">
        <f>'Estimate Detail'!C192</f>
        <v>Steam coil air heater</v>
      </c>
      <c r="F60" s="1443" t="str">
        <f>'Estimate Detail'!AJ192</f>
        <v>MAT/HW</v>
      </c>
      <c r="G60" s="1443" t="str">
        <f>'Estimate Detail'!U192</f>
        <v>wuxi huatong</v>
      </c>
      <c r="H60" s="1443" t="str">
        <f>'Estimate Detail'!AK192</f>
        <v>External</v>
      </c>
      <c r="I60" s="1443" t="str">
        <f>'Estimate Detail'!AL192</f>
        <v>CN</v>
      </c>
      <c r="J60" s="2014">
        <f>'Estimate Detail'!AM192</f>
        <v>1</v>
      </c>
      <c r="K60" s="1993" t="str">
        <f>'Estimate Detail'!AN192</f>
        <v>set</v>
      </c>
      <c r="L60" s="2014">
        <f>'Estimate Detail'!AO192</f>
        <v>0</v>
      </c>
      <c r="M60" s="1443" t="str">
        <f>'Estimate Detail'!AP192</f>
        <v>CNY</v>
      </c>
      <c r="N60" s="1443" t="str">
        <f>'Estimate Detail'!AQ192</f>
        <v>BOCE</v>
      </c>
      <c r="O60" s="1443" t="str">
        <f>'Estimate Detail'!AR192</f>
        <v>CNAP</v>
      </c>
      <c r="P60" s="1443" t="str">
        <f>'Estimate Detail'!AS192</f>
        <v>A</v>
      </c>
      <c r="Q60" s="1443" t="str">
        <f>'Estimate Detail'!AT192</f>
        <v>FOB SH</v>
      </c>
      <c r="R60" s="1443" t="str">
        <f>'Estimate Detail'!AU192</f>
        <v>CN</v>
      </c>
      <c r="S60" s="1443" t="str">
        <f>'Estimate Detail'!AV192</f>
        <v>YES</v>
      </c>
      <c r="T60" s="1444">
        <f>'Estimate Detail'!AW192</f>
        <v>42683</v>
      </c>
      <c r="U60" s="1443"/>
      <c r="V60" s="1445"/>
      <c r="W60" s="1443"/>
      <c r="X60" s="1475"/>
      <c r="Z60" s="1472"/>
    </row>
    <row r="61" spans="1:26" s="1442" customFormat="1" hidden="1">
      <c r="A61" s="1994" t="str">
        <f>'Estimate Detail'!B197</f>
        <v>051303</v>
      </c>
      <c r="B61" s="1443"/>
      <c r="C61" s="1443" t="s">
        <v>667</v>
      </c>
      <c r="D61" s="1443" t="s">
        <v>668</v>
      </c>
      <c r="E61" s="1994" t="str">
        <f>'Estimate Detail'!C197</f>
        <v>FD / Secondary Air Fans</v>
      </c>
      <c r="F61" s="1994" t="str">
        <f>'Estimate Detail'!AJ197</f>
        <v>MAT/HW</v>
      </c>
      <c r="G61" s="1994" t="str">
        <f>'Estimate Detail'!U197</f>
        <v>TLT-TURBO (SICHUAN)</v>
      </c>
      <c r="H61" s="1994" t="str">
        <f>'Estimate Detail'!AK197</f>
        <v>External</v>
      </c>
      <c r="I61" s="1994" t="str">
        <f>'Estimate Detail'!AL197</f>
        <v>CN</v>
      </c>
      <c r="J61" s="2014">
        <f>'Estimate Detail'!AM197</f>
        <v>1</v>
      </c>
      <c r="K61" s="2012" t="str">
        <f>'Estimate Detail'!AN197</f>
        <v>set</v>
      </c>
      <c r="L61" s="2014">
        <f>'Estimate Detail'!AO197</f>
        <v>0</v>
      </c>
      <c r="M61" s="1994" t="str">
        <f>'Estimate Detail'!AP197</f>
        <v>CNY</v>
      </c>
      <c r="N61" s="1994" t="str">
        <f>'Estimate Detail'!AQ197</f>
        <v>BOCE</v>
      </c>
      <c r="O61" s="1994" t="str">
        <f>'Estimate Detail'!AR197</f>
        <v>CNAP</v>
      </c>
      <c r="P61" s="1994" t="str">
        <f>'Estimate Detail'!AS197</f>
        <v>A</v>
      </c>
      <c r="Q61" s="1994" t="str">
        <f>'Estimate Detail'!AT197</f>
        <v>FOB SH</v>
      </c>
      <c r="R61" s="1994" t="str">
        <f>'Estimate Detail'!AU197</f>
        <v>CN</v>
      </c>
      <c r="S61" s="1994" t="str">
        <f>'Estimate Detail'!AV197</f>
        <v>YES</v>
      </c>
      <c r="T61" s="1444">
        <f>'Estimate Detail'!AW197</f>
        <v>42683</v>
      </c>
      <c r="U61" s="1994"/>
      <c r="V61" s="2013"/>
      <c r="W61" s="1994"/>
      <c r="X61" s="1475"/>
      <c r="Z61" s="1472"/>
    </row>
    <row r="62" spans="1:26" s="1442" customFormat="1" hidden="1">
      <c r="A62" s="1994" t="str">
        <f>'Estimate Detail'!B207</f>
        <v>051504</v>
      </c>
      <c r="B62" s="1443"/>
      <c r="C62" s="1443" t="s">
        <v>667</v>
      </c>
      <c r="D62" s="1443" t="s">
        <v>668</v>
      </c>
      <c r="E62" s="1443" t="str">
        <f>'Estimate Detail'!C207</f>
        <v>FD  Motors(Provide Oversized Motors)</v>
      </c>
      <c r="F62" s="1443" t="str">
        <f>'Estimate Detail'!AJ207</f>
        <v>MAT/HW</v>
      </c>
      <c r="G62" s="1443" t="str">
        <f>'Estimate Detail'!U207</f>
        <v>Unknown Supplier</v>
      </c>
      <c r="H62" s="1443" t="str">
        <f>'Estimate Detail'!AK207</f>
        <v>External</v>
      </c>
      <c r="I62" s="1443" t="str">
        <f>'Estimate Detail'!AL207</f>
        <v>CN</v>
      </c>
      <c r="J62" s="2014">
        <f>'Estimate Detail'!AM207</f>
        <v>1</v>
      </c>
      <c r="K62" s="1993" t="str">
        <f>'Estimate Detail'!AN207</f>
        <v>set</v>
      </c>
      <c r="L62" s="2014">
        <f>'Estimate Detail'!AO207</f>
        <v>0</v>
      </c>
      <c r="M62" s="1443" t="str">
        <f>'Estimate Detail'!AP207</f>
        <v>CNY</v>
      </c>
      <c r="N62" s="1443" t="str">
        <f>'Estimate Detail'!AQ207</f>
        <v>BOCE</v>
      </c>
      <c r="O62" s="1443" t="str">
        <f>'Estimate Detail'!AR207</f>
        <v>CNAP</v>
      </c>
      <c r="P62" s="1443" t="str">
        <f>'Estimate Detail'!AS207</f>
        <v>B</v>
      </c>
      <c r="Q62" s="1443" t="str">
        <f>'Estimate Detail'!AT207</f>
        <v>FOB SH</v>
      </c>
      <c r="R62" s="1443" t="str">
        <f>'Estimate Detail'!AU207</f>
        <v>CN</v>
      </c>
      <c r="S62" s="1443" t="str">
        <f>'Estimate Detail'!AV207</f>
        <v>YES</v>
      </c>
      <c r="T62" s="1444">
        <f>'Estimate Detail'!AW207</f>
        <v>42683</v>
      </c>
      <c r="U62" s="1443"/>
      <c r="V62" s="1445"/>
      <c r="W62" s="1443"/>
      <c r="X62" s="1475"/>
      <c r="Z62" s="1472"/>
    </row>
    <row r="63" spans="1:26" s="1442" customFormat="1" hidden="1">
      <c r="A63" s="1994" t="str">
        <f>'Estimate Detail'!B216</f>
        <v>051601</v>
      </c>
      <c r="B63" s="1443"/>
      <c r="C63" s="1443" t="s">
        <v>667</v>
      </c>
      <c r="D63" s="1443" t="s">
        <v>668</v>
      </c>
      <c r="E63" s="1443" t="str">
        <f>'Estimate Detail'!C216</f>
        <v>Balance Vessel - Assy No. 64</v>
      </c>
      <c r="F63" s="1443" t="str">
        <f>'Estimate Detail'!AJ216</f>
        <v>MAT/HW</v>
      </c>
      <c r="G63" s="1443" t="str">
        <f>'Estimate Detail'!U216</f>
        <v>Tieling Tieguang</v>
      </c>
      <c r="H63" s="1443" t="str">
        <f>'Estimate Detail'!AK216</f>
        <v>External</v>
      </c>
      <c r="I63" s="1443" t="str">
        <f>'Estimate Detail'!AL216</f>
        <v>CN</v>
      </c>
      <c r="J63" s="2014">
        <f>'Estimate Detail'!AM216</f>
        <v>1</v>
      </c>
      <c r="K63" s="1993" t="str">
        <f>'Estimate Detail'!AN216</f>
        <v>set</v>
      </c>
      <c r="L63" s="2014">
        <f>'Estimate Detail'!AO216</f>
        <v>0</v>
      </c>
      <c r="M63" s="1443" t="str">
        <f>'Estimate Detail'!AP216</f>
        <v>CNY</v>
      </c>
      <c r="N63" s="1443" t="str">
        <f>'Estimate Detail'!AQ216</f>
        <v>BOCE</v>
      </c>
      <c r="O63" s="1443" t="str">
        <f>'Estimate Detail'!AR216</f>
        <v>CNAP</v>
      </c>
      <c r="P63" s="1443" t="str">
        <f>'Estimate Detail'!AS216</f>
        <v>B</v>
      </c>
      <c r="Q63" s="1443" t="str">
        <f>'Estimate Detail'!AT216</f>
        <v>FOB SH</v>
      </c>
      <c r="R63" s="1443" t="str">
        <f>'Estimate Detail'!AU216</f>
        <v>CN</v>
      </c>
      <c r="S63" s="1443" t="str">
        <f>'Estimate Detail'!AV216</f>
        <v>YES</v>
      </c>
      <c r="T63" s="1444">
        <f>'Estimate Detail'!AW216</f>
        <v>42683</v>
      </c>
      <c r="U63" s="1443"/>
      <c r="V63" s="1445"/>
      <c r="W63" s="1443"/>
      <c r="X63" s="1475"/>
      <c r="Z63" s="1472"/>
    </row>
    <row r="64" spans="1:26" s="1442" customFormat="1" ht="22.5" hidden="1">
      <c r="A64" s="1994" t="str">
        <f>'Estimate Detail'!B217</f>
        <v>051601</v>
      </c>
      <c r="B64" s="1443"/>
      <c r="C64" s="1443" t="s">
        <v>667</v>
      </c>
      <c r="D64" s="1443" t="s">
        <v>668</v>
      </c>
      <c r="E64" s="1443" t="str">
        <f>'Estimate Detail'!C217</f>
        <v>Steam/Water Flow  Measurement equipment - Assy No. 61</v>
      </c>
      <c r="F64" s="1443" t="str">
        <f>'Estimate Detail'!AJ217</f>
        <v>MAT/HW</v>
      </c>
      <c r="G64" s="1443" t="str">
        <f>'Estimate Detail'!U217</f>
        <v>Jiangyin Shenzhou</v>
      </c>
      <c r="H64" s="1443" t="str">
        <f>'Estimate Detail'!AK217</f>
        <v>External</v>
      </c>
      <c r="I64" s="1443" t="str">
        <f>'Estimate Detail'!AL217</f>
        <v>CN</v>
      </c>
      <c r="J64" s="2014">
        <f>'Estimate Detail'!AM217</f>
        <v>1</v>
      </c>
      <c r="K64" s="1993" t="str">
        <f>'Estimate Detail'!AN217</f>
        <v>set</v>
      </c>
      <c r="L64" s="2014">
        <f>'Estimate Detail'!AO217</f>
        <v>0</v>
      </c>
      <c r="M64" s="1443" t="str">
        <f>'Estimate Detail'!AP217</f>
        <v>CNY</v>
      </c>
      <c r="N64" s="1443" t="str">
        <f>'Estimate Detail'!AQ217</f>
        <v>BOCE</v>
      </c>
      <c r="O64" s="1443" t="str">
        <f>'Estimate Detail'!AR217</f>
        <v>CNAP</v>
      </c>
      <c r="P64" s="1443" t="str">
        <f>'Estimate Detail'!AS217</f>
        <v>B</v>
      </c>
      <c r="Q64" s="1443" t="str">
        <f>'Estimate Detail'!AT217</f>
        <v>FOB SH</v>
      </c>
      <c r="R64" s="1443" t="str">
        <f>'Estimate Detail'!AU217</f>
        <v>CN</v>
      </c>
      <c r="S64" s="1443" t="str">
        <f>'Estimate Detail'!AV217</f>
        <v>YES</v>
      </c>
      <c r="T64" s="1444">
        <f>'Estimate Detail'!AW217</f>
        <v>42683</v>
      </c>
      <c r="U64" s="1443"/>
      <c r="V64" s="1445"/>
      <c r="W64" s="1443"/>
      <c r="X64" s="1475"/>
      <c r="Z64" s="1472"/>
    </row>
    <row r="65" spans="1:26" s="1442" customFormat="1" hidden="1">
      <c r="A65" s="1994" t="str">
        <f>'Estimate Detail'!B218</f>
        <v>051601</v>
      </c>
      <c r="B65" s="1443"/>
      <c r="C65" s="1443" t="s">
        <v>667</v>
      </c>
      <c r="D65" s="1443" t="s">
        <v>668</v>
      </c>
      <c r="E65" s="1443" t="str">
        <f>'Estimate Detail'!C218</f>
        <v>Unblocking sampling Device - Assy No. 61</v>
      </c>
      <c r="F65" s="1443" t="str">
        <f>'Estimate Detail'!AJ218</f>
        <v>MAT/HW</v>
      </c>
      <c r="G65" s="1443" t="str">
        <f>'Estimate Detail'!U218</f>
        <v>Jiangyin Shenzhou</v>
      </c>
      <c r="H65" s="1443" t="str">
        <f>'Estimate Detail'!AK218</f>
        <v>External</v>
      </c>
      <c r="I65" s="1443" t="str">
        <f>'Estimate Detail'!AL218</f>
        <v>CN</v>
      </c>
      <c r="J65" s="2014">
        <f>'Estimate Detail'!AM218</f>
        <v>1</v>
      </c>
      <c r="K65" s="1993" t="str">
        <f>'Estimate Detail'!AN218</f>
        <v>set</v>
      </c>
      <c r="L65" s="2014">
        <f>'Estimate Detail'!AO218</f>
        <v>0</v>
      </c>
      <c r="M65" s="1443" t="str">
        <f>'Estimate Detail'!AP218</f>
        <v>CNY</v>
      </c>
      <c r="N65" s="1443" t="str">
        <f>'Estimate Detail'!AQ218</f>
        <v>BOCE</v>
      </c>
      <c r="O65" s="1443" t="str">
        <f>'Estimate Detail'!AR218</f>
        <v>CNAP</v>
      </c>
      <c r="P65" s="1443" t="str">
        <f>'Estimate Detail'!AS218</f>
        <v>B</v>
      </c>
      <c r="Q65" s="1443" t="str">
        <f>'Estimate Detail'!AT218</f>
        <v>FOB SH</v>
      </c>
      <c r="R65" s="1443" t="str">
        <f>'Estimate Detail'!AU218</f>
        <v>CN</v>
      </c>
      <c r="S65" s="1443" t="str">
        <f>'Estimate Detail'!AV218</f>
        <v>YES</v>
      </c>
      <c r="T65" s="1444">
        <f>'Estimate Detail'!AW218</f>
        <v>42683</v>
      </c>
      <c r="U65" s="1443"/>
      <c r="V65" s="1445"/>
      <c r="W65" s="1443"/>
      <c r="X65" s="1475"/>
      <c r="Z65" s="1472"/>
    </row>
    <row r="66" spans="1:26" s="1442" customFormat="1" hidden="1">
      <c r="A66" s="1994" t="str">
        <f>'Estimate Detail'!B219</f>
        <v>051601</v>
      </c>
      <c r="B66" s="1443"/>
      <c r="C66" s="1443" t="s">
        <v>667</v>
      </c>
      <c r="D66" s="1443" t="s">
        <v>668</v>
      </c>
      <c r="E66" s="1443" t="str">
        <f>'Estimate Detail'!C219</f>
        <v>Thermocouple - Assy No. 61</v>
      </c>
      <c r="F66" s="1443" t="str">
        <f>'Estimate Detail'!AJ219</f>
        <v>MAT/HW</v>
      </c>
      <c r="G66" s="1443" t="str">
        <f>'Estimate Detail'!U219</f>
        <v>Anhui Tiankang</v>
      </c>
      <c r="H66" s="1443" t="str">
        <f>'Estimate Detail'!AK219</f>
        <v>External</v>
      </c>
      <c r="I66" s="1443" t="str">
        <f>'Estimate Detail'!AL219</f>
        <v>CN</v>
      </c>
      <c r="J66" s="2014">
        <f>'Estimate Detail'!AM219</f>
        <v>1</v>
      </c>
      <c r="K66" s="1993" t="str">
        <f>'Estimate Detail'!AN219</f>
        <v>set</v>
      </c>
      <c r="L66" s="2014">
        <f>'Estimate Detail'!AO219</f>
        <v>0</v>
      </c>
      <c r="M66" s="1443" t="str">
        <f>'Estimate Detail'!AP219</f>
        <v>CNY</v>
      </c>
      <c r="N66" s="1443" t="str">
        <f>'Estimate Detail'!AQ219</f>
        <v>BOCE</v>
      </c>
      <c r="O66" s="1443" t="str">
        <f>'Estimate Detail'!AR219</f>
        <v>CNAP</v>
      </c>
      <c r="P66" s="1443" t="str">
        <f>'Estimate Detail'!AS219</f>
        <v>B</v>
      </c>
      <c r="Q66" s="1443" t="str">
        <f>'Estimate Detail'!AT219</f>
        <v>FOB SH</v>
      </c>
      <c r="R66" s="1443" t="str">
        <f>'Estimate Detail'!AU219</f>
        <v>CN</v>
      </c>
      <c r="S66" s="1443" t="str">
        <f>'Estimate Detail'!AV219</f>
        <v>YES</v>
      </c>
      <c r="T66" s="1444">
        <f>'Estimate Detail'!AW219</f>
        <v>42683</v>
      </c>
      <c r="U66" s="1443"/>
      <c r="V66" s="1445"/>
      <c r="W66" s="1443"/>
      <c r="X66" s="1475"/>
      <c r="Z66" s="1472"/>
    </row>
    <row r="67" spans="1:26" s="1442" customFormat="1" hidden="1">
      <c r="A67" s="1994" t="str">
        <f>'Estimate Detail'!B220</f>
        <v>051601</v>
      </c>
      <c r="B67" s="1443"/>
      <c r="C67" s="1443" t="s">
        <v>667</v>
      </c>
      <c r="D67" s="1443" t="s">
        <v>668</v>
      </c>
      <c r="E67" s="1443" t="str">
        <f>'Estimate Detail'!C220</f>
        <v>Air Flow Measure - Assy No. 61</v>
      </c>
      <c r="F67" s="1443" t="str">
        <f>'Estimate Detail'!AJ220</f>
        <v>MAT/HW</v>
      </c>
      <c r="G67" s="1443" t="str">
        <f>'Estimate Detail'!U220</f>
        <v>Nanjing Watt</v>
      </c>
      <c r="H67" s="1443" t="str">
        <f>'Estimate Detail'!AK220</f>
        <v>External</v>
      </c>
      <c r="I67" s="1443" t="str">
        <f>'Estimate Detail'!AL220</f>
        <v>CN</v>
      </c>
      <c r="J67" s="2014">
        <f>'Estimate Detail'!AM220</f>
        <v>1</v>
      </c>
      <c r="K67" s="1993" t="str">
        <f>'Estimate Detail'!AN220</f>
        <v>set</v>
      </c>
      <c r="L67" s="2014">
        <f>'Estimate Detail'!AO220</f>
        <v>0</v>
      </c>
      <c r="M67" s="1443" t="str">
        <f>'Estimate Detail'!AP220</f>
        <v>CNY</v>
      </c>
      <c r="N67" s="1443" t="str">
        <f>'Estimate Detail'!AQ220</f>
        <v>BOCE</v>
      </c>
      <c r="O67" s="1443" t="str">
        <f>'Estimate Detail'!AR220</f>
        <v>CNAP</v>
      </c>
      <c r="P67" s="1443" t="str">
        <f>'Estimate Detail'!AS220</f>
        <v>B</v>
      </c>
      <c r="Q67" s="1443" t="str">
        <f>'Estimate Detail'!AT220</f>
        <v>FOB SH</v>
      </c>
      <c r="R67" s="1443" t="str">
        <f>'Estimate Detail'!AU220</f>
        <v>CN</v>
      </c>
      <c r="S67" s="1443" t="str">
        <f>'Estimate Detail'!AV220</f>
        <v>YES</v>
      </c>
      <c r="T67" s="1444">
        <f>'Estimate Detail'!AW220</f>
        <v>42683</v>
      </c>
      <c r="U67" s="1443"/>
      <c r="V67" s="1445"/>
      <c r="W67" s="1443"/>
      <c r="X67" s="1475"/>
      <c r="Z67" s="1472"/>
    </row>
    <row r="68" spans="1:26" s="1442" customFormat="1" hidden="1">
      <c r="A68" s="1994" t="str">
        <f>'Estimate Detail'!B221</f>
        <v>051601</v>
      </c>
      <c r="B68" s="1443"/>
      <c r="C68" s="1443" t="s">
        <v>667</v>
      </c>
      <c r="D68" s="1443" t="s">
        <v>668</v>
      </c>
      <c r="E68" s="1443" t="str">
        <f>'Estimate Detail'!C221</f>
        <v>Pressure Switch - Assy No. 61</v>
      </c>
      <c r="F68" s="1443" t="str">
        <f>'Estimate Detail'!AJ221</f>
        <v>MAT/HW</v>
      </c>
      <c r="G68" s="1443" t="str">
        <f>'Estimate Detail'!U221</f>
        <v>Rosemount</v>
      </c>
      <c r="H68" s="1443" t="str">
        <f>'Estimate Detail'!AK221</f>
        <v>External</v>
      </c>
      <c r="I68" s="1443" t="str">
        <f>'Estimate Detail'!AL221</f>
        <v>CN</v>
      </c>
      <c r="J68" s="2014">
        <f>'Estimate Detail'!AM221</f>
        <v>1</v>
      </c>
      <c r="K68" s="1993" t="str">
        <f>'Estimate Detail'!AN221</f>
        <v>set</v>
      </c>
      <c r="L68" s="2014">
        <f>'Estimate Detail'!AO221</f>
        <v>0</v>
      </c>
      <c r="M68" s="1443" t="str">
        <f>'Estimate Detail'!AP221</f>
        <v>CNY</v>
      </c>
      <c r="N68" s="1443" t="str">
        <f>'Estimate Detail'!AQ221</f>
        <v>BOCE</v>
      </c>
      <c r="O68" s="1443" t="str">
        <f>'Estimate Detail'!AR221</f>
        <v>CNAP</v>
      </c>
      <c r="P68" s="1443" t="str">
        <f>'Estimate Detail'!AS221</f>
        <v>B</v>
      </c>
      <c r="Q68" s="1443" t="str">
        <f>'Estimate Detail'!AT221</f>
        <v>FOB SH</v>
      </c>
      <c r="R68" s="1443" t="str">
        <f>'Estimate Detail'!AU221</f>
        <v>CN</v>
      </c>
      <c r="S68" s="1443" t="str">
        <f>'Estimate Detail'!AV221</f>
        <v>YES</v>
      </c>
      <c r="T68" s="1444">
        <f>'Estimate Detail'!AW221</f>
        <v>42683</v>
      </c>
      <c r="U68" s="1443"/>
      <c r="V68" s="1445"/>
      <c r="W68" s="1443"/>
      <c r="X68" s="1475"/>
      <c r="Z68" s="1472"/>
    </row>
    <row r="69" spans="1:26" s="1442" customFormat="1" hidden="1">
      <c r="A69" s="1994" t="str">
        <f>'Estimate Detail'!B222</f>
        <v>051601</v>
      </c>
      <c r="B69" s="1443"/>
      <c r="C69" s="1443" t="s">
        <v>667</v>
      </c>
      <c r="D69" s="1443" t="s">
        <v>668</v>
      </c>
      <c r="E69" s="1443" t="str">
        <f>'Estimate Detail'!C222</f>
        <v>Pressure Transmitters - Assy No. 61</v>
      </c>
      <c r="F69" s="1443" t="str">
        <f>'Estimate Detail'!AJ222</f>
        <v>MAT/HW</v>
      </c>
      <c r="G69" s="1443" t="str">
        <f>'Estimate Detail'!U222</f>
        <v>Rosemount</v>
      </c>
      <c r="H69" s="1443" t="str">
        <f>'Estimate Detail'!AK222</f>
        <v>External</v>
      </c>
      <c r="I69" s="1443" t="str">
        <f>'Estimate Detail'!AL222</f>
        <v>CN</v>
      </c>
      <c r="J69" s="2014">
        <f>'Estimate Detail'!AM222</f>
        <v>1</v>
      </c>
      <c r="K69" s="1993" t="str">
        <f>'Estimate Detail'!AN222</f>
        <v>set</v>
      </c>
      <c r="L69" s="2014">
        <f>'Estimate Detail'!AO222</f>
        <v>0</v>
      </c>
      <c r="M69" s="1443" t="str">
        <f>'Estimate Detail'!AP222</f>
        <v>CNY</v>
      </c>
      <c r="N69" s="1443" t="str">
        <f>'Estimate Detail'!AQ222</f>
        <v>BOCE</v>
      </c>
      <c r="O69" s="1443" t="str">
        <f>'Estimate Detail'!AR222</f>
        <v>CNAP</v>
      </c>
      <c r="P69" s="1443" t="str">
        <f>'Estimate Detail'!AS222</f>
        <v>B</v>
      </c>
      <c r="Q69" s="1443" t="str">
        <f>'Estimate Detail'!AT222</f>
        <v>FOB SH</v>
      </c>
      <c r="R69" s="1443" t="str">
        <f>'Estimate Detail'!AU222</f>
        <v>CN</v>
      </c>
      <c r="S69" s="1443" t="str">
        <f>'Estimate Detail'!AV222</f>
        <v>YES</v>
      </c>
      <c r="T69" s="1444">
        <f>'Estimate Detail'!AW222</f>
        <v>42683</v>
      </c>
      <c r="U69" s="1443"/>
      <c r="V69" s="1445"/>
      <c r="W69" s="1443"/>
      <c r="X69" s="1475"/>
      <c r="Z69" s="1472"/>
    </row>
    <row r="70" spans="1:26" s="1442" customFormat="1" hidden="1">
      <c r="A70" s="1994" t="str">
        <f>'Estimate Detail'!B223</f>
        <v>051601</v>
      </c>
      <c r="B70" s="1443"/>
      <c r="C70" s="1443" t="s">
        <v>667</v>
      </c>
      <c r="D70" s="1443" t="s">
        <v>668</v>
      </c>
      <c r="E70" s="1443" t="str">
        <f>'Estimate Detail'!C223</f>
        <v>Pressure/Temperature watch - Assy No. 61</v>
      </c>
      <c r="F70" s="1443" t="str">
        <f>'Estimate Detail'!AJ223</f>
        <v>MAT/HW</v>
      </c>
      <c r="G70" s="1443" t="str">
        <f>'Estimate Detail'!U223</f>
        <v>Unknown Supplier</v>
      </c>
      <c r="H70" s="1443" t="str">
        <f>'Estimate Detail'!AK223</f>
        <v>External</v>
      </c>
      <c r="I70" s="1443" t="str">
        <f>'Estimate Detail'!AL223</f>
        <v>CN</v>
      </c>
      <c r="J70" s="2014">
        <f>'Estimate Detail'!AM223</f>
        <v>1</v>
      </c>
      <c r="K70" s="1993" t="str">
        <f>'Estimate Detail'!AN223</f>
        <v>set</v>
      </c>
      <c r="L70" s="2014">
        <f>'Estimate Detail'!AO223</f>
        <v>0</v>
      </c>
      <c r="M70" s="1443" t="str">
        <f>'Estimate Detail'!AP223</f>
        <v>CNY</v>
      </c>
      <c r="N70" s="1443" t="str">
        <f>'Estimate Detail'!AQ223</f>
        <v>BOCE</v>
      </c>
      <c r="O70" s="1443" t="str">
        <f>'Estimate Detail'!AR223</f>
        <v>CNAP</v>
      </c>
      <c r="P70" s="1443" t="str">
        <f>'Estimate Detail'!AS223</f>
        <v>B</v>
      </c>
      <c r="Q70" s="1443" t="str">
        <f>'Estimate Detail'!AT223</f>
        <v>FOB SH</v>
      </c>
      <c r="R70" s="1443" t="str">
        <f>'Estimate Detail'!AU223</f>
        <v>CN</v>
      </c>
      <c r="S70" s="1443" t="str">
        <f>'Estimate Detail'!AV223</f>
        <v>YES</v>
      </c>
      <c r="T70" s="1444">
        <f>'Estimate Detail'!AW223</f>
        <v>42683</v>
      </c>
      <c r="U70" s="1443"/>
      <c r="V70" s="1445"/>
      <c r="W70" s="1443"/>
      <c r="X70" s="1475"/>
      <c r="Z70" s="1472"/>
    </row>
    <row r="71" spans="1:26" s="1442" customFormat="1" hidden="1">
      <c r="A71" s="1994" t="str">
        <f>'Estimate Detail'!B224</f>
        <v>051609</v>
      </c>
      <c r="B71" s="1443"/>
      <c r="C71" s="1443" t="s">
        <v>667</v>
      </c>
      <c r="D71" s="1443" t="s">
        <v>668</v>
      </c>
      <c r="E71" s="1443" t="str">
        <f>'Estimate Detail'!C224</f>
        <v>Leak detection system - Assy No. 61</v>
      </c>
      <c r="F71" s="1443" t="str">
        <f>'Estimate Detail'!AJ224</f>
        <v>MAT/HW</v>
      </c>
      <c r="G71" s="1443" t="str">
        <f>'Estimate Detail'!U224</f>
        <v>NanJing Qingneng</v>
      </c>
      <c r="H71" s="1443" t="str">
        <f>'Estimate Detail'!AK224</f>
        <v>External</v>
      </c>
      <c r="I71" s="1443" t="str">
        <f>'Estimate Detail'!AL224</f>
        <v>CN</v>
      </c>
      <c r="J71" s="2014">
        <f>'Estimate Detail'!AM224</f>
        <v>1</v>
      </c>
      <c r="K71" s="1993" t="str">
        <f>'Estimate Detail'!AN224</f>
        <v>set</v>
      </c>
      <c r="L71" s="2014">
        <f>'Estimate Detail'!AO224</f>
        <v>0</v>
      </c>
      <c r="M71" s="1443" t="str">
        <f>'Estimate Detail'!AP224</f>
        <v>CNY</v>
      </c>
      <c r="N71" s="1443" t="str">
        <f>'Estimate Detail'!AQ224</f>
        <v>BOCE</v>
      </c>
      <c r="O71" s="1443" t="str">
        <f>'Estimate Detail'!AR224</f>
        <v>CNAP</v>
      </c>
      <c r="P71" s="1443" t="str">
        <f>'Estimate Detail'!AS224</f>
        <v>B</v>
      </c>
      <c r="Q71" s="1443" t="str">
        <f>'Estimate Detail'!AT224</f>
        <v>FOB SH</v>
      </c>
      <c r="R71" s="1443" t="str">
        <f>'Estimate Detail'!AU224</f>
        <v>CN</v>
      </c>
      <c r="S71" s="1443" t="str">
        <f>'Estimate Detail'!AV224</f>
        <v>YES</v>
      </c>
      <c r="T71" s="1444">
        <f>'Estimate Detail'!AW224</f>
        <v>42683</v>
      </c>
      <c r="U71" s="1443"/>
      <c r="V71" s="1445"/>
      <c r="W71" s="1443"/>
      <c r="X71" s="1475"/>
      <c r="Z71" s="1472"/>
    </row>
    <row r="72" spans="1:26" s="1442" customFormat="1" ht="22.5" hidden="1">
      <c r="A72" s="1994" t="str">
        <f>'Estimate Detail'!B225</f>
        <v>051601</v>
      </c>
      <c r="B72" s="1443"/>
      <c r="C72" s="1443" t="s">
        <v>667</v>
      </c>
      <c r="D72" s="1443" t="s">
        <v>668</v>
      </c>
      <c r="E72" s="1443" t="str">
        <f>'Estimate Detail'!C225</f>
        <v>Flame Scanner and Cooling Air System - Assy No. 61</v>
      </c>
      <c r="F72" s="1443" t="str">
        <f>'Estimate Detail'!AJ225</f>
        <v>MAT/HW</v>
      </c>
      <c r="G72" s="1443" t="str">
        <f>'Estimate Detail'!U225</f>
        <v>COEN</v>
      </c>
      <c r="H72" s="1443" t="str">
        <f>'Estimate Detail'!AK225</f>
        <v>External</v>
      </c>
      <c r="I72" s="1443" t="str">
        <f>'Estimate Detail'!AL225</f>
        <v>CN</v>
      </c>
      <c r="J72" s="2014">
        <f>'Estimate Detail'!AM225</f>
        <v>1</v>
      </c>
      <c r="K72" s="1993" t="str">
        <f>'Estimate Detail'!AN225</f>
        <v>set</v>
      </c>
      <c r="L72" s="2014">
        <f>'Estimate Detail'!AO225</f>
        <v>0</v>
      </c>
      <c r="M72" s="1443" t="str">
        <f>'Estimate Detail'!AP225</f>
        <v>CNY</v>
      </c>
      <c r="N72" s="1443" t="str">
        <f>'Estimate Detail'!AQ225</f>
        <v>BOCE</v>
      </c>
      <c r="O72" s="1443" t="str">
        <f>'Estimate Detail'!AR225</f>
        <v>CNAP</v>
      </c>
      <c r="P72" s="1443" t="str">
        <f>'Estimate Detail'!AS225</f>
        <v>B</v>
      </c>
      <c r="Q72" s="1443" t="str">
        <f>'Estimate Detail'!AT225</f>
        <v>FOB SH</v>
      </c>
      <c r="R72" s="1443" t="str">
        <f>'Estimate Detail'!AU225</f>
        <v>CN</v>
      </c>
      <c r="S72" s="1443" t="str">
        <f>'Estimate Detail'!AV225</f>
        <v>YES</v>
      </c>
      <c r="T72" s="1444">
        <f>'Estimate Detail'!AW225</f>
        <v>42683</v>
      </c>
      <c r="U72" s="1443"/>
      <c r="V72" s="1445"/>
      <c r="W72" s="1443"/>
      <c r="X72" s="1475"/>
      <c r="Z72" s="1472"/>
    </row>
    <row r="73" spans="1:26" s="1442" customFormat="1" hidden="1">
      <c r="A73" s="1994" t="str">
        <f>'Estimate Detail'!B226</f>
        <v>051612</v>
      </c>
      <c r="B73" s="1443"/>
      <c r="C73" s="1443" t="s">
        <v>667</v>
      </c>
      <c r="D73" s="1443" t="s">
        <v>668</v>
      </c>
      <c r="E73" s="1443" t="str">
        <f>'Estimate Detail'!C226</f>
        <v>CCTV System - Assy No. 61</v>
      </c>
      <c r="F73" s="1443" t="str">
        <f>'Estimate Detail'!AJ226</f>
        <v>MAT/HW</v>
      </c>
      <c r="G73" s="1443" t="str">
        <f>'Estimate Detail'!U226</f>
        <v>Changchun Boiler Instrumentation</v>
      </c>
      <c r="H73" s="1443" t="str">
        <f>'Estimate Detail'!AK226</f>
        <v>External</v>
      </c>
      <c r="I73" s="1443" t="str">
        <f>'Estimate Detail'!AL226</f>
        <v>CN</v>
      </c>
      <c r="J73" s="2014">
        <f>'Estimate Detail'!AM226</f>
        <v>1</v>
      </c>
      <c r="K73" s="1993" t="str">
        <f>'Estimate Detail'!AN226</f>
        <v>set</v>
      </c>
      <c r="L73" s="2014">
        <f>'Estimate Detail'!AO226</f>
        <v>0</v>
      </c>
      <c r="M73" s="1443" t="str">
        <f>'Estimate Detail'!AP226</f>
        <v>CNY</v>
      </c>
      <c r="N73" s="1443" t="str">
        <f>'Estimate Detail'!AQ226</f>
        <v>BOCE</v>
      </c>
      <c r="O73" s="1443" t="str">
        <f>'Estimate Detail'!AR226</f>
        <v>CNAP</v>
      </c>
      <c r="P73" s="1443" t="str">
        <f>'Estimate Detail'!AS226</f>
        <v>B</v>
      </c>
      <c r="Q73" s="1443" t="str">
        <f>'Estimate Detail'!AT226</f>
        <v>FOB SH</v>
      </c>
      <c r="R73" s="1443" t="str">
        <f>'Estimate Detail'!AU226</f>
        <v>CN</v>
      </c>
      <c r="S73" s="1443" t="str">
        <f>'Estimate Detail'!AV226</f>
        <v>YES</v>
      </c>
      <c r="T73" s="1444">
        <f>'Estimate Detail'!AW226</f>
        <v>42683</v>
      </c>
      <c r="U73" s="1443"/>
      <c r="V73" s="1445"/>
      <c r="W73" s="1443"/>
      <c r="X73" s="1475"/>
      <c r="Z73" s="1472"/>
    </row>
    <row r="74" spans="1:26" s="1442" customFormat="1" hidden="1">
      <c r="A74" s="1994" t="str">
        <f>'Estimate Detail'!B227</f>
        <v>051612</v>
      </c>
      <c r="B74" s="1443"/>
      <c r="C74" s="1443" t="s">
        <v>667</v>
      </c>
      <c r="D74" s="1443" t="s">
        <v>668</v>
      </c>
      <c r="E74" s="1443" t="str">
        <f>'Estimate Detail'!C227</f>
        <v>CCTV System - Assy No. 61</v>
      </c>
      <c r="F74" s="1443" t="str">
        <f>'Estimate Detail'!AJ227</f>
        <v>MAT/HW</v>
      </c>
      <c r="G74" s="1443" t="str">
        <f>'Estimate Detail'!U227</f>
        <v>Changchun Boiler Instrumentation</v>
      </c>
      <c r="H74" s="1443" t="str">
        <f>'Estimate Detail'!AK227</f>
        <v>External</v>
      </c>
      <c r="I74" s="1443" t="str">
        <f>'Estimate Detail'!AL227</f>
        <v>CN</v>
      </c>
      <c r="J74" s="2014">
        <f>'Estimate Detail'!AM227</f>
        <v>1</v>
      </c>
      <c r="K74" s="1993" t="str">
        <f>'Estimate Detail'!AN227</f>
        <v>set</v>
      </c>
      <c r="L74" s="2014">
        <f>'Estimate Detail'!AO227</f>
        <v>0</v>
      </c>
      <c r="M74" s="1443" t="str">
        <f>'Estimate Detail'!AP227</f>
        <v>CNY</v>
      </c>
      <c r="N74" s="1443" t="str">
        <f>'Estimate Detail'!AQ227</f>
        <v>BOCE</v>
      </c>
      <c r="O74" s="1443" t="str">
        <f>'Estimate Detail'!AR227</f>
        <v>CNAP</v>
      </c>
      <c r="P74" s="1443" t="str">
        <f>'Estimate Detail'!AS227</f>
        <v>B</v>
      </c>
      <c r="Q74" s="1443" t="str">
        <f>'Estimate Detail'!AT227</f>
        <v>FOB SH</v>
      </c>
      <c r="R74" s="1443" t="str">
        <f>'Estimate Detail'!AU227</f>
        <v>CN</v>
      </c>
      <c r="S74" s="1443" t="str">
        <f>'Estimate Detail'!AV227</f>
        <v>YES</v>
      </c>
      <c r="T74" s="1444">
        <f>'Estimate Detail'!AW227</f>
        <v>42683</v>
      </c>
      <c r="U74" s="1443"/>
      <c r="V74" s="1445"/>
      <c r="W74" s="1443"/>
      <c r="X74" s="1475"/>
      <c r="Z74" s="1472"/>
    </row>
    <row r="75" spans="1:26" s="1442" customFormat="1" hidden="1">
      <c r="A75" s="1994" t="str">
        <f>'Estimate Detail'!B230</f>
        <v>051601</v>
      </c>
      <c r="B75" s="1443"/>
      <c r="C75" s="1443" t="s">
        <v>667</v>
      </c>
      <c r="D75" s="1443" t="s">
        <v>668</v>
      </c>
      <c r="E75" s="1443" t="str">
        <f>'Estimate Detail'!C230</f>
        <v>Ash Hopper Level Gauge - Assy No. 61</v>
      </c>
      <c r="F75" s="1443" t="str">
        <f>'Estimate Detail'!AJ230</f>
        <v>MAT/HW</v>
      </c>
      <c r="G75" s="1443" t="str">
        <f>'Estimate Detail'!U230</f>
        <v>Unknown Supplier</v>
      </c>
      <c r="H75" s="1443" t="str">
        <f>'Estimate Detail'!AK230</f>
        <v>External</v>
      </c>
      <c r="I75" s="1443" t="str">
        <f>'Estimate Detail'!AL230</f>
        <v>CN</v>
      </c>
      <c r="J75" s="2014">
        <f>'Estimate Detail'!AM230</f>
        <v>1</v>
      </c>
      <c r="K75" s="1993" t="str">
        <f>'Estimate Detail'!AN230</f>
        <v>set</v>
      </c>
      <c r="L75" s="2014">
        <f>'Estimate Detail'!AO230</f>
        <v>0</v>
      </c>
      <c r="M75" s="1443" t="str">
        <f>'Estimate Detail'!AP230</f>
        <v>CNY</v>
      </c>
      <c r="N75" s="1443" t="str">
        <f>'Estimate Detail'!AQ230</f>
        <v>BOCE</v>
      </c>
      <c r="O75" s="1443" t="str">
        <f>'Estimate Detail'!AR230</f>
        <v>CNAP</v>
      </c>
      <c r="P75" s="1443" t="str">
        <f>'Estimate Detail'!AS230</f>
        <v>B</v>
      </c>
      <c r="Q75" s="1443" t="str">
        <f>'Estimate Detail'!AT230</f>
        <v>FOB SH</v>
      </c>
      <c r="R75" s="1443" t="str">
        <f>'Estimate Detail'!AU230</f>
        <v>CN</v>
      </c>
      <c r="S75" s="1443" t="str">
        <f>'Estimate Detail'!AV230</f>
        <v>YES</v>
      </c>
      <c r="T75" s="1444">
        <f>'Estimate Detail'!AW230</f>
        <v>42683</v>
      </c>
      <c r="U75" s="1443"/>
      <c r="V75" s="1445"/>
      <c r="W75" s="1443"/>
      <c r="X75" s="1475"/>
      <c r="Z75" s="1472"/>
    </row>
    <row r="76" spans="1:26" s="1442" customFormat="1" hidden="1">
      <c r="A76" s="1994" t="str">
        <f>'Estimate Detail'!B235</f>
        <v>051709</v>
      </c>
      <c r="B76" s="1443"/>
      <c r="C76" s="1443" t="s">
        <v>667</v>
      </c>
      <c r="D76" s="1443" t="s">
        <v>668</v>
      </c>
      <c r="E76" s="1443" t="str">
        <f>'Estimate Detail'!C235</f>
        <v>Hoists &amp; Trolleys</v>
      </c>
      <c r="F76" s="1443" t="str">
        <f>'Estimate Detail'!AJ235</f>
        <v>MAT/HW</v>
      </c>
      <c r="G76" s="1443" t="str">
        <f>'Estimate Detail'!U235</f>
        <v>Xinxiang Hoisting</v>
      </c>
      <c r="H76" s="1443" t="str">
        <f>'Estimate Detail'!AK235</f>
        <v>External</v>
      </c>
      <c r="I76" s="1443" t="str">
        <f>'Estimate Detail'!AL235</f>
        <v>CN</v>
      </c>
      <c r="J76" s="2014">
        <f>'Estimate Detail'!AM235</f>
        <v>1</v>
      </c>
      <c r="K76" s="1993" t="str">
        <f>'Estimate Detail'!AN235</f>
        <v>set</v>
      </c>
      <c r="L76" s="2014">
        <f>'Estimate Detail'!AO235</f>
        <v>0</v>
      </c>
      <c r="M76" s="1443" t="str">
        <f>'Estimate Detail'!AP235</f>
        <v>CNY</v>
      </c>
      <c r="N76" s="1443" t="str">
        <f>'Estimate Detail'!AQ235</f>
        <v>BOCE</v>
      </c>
      <c r="O76" s="1443" t="str">
        <f>'Estimate Detail'!AR235</f>
        <v>CNAP</v>
      </c>
      <c r="P76" s="1443" t="str">
        <f>'Estimate Detail'!AS235</f>
        <v>B</v>
      </c>
      <c r="Q76" s="1443" t="str">
        <f>'Estimate Detail'!AT235</f>
        <v>FOB SH</v>
      </c>
      <c r="R76" s="1443" t="str">
        <f>'Estimate Detail'!AU235</f>
        <v>CN</v>
      </c>
      <c r="S76" s="1443" t="str">
        <f>'Estimate Detail'!AV235</f>
        <v>YES</v>
      </c>
      <c r="T76" s="1444">
        <f>'Estimate Detail'!AW235</f>
        <v>42683</v>
      </c>
      <c r="U76" s="1443"/>
      <c r="V76" s="1445"/>
      <c r="W76" s="1443"/>
      <c r="X76" s="1475"/>
      <c r="Z76" s="1472"/>
    </row>
    <row r="77" spans="1:26" s="1442" customFormat="1" hidden="1">
      <c r="A77" s="1994" t="str">
        <f>'Estimate Detail'!B236</f>
        <v>051744</v>
      </c>
      <c r="B77" s="1443"/>
      <c r="C77" s="1443" t="s">
        <v>667</v>
      </c>
      <c r="D77" s="1443" t="s">
        <v>668</v>
      </c>
      <c r="E77" s="1443" t="str">
        <f>'Estimate Detail'!C236</f>
        <v>Wrench - Assy No. 07</v>
      </c>
      <c r="F77" s="1443" t="str">
        <f>'Estimate Detail'!AJ236</f>
        <v>MAT/HW</v>
      </c>
      <c r="G77" s="1443" t="str">
        <f>'Estimate Detail'!U236</f>
        <v>Qian Tian</v>
      </c>
      <c r="H77" s="1443" t="str">
        <f>'Estimate Detail'!AK236</f>
        <v>External</v>
      </c>
      <c r="I77" s="1443" t="str">
        <f>'Estimate Detail'!AL236</f>
        <v>CN</v>
      </c>
      <c r="J77" s="2014">
        <f>'Estimate Detail'!AM236</f>
        <v>1</v>
      </c>
      <c r="K77" s="1993" t="str">
        <f>'Estimate Detail'!AN236</f>
        <v>set</v>
      </c>
      <c r="L77" s="2014">
        <f>'Estimate Detail'!AO236</f>
        <v>0</v>
      </c>
      <c r="M77" s="1443" t="str">
        <f>'Estimate Detail'!AP236</f>
        <v>CNY</v>
      </c>
      <c r="N77" s="1443" t="str">
        <f>'Estimate Detail'!AQ236</f>
        <v>BOCE</v>
      </c>
      <c r="O77" s="1443" t="str">
        <f>'Estimate Detail'!AR236</f>
        <v>CNAP</v>
      </c>
      <c r="P77" s="1443" t="str">
        <f>'Estimate Detail'!AS236</f>
        <v>B</v>
      </c>
      <c r="Q77" s="1443" t="str">
        <f>'Estimate Detail'!AT236</f>
        <v>FOB SH</v>
      </c>
      <c r="R77" s="1443" t="str">
        <f>'Estimate Detail'!AU236</f>
        <v>CN</v>
      </c>
      <c r="S77" s="1443" t="str">
        <f>'Estimate Detail'!AV236</f>
        <v>YES</v>
      </c>
      <c r="T77" s="1444">
        <f>'Estimate Detail'!AW236</f>
        <v>42683</v>
      </c>
      <c r="U77" s="1443"/>
      <c r="V77" s="1445"/>
      <c r="W77" s="1443"/>
      <c r="X77" s="1475"/>
      <c r="Z77" s="1472"/>
    </row>
    <row r="78" spans="1:26" s="1442" customFormat="1" hidden="1">
      <c r="A78" s="1994" t="str">
        <f>'Estimate Detail'!B237</f>
        <v>051745</v>
      </c>
      <c r="B78" s="1443"/>
      <c r="C78" s="1443" t="s">
        <v>667</v>
      </c>
      <c r="D78" s="1443" t="s">
        <v>668</v>
      </c>
      <c r="E78" s="1443" t="str">
        <f>'Estimate Detail'!C237</f>
        <v>Maintenance Platform - Assy No. 26</v>
      </c>
      <c r="F78" s="1443" t="str">
        <f>'Estimate Detail'!AJ237</f>
        <v>MAT/HW</v>
      </c>
      <c r="G78" s="1443" t="str">
        <f>'Estimate Detail'!U237</f>
        <v>Aerosun Corporation</v>
      </c>
      <c r="H78" s="1443" t="str">
        <f>'Estimate Detail'!AK237</f>
        <v>External</v>
      </c>
      <c r="I78" s="1443" t="str">
        <f>'Estimate Detail'!AL237</f>
        <v>CN</v>
      </c>
      <c r="J78" s="2014">
        <f>'Estimate Detail'!AM237</f>
        <v>1</v>
      </c>
      <c r="K78" s="1993" t="str">
        <f>'Estimate Detail'!AN237</f>
        <v>set</v>
      </c>
      <c r="L78" s="2014">
        <f>'Estimate Detail'!AO237</f>
        <v>0</v>
      </c>
      <c r="M78" s="1443" t="str">
        <f>'Estimate Detail'!AP237</f>
        <v>CNY</v>
      </c>
      <c r="N78" s="1443" t="str">
        <f>'Estimate Detail'!AQ237</f>
        <v>BOCE</v>
      </c>
      <c r="O78" s="1443" t="str">
        <f>'Estimate Detail'!AR237</f>
        <v>CNAP</v>
      </c>
      <c r="P78" s="1443" t="str">
        <f>'Estimate Detail'!AS237</f>
        <v>B</v>
      </c>
      <c r="Q78" s="1443" t="str">
        <f>'Estimate Detail'!AT237</f>
        <v>FOB SH</v>
      </c>
      <c r="R78" s="1443" t="str">
        <f>'Estimate Detail'!AU237</f>
        <v>CN</v>
      </c>
      <c r="S78" s="1443" t="str">
        <f>'Estimate Detail'!AV237</f>
        <v>YES</v>
      </c>
      <c r="T78" s="1444">
        <f>'Estimate Detail'!AW237</f>
        <v>42683</v>
      </c>
      <c r="U78" s="1443"/>
      <c r="V78" s="1445"/>
      <c r="W78" s="1443"/>
      <c r="X78" s="1475"/>
      <c r="Z78" s="1472"/>
    </row>
    <row r="79" spans="1:26" s="1442" customFormat="1" hidden="1">
      <c r="A79" s="1994" t="str">
        <f>'Estimate Detail'!B238</f>
        <v>051748</v>
      </c>
      <c r="B79" s="1443"/>
      <c r="C79" s="1443" t="s">
        <v>667</v>
      </c>
      <c r="D79" s="1443" t="s">
        <v>668</v>
      </c>
      <c r="E79" s="1443" t="str">
        <f>'Estimate Detail'!C238</f>
        <v>Hangers for Internal Pipes - Assy No. 22</v>
      </c>
      <c r="F79" s="1443" t="str">
        <f>'Estimate Detail'!AJ238</f>
        <v>MAT/HW</v>
      </c>
      <c r="G79" s="1443" t="str">
        <f>'Estimate Detail'!U238</f>
        <v>Yangzhou Huayuan</v>
      </c>
      <c r="H79" s="1443" t="str">
        <f>'Estimate Detail'!AK238</f>
        <v>External</v>
      </c>
      <c r="I79" s="1443" t="str">
        <f>'Estimate Detail'!AL238</f>
        <v>CN</v>
      </c>
      <c r="J79" s="2014">
        <f>'Estimate Detail'!AM238</f>
        <v>1</v>
      </c>
      <c r="K79" s="1993" t="str">
        <f>'Estimate Detail'!AN238</f>
        <v>set</v>
      </c>
      <c r="L79" s="2014">
        <f>'Estimate Detail'!AO238</f>
        <v>0</v>
      </c>
      <c r="M79" s="1443" t="str">
        <f>'Estimate Detail'!AP238</f>
        <v>CNY</v>
      </c>
      <c r="N79" s="1443" t="str">
        <f>'Estimate Detail'!AQ238</f>
        <v>BOCE</v>
      </c>
      <c r="O79" s="1443" t="str">
        <f>'Estimate Detail'!AR238</f>
        <v>CNAP</v>
      </c>
      <c r="P79" s="1443" t="str">
        <f>'Estimate Detail'!AS238</f>
        <v>B</v>
      </c>
      <c r="Q79" s="1443" t="str">
        <f>'Estimate Detail'!AT238</f>
        <v>FOB SH</v>
      </c>
      <c r="R79" s="1443" t="str">
        <f>'Estimate Detail'!AU238</f>
        <v>CN</v>
      </c>
      <c r="S79" s="1443" t="str">
        <f>'Estimate Detail'!AV238</f>
        <v>YES</v>
      </c>
      <c r="T79" s="1444">
        <f>'Estimate Detail'!AW238</f>
        <v>42683</v>
      </c>
      <c r="U79" s="1443"/>
      <c r="V79" s="1445"/>
      <c r="W79" s="1443"/>
      <c r="X79" s="1475"/>
      <c r="Z79" s="1472"/>
    </row>
    <row r="80" spans="1:26" s="1442" customFormat="1" hidden="1">
      <c r="A80" s="1994" t="str">
        <f>'Estimate Detail'!B239</f>
        <v>051749</v>
      </c>
      <c r="B80" s="1443"/>
      <c r="C80" s="1443" t="s">
        <v>667</v>
      </c>
      <c r="D80" s="1443" t="s">
        <v>668</v>
      </c>
      <c r="E80" s="1443" t="str">
        <f>'Estimate Detail'!C239</f>
        <v>Hangers for External Pipes - Assy No. 29</v>
      </c>
      <c r="F80" s="1443" t="str">
        <f>'Estimate Detail'!AJ239</f>
        <v>MAT/HW</v>
      </c>
      <c r="G80" s="1443" t="str">
        <f>'Estimate Detail'!U239</f>
        <v>Yangzhou Huayuan</v>
      </c>
      <c r="H80" s="1443" t="str">
        <f>'Estimate Detail'!AK239</f>
        <v>External</v>
      </c>
      <c r="I80" s="1443" t="str">
        <f>'Estimate Detail'!AL239</f>
        <v>CN</v>
      </c>
      <c r="J80" s="2014">
        <f>'Estimate Detail'!AM239</f>
        <v>1</v>
      </c>
      <c r="K80" s="1993" t="str">
        <f>'Estimate Detail'!AN239</f>
        <v>set</v>
      </c>
      <c r="L80" s="2014">
        <f>'Estimate Detail'!AO239</f>
        <v>0</v>
      </c>
      <c r="M80" s="1443" t="str">
        <f>'Estimate Detail'!AP239</f>
        <v>CNY</v>
      </c>
      <c r="N80" s="1443" t="str">
        <f>'Estimate Detail'!AQ239</f>
        <v>BOCE</v>
      </c>
      <c r="O80" s="1443" t="str">
        <f>'Estimate Detail'!AR239</f>
        <v>CNAP</v>
      </c>
      <c r="P80" s="1443" t="str">
        <f>'Estimate Detail'!AS239</f>
        <v>B</v>
      </c>
      <c r="Q80" s="1443" t="str">
        <f>'Estimate Detail'!AT239</f>
        <v>FOB SH</v>
      </c>
      <c r="R80" s="1443" t="str">
        <f>'Estimate Detail'!AU239</f>
        <v>CN</v>
      </c>
      <c r="S80" s="1443" t="str">
        <f>'Estimate Detail'!AV239</f>
        <v>YES</v>
      </c>
      <c r="T80" s="1444">
        <f>'Estimate Detail'!AW239</f>
        <v>42683</v>
      </c>
      <c r="U80" s="1443"/>
      <c r="V80" s="1445"/>
      <c r="W80" s="1443"/>
      <c r="X80" s="1475"/>
      <c r="Z80" s="1472"/>
    </row>
    <row r="81" spans="1:26" s="1442" customFormat="1" hidden="1">
      <c r="A81" s="1994" t="str">
        <f>'Estimate Detail'!B244</f>
        <v>051801</v>
      </c>
      <c r="B81" s="1443"/>
      <c r="C81" s="1443" t="s">
        <v>667</v>
      </c>
      <c r="D81" s="1443" t="s">
        <v>668</v>
      </c>
      <c r="E81" s="1443" t="str">
        <f>'Estimate Detail'!C244</f>
        <v>Insulation metal settings - Assy No. 10</v>
      </c>
      <c r="F81" s="1443" t="str">
        <f>'Estimate Detail'!AJ244</f>
        <v>MAT/HW</v>
      </c>
      <c r="G81" s="1443" t="str">
        <f>'Estimate Detail'!U244</f>
        <v>Suzhou Lanjing</v>
      </c>
      <c r="H81" s="1443" t="str">
        <f>'Estimate Detail'!AK244</f>
        <v>External</v>
      </c>
      <c r="I81" s="1443" t="str">
        <f>'Estimate Detail'!AL244</f>
        <v>CN</v>
      </c>
      <c r="J81" s="2014">
        <f>'Estimate Detail'!AM244</f>
        <v>1</v>
      </c>
      <c r="K81" s="1993" t="str">
        <f>'Estimate Detail'!AN244</f>
        <v>set</v>
      </c>
      <c r="L81" s="2014">
        <f>'Estimate Detail'!AO244</f>
        <v>0</v>
      </c>
      <c r="M81" s="1443" t="str">
        <f>'Estimate Detail'!AP244</f>
        <v>CNY</v>
      </c>
      <c r="N81" s="1443" t="str">
        <f>'Estimate Detail'!AQ244</f>
        <v>BOCE</v>
      </c>
      <c r="O81" s="1443" t="str">
        <f>'Estimate Detail'!AR244</f>
        <v>CNAP</v>
      </c>
      <c r="P81" s="1443" t="str">
        <f>'Estimate Detail'!AS244</f>
        <v>B</v>
      </c>
      <c r="Q81" s="1443" t="str">
        <f>'Estimate Detail'!AT244</f>
        <v>FOB SH</v>
      </c>
      <c r="R81" s="1443" t="str">
        <f>'Estimate Detail'!AU244</f>
        <v>CN</v>
      </c>
      <c r="S81" s="1443" t="str">
        <f>'Estimate Detail'!AV244</f>
        <v>YES</v>
      </c>
      <c r="T81" s="1444">
        <f>'Estimate Detail'!AW244</f>
        <v>42683</v>
      </c>
      <c r="U81" s="1443"/>
      <c r="V81" s="1445"/>
      <c r="W81" s="1443"/>
      <c r="X81" s="1475"/>
      <c r="Z81" s="1472"/>
    </row>
    <row r="82" spans="1:26" s="1442" customFormat="1" hidden="1">
      <c r="A82" s="1994" t="str">
        <f>'Estimate Detail'!B257</f>
        <v>060101</v>
      </c>
      <c r="B82" s="1443"/>
      <c r="C82" s="1443" t="s">
        <v>667</v>
      </c>
      <c r="D82" s="1443" t="s">
        <v>668</v>
      </c>
      <c r="E82" s="1443" t="str">
        <f>'Estimate Detail'!C257</f>
        <v>Process Engineering</v>
      </c>
      <c r="F82" s="1443" t="str">
        <f>'Estimate Detail'!AJ257</f>
        <v>ENG/INT</v>
      </c>
      <c r="G82" s="1443" t="str">
        <f>'Estimate Detail'!U257</f>
        <v>WUHAN BOILER COMPANY LTD</v>
      </c>
      <c r="H82" s="1443" t="str">
        <f>'Estimate Detail'!AK257</f>
        <v>Internal</v>
      </c>
      <c r="I82" s="1443" t="b">
        <f>'Estimate Detail'!AL257</f>
        <v>0</v>
      </c>
      <c r="J82" s="2014">
        <f>'Estimate Detail'!AM257</f>
        <v>1</v>
      </c>
      <c r="K82" s="1993" t="str">
        <f>'Estimate Detail'!AN257</f>
        <v>set</v>
      </c>
      <c r="L82" s="2014">
        <f>'Estimate Detail'!AO257</f>
        <v>0</v>
      </c>
      <c r="M82" s="1443">
        <f>'Estimate Detail'!AP257</f>
        <v>0</v>
      </c>
      <c r="N82" s="1443" t="str">
        <f>'Estimate Detail'!AQ257</f>
        <v>BOCE</v>
      </c>
      <c r="O82" s="1443" t="str">
        <f>'Estimate Detail'!AR257</f>
        <v>CNAP</v>
      </c>
      <c r="P82" s="1443" t="str">
        <f>'Estimate Detail'!AS257</f>
        <v>A</v>
      </c>
      <c r="Q82" s="1443">
        <f>'Estimate Detail'!AT257</f>
        <v>0</v>
      </c>
      <c r="R82" s="1443" t="b">
        <f>'Estimate Detail'!AU257</f>
        <v>0</v>
      </c>
      <c r="S82" s="1443" t="str">
        <f>'Estimate Detail'!AV257</f>
        <v>NO</v>
      </c>
      <c r="T82" s="1444">
        <f>'Estimate Detail'!AW257</f>
        <v>43100</v>
      </c>
      <c r="U82" s="1443"/>
      <c r="V82" s="1445"/>
      <c r="W82" s="1443"/>
      <c r="X82" s="1475"/>
      <c r="Z82" s="1472"/>
    </row>
    <row r="83" spans="1:26" s="1442" customFormat="1" hidden="1">
      <c r="A83" s="1994" t="str">
        <f>'Estimate Detail'!B259</f>
        <v>060301</v>
      </c>
      <c r="B83" s="1443"/>
      <c r="C83" s="1443" t="s">
        <v>667</v>
      </c>
      <c r="D83" s="1443" t="s">
        <v>668</v>
      </c>
      <c r="E83" s="1443" t="str">
        <f>'Estimate Detail'!C259</f>
        <v>General Arrangements</v>
      </c>
      <c r="F83" s="1443" t="str">
        <f>'Estimate Detail'!AJ259</f>
        <v>ENG/INT</v>
      </c>
      <c r="G83" s="1443" t="str">
        <f>'Estimate Detail'!U259</f>
        <v>WUHAN BOILER COMPANY LTD</v>
      </c>
      <c r="H83" s="1443" t="str">
        <f>'Estimate Detail'!AK259</f>
        <v>Internal</v>
      </c>
      <c r="I83" s="1443" t="b">
        <f>'Estimate Detail'!AL259</f>
        <v>0</v>
      </c>
      <c r="J83" s="2014">
        <f>'Estimate Detail'!AM259</f>
        <v>1</v>
      </c>
      <c r="K83" s="1993" t="str">
        <f>'Estimate Detail'!AN259</f>
        <v>set</v>
      </c>
      <c r="L83" s="2014">
        <f>'Estimate Detail'!AO259</f>
        <v>0</v>
      </c>
      <c r="M83" s="1443">
        <f>'Estimate Detail'!AP259</f>
        <v>0</v>
      </c>
      <c r="N83" s="1443" t="str">
        <f>'Estimate Detail'!AQ259</f>
        <v>BOCE</v>
      </c>
      <c r="O83" s="1443" t="str">
        <f>'Estimate Detail'!AR259</f>
        <v>CNAP</v>
      </c>
      <c r="P83" s="1443" t="str">
        <f>'Estimate Detail'!AS259</f>
        <v>A</v>
      </c>
      <c r="Q83" s="1443">
        <f>'Estimate Detail'!AT259</f>
        <v>0</v>
      </c>
      <c r="R83" s="1443" t="b">
        <f>'Estimate Detail'!AU259</f>
        <v>0</v>
      </c>
      <c r="S83" s="1443" t="str">
        <f>'Estimate Detail'!AV259</f>
        <v>NO</v>
      </c>
      <c r="T83" s="1444">
        <f>'Estimate Detail'!AW259</f>
        <v>43100</v>
      </c>
      <c r="U83" s="1443"/>
      <c r="V83" s="1445"/>
      <c r="W83" s="1443"/>
      <c r="X83" s="1475"/>
      <c r="Z83" s="1472"/>
    </row>
    <row r="84" spans="1:26" s="1442" customFormat="1">
      <c r="A84" s="1994" t="str">
        <f>'Estimate Detail'!B260</f>
        <v>060401</v>
      </c>
      <c r="B84" s="1443"/>
      <c r="C84" s="1443" t="s">
        <v>667</v>
      </c>
      <c r="D84" s="1443" t="s">
        <v>668</v>
      </c>
      <c r="E84" s="1443" t="str">
        <f>'Estimate Detail'!C260</f>
        <v>Pressure Parts Engineering</v>
      </c>
      <c r="F84" s="1443" t="str">
        <f>'Estimate Detail'!AJ260</f>
        <v>ENG/INT</v>
      </c>
      <c r="G84" s="1443" t="str">
        <f>'Estimate Detail'!U260</f>
        <v>WUHAN BOILER COMPANY LTD</v>
      </c>
      <c r="H84" s="1443" t="str">
        <f>'Estimate Detail'!AK260</f>
        <v>Internal</v>
      </c>
      <c r="I84" s="1443" t="str">
        <f>'Estimate Detail'!AL260</f>
        <v>CN</v>
      </c>
      <c r="J84" s="2014">
        <f>'Estimate Detail'!AM260</f>
        <v>1</v>
      </c>
      <c r="K84" s="1993" t="str">
        <f>'Estimate Detail'!AN260</f>
        <v>set</v>
      </c>
      <c r="L84" s="2014">
        <f>'Estimate Detail'!AO260</f>
        <v>1.2</v>
      </c>
      <c r="M84" s="1443" t="str">
        <f>'Estimate Detail'!AP260</f>
        <v>CNY</v>
      </c>
      <c r="N84" s="1443" t="str">
        <f>'Estimate Detail'!AQ260</f>
        <v>BOCE</v>
      </c>
      <c r="O84" s="1443" t="str">
        <f>'Estimate Detail'!AR260</f>
        <v>CNAP</v>
      </c>
      <c r="P84" s="1443" t="str">
        <f>'Estimate Detail'!AS260</f>
        <v>A</v>
      </c>
      <c r="Q84" s="1443">
        <f>'Estimate Detail'!AT260</f>
        <v>0</v>
      </c>
      <c r="R84" s="1443" t="str">
        <f>'Estimate Detail'!AU260</f>
        <v>CN</v>
      </c>
      <c r="S84" s="1443" t="str">
        <f>'Estimate Detail'!AV260</f>
        <v>NO</v>
      </c>
      <c r="T84" s="1444">
        <f>'Estimate Detail'!AW260</f>
        <v>43100</v>
      </c>
      <c r="U84" s="1443"/>
      <c r="V84" s="1445"/>
      <c r="W84" s="1443"/>
      <c r="X84" s="1475"/>
      <c r="Z84" s="1472"/>
    </row>
    <row r="85" spans="1:26" s="1442" customFormat="1">
      <c r="A85" s="1994" t="str">
        <f>'Estimate Detail'!B270</f>
        <v>060407</v>
      </c>
      <c r="B85" s="1443"/>
      <c r="C85" s="1443" t="s">
        <v>667</v>
      </c>
      <c r="D85" s="1443" t="s">
        <v>668</v>
      </c>
      <c r="E85" s="1443" t="str">
        <f>'Estimate Detail'!C270</f>
        <v>MMI</v>
      </c>
      <c r="F85" s="1443" t="str">
        <f>'Estimate Detail'!AJ270</f>
        <v>ENG/INT</v>
      </c>
      <c r="G85" s="1443" t="str">
        <f>'Estimate Detail'!U270</f>
        <v>WUHAN BOILER COMPANY LTD</v>
      </c>
      <c r="H85" s="1443" t="str">
        <f>'Estimate Detail'!AK270</f>
        <v>Internal</v>
      </c>
      <c r="I85" s="1443" t="str">
        <f>'Estimate Detail'!AL270</f>
        <v>CN</v>
      </c>
      <c r="J85" s="2014">
        <f>'Estimate Detail'!AM270</f>
        <v>1</v>
      </c>
      <c r="K85" s="1993" t="str">
        <f>'Estimate Detail'!AN270</f>
        <v>set</v>
      </c>
      <c r="L85" s="2014">
        <f>'Estimate Detail'!AO270</f>
        <v>0</v>
      </c>
      <c r="M85" s="1443" t="str">
        <f>'Estimate Detail'!AP270</f>
        <v>CNY</v>
      </c>
      <c r="N85" s="1443" t="str">
        <f>'Estimate Detail'!AQ270</f>
        <v>BOCF</v>
      </c>
      <c r="O85" s="1443" t="str">
        <f>'Estimate Detail'!AR270</f>
        <v>CNAP</v>
      </c>
      <c r="P85" s="1443" t="str">
        <f>'Estimate Detail'!AS270</f>
        <v>A</v>
      </c>
      <c r="Q85" s="1443">
        <f>'Estimate Detail'!AT270</f>
        <v>0</v>
      </c>
      <c r="R85" s="1443" t="str">
        <f>'Estimate Detail'!AU270</f>
        <v>CN</v>
      </c>
      <c r="S85" s="1443" t="str">
        <f>'Estimate Detail'!AV270</f>
        <v>NO</v>
      </c>
      <c r="T85" s="1444">
        <f>'Estimate Detail'!AW270</f>
        <v>43100</v>
      </c>
      <c r="U85" s="1443"/>
      <c r="V85" s="1445"/>
      <c r="W85" s="1443"/>
      <c r="X85" s="1475"/>
      <c r="Z85" s="1472"/>
    </row>
    <row r="86" spans="1:26" s="1442" customFormat="1">
      <c r="A86" s="1994" t="str">
        <f>'Estimate Detail'!B271</f>
        <v>060407</v>
      </c>
      <c r="B86" s="1443"/>
      <c r="C86" s="1443" t="s">
        <v>667</v>
      </c>
      <c r="D86" s="1443" t="s">
        <v>668</v>
      </c>
      <c r="E86" s="1443" t="str">
        <f>'Estimate Detail'!C271</f>
        <v xml:space="preserve">Welding Engineering </v>
      </c>
      <c r="F86" s="1443" t="str">
        <f>'Estimate Detail'!AJ271</f>
        <v>ENG/INT</v>
      </c>
      <c r="G86" s="1443" t="str">
        <f>'Estimate Detail'!U271</f>
        <v>WUHAN BOILER COMPANY LTD</v>
      </c>
      <c r="H86" s="1443" t="str">
        <f>'Estimate Detail'!AK271</f>
        <v>Internal</v>
      </c>
      <c r="I86" s="1443" t="str">
        <f>'Estimate Detail'!AL271</f>
        <v>CN</v>
      </c>
      <c r="J86" s="2014">
        <f>'Estimate Detail'!AM271</f>
        <v>1</v>
      </c>
      <c r="K86" s="1993" t="str">
        <f>'Estimate Detail'!AN271</f>
        <v>set</v>
      </c>
      <c r="L86" s="2014">
        <f>'Estimate Detail'!AO271</f>
        <v>0</v>
      </c>
      <c r="M86" s="1443" t="str">
        <f>'Estimate Detail'!AP271</f>
        <v>CNY</v>
      </c>
      <c r="N86" s="1443" t="str">
        <f>'Estimate Detail'!AQ271</f>
        <v>BOCF</v>
      </c>
      <c r="O86" s="1443" t="str">
        <f>'Estimate Detail'!AR271</f>
        <v>CNAP</v>
      </c>
      <c r="P86" s="1443" t="str">
        <f>'Estimate Detail'!AS271</f>
        <v>A</v>
      </c>
      <c r="Q86" s="1443">
        <f>'Estimate Detail'!AT271</f>
        <v>0</v>
      </c>
      <c r="R86" s="1443" t="str">
        <f>'Estimate Detail'!AU271</f>
        <v>CN</v>
      </c>
      <c r="S86" s="1443" t="str">
        <f>'Estimate Detail'!AV271</f>
        <v>NO</v>
      </c>
      <c r="T86" s="1444">
        <f>'Estimate Detail'!AW271</f>
        <v>43100</v>
      </c>
      <c r="U86" s="1443"/>
      <c r="V86" s="1445"/>
      <c r="W86" s="1443"/>
      <c r="X86" s="1475"/>
      <c r="Z86" s="1472"/>
    </row>
    <row r="87" spans="1:26" s="1442" customFormat="1" hidden="1">
      <c r="A87" s="1994" t="str">
        <f>'Estimate Detail'!B274</f>
        <v>060907</v>
      </c>
      <c r="B87" s="1443"/>
      <c r="C87" s="1443" t="s">
        <v>667</v>
      </c>
      <c r="D87" s="1443" t="s">
        <v>668</v>
      </c>
      <c r="E87" s="1443" t="str">
        <f>'Estimate Detail'!C274</f>
        <v>Mill Engineering -WBC</v>
      </c>
      <c r="F87" s="1443" t="str">
        <f>'Estimate Detail'!AJ274</f>
        <v>ENG/INT</v>
      </c>
      <c r="G87" s="1443" t="str">
        <f>'Estimate Detail'!U274</f>
        <v>WUHAN BOILER COMPANY LTD</v>
      </c>
      <c r="H87" s="1443" t="str">
        <f>'Estimate Detail'!AK274</f>
        <v>Internal</v>
      </c>
      <c r="I87" s="1443" t="str">
        <f>'Estimate Detail'!AL274</f>
        <v>CN</v>
      </c>
      <c r="J87" s="2014">
        <f>'Estimate Detail'!AM274</f>
        <v>1</v>
      </c>
      <c r="K87" s="1993" t="str">
        <f>'Estimate Detail'!AN274</f>
        <v>set</v>
      </c>
      <c r="L87" s="2014">
        <f>'Estimate Detail'!AO274</f>
        <v>0</v>
      </c>
      <c r="M87" s="1443" t="str">
        <f>'Estimate Detail'!AP274</f>
        <v>CNY</v>
      </c>
      <c r="N87" s="1443" t="str">
        <f>'Estimate Detail'!AQ274</f>
        <v>BOCE</v>
      </c>
      <c r="O87" s="1443" t="str">
        <f>'Estimate Detail'!AR274</f>
        <v>CNAP</v>
      </c>
      <c r="P87" s="1443" t="str">
        <f>'Estimate Detail'!AS274</f>
        <v>A</v>
      </c>
      <c r="Q87" s="1443">
        <f>'Estimate Detail'!AT274</f>
        <v>0</v>
      </c>
      <c r="R87" s="1443" t="str">
        <f>'Estimate Detail'!AU274</f>
        <v>CN</v>
      </c>
      <c r="S87" s="1443" t="str">
        <f>'Estimate Detail'!AV274</f>
        <v>NO</v>
      </c>
      <c r="T87" s="1444">
        <f>'Estimate Detail'!AW274</f>
        <v>43100</v>
      </c>
      <c r="U87" s="1443"/>
      <c r="V87" s="1445"/>
      <c r="W87" s="1443"/>
      <c r="X87" s="1475"/>
      <c r="Z87" s="1472"/>
    </row>
    <row r="88" spans="1:26" s="1442" customFormat="1" hidden="1">
      <c r="A88" s="1994" t="str">
        <f>'Estimate Detail'!B275</f>
        <v>060907</v>
      </c>
      <c r="B88" s="1443"/>
      <c r="C88" s="1443" t="s">
        <v>667</v>
      </c>
      <c r="D88" s="1443" t="s">
        <v>668</v>
      </c>
      <c r="E88" s="1443" t="str">
        <f>'Estimate Detail'!C275</f>
        <v>Mill Engineering -Stuttgart</v>
      </c>
      <c r="F88" s="1443" t="str">
        <f>'Estimate Detail'!AJ275</f>
        <v>ENG/INT</v>
      </c>
      <c r="G88" s="1443" t="str">
        <f>'Estimate Detail'!U275</f>
        <v>Stuttgart</v>
      </c>
      <c r="H88" s="1443" t="str">
        <f>'Estimate Detail'!AK275</f>
        <v>Internal</v>
      </c>
      <c r="I88" s="1443" t="str">
        <f>'Estimate Detail'!AL275</f>
        <v>DE</v>
      </c>
      <c r="J88" s="2014">
        <f>'Estimate Detail'!AM275</f>
        <v>1</v>
      </c>
      <c r="K88" s="1993" t="str">
        <f>'Estimate Detail'!AN275</f>
        <v>set</v>
      </c>
      <c r="L88" s="2014">
        <f>'Estimate Detail'!AO275</f>
        <v>0</v>
      </c>
      <c r="M88" s="1443" t="str">
        <f>'Estimate Detail'!AP275</f>
        <v>EUR</v>
      </c>
      <c r="N88" s="1443" t="str">
        <f>'Estimate Detail'!AQ275</f>
        <v>BOCE</v>
      </c>
      <c r="O88" s="1443" t="str">
        <f>'Estimate Detail'!AR275</f>
        <v>CNAP</v>
      </c>
      <c r="P88" s="1443" t="str">
        <f>'Estimate Detail'!AS275</f>
        <v>A</v>
      </c>
      <c r="Q88" s="1443">
        <f>'Estimate Detail'!AT275</f>
        <v>0</v>
      </c>
      <c r="R88" s="1443" t="str">
        <f>'Estimate Detail'!AU275</f>
        <v>DE</v>
      </c>
      <c r="S88" s="1443" t="str">
        <f>'Estimate Detail'!AV275</f>
        <v>NO</v>
      </c>
      <c r="T88" s="1444">
        <f>'Estimate Detail'!AW275</f>
        <v>43100</v>
      </c>
      <c r="U88" s="1443"/>
      <c r="V88" s="1445"/>
      <c r="W88" s="1443"/>
      <c r="X88" s="1475"/>
      <c r="Z88" s="1472"/>
    </row>
    <row r="89" spans="1:26" s="1442" customFormat="1" hidden="1">
      <c r="A89" s="1994" t="str">
        <f>'Estimate Detail'!B276</f>
        <v>060907</v>
      </c>
      <c r="B89" s="1443"/>
      <c r="C89" s="1443" t="s">
        <v>667</v>
      </c>
      <c r="D89" s="1443" t="s">
        <v>668</v>
      </c>
      <c r="E89" s="1443" t="str">
        <f>'Estimate Detail'!C276</f>
        <v>Mill Engineering -India</v>
      </c>
      <c r="F89" s="1443" t="str">
        <f>'Estimate Detail'!AJ276</f>
        <v>ENG/INT</v>
      </c>
      <c r="G89" s="1443" t="str">
        <f>'Estimate Detail'!U276</f>
        <v>Shahabad</v>
      </c>
      <c r="H89" s="1443" t="str">
        <f>'Estimate Detail'!AK276</f>
        <v>Internal</v>
      </c>
      <c r="I89" s="1443" t="str">
        <f>'Estimate Detail'!AL276</f>
        <v>IN</v>
      </c>
      <c r="J89" s="2014">
        <f>'Estimate Detail'!AM276</f>
        <v>1</v>
      </c>
      <c r="K89" s="1993" t="str">
        <f>'Estimate Detail'!AN276</f>
        <v>set</v>
      </c>
      <c r="L89" s="2014">
        <f>'Estimate Detail'!AO276</f>
        <v>0</v>
      </c>
      <c r="M89" s="1443" t="str">
        <f>'Estimate Detail'!AP276</f>
        <v>INR</v>
      </c>
      <c r="N89" s="1443" t="str">
        <f>'Estimate Detail'!AQ276</f>
        <v>BOCE</v>
      </c>
      <c r="O89" s="1443" t="str">
        <f>'Estimate Detail'!AR276</f>
        <v>CNAP</v>
      </c>
      <c r="P89" s="1443" t="str">
        <f>'Estimate Detail'!AS276</f>
        <v>A</v>
      </c>
      <c r="Q89" s="1443">
        <f>'Estimate Detail'!AT276</f>
        <v>0</v>
      </c>
      <c r="R89" s="1443" t="str">
        <f>'Estimate Detail'!AU276</f>
        <v>IN</v>
      </c>
      <c r="S89" s="1443" t="str">
        <f>'Estimate Detail'!AV276</f>
        <v>NO</v>
      </c>
      <c r="T89" s="1444">
        <f>'Estimate Detail'!AW276</f>
        <v>43100</v>
      </c>
      <c r="U89" s="1443"/>
      <c r="V89" s="1445"/>
      <c r="W89" s="1443"/>
      <c r="X89" s="1475"/>
      <c r="Z89" s="1472"/>
    </row>
    <row r="90" spans="1:26" s="1442" customFormat="1" hidden="1">
      <c r="A90" s="1994" t="str">
        <f>'Estimate Detail'!B279</f>
        <v>060101</v>
      </c>
      <c r="B90" s="1443"/>
      <c r="C90" s="1443" t="s">
        <v>667</v>
      </c>
      <c r="D90" s="1443" t="s">
        <v>668</v>
      </c>
      <c r="E90" s="1443" t="str">
        <f>'Estimate Detail'!C279</f>
        <v>Stuttgart - Engineering</v>
      </c>
      <c r="F90" s="1443" t="str">
        <f>'Estimate Detail'!AJ279</f>
        <v>ENG/INT</v>
      </c>
      <c r="G90" s="1443" t="str">
        <f>'Estimate Detail'!U279</f>
        <v>Stuttgart</v>
      </c>
      <c r="H90" s="1443" t="str">
        <f>'Estimate Detail'!AK279</f>
        <v>Internal</v>
      </c>
      <c r="I90" s="1443" t="str">
        <f>'Estimate Detail'!AL279</f>
        <v>DE</v>
      </c>
      <c r="J90" s="2014">
        <f>'Estimate Detail'!AM279</f>
        <v>1</v>
      </c>
      <c r="K90" s="1993" t="str">
        <f>'Estimate Detail'!AN279</f>
        <v>set</v>
      </c>
      <c r="L90" s="2014">
        <f>'Estimate Detail'!AO279</f>
        <v>0</v>
      </c>
      <c r="M90" s="1443" t="str">
        <f>'Estimate Detail'!AP279</f>
        <v>EUR</v>
      </c>
      <c r="N90" s="1443" t="str">
        <f>'Estimate Detail'!AQ279</f>
        <v>BOCE</v>
      </c>
      <c r="O90" s="1443" t="str">
        <f>'Estimate Detail'!AR279</f>
        <v>CNAP</v>
      </c>
      <c r="P90" s="1443" t="str">
        <f>'Estimate Detail'!AS279</f>
        <v>A</v>
      </c>
      <c r="Q90" s="1443">
        <f>'Estimate Detail'!AT279</f>
        <v>0</v>
      </c>
      <c r="R90" s="1443" t="str">
        <f>'Estimate Detail'!AU279</f>
        <v>DE</v>
      </c>
      <c r="S90" s="1443" t="str">
        <f>'Estimate Detail'!AV279</f>
        <v>NO</v>
      </c>
      <c r="T90" s="1444">
        <f>'Estimate Detail'!AW279</f>
        <v>43100</v>
      </c>
      <c r="U90" s="1443"/>
      <c r="V90" s="1445"/>
      <c r="W90" s="1443"/>
      <c r="X90" s="1475"/>
      <c r="Z90" s="1472"/>
    </row>
    <row r="91" spans="1:26" s="1442" customFormat="1" hidden="1">
      <c r="A91" s="1994" t="str">
        <f>'Estimate Detail'!B280</f>
        <v>060101</v>
      </c>
      <c r="B91" s="1443"/>
      <c r="C91" s="1443" t="s">
        <v>667</v>
      </c>
      <c r="D91" s="1443" t="s">
        <v>668</v>
      </c>
      <c r="E91" s="1443" t="str">
        <f>'Estimate Detail'!C280</f>
        <v>Add CFD Modeling</v>
      </c>
      <c r="F91" s="1443" t="str">
        <f>'Estimate Detail'!AJ280</f>
        <v>ENG/INT</v>
      </c>
      <c r="G91" s="1443" t="str">
        <f>'Estimate Detail'!U280</f>
        <v>Stuttgart</v>
      </c>
      <c r="H91" s="1443" t="str">
        <f>'Estimate Detail'!AK280</f>
        <v>Internal</v>
      </c>
      <c r="I91" s="1443" t="str">
        <f>'Estimate Detail'!AL280</f>
        <v>DE</v>
      </c>
      <c r="J91" s="2014">
        <f>'Estimate Detail'!AM280</f>
        <v>1</v>
      </c>
      <c r="K91" s="1993" t="str">
        <f>'Estimate Detail'!AN280</f>
        <v>set</v>
      </c>
      <c r="L91" s="2014">
        <f>'Estimate Detail'!AO280</f>
        <v>0</v>
      </c>
      <c r="M91" s="1443" t="str">
        <f>'Estimate Detail'!AP280</f>
        <v>EUR</v>
      </c>
      <c r="N91" s="1443" t="str">
        <f>'Estimate Detail'!AQ280</f>
        <v>BOCE</v>
      </c>
      <c r="O91" s="1443" t="str">
        <f>'Estimate Detail'!AR280</f>
        <v>CNAP</v>
      </c>
      <c r="P91" s="1443" t="str">
        <f>'Estimate Detail'!AS280</f>
        <v>A</v>
      </c>
      <c r="Q91" s="1443">
        <f>'Estimate Detail'!AT280</f>
        <v>0</v>
      </c>
      <c r="R91" s="1443" t="str">
        <f>'Estimate Detail'!AU280</f>
        <v>DE</v>
      </c>
      <c r="S91" s="1443" t="str">
        <f>'Estimate Detail'!AV280</f>
        <v>NO</v>
      </c>
      <c r="T91" s="1444">
        <f>'Estimate Detail'!AW280</f>
        <v>43100</v>
      </c>
      <c r="U91" s="1443"/>
      <c r="V91" s="1445"/>
      <c r="W91" s="1443"/>
      <c r="X91" s="1475"/>
      <c r="Z91" s="1472"/>
    </row>
    <row r="92" spans="1:26" s="1442" customFormat="1">
      <c r="A92" s="1994" t="str">
        <f>'Estimate Detail'!B294</f>
        <v>072003</v>
      </c>
      <c r="B92" s="1443"/>
      <c r="C92" s="1443" t="s">
        <v>667</v>
      </c>
      <c r="D92" s="1443" t="s">
        <v>668</v>
      </c>
      <c r="E92" s="1443" t="str">
        <f>'Estimate Detail'!C294</f>
        <v>Project Manager off-shore</v>
      </c>
      <c r="F92" s="1443" t="str">
        <f>'Estimate Detail'!AJ294</f>
        <v>PM/SW</v>
      </c>
      <c r="G92" s="1443" t="str">
        <f>'Estimate Detail'!U294</f>
        <v>WUHAN BOILER COMPANY LTD</v>
      </c>
      <c r="H92" s="1443" t="str">
        <f>'Estimate Detail'!AK294</f>
        <v>Internal</v>
      </c>
      <c r="I92" s="1443" t="str">
        <f>'Estimate Detail'!AL294</f>
        <v>CN</v>
      </c>
      <c r="J92" s="2014">
        <f>'Estimate Detail'!AM294</f>
        <v>1</v>
      </c>
      <c r="K92" s="1993" t="str">
        <f>'Estimate Detail'!AN294</f>
        <v>set</v>
      </c>
      <c r="L92" s="2014">
        <f>'Estimate Detail'!AO294</f>
        <v>17.920000000000002</v>
      </c>
      <c r="M92" s="1443" t="str">
        <f>'Estimate Detail'!AP294</f>
        <v>CNY</v>
      </c>
      <c r="N92" s="1443" t="str">
        <f>'Estimate Detail'!AQ294</f>
        <v>BOCE</v>
      </c>
      <c r="O92" s="1443" t="str">
        <f>'Estimate Detail'!AR294</f>
        <v>CNAP</v>
      </c>
      <c r="P92" s="1443" t="str">
        <f>'Estimate Detail'!AS294</f>
        <v>A</v>
      </c>
      <c r="Q92" s="1443">
        <f>'Estimate Detail'!AT294</f>
        <v>0</v>
      </c>
      <c r="R92" s="1443" t="str">
        <f>'Estimate Detail'!AU294</f>
        <v>CN</v>
      </c>
      <c r="S92" s="1443" t="str">
        <f>'Estimate Detail'!AV294</f>
        <v>NO</v>
      </c>
      <c r="T92" s="1444">
        <f>'Estimate Detail'!AW294</f>
        <v>43100</v>
      </c>
      <c r="U92" s="1443"/>
      <c r="V92" s="1445"/>
      <c r="W92" s="1443"/>
      <c r="X92" s="1475"/>
      <c r="Z92" s="1472"/>
    </row>
    <row r="93" spans="1:26" s="1442" customFormat="1" hidden="1">
      <c r="A93" s="1994" t="str">
        <f>'Estimate Detail'!B297</f>
        <v>074001</v>
      </c>
      <c r="B93" s="1443"/>
      <c r="C93" s="1443" t="s">
        <v>667</v>
      </c>
      <c r="D93" s="1443" t="s">
        <v>668</v>
      </c>
      <c r="E93" s="1443" t="str">
        <f>'Estimate Detail'!C297</f>
        <v>Site Respresentation</v>
      </c>
      <c r="F93" s="1443" t="str">
        <f>'Estimate Detail'!AJ297</f>
        <v>PM/SW</v>
      </c>
      <c r="G93" s="1443" t="str">
        <f>'Estimate Detail'!U297</f>
        <v>WUHAN BOILER COMPANY LTD</v>
      </c>
      <c r="H93" s="1443" t="str">
        <f>'Estimate Detail'!AK297</f>
        <v>Internal</v>
      </c>
      <c r="I93" s="1443" t="b">
        <f>'Estimate Detail'!AL297</f>
        <v>0</v>
      </c>
      <c r="J93" s="2014">
        <f>'Estimate Detail'!AM297</f>
        <v>1</v>
      </c>
      <c r="K93" s="1993" t="str">
        <f>'Estimate Detail'!AN297</f>
        <v>set</v>
      </c>
      <c r="L93" s="2014">
        <f>'Estimate Detail'!AO297</f>
        <v>0</v>
      </c>
      <c r="M93" s="1443">
        <f>'Estimate Detail'!AP297</f>
        <v>0</v>
      </c>
      <c r="N93" s="1443" t="str">
        <f>'Estimate Detail'!AQ297</f>
        <v>BOCE</v>
      </c>
      <c r="O93" s="1443" t="str">
        <f>'Estimate Detail'!AR297</f>
        <v>CNAP</v>
      </c>
      <c r="P93" s="1443" t="str">
        <f>'Estimate Detail'!AS297</f>
        <v>A</v>
      </c>
      <c r="Q93" s="1443">
        <f>'Estimate Detail'!AT297</f>
        <v>0</v>
      </c>
      <c r="R93" s="1443" t="b">
        <f>'Estimate Detail'!AU297</f>
        <v>0</v>
      </c>
      <c r="S93" s="1443" t="str">
        <f>'Estimate Detail'!AV297</f>
        <v>NO</v>
      </c>
      <c r="T93" s="1444">
        <f>'Estimate Detail'!AW297</f>
        <v>43100</v>
      </c>
      <c r="U93" s="1443"/>
      <c r="V93" s="1445"/>
      <c r="W93" s="1443"/>
      <c r="X93" s="1475"/>
      <c r="Z93" s="1472"/>
    </row>
    <row r="94" spans="1:26" s="1442" customFormat="1">
      <c r="A94" s="1994" t="str">
        <f>'Estimate Detail'!B300</f>
        <v>074006</v>
      </c>
      <c r="B94" s="1443"/>
      <c r="C94" s="1443" t="s">
        <v>667</v>
      </c>
      <c r="D94" s="1443" t="s">
        <v>668</v>
      </c>
      <c r="E94" s="1443" t="str">
        <f>'Estimate Detail'!C300</f>
        <v>Factory Procurement</v>
      </c>
      <c r="F94" s="1443" t="str">
        <f>'Estimate Detail'!AJ300</f>
        <v>PM/SW</v>
      </c>
      <c r="G94" s="1443" t="str">
        <f>'Estimate Detail'!U300</f>
        <v>WUHAN BOILER COMPANY LTD</v>
      </c>
      <c r="H94" s="1443" t="str">
        <f>'Estimate Detail'!AK300</f>
        <v>Internal</v>
      </c>
      <c r="I94" s="1443" t="str">
        <f>'Estimate Detail'!AL300</f>
        <v>CN</v>
      </c>
      <c r="J94" s="2014">
        <f>'Estimate Detail'!AM300</f>
        <v>1</v>
      </c>
      <c r="K94" s="1993" t="str">
        <f>'Estimate Detail'!AN300</f>
        <v>set</v>
      </c>
      <c r="L94" s="2014">
        <f>'Estimate Detail'!AO300</f>
        <v>21.734999999999999</v>
      </c>
      <c r="M94" s="1443" t="str">
        <f>'Estimate Detail'!AP300</f>
        <v>CNY</v>
      </c>
      <c r="N94" s="1443" t="str">
        <f>'Estimate Detail'!AQ300</f>
        <v>BOCF</v>
      </c>
      <c r="O94" s="1443" t="str">
        <f>'Estimate Detail'!AR300</f>
        <v>CNAP</v>
      </c>
      <c r="P94" s="1443" t="str">
        <f>'Estimate Detail'!AS300</f>
        <v>A</v>
      </c>
      <c r="Q94" s="1443">
        <f>'Estimate Detail'!AT300</f>
        <v>0</v>
      </c>
      <c r="R94" s="1443" t="str">
        <f>'Estimate Detail'!AU300</f>
        <v>CN</v>
      </c>
      <c r="S94" s="1443" t="str">
        <f>'Estimate Detail'!AV300</f>
        <v>NO</v>
      </c>
      <c r="T94" s="1444">
        <f>'Estimate Detail'!AW300</f>
        <v>43100</v>
      </c>
      <c r="U94" s="1443"/>
      <c r="V94" s="1445"/>
      <c r="W94" s="1443"/>
      <c r="X94" s="1475"/>
      <c r="Z94" s="1472"/>
    </row>
    <row r="95" spans="1:26" s="1442" customFormat="1">
      <c r="A95" s="1994" t="str">
        <f>'Estimate Detail'!B302</f>
        <v>074005</v>
      </c>
      <c r="B95" s="1443"/>
      <c r="C95" s="1443" t="s">
        <v>667</v>
      </c>
      <c r="D95" s="1443" t="s">
        <v>668</v>
      </c>
      <c r="E95" s="1443" t="str">
        <f>'Estimate Detail'!C302</f>
        <v>Transport &amp; Logistics Management</v>
      </c>
      <c r="F95" s="1443" t="str">
        <f>'Estimate Detail'!AJ302</f>
        <v>PM/SW</v>
      </c>
      <c r="G95" s="1443" t="str">
        <f>'Estimate Detail'!U302</f>
        <v>WUHAN BOILER COMPANY LTD</v>
      </c>
      <c r="H95" s="1443" t="str">
        <f>'Estimate Detail'!AK302</f>
        <v>Internal</v>
      </c>
      <c r="I95" s="1443" t="str">
        <f>'Estimate Detail'!AL302</f>
        <v>CN</v>
      </c>
      <c r="J95" s="2014">
        <f>'Estimate Detail'!AM302</f>
        <v>1</v>
      </c>
      <c r="K95" s="1993" t="str">
        <f>'Estimate Detail'!AN302</f>
        <v>set</v>
      </c>
      <c r="L95" s="2014">
        <f>'Estimate Detail'!AO302</f>
        <v>0</v>
      </c>
      <c r="M95" s="1443" t="str">
        <f>'Estimate Detail'!AP302</f>
        <v>CNY</v>
      </c>
      <c r="N95" s="1443" t="str">
        <f>'Estimate Detail'!AQ302</f>
        <v>BOCE</v>
      </c>
      <c r="O95" s="1443" t="str">
        <f>'Estimate Detail'!AR302</f>
        <v>CNAP</v>
      </c>
      <c r="P95" s="1443" t="str">
        <f>'Estimate Detail'!AS302</f>
        <v>A</v>
      </c>
      <c r="Q95" s="1443">
        <f>'Estimate Detail'!AT302</f>
        <v>0</v>
      </c>
      <c r="R95" s="1443" t="str">
        <f>'Estimate Detail'!AU302</f>
        <v>CN</v>
      </c>
      <c r="S95" s="1443" t="str">
        <f>'Estimate Detail'!AV302</f>
        <v>NO</v>
      </c>
      <c r="T95" s="1444">
        <f>'Estimate Detail'!AW302</f>
        <v>43100</v>
      </c>
      <c r="U95" s="1443"/>
      <c r="V95" s="1445"/>
      <c r="W95" s="1443"/>
      <c r="X95" s="1475"/>
      <c r="Z95" s="1472"/>
    </row>
    <row r="96" spans="1:26" s="1442" customFormat="1" hidden="1">
      <c r="A96" s="1994" t="str">
        <f>'Estimate Detail'!B305</f>
        <v>072010</v>
      </c>
      <c r="B96" s="1443"/>
      <c r="C96" s="1443" t="s">
        <v>667</v>
      </c>
      <c r="D96" s="1443" t="s">
        <v>668</v>
      </c>
      <c r="E96" s="1443" t="str">
        <f>'Estimate Detail'!C305</f>
        <v>Engineering Travel</v>
      </c>
      <c r="F96" s="1443" t="str">
        <f>'Estimate Detail'!AJ305</f>
        <v>PM/SW</v>
      </c>
      <c r="G96" s="1443" t="str">
        <f>'Estimate Detail'!U305</f>
        <v>WUHAN BOILER COMPANY LTD</v>
      </c>
      <c r="H96" s="1443" t="str">
        <f>'Estimate Detail'!AK305</f>
        <v>Internal</v>
      </c>
      <c r="I96" s="1443" t="str">
        <f>'Estimate Detail'!AL305</f>
        <v>CN</v>
      </c>
      <c r="J96" s="2014">
        <f>'Estimate Detail'!AM305</f>
        <v>1</v>
      </c>
      <c r="K96" s="1993" t="str">
        <f>'Estimate Detail'!AN305</f>
        <v>set</v>
      </c>
      <c r="L96" s="2014">
        <f>'Estimate Detail'!AO305</f>
        <v>0</v>
      </c>
      <c r="M96" s="1443" t="str">
        <f>'Estimate Detail'!AP305</f>
        <v>CNY</v>
      </c>
      <c r="N96" s="1443" t="str">
        <f>'Estimate Detail'!AQ305</f>
        <v>BOCE</v>
      </c>
      <c r="O96" s="1443" t="str">
        <f>'Estimate Detail'!AR305</f>
        <v>CNAP</v>
      </c>
      <c r="P96" s="1443" t="str">
        <f>'Estimate Detail'!AS305</f>
        <v>A</v>
      </c>
      <c r="Q96" s="1443">
        <f>'Estimate Detail'!AT305</f>
        <v>0</v>
      </c>
      <c r="R96" s="1443" t="str">
        <f>'Estimate Detail'!AU305</f>
        <v>CN</v>
      </c>
      <c r="S96" s="1443" t="str">
        <f>'Estimate Detail'!AV305</f>
        <v>NO</v>
      </c>
      <c r="T96" s="1444">
        <f>'Estimate Detail'!AW305</f>
        <v>43100</v>
      </c>
      <c r="U96" s="1443"/>
      <c r="V96" s="1445"/>
      <c r="W96" s="1443"/>
      <c r="X96" s="1475"/>
      <c r="Z96" s="1472"/>
    </row>
    <row r="97" spans="1:26" s="1442" customFormat="1" hidden="1">
      <c r="A97" s="1994" t="str">
        <f>'Estimate Detail'!B306</f>
        <v>072010</v>
      </c>
      <c r="B97" s="1443"/>
      <c r="C97" s="1443" t="s">
        <v>667</v>
      </c>
      <c r="D97" s="1443" t="s">
        <v>668</v>
      </c>
      <c r="E97" s="1443" t="str">
        <f>'Estimate Detail'!C306</f>
        <v>Local consultant</v>
      </c>
      <c r="F97" s="1443" t="str">
        <f>'Estimate Detail'!AJ306</f>
        <v>PM/SW</v>
      </c>
      <c r="G97" s="1443" t="str">
        <f>'Estimate Detail'!U306</f>
        <v>WUHAN BOILER COMPANY LTD</v>
      </c>
      <c r="H97" s="1443" t="str">
        <f>'Estimate Detail'!AK306</f>
        <v>Internal</v>
      </c>
      <c r="I97" s="1443" t="str">
        <f>'Estimate Detail'!AL306</f>
        <v>CN</v>
      </c>
      <c r="J97" s="2014">
        <f>'Estimate Detail'!AM306</f>
        <v>1</v>
      </c>
      <c r="K97" s="1993" t="str">
        <f>'Estimate Detail'!AN306</f>
        <v>set</v>
      </c>
      <c r="L97" s="2014">
        <f>'Estimate Detail'!AO306</f>
        <v>0</v>
      </c>
      <c r="M97" s="1443" t="str">
        <f>'Estimate Detail'!AP306</f>
        <v>CNY</v>
      </c>
      <c r="N97" s="1443" t="str">
        <f>'Estimate Detail'!AQ306</f>
        <v>BOCE</v>
      </c>
      <c r="O97" s="1443" t="str">
        <f>'Estimate Detail'!AR306</f>
        <v>CNAP</v>
      </c>
      <c r="P97" s="1443" t="str">
        <f>'Estimate Detail'!AS306</f>
        <v>A</v>
      </c>
      <c r="Q97" s="1443">
        <f>'Estimate Detail'!AT306</f>
        <v>0</v>
      </c>
      <c r="R97" s="1443" t="str">
        <f>'Estimate Detail'!AU306</f>
        <v>CN</v>
      </c>
      <c r="S97" s="1443" t="str">
        <f>'Estimate Detail'!AV306</f>
        <v>NO</v>
      </c>
      <c r="T97" s="1444">
        <f>'Estimate Detail'!AW306</f>
        <v>43100</v>
      </c>
      <c r="U97" s="1443"/>
      <c r="V97" s="1445"/>
      <c r="W97" s="1443"/>
      <c r="X97" s="1475"/>
      <c r="Z97" s="1472"/>
    </row>
    <row r="98" spans="1:26" s="1442" customFormat="1" hidden="1">
      <c r="A98" s="1994" t="str">
        <f>'Estimate Detail'!B307</f>
        <v>072010</v>
      </c>
      <c r="B98" s="1443"/>
      <c r="C98" s="1443" t="s">
        <v>667</v>
      </c>
      <c r="D98" s="1443" t="s">
        <v>668</v>
      </c>
      <c r="E98" s="1443" t="str">
        <f>'Estimate Detail'!C307</f>
        <v>PM</v>
      </c>
      <c r="F98" s="1443" t="str">
        <f>'Estimate Detail'!AJ307</f>
        <v>PM/SW</v>
      </c>
      <c r="G98" s="1443" t="str">
        <f>'Estimate Detail'!U307</f>
        <v>WUHAN BOILER COMPANY LTD</v>
      </c>
      <c r="H98" s="1443" t="str">
        <f>'Estimate Detail'!AK307</f>
        <v>Internal</v>
      </c>
      <c r="I98" s="1443" t="str">
        <f>'Estimate Detail'!AL307</f>
        <v>CN</v>
      </c>
      <c r="J98" s="2014">
        <f>'Estimate Detail'!AM307</f>
        <v>1</v>
      </c>
      <c r="K98" s="1993" t="str">
        <f>'Estimate Detail'!AN307</f>
        <v>set</v>
      </c>
      <c r="L98" s="2014">
        <f>'Estimate Detail'!AO307</f>
        <v>0</v>
      </c>
      <c r="M98" s="1443" t="str">
        <f>'Estimate Detail'!AP307</f>
        <v>CNY</v>
      </c>
      <c r="N98" s="1443" t="str">
        <f>'Estimate Detail'!AQ307</f>
        <v>BOCE</v>
      </c>
      <c r="O98" s="1443" t="str">
        <f>'Estimate Detail'!AR307</f>
        <v>CNAP</v>
      </c>
      <c r="P98" s="1443" t="str">
        <f>'Estimate Detail'!AS307</f>
        <v>A</v>
      </c>
      <c r="Q98" s="1443">
        <f>'Estimate Detail'!AT307</f>
        <v>0</v>
      </c>
      <c r="R98" s="1443" t="str">
        <f>'Estimate Detail'!AU307</f>
        <v>CN</v>
      </c>
      <c r="S98" s="1443" t="str">
        <f>'Estimate Detail'!AV307</f>
        <v>NO</v>
      </c>
      <c r="T98" s="1444">
        <f>'Estimate Detail'!AW307</f>
        <v>43100</v>
      </c>
      <c r="U98" s="1443"/>
      <c r="V98" s="1445"/>
      <c r="W98" s="1443"/>
      <c r="X98" s="1475"/>
      <c r="Z98" s="1472"/>
    </row>
    <row r="99" spans="1:26" s="1442" customFormat="1">
      <c r="A99" s="1994" t="str">
        <f>'Estimate Detail'!B308</f>
        <v>072010</v>
      </c>
      <c r="B99" s="1443"/>
      <c r="C99" s="1443" t="s">
        <v>667</v>
      </c>
      <c r="D99" s="1443" t="s">
        <v>668</v>
      </c>
      <c r="E99" s="1443" t="str">
        <f>'Estimate Detail'!C308</f>
        <v>QC</v>
      </c>
      <c r="F99" s="1443" t="str">
        <f>'Estimate Detail'!AJ308</f>
        <v>PM/SW</v>
      </c>
      <c r="G99" s="1443" t="str">
        <f>'Estimate Detail'!U308</f>
        <v>WUHAN BOILER COMPANY LTD</v>
      </c>
      <c r="H99" s="1443" t="str">
        <f>'Estimate Detail'!AK308</f>
        <v>Internal</v>
      </c>
      <c r="I99" s="1443" t="str">
        <f>'Estimate Detail'!AL308</f>
        <v>CN</v>
      </c>
      <c r="J99" s="2014">
        <f>'Estimate Detail'!AM308</f>
        <v>1</v>
      </c>
      <c r="K99" s="1993" t="str">
        <f>'Estimate Detail'!AN308</f>
        <v>set</v>
      </c>
      <c r="L99" s="2014">
        <f>'Estimate Detail'!AO308</f>
        <v>0</v>
      </c>
      <c r="M99" s="1443" t="str">
        <f>'Estimate Detail'!AP308</f>
        <v>CNY</v>
      </c>
      <c r="N99" s="1443" t="str">
        <f>'Estimate Detail'!AQ308</f>
        <v>BOCF</v>
      </c>
      <c r="O99" s="1443" t="str">
        <f>'Estimate Detail'!AR308</f>
        <v>CNAP</v>
      </c>
      <c r="P99" s="1443" t="str">
        <f>'Estimate Detail'!AS308</f>
        <v>A</v>
      </c>
      <c r="Q99" s="1443">
        <f>'Estimate Detail'!AT308</f>
        <v>0</v>
      </c>
      <c r="R99" s="1443" t="str">
        <f>'Estimate Detail'!AU308</f>
        <v>CN</v>
      </c>
      <c r="S99" s="1443" t="str">
        <f>'Estimate Detail'!AV308</f>
        <v>NO</v>
      </c>
      <c r="T99" s="1444">
        <f>'Estimate Detail'!AW308</f>
        <v>43100</v>
      </c>
      <c r="U99" s="1443"/>
      <c r="V99" s="1445"/>
      <c r="W99" s="1443"/>
      <c r="X99" s="1475"/>
      <c r="Z99" s="1472"/>
    </row>
    <row r="100" spans="1:26" s="1442" customFormat="1">
      <c r="A100" s="1994" t="str">
        <f>'Estimate Detail'!B311</f>
        <v>072010</v>
      </c>
      <c r="B100" s="1443"/>
      <c r="C100" s="1443" t="s">
        <v>667</v>
      </c>
      <c r="D100" s="1443" t="s">
        <v>668</v>
      </c>
      <c r="E100" s="1443" t="str">
        <f>'Estimate Detail'!C311</f>
        <v>Tranport &amp; Logistics</v>
      </c>
      <c r="F100" s="1443" t="str">
        <f>'Estimate Detail'!AJ311</f>
        <v>PM/SW</v>
      </c>
      <c r="G100" s="1443" t="str">
        <f>'Estimate Detail'!U311</f>
        <v>WUHAN BOILER COMPANY LTD</v>
      </c>
      <c r="H100" s="1443" t="str">
        <f>'Estimate Detail'!AK311</f>
        <v>Internal</v>
      </c>
      <c r="I100" s="1443" t="str">
        <f>'Estimate Detail'!AL311</f>
        <v>CN</v>
      </c>
      <c r="J100" s="2014">
        <f>'Estimate Detail'!AM311</f>
        <v>1</v>
      </c>
      <c r="K100" s="1993" t="str">
        <f>'Estimate Detail'!AN311</f>
        <v>set</v>
      </c>
      <c r="L100" s="2014">
        <f>'Estimate Detail'!AO311</f>
        <v>0</v>
      </c>
      <c r="M100" s="1443" t="str">
        <f>'Estimate Detail'!AP311</f>
        <v>CNY</v>
      </c>
      <c r="N100" s="1443" t="str">
        <f>'Estimate Detail'!AQ311</f>
        <v>BOCE</v>
      </c>
      <c r="O100" s="1443" t="str">
        <f>'Estimate Detail'!AR311</f>
        <v>CNAP</v>
      </c>
      <c r="P100" s="1443" t="str">
        <f>'Estimate Detail'!AS311</f>
        <v>A</v>
      </c>
      <c r="Q100" s="1443">
        <f>'Estimate Detail'!AT311</f>
        <v>0</v>
      </c>
      <c r="R100" s="1443" t="str">
        <f>'Estimate Detail'!AU311</f>
        <v>CN</v>
      </c>
      <c r="S100" s="1443" t="str">
        <f>'Estimate Detail'!AV311</f>
        <v>NO</v>
      </c>
      <c r="T100" s="1444">
        <f>'Estimate Detail'!AW311</f>
        <v>43100</v>
      </c>
      <c r="U100" s="1443"/>
      <c r="V100" s="1445"/>
      <c r="W100" s="1443"/>
      <c r="X100" s="1475"/>
      <c r="Z100" s="1472"/>
    </row>
    <row r="101" spans="1:26" s="1442" customFormat="1" hidden="1">
      <c r="A101" s="1994" t="str">
        <f>'Estimate Detail'!B312</f>
        <v>072010</v>
      </c>
      <c r="B101" s="1443"/>
      <c r="C101" s="1443" t="s">
        <v>667</v>
      </c>
      <c r="D101" s="1443" t="s">
        <v>668</v>
      </c>
      <c r="E101" s="1443" t="str">
        <f>'Estimate Detail'!C312</f>
        <v>Translate Fee (Skill tests)</v>
      </c>
      <c r="F101" s="1443" t="str">
        <f>'Estimate Detail'!AJ312</f>
        <v>PM/SW</v>
      </c>
      <c r="G101" s="1443" t="str">
        <f>'Estimate Detail'!U312</f>
        <v>WUHAN BOILER COMPANY LTD</v>
      </c>
      <c r="H101" s="1443" t="str">
        <f>'Estimate Detail'!AK312</f>
        <v>Internal</v>
      </c>
      <c r="I101" s="1443" t="str">
        <f>'Estimate Detail'!AL312</f>
        <v>CN</v>
      </c>
      <c r="J101" s="2014">
        <f>'Estimate Detail'!AM312</f>
        <v>1</v>
      </c>
      <c r="K101" s="1993" t="str">
        <f>'Estimate Detail'!AN312</f>
        <v>set</v>
      </c>
      <c r="L101" s="2014">
        <f>'Estimate Detail'!AO312</f>
        <v>0</v>
      </c>
      <c r="M101" s="1443" t="str">
        <f>'Estimate Detail'!AP312</f>
        <v>CNY</v>
      </c>
      <c r="N101" s="1443" t="str">
        <f>'Estimate Detail'!AQ312</f>
        <v>BOCE</v>
      </c>
      <c r="O101" s="1443" t="str">
        <f>'Estimate Detail'!AR312</f>
        <v>CNAP</v>
      </c>
      <c r="P101" s="1443" t="str">
        <f>'Estimate Detail'!AS312</f>
        <v>A</v>
      </c>
      <c r="Q101" s="1443">
        <f>'Estimate Detail'!AT312</f>
        <v>0</v>
      </c>
      <c r="R101" s="1443" t="str">
        <f>'Estimate Detail'!AU312</f>
        <v>CN</v>
      </c>
      <c r="S101" s="1443" t="str">
        <f>'Estimate Detail'!AV312</f>
        <v>NO</v>
      </c>
      <c r="T101" s="1444">
        <f>'Estimate Detail'!AW312</f>
        <v>43100</v>
      </c>
      <c r="U101" s="2388"/>
      <c r="V101" s="2389"/>
      <c r="W101" s="2388"/>
      <c r="X101" s="1475"/>
      <c r="Z101" s="1472"/>
    </row>
    <row r="102" spans="1:26" s="1442" customFormat="1">
      <c r="A102" s="1994" t="str">
        <f>'Estimate Detail'!B313</f>
        <v>072014</v>
      </c>
      <c r="B102" s="1443"/>
      <c r="C102" s="1443" t="s">
        <v>667</v>
      </c>
      <c r="D102" s="1443" t="s">
        <v>668</v>
      </c>
      <c r="E102" s="1443" t="str">
        <f>'Estimate Detail'!C313</f>
        <v>AI Stamp / Notified Body</v>
      </c>
      <c r="F102" s="1443" t="str">
        <f>'Estimate Detail'!AJ313</f>
        <v>PM/SW</v>
      </c>
      <c r="G102" s="1443" t="str">
        <f>'Estimate Detail'!U313</f>
        <v>WUHAN BOILER COMPANY LTD</v>
      </c>
      <c r="H102" s="1443" t="str">
        <f>'Estimate Detail'!AK313</f>
        <v>Internal</v>
      </c>
      <c r="I102" s="1443" t="str">
        <f>'Estimate Detail'!AL313</f>
        <v>CN</v>
      </c>
      <c r="J102" s="2014">
        <f>'Estimate Detail'!AM313</f>
        <v>1</v>
      </c>
      <c r="K102" s="1993" t="str">
        <f>'Estimate Detail'!AN313</f>
        <v>set</v>
      </c>
      <c r="L102" s="2014">
        <f>'Estimate Detail'!AO313</f>
        <v>0</v>
      </c>
      <c r="M102" s="1443" t="str">
        <f>'Estimate Detail'!AP313</f>
        <v>CNY</v>
      </c>
      <c r="N102" s="1443" t="str">
        <f>'Estimate Detail'!AQ313</f>
        <v>BOCF</v>
      </c>
      <c r="O102" s="1443" t="str">
        <f>'Estimate Detail'!AR313</f>
        <v>CNAP</v>
      </c>
      <c r="P102" s="1443" t="str">
        <f>'Estimate Detail'!AS313</f>
        <v>A</v>
      </c>
      <c r="Q102" s="1443">
        <f>'Estimate Detail'!AT313</f>
        <v>0</v>
      </c>
      <c r="R102" s="1443" t="str">
        <f>'Estimate Detail'!AU313</f>
        <v>CN</v>
      </c>
      <c r="S102" s="1443" t="str">
        <f>'Estimate Detail'!AV313</f>
        <v>NO</v>
      </c>
      <c r="T102" s="1444">
        <f>'Estimate Detail'!AW313</f>
        <v>43100</v>
      </c>
      <c r="U102" s="2388"/>
      <c r="V102" s="2389"/>
      <c r="W102" s="2388"/>
      <c r="X102" s="1475"/>
      <c r="Z102" s="1472"/>
    </row>
    <row r="103" spans="1:26" s="1442" customFormat="1" hidden="1">
      <c r="A103" s="1994" t="str">
        <f>'Estimate Detail'!B317</f>
        <v>072018</v>
      </c>
      <c r="B103" s="1443"/>
      <c r="C103" s="1443" t="s">
        <v>667</v>
      </c>
      <c r="D103" s="1443" t="s">
        <v>668</v>
      </c>
      <c r="E103" s="1443" t="str">
        <f>'Estimate Detail'!C317</f>
        <v>Mill Project Management</v>
      </c>
      <c r="F103" s="1443" t="str">
        <f>'Estimate Detail'!AJ317</f>
        <v>PM/SW</v>
      </c>
      <c r="G103" s="1443" t="str">
        <f>'Estimate Detail'!U317</f>
        <v>Stuttgart</v>
      </c>
      <c r="H103" s="1443" t="str">
        <f>'Estimate Detail'!AK317</f>
        <v>Internal</v>
      </c>
      <c r="I103" s="1443" t="b">
        <f>'Estimate Detail'!AL317</f>
        <v>0</v>
      </c>
      <c r="J103" s="2014">
        <f>'Estimate Detail'!AM317</f>
        <v>1</v>
      </c>
      <c r="K103" s="1993" t="str">
        <f>'Estimate Detail'!AN317</f>
        <v>set</v>
      </c>
      <c r="L103" s="2014">
        <f>'Estimate Detail'!AO317</f>
        <v>0</v>
      </c>
      <c r="M103" s="1443">
        <f>'Estimate Detail'!AP317</f>
        <v>0</v>
      </c>
      <c r="N103" s="1443" t="str">
        <f>'Estimate Detail'!AQ317</f>
        <v>BOCE</v>
      </c>
      <c r="O103" s="1443" t="str">
        <f>'Estimate Detail'!AR317</f>
        <v>CNAP</v>
      </c>
      <c r="P103" s="1443" t="str">
        <f>'Estimate Detail'!AS317</f>
        <v>A</v>
      </c>
      <c r="Q103" s="1443">
        <f>'Estimate Detail'!AT317</f>
        <v>0</v>
      </c>
      <c r="R103" s="1443" t="b">
        <f>'Estimate Detail'!AU317</f>
        <v>0</v>
      </c>
      <c r="S103" s="1443" t="str">
        <f>'Estimate Detail'!AV317</f>
        <v>NO</v>
      </c>
      <c r="T103" s="1444">
        <f>'Estimate Detail'!AW317</f>
        <v>43100</v>
      </c>
      <c r="U103" s="1443"/>
      <c r="V103" s="1445"/>
      <c r="W103" s="1443"/>
      <c r="X103" s="1475"/>
      <c r="Z103" s="1472"/>
    </row>
    <row r="104" spans="1:26" s="1442" customFormat="1" hidden="1">
      <c r="A104" s="1994" t="str">
        <f>'Estimate Detail'!B318</f>
        <v>072018</v>
      </c>
      <c r="B104" s="1443"/>
      <c r="C104" s="1443" t="s">
        <v>667</v>
      </c>
      <c r="D104" s="1443" t="s">
        <v>668</v>
      </c>
      <c r="E104" s="1443" t="str">
        <f>'Estimate Detail'!C318</f>
        <v>Mill Project Management</v>
      </c>
      <c r="F104" s="1443" t="str">
        <f>'Estimate Detail'!AJ318</f>
        <v>PM/SW</v>
      </c>
      <c r="G104" s="1443" t="str">
        <f>'Estimate Detail'!U318</f>
        <v>Stuttgart</v>
      </c>
      <c r="H104" s="1443" t="str">
        <f>'Estimate Detail'!AK318</f>
        <v>Internal</v>
      </c>
      <c r="I104" s="1443" t="b">
        <f>'Estimate Detail'!AL318</f>
        <v>0</v>
      </c>
      <c r="J104" s="2014">
        <f>'Estimate Detail'!AM318</f>
        <v>1</v>
      </c>
      <c r="K104" s="1993" t="str">
        <f>'Estimate Detail'!AN318</f>
        <v>set</v>
      </c>
      <c r="L104" s="2014">
        <f>'Estimate Detail'!AO318</f>
        <v>0</v>
      </c>
      <c r="M104" s="1443">
        <f>'Estimate Detail'!AP318</f>
        <v>0</v>
      </c>
      <c r="N104" s="1443" t="str">
        <f>'Estimate Detail'!AQ318</f>
        <v>BOCE</v>
      </c>
      <c r="O104" s="1443" t="str">
        <f>'Estimate Detail'!AR318</f>
        <v>CNAP</v>
      </c>
      <c r="P104" s="1443" t="str">
        <f>'Estimate Detail'!AS318</f>
        <v>A</v>
      </c>
      <c r="Q104" s="1443">
        <f>'Estimate Detail'!AT318</f>
        <v>0</v>
      </c>
      <c r="R104" s="1443" t="b">
        <f>'Estimate Detail'!AU318</f>
        <v>0</v>
      </c>
      <c r="S104" s="1443" t="str">
        <f>'Estimate Detail'!AV318</f>
        <v>NO</v>
      </c>
      <c r="T104" s="1444">
        <f>'Estimate Detail'!AW318</f>
        <v>43100</v>
      </c>
      <c r="U104" s="1443"/>
      <c r="V104" s="1445"/>
      <c r="W104" s="1443"/>
      <c r="X104" s="1475"/>
      <c r="Z104" s="1472"/>
    </row>
    <row r="105" spans="1:26" s="1442" customFormat="1">
      <c r="A105" s="1994" t="str">
        <f>'Estimate Detail'!B322</f>
        <v>081005</v>
      </c>
      <c r="B105" s="1443"/>
      <c r="C105" s="1443" t="s">
        <v>667</v>
      </c>
      <c r="D105" s="1443" t="s">
        <v>668</v>
      </c>
      <c r="E105" s="1443" t="str">
        <f>'Estimate Detail'!C322</f>
        <v>Common Parts</v>
      </c>
      <c r="F105" s="1443" t="str">
        <f>'Estimate Detail'!AJ322</f>
        <v>MAT/TRA</v>
      </c>
      <c r="G105" s="1443" t="str">
        <f>'Estimate Detail'!U322</f>
        <v>Unknown Supplier</v>
      </c>
      <c r="H105" s="1443" t="str">
        <f>'Estimate Detail'!AK322</f>
        <v>External</v>
      </c>
      <c r="I105" s="1443" t="str">
        <f>'Estimate Detail'!AL322</f>
        <v>CN</v>
      </c>
      <c r="J105" s="2014">
        <f>'Estimate Detail'!AM322</f>
        <v>1</v>
      </c>
      <c r="K105" s="1993" t="str">
        <f>'Estimate Detail'!AN322</f>
        <v>set</v>
      </c>
      <c r="L105" s="2014">
        <f>'Estimate Detail'!AO322</f>
        <v>6</v>
      </c>
      <c r="M105" s="1443" t="str">
        <f>'Estimate Detail'!AP322</f>
        <v>CNY</v>
      </c>
      <c r="N105" s="1443" t="str">
        <f>'Estimate Detail'!AQ322</f>
        <v>BOCE</v>
      </c>
      <c r="O105" s="1443" t="str">
        <f>'Estimate Detail'!AR322</f>
        <v>CNAP</v>
      </c>
      <c r="P105" s="1443" t="str">
        <f>'Estimate Detail'!AS322</f>
        <v>A</v>
      </c>
      <c r="Q105" s="1443" t="str">
        <f>'Estimate Detail'!AT322</f>
        <v>FCA</v>
      </c>
      <c r="R105" s="1443" t="str">
        <f>'Estimate Detail'!AU322</f>
        <v>CN</v>
      </c>
      <c r="S105" s="1443" t="str">
        <f>'Estimate Detail'!AV322</f>
        <v>YES</v>
      </c>
      <c r="T105" s="1444">
        <f>'Estimate Detail'!AW322</f>
        <v>43132</v>
      </c>
      <c r="U105" s="1443"/>
      <c r="V105" s="1445"/>
      <c r="W105" s="1443"/>
      <c r="X105" s="1475"/>
      <c r="Z105" s="1472"/>
    </row>
    <row r="106" spans="1:26" s="1442" customFormat="1">
      <c r="A106" s="1994" t="str">
        <f>'Estimate Detail'!B325</f>
        <v>081005</v>
      </c>
      <c r="B106" s="1443"/>
      <c r="C106" s="1443" t="s">
        <v>667</v>
      </c>
      <c r="D106" s="1443" t="s">
        <v>668</v>
      </c>
      <c r="E106" s="1443" t="str">
        <f>'Estimate Detail'!C325</f>
        <v>Customs clearance and portsurcharge</v>
      </c>
      <c r="F106" s="1443" t="str">
        <f>'Estimate Detail'!AJ325</f>
        <v>MAT/TRA</v>
      </c>
      <c r="G106" s="1443" t="str">
        <f>'Estimate Detail'!U325</f>
        <v>Unknown Supplier</v>
      </c>
      <c r="H106" s="1443" t="str">
        <f>'Estimate Detail'!AK325</f>
        <v>External</v>
      </c>
      <c r="I106" s="1443" t="str">
        <f>'Estimate Detail'!AL325</f>
        <v>CN</v>
      </c>
      <c r="J106" s="2014">
        <f>'Estimate Detail'!AM325</f>
        <v>1</v>
      </c>
      <c r="K106" s="1993" t="str">
        <f>'Estimate Detail'!AN325</f>
        <v>set</v>
      </c>
      <c r="L106" s="2014">
        <f>'Estimate Detail'!AO325</f>
        <v>7</v>
      </c>
      <c r="M106" s="1443" t="str">
        <f>'Estimate Detail'!AP325</f>
        <v>CNY</v>
      </c>
      <c r="N106" s="1443" t="str">
        <f>'Estimate Detail'!AQ325</f>
        <v>BOCE</v>
      </c>
      <c r="O106" s="1443" t="str">
        <f>'Estimate Detail'!AR325</f>
        <v>CNAP</v>
      </c>
      <c r="P106" s="1443" t="str">
        <f>'Estimate Detail'!AS325</f>
        <v>A</v>
      </c>
      <c r="Q106" s="1443" t="str">
        <f>'Estimate Detail'!AT325</f>
        <v>FCA</v>
      </c>
      <c r="R106" s="1443" t="str">
        <f>'Estimate Detail'!AU325</f>
        <v>CN</v>
      </c>
      <c r="S106" s="1443" t="str">
        <f>'Estimate Detail'!AV325</f>
        <v>YES</v>
      </c>
      <c r="T106" s="1444">
        <f>'Estimate Detail'!AW325</f>
        <v>43132</v>
      </c>
      <c r="U106" s="1443"/>
      <c r="V106" s="1445"/>
      <c r="W106" s="1443"/>
      <c r="X106" s="1475"/>
      <c r="Z106" s="1472"/>
    </row>
    <row r="107" spans="1:26" s="1442" customFormat="1">
      <c r="A107" s="1994" t="str">
        <f>'Estimate Detail'!B327</f>
        <v>081005</v>
      </c>
      <c r="B107" s="1443"/>
      <c r="C107" s="1443" t="s">
        <v>667</v>
      </c>
      <c r="D107" s="1443" t="s">
        <v>668</v>
      </c>
      <c r="E107" s="1443" t="str">
        <f>'Estimate Detail'!C327</f>
        <v>Import materialsTransport cost</v>
      </c>
      <c r="F107" s="1443" t="str">
        <f>'Estimate Detail'!AJ327</f>
        <v>MAT/TRA</v>
      </c>
      <c r="G107" s="1443" t="str">
        <f>'Estimate Detail'!U327</f>
        <v>Unknown Supplier</v>
      </c>
      <c r="H107" s="1443" t="str">
        <f>'Estimate Detail'!AK327</f>
        <v>External</v>
      </c>
      <c r="I107" s="1443" t="str">
        <f>'Estimate Detail'!AL327</f>
        <v>CN</v>
      </c>
      <c r="J107" s="2014">
        <f>'Estimate Detail'!AM327</f>
        <v>1</v>
      </c>
      <c r="K107" s="1993" t="str">
        <f>'Estimate Detail'!AN327</f>
        <v>set</v>
      </c>
      <c r="L107" s="2014">
        <f>'Estimate Detail'!AO327</f>
        <v>0</v>
      </c>
      <c r="M107" s="1443" t="str">
        <f>'Estimate Detail'!AP327</f>
        <v>CNY</v>
      </c>
      <c r="N107" s="1443" t="str">
        <f>'Estimate Detail'!AQ327</f>
        <v>BOCE</v>
      </c>
      <c r="O107" s="1443" t="str">
        <f>'Estimate Detail'!AR327</f>
        <v>CNAP</v>
      </c>
      <c r="P107" s="1443" t="str">
        <f>'Estimate Detail'!AS327</f>
        <v>A</v>
      </c>
      <c r="Q107" s="1443" t="str">
        <f>'Estimate Detail'!AT327</f>
        <v>FCA</v>
      </c>
      <c r="R107" s="1443" t="str">
        <f>'Estimate Detail'!AU327</f>
        <v>CN</v>
      </c>
      <c r="S107" s="1443" t="str">
        <f>'Estimate Detail'!AV327</f>
        <v>YES</v>
      </c>
      <c r="T107" s="1444">
        <f>'Estimate Detail'!AW327</f>
        <v>43132</v>
      </c>
      <c r="U107" s="1443"/>
      <c r="V107" s="1445"/>
      <c r="W107" s="1443"/>
      <c r="X107" s="1475"/>
      <c r="Z107" s="1472"/>
    </row>
    <row r="108" spans="1:26" s="1442" customFormat="1" ht="22.5">
      <c r="A108" s="1994" t="str">
        <f>'Estimate Detail'!B328</f>
        <v>081005</v>
      </c>
      <c r="B108" s="1443"/>
      <c r="C108" s="1443" t="s">
        <v>667</v>
      </c>
      <c r="D108" s="1443" t="s">
        <v>668</v>
      </c>
      <c r="E108" s="1443" t="str">
        <f>'Estimate Detail'!C328</f>
        <v>Import materials CUSTOMS clearance and portsurcharge</v>
      </c>
      <c r="F108" s="1443" t="str">
        <f>'Estimate Detail'!AJ328</f>
        <v>MAT/TRA</v>
      </c>
      <c r="G108" s="1443" t="str">
        <f>'Estimate Detail'!U328</f>
        <v>Unknown Supplier</v>
      </c>
      <c r="H108" s="1443" t="str">
        <f>'Estimate Detail'!AK328</f>
        <v>External</v>
      </c>
      <c r="I108" s="1443" t="str">
        <f>'Estimate Detail'!AL328</f>
        <v>CN</v>
      </c>
      <c r="J108" s="2014">
        <f>'Estimate Detail'!AM328</f>
        <v>1</v>
      </c>
      <c r="K108" s="1993" t="str">
        <f>'Estimate Detail'!AN328</f>
        <v>set</v>
      </c>
      <c r="L108" s="2014">
        <f>'Estimate Detail'!AO328</f>
        <v>0</v>
      </c>
      <c r="M108" s="1443" t="str">
        <f>'Estimate Detail'!AP328</f>
        <v>CNY</v>
      </c>
      <c r="N108" s="1443" t="str">
        <f>'Estimate Detail'!AQ328</f>
        <v>BOCE</v>
      </c>
      <c r="O108" s="1443" t="str">
        <f>'Estimate Detail'!AR328</f>
        <v>CNAP</v>
      </c>
      <c r="P108" s="1443" t="str">
        <f>'Estimate Detail'!AS328</f>
        <v>A</v>
      </c>
      <c r="Q108" s="1443" t="str">
        <f>'Estimate Detail'!AT328</f>
        <v>FCA</v>
      </c>
      <c r="R108" s="1443" t="str">
        <f>'Estimate Detail'!AU328</f>
        <v>CN</v>
      </c>
      <c r="S108" s="1443" t="str">
        <f>'Estimate Detail'!AV328</f>
        <v>YES</v>
      </c>
      <c r="T108" s="1444">
        <f>'Estimate Detail'!AW328</f>
        <v>43132</v>
      </c>
      <c r="U108" s="1443"/>
      <c r="V108" s="1445"/>
      <c r="W108" s="1443"/>
      <c r="X108" s="1475"/>
      <c r="Z108" s="1472"/>
    </row>
    <row r="109" spans="1:26" s="1442" customFormat="1">
      <c r="A109" s="1994" t="str">
        <f>'Estimate Detail'!B329</f>
        <v>081005</v>
      </c>
      <c r="B109" s="1443"/>
      <c r="C109" s="1443" t="s">
        <v>667</v>
      </c>
      <c r="D109" s="1443" t="s">
        <v>668</v>
      </c>
      <c r="E109" s="1443" t="str">
        <f>'Estimate Detail'!C329</f>
        <v>Import materials Commodity inspection fee</v>
      </c>
      <c r="F109" s="1443" t="str">
        <f>'Estimate Detail'!AJ329</f>
        <v>MAT/TRA</v>
      </c>
      <c r="G109" s="1443" t="str">
        <f>'Estimate Detail'!U329</f>
        <v>Unknown Supplier</v>
      </c>
      <c r="H109" s="1443" t="str">
        <f>'Estimate Detail'!AK329</f>
        <v>External</v>
      </c>
      <c r="I109" s="1443" t="str">
        <f>'Estimate Detail'!AL329</f>
        <v>CN</v>
      </c>
      <c r="J109" s="2014">
        <f>'Estimate Detail'!AM329</f>
        <v>1</v>
      </c>
      <c r="K109" s="1993" t="str">
        <f>'Estimate Detail'!AN329</f>
        <v>set</v>
      </c>
      <c r="L109" s="2014">
        <f>'Estimate Detail'!AO329</f>
        <v>0</v>
      </c>
      <c r="M109" s="1443" t="str">
        <f>'Estimate Detail'!AP329</f>
        <v>CNY</v>
      </c>
      <c r="N109" s="1443" t="str">
        <f>'Estimate Detail'!AQ329</f>
        <v>BOCE</v>
      </c>
      <c r="O109" s="1443" t="str">
        <f>'Estimate Detail'!AR329</f>
        <v>CNAP</v>
      </c>
      <c r="P109" s="1443" t="str">
        <f>'Estimate Detail'!AS329</f>
        <v>A</v>
      </c>
      <c r="Q109" s="1443" t="str">
        <f>'Estimate Detail'!AT329</f>
        <v>FCA</v>
      </c>
      <c r="R109" s="1443" t="str">
        <f>'Estimate Detail'!AU329</f>
        <v>CN</v>
      </c>
      <c r="S109" s="1443" t="str">
        <f>'Estimate Detail'!AV329</f>
        <v>YES</v>
      </c>
      <c r="T109" s="1444">
        <f>'Estimate Detail'!AW329</f>
        <v>43132</v>
      </c>
      <c r="U109" s="1443"/>
      <c r="V109" s="1445"/>
      <c r="W109" s="1443"/>
      <c r="X109" s="1475"/>
      <c r="Z109" s="1472"/>
    </row>
    <row r="110" spans="1:26" s="1442" customFormat="1" hidden="1">
      <c r="A110" s="1994" t="str">
        <f>'Estimate Detail'!B333</f>
        <v>081005</v>
      </c>
      <c r="B110" s="1443"/>
      <c r="C110" s="1443" t="s">
        <v>667</v>
      </c>
      <c r="D110" s="1443" t="s">
        <v>668</v>
      </c>
      <c r="E110" s="1443" t="str">
        <f>'Estimate Detail'!C333</f>
        <v>Import Equipment Custom Cost/Lc</v>
      </c>
      <c r="F110" s="1443" t="str">
        <f>'Estimate Detail'!AJ333</f>
        <v>MAT/TRA</v>
      </c>
      <c r="G110" s="1443" t="str">
        <f>'Estimate Detail'!U333</f>
        <v>Unknown Supplier</v>
      </c>
      <c r="H110" s="1443" t="str">
        <f>'Estimate Detail'!AK333</f>
        <v>External</v>
      </c>
      <c r="I110" s="1443" t="str">
        <f>'Estimate Detail'!AL333</f>
        <v>CN</v>
      </c>
      <c r="J110" s="2014">
        <f>'Estimate Detail'!AM333</f>
        <v>1</v>
      </c>
      <c r="K110" s="1993" t="str">
        <f>'Estimate Detail'!AN333</f>
        <v>set</v>
      </c>
      <c r="L110" s="2014">
        <f>'Estimate Detail'!AO333</f>
        <v>0</v>
      </c>
      <c r="M110" s="1443" t="str">
        <f>'Estimate Detail'!AP333</f>
        <v>CNY</v>
      </c>
      <c r="N110" s="1443" t="str">
        <f>'Estimate Detail'!AQ333</f>
        <v>BOCE</v>
      </c>
      <c r="O110" s="1443" t="str">
        <f>'Estimate Detail'!AR333</f>
        <v>CNAP</v>
      </c>
      <c r="P110" s="1443" t="str">
        <f>'Estimate Detail'!AS333</f>
        <v>A</v>
      </c>
      <c r="Q110" s="1443" t="str">
        <f>'Estimate Detail'!AT333</f>
        <v>FCA</v>
      </c>
      <c r="R110" s="1443" t="str">
        <f>'Estimate Detail'!AU333</f>
        <v>CN</v>
      </c>
      <c r="S110" s="1443" t="str">
        <f>'Estimate Detail'!AV333</f>
        <v>YES</v>
      </c>
      <c r="T110" s="1444">
        <f>'Estimate Detail'!AW333</f>
        <v>43121</v>
      </c>
      <c r="U110" s="1443"/>
      <c r="V110" s="1445"/>
      <c r="W110" s="1443"/>
      <c r="X110" s="1475"/>
      <c r="Z110" s="1472"/>
    </row>
    <row r="111" spans="1:26" s="1442" customFormat="1" hidden="1">
      <c r="A111" s="1994" t="str">
        <f>'Estimate Detail'!B334</f>
        <v>081005</v>
      </c>
      <c r="B111" s="1443"/>
      <c r="C111" s="1443" t="s">
        <v>667</v>
      </c>
      <c r="D111" s="1443" t="s">
        <v>668</v>
      </c>
      <c r="E111" s="1443" t="str">
        <f>'Estimate Detail'!C334</f>
        <v>Import materials Custom Cost/Lc</v>
      </c>
      <c r="F111" s="1443" t="str">
        <f>'Estimate Detail'!AJ334</f>
        <v>MAT/TRA</v>
      </c>
      <c r="G111" s="1443" t="str">
        <f>'Estimate Detail'!U334</f>
        <v>Unknown Supplier</v>
      </c>
      <c r="H111" s="1443" t="str">
        <f>'Estimate Detail'!AK334</f>
        <v>External</v>
      </c>
      <c r="I111" s="1443" t="str">
        <f>'Estimate Detail'!AL334</f>
        <v>CN</v>
      </c>
      <c r="J111" s="2014">
        <f>'Estimate Detail'!AM334</f>
        <v>1</v>
      </c>
      <c r="K111" s="1993" t="str">
        <f>'Estimate Detail'!AN334</f>
        <v>set</v>
      </c>
      <c r="L111" s="2014">
        <f>'Estimate Detail'!AO334</f>
        <v>0</v>
      </c>
      <c r="M111" s="1443" t="str">
        <f>'Estimate Detail'!AP334</f>
        <v>CNY</v>
      </c>
      <c r="N111" s="1443" t="str">
        <f>'Estimate Detail'!AQ334</f>
        <v>BOCE</v>
      </c>
      <c r="O111" s="1443" t="str">
        <f>'Estimate Detail'!AR334</f>
        <v>CNAP</v>
      </c>
      <c r="P111" s="1443" t="str">
        <f>'Estimate Detail'!AS334</f>
        <v>A</v>
      </c>
      <c r="Q111" s="1443" t="str">
        <f>'Estimate Detail'!AT334</f>
        <v>FCA</v>
      </c>
      <c r="R111" s="1443" t="str">
        <f>'Estimate Detail'!AU334</f>
        <v>CN</v>
      </c>
      <c r="S111" s="1443" t="str">
        <f>'Estimate Detail'!AV334</f>
        <v>YES</v>
      </c>
      <c r="T111" s="1444">
        <f>'Estimate Detail'!AW334</f>
        <v>43121</v>
      </c>
      <c r="U111" s="1443"/>
      <c r="V111" s="1445"/>
      <c r="W111" s="1443"/>
      <c r="X111" s="1475"/>
      <c r="Z111" s="1472"/>
    </row>
    <row r="112" spans="1:26" s="1442" customFormat="1" hidden="1">
      <c r="A112" s="1994" t="str">
        <f>'Estimate Detail'!B337</f>
        <v>081006</v>
      </c>
      <c r="B112" s="1443"/>
      <c r="C112" s="1443" t="s">
        <v>667</v>
      </c>
      <c r="D112" s="1443" t="s">
        <v>668</v>
      </c>
      <c r="E112" s="1443" t="str">
        <f>'Estimate Detail'!C337</f>
        <v>Mill transportation</v>
      </c>
      <c r="F112" s="1443" t="str">
        <f>'Estimate Detail'!AJ337</f>
        <v>MAT/TRA</v>
      </c>
      <c r="G112" s="1443" t="str">
        <f>'Estimate Detail'!U337</f>
        <v>Unknown Supplier</v>
      </c>
      <c r="H112" s="1443" t="str">
        <f>'Estimate Detail'!AK337</f>
        <v>External</v>
      </c>
      <c r="I112" s="1443" t="str">
        <f>'Estimate Detail'!AL337</f>
        <v>CN</v>
      </c>
      <c r="J112" s="2014">
        <f>'Estimate Detail'!AM337</f>
        <v>1</v>
      </c>
      <c r="K112" s="1993" t="str">
        <f>'Estimate Detail'!AN337</f>
        <v>set</v>
      </c>
      <c r="L112" s="2014">
        <f>'Estimate Detail'!AO337</f>
        <v>0</v>
      </c>
      <c r="M112" s="1443" t="str">
        <f>'Estimate Detail'!AP337</f>
        <v>CNY</v>
      </c>
      <c r="N112" s="1443" t="str">
        <f>'Estimate Detail'!AQ337</f>
        <v>BOCE</v>
      </c>
      <c r="O112" s="1443" t="str">
        <f>'Estimate Detail'!AR337</f>
        <v>CNAP</v>
      </c>
      <c r="P112" s="1443" t="str">
        <f>'Estimate Detail'!AS337</f>
        <v>A</v>
      </c>
      <c r="Q112" s="1443" t="str">
        <f>'Estimate Detail'!AT337</f>
        <v>FCA</v>
      </c>
      <c r="R112" s="1443" t="str">
        <f>'Estimate Detail'!AU337</f>
        <v>CN</v>
      </c>
      <c r="S112" s="1443" t="str">
        <f>'Estimate Detail'!AV337</f>
        <v>YES</v>
      </c>
      <c r="T112" s="1444">
        <f>'Estimate Detail'!AW337</f>
        <v>42683</v>
      </c>
      <c r="U112" s="1443"/>
      <c r="V112" s="1445"/>
      <c r="W112" s="1443"/>
      <c r="X112" s="1475"/>
      <c r="Z112" s="1472"/>
    </row>
    <row r="113" spans="1:26" s="1442" customFormat="1" hidden="1">
      <c r="A113" s="1994" t="str">
        <f>'Estimate Detail'!B338</f>
        <v>081006</v>
      </c>
      <c r="B113" s="1443"/>
      <c r="C113" s="1443" t="s">
        <v>667</v>
      </c>
      <c r="D113" s="1443" t="s">
        <v>668</v>
      </c>
      <c r="E113" s="1443" t="str">
        <f>'Estimate Detail'!C338</f>
        <v>Mill transportation</v>
      </c>
      <c r="F113" s="1443" t="str">
        <f>'Estimate Detail'!AJ338</f>
        <v>MAT/TRA</v>
      </c>
      <c r="G113" s="1443" t="str">
        <f>'Estimate Detail'!U338</f>
        <v>Unknown Supplier</v>
      </c>
      <c r="H113" s="1443" t="str">
        <f>'Estimate Detail'!AK338</f>
        <v>External</v>
      </c>
      <c r="I113" s="1443" t="str">
        <f>'Estimate Detail'!AL338</f>
        <v>DE</v>
      </c>
      <c r="J113" s="2014">
        <f>'Estimate Detail'!AM338</f>
        <v>1</v>
      </c>
      <c r="K113" s="1993" t="str">
        <f>'Estimate Detail'!AN338</f>
        <v>set</v>
      </c>
      <c r="L113" s="2014">
        <f>'Estimate Detail'!AO338</f>
        <v>0</v>
      </c>
      <c r="M113" s="1443" t="str">
        <f>'Estimate Detail'!AP338</f>
        <v>EUR</v>
      </c>
      <c r="N113" s="1443" t="str">
        <f>'Estimate Detail'!AQ338</f>
        <v>BOCE</v>
      </c>
      <c r="O113" s="1443" t="str">
        <f>'Estimate Detail'!AR338</f>
        <v>CNAP</v>
      </c>
      <c r="P113" s="1443" t="str">
        <f>'Estimate Detail'!AS338</f>
        <v>A</v>
      </c>
      <c r="Q113" s="1443" t="str">
        <f>'Estimate Detail'!AT338</f>
        <v>FCA</v>
      </c>
      <c r="R113" s="1443" t="str">
        <f>'Estimate Detail'!AU338</f>
        <v>DE</v>
      </c>
      <c r="S113" s="1443" t="str">
        <f>'Estimate Detail'!AV338</f>
        <v>YES</v>
      </c>
      <c r="T113" s="1444">
        <f>'Estimate Detail'!AW338</f>
        <v>42683</v>
      </c>
      <c r="U113" s="1443"/>
      <c r="V113" s="1445"/>
      <c r="W113" s="1443"/>
      <c r="X113" s="1475"/>
      <c r="Z113" s="1472"/>
    </row>
    <row r="114" spans="1:26" s="1442" customFormat="1">
      <c r="A114" s="1994" t="str">
        <f>'Estimate Detail'!B12</f>
        <v>050301</v>
      </c>
      <c r="B114" s="1443"/>
      <c r="C114" s="1443"/>
      <c r="D114" s="1443" t="s">
        <v>668</v>
      </c>
      <c r="E114" s="1994" t="str">
        <f>'Estimate Detail'!C12</f>
        <v>Water Cooling System</v>
      </c>
      <c r="F114" s="1994" t="str">
        <f>'Estimate Detail'!AJ12</f>
        <v>MAT/HW</v>
      </c>
      <c r="G114" s="1994" t="str">
        <f>'Estimate Detail'!U12</f>
        <v>Unknown Supplier</v>
      </c>
      <c r="H114" s="1994" t="str">
        <f>'Estimate Detail'!AK12</f>
        <v>External</v>
      </c>
      <c r="I114" s="1994" t="str">
        <f>'Estimate Detail'!AL12</f>
        <v>CN</v>
      </c>
      <c r="J114" s="2014">
        <f>'Estimate Detail'!AM12</f>
        <v>1</v>
      </c>
      <c r="K114" s="2012" t="str">
        <f>'Estimate Detail'!AN12</f>
        <v>set</v>
      </c>
      <c r="L114" s="2014">
        <f>'Estimate Detail'!AO12</f>
        <v>0</v>
      </c>
      <c r="M114" s="1994" t="str">
        <f>'Estimate Detail'!AP12</f>
        <v>CNY</v>
      </c>
      <c r="N114" s="1994" t="str">
        <f>'Estimate Detail'!AQ12</f>
        <v>BOCE</v>
      </c>
      <c r="O114" s="1994" t="str">
        <f>'Estimate Detail'!AR12</f>
        <v>CNAP</v>
      </c>
      <c r="P114" s="1994" t="str">
        <f>'Estimate Detail'!AS12</f>
        <v>A</v>
      </c>
      <c r="Q114" s="1994" t="str">
        <f>'Estimate Detail'!AT12</f>
        <v>FOB SH</v>
      </c>
      <c r="R114" s="1994" t="str">
        <f>'Estimate Detail'!AU12</f>
        <v>CN</v>
      </c>
      <c r="S114" s="1994" t="str">
        <f>'Estimate Detail'!AV12</f>
        <v>YES</v>
      </c>
      <c r="T114" s="1444">
        <f>'Estimate Detail'!AW12</f>
        <v>42943</v>
      </c>
      <c r="U114" s="1994"/>
      <c r="V114" s="2013"/>
      <c r="W114" s="1994"/>
      <c r="X114" s="1475"/>
      <c r="Z114" s="1472"/>
    </row>
    <row r="115" spans="1:26" s="1442" customFormat="1" hidden="1">
      <c r="A115" s="1994" t="str">
        <f>'Estimate Detail'!B13</f>
        <v>050301</v>
      </c>
      <c r="B115" s="1443"/>
      <c r="C115" s="1443"/>
      <c r="D115" s="1443" t="s">
        <v>668</v>
      </c>
      <c r="E115" s="1994" t="str">
        <f>'Estimate Detail'!C13</f>
        <v>Water Cooling System</v>
      </c>
      <c r="F115" s="1994" t="str">
        <f>'Estimate Detail'!AJ13</f>
        <v>MAT/HW</v>
      </c>
      <c r="G115" s="1994" t="str">
        <f>'Estimate Detail'!U13</f>
        <v>Unknown Supplier</v>
      </c>
      <c r="H115" s="1994" t="str">
        <f>'Estimate Detail'!AK13</f>
        <v>External</v>
      </c>
      <c r="I115" s="1994" t="str">
        <f>'Estimate Detail'!AL13</f>
        <v>DE</v>
      </c>
      <c r="J115" s="2014">
        <f>'Estimate Detail'!AM13</f>
        <v>1</v>
      </c>
      <c r="K115" s="2012" t="str">
        <f>'Estimate Detail'!AN13</f>
        <v>set</v>
      </c>
      <c r="L115" s="2014">
        <f>'Estimate Detail'!AO13</f>
        <v>0</v>
      </c>
      <c r="M115" s="1994" t="str">
        <f>'Estimate Detail'!AP13</f>
        <v>EUR</v>
      </c>
      <c r="N115" s="1994" t="str">
        <f>'Estimate Detail'!AQ13</f>
        <v>BOCE</v>
      </c>
      <c r="O115" s="1994" t="str">
        <f>'Estimate Detail'!AR13</f>
        <v>CNAP</v>
      </c>
      <c r="P115" s="1994" t="str">
        <f>'Estimate Detail'!AS13</f>
        <v>A</v>
      </c>
      <c r="Q115" s="1994" t="str">
        <f>'Estimate Detail'!AT13</f>
        <v>FOB SH</v>
      </c>
      <c r="R115" s="1994" t="str">
        <f>'Estimate Detail'!AU13</f>
        <v>DE</v>
      </c>
      <c r="S115" s="1994" t="str">
        <f>'Estimate Detail'!AV13</f>
        <v>YES</v>
      </c>
      <c r="T115" s="1444">
        <f>'Estimate Detail'!AW13</f>
        <v>42943</v>
      </c>
      <c r="U115" s="2092"/>
      <c r="V115" s="2093"/>
      <c r="W115" s="2092"/>
      <c r="X115" s="1475"/>
      <c r="Z115" s="1472"/>
    </row>
    <row r="116" spans="1:26" s="1442" customFormat="1" hidden="1">
      <c r="A116" s="1994" t="str">
        <f>'Estimate Detail'!B14</f>
        <v>050301</v>
      </c>
      <c r="B116" s="1443"/>
      <c r="C116" s="1443"/>
      <c r="D116" s="1443" t="s">
        <v>668</v>
      </c>
      <c r="E116" s="1994" t="str">
        <f>'Estimate Detail'!C14</f>
        <v>Water Cooling System</v>
      </c>
      <c r="F116" s="1994" t="str">
        <f>'Estimate Detail'!AJ14</f>
        <v>MAT/HW</v>
      </c>
      <c r="G116" s="1994" t="str">
        <f>'Estimate Detail'!U14</f>
        <v>Unknown Supplier</v>
      </c>
      <c r="H116" s="1994" t="str">
        <f>'Estimate Detail'!AK14</f>
        <v>External</v>
      </c>
      <c r="I116" s="1994" t="str">
        <f>'Estimate Detail'!AL14</f>
        <v>US</v>
      </c>
      <c r="J116" s="2014">
        <f>'Estimate Detail'!AM14</f>
        <v>1</v>
      </c>
      <c r="K116" s="2012" t="str">
        <f>'Estimate Detail'!AN14</f>
        <v>set</v>
      </c>
      <c r="L116" s="2014">
        <f>'Estimate Detail'!AO14</f>
        <v>0</v>
      </c>
      <c r="M116" s="1994" t="str">
        <f>'Estimate Detail'!AP14</f>
        <v>USD</v>
      </c>
      <c r="N116" s="1994" t="str">
        <f>'Estimate Detail'!AQ14</f>
        <v>BOCE</v>
      </c>
      <c r="O116" s="1994" t="str">
        <f>'Estimate Detail'!AR14</f>
        <v>CNAP</v>
      </c>
      <c r="P116" s="1994" t="str">
        <f>'Estimate Detail'!AS14</f>
        <v>A</v>
      </c>
      <c r="Q116" s="1994" t="str">
        <f>'Estimate Detail'!AT14</f>
        <v>FOB SH</v>
      </c>
      <c r="R116" s="1994" t="str">
        <f>'Estimate Detail'!AU14</f>
        <v>US</v>
      </c>
      <c r="S116" s="1994" t="str">
        <f>'Estimate Detail'!AV14</f>
        <v>YES</v>
      </c>
      <c r="T116" s="1444">
        <f>'Estimate Detail'!AW14</f>
        <v>42943</v>
      </c>
      <c r="U116" s="2092"/>
      <c r="V116" s="2093"/>
      <c r="W116" s="2092"/>
      <c r="X116" s="1475"/>
      <c r="Z116" s="1472"/>
    </row>
    <row r="117" spans="1:26" s="1442" customFormat="1">
      <c r="A117" s="1994" t="str">
        <f>'Estimate Detail'!B15</f>
        <v>050302</v>
      </c>
      <c r="B117" s="1443"/>
      <c r="C117" s="1443"/>
      <c r="D117" s="1443" t="s">
        <v>668</v>
      </c>
      <c r="E117" s="1994" t="str">
        <f>'Estimate Detail'!C15</f>
        <v>Superheater internal surfaces</v>
      </c>
      <c r="F117" s="1994" t="str">
        <f>'Estimate Detail'!AJ15</f>
        <v>MAT/HW</v>
      </c>
      <c r="G117" s="1994" t="str">
        <f>'Estimate Detail'!U15</f>
        <v>Unknown Supplier</v>
      </c>
      <c r="H117" s="1994" t="str">
        <f>'Estimate Detail'!AK15</f>
        <v>External</v>
      </c>
      <c r="I117" s="1994" t="str">
        <f>'Estimate Detail'!AL15</f>
        <v>CN</v>
      </c>
      <c r="J117" s="2014">
        <f>'Estimate Detail'!AM15</f>
        <v>1</v>
      </c>
      <c r="K117" s="2012" t="str">
        <f>'Estimate Detail'!AN15</f>
        <v>set</v>
      </c>
      <c r="L117" s="2014">
        <f>'Estimate Detail'!AO15</f>
        <v>0</v>
      </c>
      <c r="M117" s="1994" t="str">
        <f>'Estimate Detail'!AP15</f>
        <v>CNY</v>
      </c>
      <c r="N117" s="1994" t="str">
        <f>'Estimate Detail'!AQ15</f>
        <v>BOCE</v>
      </c>
      <c r="O117" s="1994" t="str">
        <f>'Estimate Detail'!AR15</f>
        <v>CNAP</v>
      </c>
      <c r="P117" s="1994" t="str">
        <f>'Estimate Detail'!AS15</f>
        <v>A</v>
      </c>
      <c r="Q117" s="1994" t="str">
        <f>'Estimate Detail'!AT15</f>
        <v>FOB SH</v>
      </c>
      <c r="R117" s="1994" t="str">
        <f>'Estimate Detail'!AU15</f>
        <v>CN</v>
      </c>
      <c r="S117" s="1994" t="str">
        <f>'Estimate Detail'!AV15</f>
        <v>YES</v>
      </c>
      <c r="T117" s="1444">
        <f>'Estimate Detail'!AW15</f>
        <v>42943</v>
      </c>
      <c r="U117" s="1994"/>
      <c r="V117" s="2013"/>
      <c r="W117" s="1994"/>
      <c r="X117" s="1475"/>
      <c r="Z117" s="1472"/>
    </row>
    <row r="118" spans="1:26" s="1442" customFormat="1">
      <c r="A118" s="1994" t="str">
        <f>'Estimate Detail'!B16</f>
        <v>050302</v>
      </c>
      <c r="B118" s="1443"/>
      <c r="C118" s="1443"/>
      <c r="D118" s="1443" t="s">
        <v>668</v>
      </c>
      <c r="E118" s="1994" t="str">
        <f>'Estimate Detail'!C16</f>
        <v>Superheater internal surfaces</v>
      </c>
      <c r="F118" s="1994" t="str">
        <f>'Estimate Detail'!AJ16</f>
        <v>MAT/HW</v>
      </c>
      <c r="G118" s="1994" t="str">
        <f>'Estimate Detail'!U16</f>
        <v>Unknown Supplier</v>
      </c>
      <c r="H118" s="1994" t="str">
        <f>'Estimate Detail'!AK16</f>
        <v>External</v>
      </c>
      <c r="I118" s="1994" t="str">
        <f>'Estimate Detail'!AL16</f>
        <v>DE</v>
      </c>
      <c r="J118" s="2014">
        <f>'Estimate Detail'!AM16</f>
        <v>1</v>
      </c>
      <c r="K118" s="2012" t="str">
        <f>'Estimate Detail'!AN16</f>
        <v>set</v>
      </c>
      <c r="L118" s="2014">
        <f>'Estimate Detail'!AO16</f>
        <v>0</v>
      </c>
      <c r="M118" s="1994" t="str">
        <f>'Estimate Detail'!AP16</f>
        <v>EUR</v>
      </c>
      <c r="N118" s="1994" t="str">
        <f>'Estimate Detail'!AQ16</f>
        <v>BOCE</v>
      </c>
      <c r="O118" s="1994" t="str">
        <f>'Estimate Detail'!AR16</f>
        <v>CNAP</v>
      </c>
      <c r="P118" s="1994" t="str">
        <f>'Estimate Detail'!AS16</f>
        <v>A</v>
      </c>
      <c r="Q118" s="1994" t="str">
        <f>'Estimate Detail'!AT16</f>
        <v>FOB SH</v>
      </c>
      <c r="R118" s="1994" t="str">
        <f>'Estimate Detail'!AU16</f>
        <v>DE</v>
      </c>
      <c r="S118" s="1994" t="str">
        <f>'Estimate Detail'!AV16</f>
        <v>YES</v>
      </c>
      <c r="T118" s="1444">
        <f>'Estimate Detail'!AW16</f>
        <v>42943</v>
      </c>
      <c r="U118" s="1994"/>
      <c r="V118" s="2013"/>
      <c r="W118" s="1994"/>
      <c r="X118" s="1475"/>
      <c r="Z118" s="1472"/>
    </row>
    <row r="119" spans="1:26" s="1442" customFormat="1" hidden="1">
      <c r="A119" s="1994" t="str">
        <f>'Estimate Detail'!B17</f>
        <v>050302</v>
      </c>
      <c r="B119" s="1443"/>
      <c r="C119" s="1443"/>
      <c r="D119" s="1443" t="s">
        <v>668</v>
      </c>
      <c r="E119" s="1994" t="str">
        <f>'Estimate Detail'!C17</f>
        <v>Superheater internal surfaces</v>
      </c>
      <c r="F119" s="1994" t="str">
        <f>'Estimate Detail'!AJ17</f>
        <v>MAT/HW</v>
      </c>
      <c r="G119" s="1994" t="str">
        <f>'Estimate Detail'!U17</f>
        <v>Unknown Supplier</v>
      </c>
      <c r="H119" s="1994" t="str">
        <f>'Estimate Detail'!AK17</f>
        <v>External</v>
      </c>
      <c r="I119" s="1994" t="str">
        <f>'Estimate Detail'!AL17</f>
        <v>US</v>
      </c>
      <c r="J119" s="2014">
        <f>'Estimate Detail'!AM17</f>
        <v>1</v>
      </c>
      <c r="K119" s="2012" t="str">
        <f>'Estimate Detail'!AN17</f>
        <v>set</v>
      </c>
      <c r="L119" s="2014">
        <f>'Estimate Detail'!AO17</f>
        <v>0</v>
      </c>
      <c r="M119" s="1994" t="str">
        <f>'Estimate Detail'!AP17</f>
        <v>USD</v>
      </c>
      <c r="N119" s="1994" t="str">
        <f>'Estimate Detail'!AQ17</f>
        <v>BOCE</v>
      </c>
      <c r="O119" s="1994" t="str">
        <f>'Estimate Detail'!AR17</f>
        <v>CNAP</v>
      </c>
      <c r="P119" s="1994" t="str">
        <f>'Estimate Detail'!AS17</f>
        <v>A</v>
      </c>
      <c r="Q119" s="1994" t="str">
        <f>'Estimate Detail'!AT17</f>
        <v>FOB SH</v>
      </c>
      <c r="R119" s="1994" t="str">
        <f>'Estimate Detail'!AU17</f>
        <v>US</v>
      </c>
      <c r="S119" s="1994" t="str">
        <f>'Estimate Detail'!AV17</f>
        <v>YES</v>
      </c>
      <c r="T119" s="1444">
        <f>'Estimate Detail'!AW17</f>
        <v>42943</v>
      </c>
      <c r="U119" s="1994"/>
      <c r="V119" s="2013"/>
      <c r="W119" s="1994"/>
      <c r="X119" s="1475"/>
      <c r="Z119" s="1472"/>
    </row>
    <row r="120" spans="1:26" s="1442" customFormat="1">
      <c r="A120" s="1994" t="str">
        <f>'Estimate Detail'!B18</f>
        <v>050303</v>
      </c>
      <c r="B120" s="1443"/>
      <c r="C120" s="1443"/>
      <c r="D120" s="1443" t="s">
        <v>668</v>
      </c>
      <c r="E120" s="1994" t="str">
        <f>'Estimate Detail'!C18</f>
        <v>Superheater backpass wall</v>
      </c>
      <c r="F120" s="1994" t="str">
        <f>'Estimate Detail'!AJ18</f>
        <v>MAT/HW</v>
      </c>
      <c r="G120" s="1994" t="str">
        <f>'Estimate Detail'!U18</f>
        <v>Unknown Supplier</v>
      </c>
      <c r="H120" s="1994" t="str">
        <f>'Estimate Detail'!AK18</f>
        <v>External</v>
      </c>
      <c r="I120" s="1994" t="str">
        <f>'Estimate Detail'!AL18</f>
        <v>CN</v>
      </c>
      <c r="J120" s="2014">
        <f>'Estimate Detail'!AM18</f>
        <v>1</v>
      </c>
      <c r="K120" s="2012" t="str">
        <f>'Estimate Detail'!AN18</f>
        <v>set</v>
      </c>
      <c r="L120" s="2014">
        <f>'Estimate Detail'!AO18</f>
        <v>0</v>
      </c>
      <c r="M120" s="1994" t="str">
        <f>'Estimate Detail'!AP18</f>
        <v>CNY</v>
      </c>
      <c r="N120" s="1994" t="str">
        <f>'Estimate Detail'!AQ18</f>
        <v>BOCE</v>
      </c>
      <c r="O120" s="1994" t="str">
        <f>'Estimate Detail'!AR18</f>
        <v>CNAP</v>
      </c>
      <c r="P120" s="1994" t="str">
        <f>'Estimate Detail'!AS18</f>
        <v>A</v>
      </c>
      <c r="Q120" s="1994" t="str">
        <f>'Estimate Detail'!AT18</f>
        <v>FOB SH</v>
      </c>
      <c r="R120" s="1994" t="str">
        <f>'Estimate Detail'!AU18</f>
        <v>CN</v>
      </c>
      <c r="S120" s="1994" t="str">
        <f>'Estimate Detail'!AV18</f>
        <v>YES</v>
      </c>
      <c r="T120" s="1444">
        <f>'Estimate Detail'!AW18</f>
        <v>42943</v>
      </c>
      <c r="U120" s="1994"/>
      <c r="V120" s="2013"/>
      <c r="W120" s="1994"/>
      <c r="X120" s="1475"/>
      <c r="Z120" s="1472"/>
    </row>
    <row r="121" spans="1:26" s="1442" customFormat="1" hidden="1">
      <c r="A121" s="1994" t="str">
        <f>'Estimate Detail'!B19</f>
        <v>050303</v>
      </c>
      <c r="B121" s="1443"/>
      <c r="C121" s="1443"/>
      <c r="D121" s="1443" t="s">
        <v>668</v>
      </c>
      <c r="E121" s="1994" t="str">
        <f>'Estimate Detail'!C19</f>
        <v>Superheater backpass wall</v>
      </c>
      <c r="F121" s="1994" t="str">
        <f>'Estimate Detail'!AJ19</f>
        <v>MAT/HW</v>
      </c>
      <c r="G121" s="1994" t="str">
        <f>'Estimate Detail'!U19</f>
        <v>Unknown Supplier</v>
      </c>
      <c r="H121" s="1994" t="str">
        <f>'Estimate Detail'!AK19</f>
        <v>External</v>
      </c>
      <c r="I121" s="1994" t="str">
        <f>'Estimate Detail'!AL19</f>
        <v>DE</v>
      </c>
      <c r="J121" s="2014">
        <f>'Estimate Detail'!AM19</f>
        <v>1</v>
      </c>
      <c r="K121" s="2012" t="str">
        <f>'Estimate Detail'!AN19</f>
        <v>set</v>
      </c>
      <c r="L121" s="2014">
        <f>'Estimate Detail'!AO19</f>
        <v>0</v>
      </c>
      <c r="M121" s="1994" t="str">
        <f>'Estimate Detail'!AP19</f>
        <v>EUR</v>
      </c>
      <c r="N121" s="1994" t="str">
        <f>'Estimate Detail'!AQ19</f>
        <v>BOCE</v>
      </c>
      <c r="O121" s="1994" t="str">
        <f>'Estimate Detail'!AR19</f>
        <v>CNAP</v>
      </c>
      <c r="P121" s="1994" t="str">
        <f>'Estimate Detail'!AS19</f>
        <v>A</v>
      </c>
      <c r="Q121" s="1994" t="str">
        <f>'Estimate Detail'!AT19</f>
        <v>FOB SH</v>
      </c>
      <c r="R121" s="1994" t="str">
        <f>'Estimate Detail'!AU19</f>
        <v>DE</v>
      </c>
      <c r="S121" s="1994" t="str">
        <f>'Estimate Detail'!AV19</f>
        <v>YES</v>
      </c>
      <c r="T121" s="1444">
        <f>'Estimate Detail'!AW19</f>
        <v>42943</v>
      </c>
      <c r="U121" s="1994"/>
      <c r="V121" s="2013"/>
      <c r="W121" s="1994"/>
      <c r="X121" s="1475"/>
      <c r="Z121" s="1472"/>
    </row>
    <row r="122" spans="1:26" s="1442" customFormat="1" hidden="1">
      <c r="A122" s="1994" t="str">
        <f>'Estimate Detail'!B20</f>
        <v>050303</v>
      </c>
      <c r="B122" s="1443"/>
      <c r="C122" s="1443"/>
      <c r="D122" s="1443" t="s">
        <v>668</v>
      </c>
      <c r="E122" s="1994" t="str">
        <f>'Estimate Detail'!C20</f>
        <v>Superheater backpass wall</v>
      </c>
      <c r="F122" s="1994" t="str">
        <f>'Estimate Detail'!AJ20</f>
        <v>MAT/HW</v>
      </c>
      <c r="G122" s="1994" t="str">
        <f>'Estimate Detail'!U20</f>
        <v>Unknown Supplier</v>
      </c>
      <c r="H122" s="1994" t="str">
        <f>'Estimate Detail'!AK20</f>
        <v>External</v>
      </c>
      <c r="I122" s="1994" t="str">
        <f>'Estimate Detail'!AL20</f>
        <v>US</v>
      </c>
      <c r="J122" s="2014">
        <f>'Estimate Detail'!AM20</f>
        <v>1</v>
      </c>
      <c r="K122" s="2012" t="str">
        <f>'Estimate Detail'!AN20</f>
        <v>set</v>
      </c>
      <c r="L122" s="2014">
        <f>'Estimate Detail'!AO20</f>
        <v>0</v>
      </c>
      <c r="M122" s="1994" t="str">
        <f>'Estimate Detail'!AP20</f>
        <v>USD</v>
      </c>
      <c r="N122" s="1994" t="str">
        <f>'Estimate Detail'!AQ20</f>
        <v>BOCE</v>
      </c>
      <c r="O122" s="1994" t="str">
        <f>'Estimate Detail'!AR20</f>
        <v>CNAP</v>
      </c>
      <c r="P122" s="1994" t="str">
        <f>'Estimate Detail'!AS20</f>
        <v>A</v>
      </c>
      <c r="Q122" s="1994" t="str">
        <f>'Estimate Detail'!AT20</f>
        <v>FOB SH</v>
      </c>
      <c r="R122" s="1994" t="str">
        <f>'Estimate Detail'!AU20</f>
        <v>US</v>
      </c>
      <c r="S122" s="1994" t="str">
        <f>'Estimate Detail'!AV20</f>
        <v>YES</v>
      </c>
      <c r="T122" s="1444">
        <f>'Estimate Detail'!AW20</f>
        <v>42943</v>
      </c>
      <c r="U122" s="1994"/>
      <c r="V122" s="2013"/>
      <c r="W122" s="1994"/>
      <c r="X122" s="1475"/>
      <c r="Z122" s="1472"/>
    </row>
    <row r="123" spans="1:26" s="1442" customFormat="1">
      <c r="A123" s="1994" t="str">
        <f>'Estimate Detail'!B21</f>
        <v>050304</v>
      </c>
      <c r="B123" s="1443"/>
      <c r="C123" s="1443"/>
      <c r="D123" s="1443" t="s">
        <v>668</v>
      </c>
      <c r="E123" s="1994" t="str">
        <f>'Estimate Detail'!C21</f>
        <v>Reheater</v>
      </c>
      <c r="F123" s="1994" t="str">
        <f>'Estimate Detail'!AJ21</f>
        <v>MAT/HW</v>
      </c>
      <c r="G123" s="1994" t="str">
        <f>'Estimate Detail'!U21</f>
        <v>Unknown Supplier</v>
      </c>
      <c r="H123" s="1994" t="str">
        <f>'Estimate Detail'!AK21</f>
        <v>External</v>
      </c>
      <c r="I123" s="1994" t="str">
        <f>'Estimate Detail'!AL21</f>
        <v>CN</v>
      </c>
      <c r="J123" s="2014">
        <f>'Estimate Detail'!AM21</f>
        <v>1</v>
      </c>
      <c r="K123" s="2012" t="str">
        <f>'Estimate Detail'!AN21</f>
        <v>set</v>
      </c>
      <c r="L123" s="2014">
        <f>'Estimate Detail'!AO21</f>
        <v>0</v>
      </c>
      <c r="M123" s="1994" t="str">
        <f>'Estimate Detail'!AP21</f>
        <v>CNY</v>
      </c>
      <c r="N123" s="1994" t="str">
        <f>'Estimate Detail'!AQ21</f>
        <v>BOCE</v>
      </c>
      <c r="O123" s="1994" t="str">
        <f>'Estimate Detail'!AR21</f>
        <v>CNAP</v>
      </c>
      <c r="P123" s="1994" t="str">
        <f>'Estimate Detail'!AS21</f>
        <v>A</v>
      </c>
      <c r="Q123" s="1994" t="str">
        <f>'Estimate Detail'!AT21</f>
        <v>FOB SH</v>
      </c>
      <c r="R123" s="1994" t="str">
        <f>'Estimate Detail'!AU21</f>
        <v>CN</v>
      </c>
      <c r="S123" s="1994" t="str">
        <f>'Estimate Detail'!AV21</f>
        <v>YES</v>
      </c>
      <c r="T123" s="1444">
        <f>'Estimate Detail'!AW21</f>
        <v>42943</v>
      </c>
      <c r="U123" s="1994"/>
      <c r="V123" s="2013"/>
      <c r="W123" s="1994"/>
      <c r="X123" s="1475"/>
      <c r="Z123" s="1472"/>
    </row>
    <row r="124" spans="1:26" s="1442" customFormat="1">
      <c r="A124" s="1994" t="str">
        <f>'Estimate Detail'!B22</f>
        <v>050304</v>
      </c>
      <c r="B124" s="1443"/>
      <c r="C124" s="1443"/>
      <c r="D124" s="1443" t="s">
        <v>668</v>
      </c>
      <c r="E124" s="1994" t="str">
        <f>'Estimate Detail'!C22</f>
        <v>Reheater</v>
      </c>
      <c r="F124" s="1994" t="str">
        <f>'Estimate Detail'!AJ22</f>
        <v>MAT/HW</v>
      </c>
      <c r="G124" s="1994" t="str">
        <f>'Estimate Detail'!U22</f>
        <v>Unknown Supplier</v>
      </c>
      <c r="H124" s="1994" t="str">
        <f>'Estimate Detail'!AK22</f>
        <v>External</v>
      </c>
      <c r="I124" s="1994" t="str">
        <f>'Estimate Detail'!AL22</f>
        <v>DE</v>
      </c>
      <c r="J124" s="2014">
        <f>'Estimate Detail'!AM22</f>
        <v>1</v>
      </c>
      <c r="K124" s="2012" t="str">
        <f>'Estimate Detail'!AN22</f>
        <v>set</v>
      </c>
      <c r="L124" s="2014">
        <f>'Estimate Detail'!AO22</f>
        <v>0</v>
      </c>
      <c r="M124" s="1994" t="str">
        <f>'Estimate Detail'!AP22</f>
        <v>EUR</v>
      </c>
      <c r="N124" s="1994" t="str">
        <f>'Estimate Detail'!AQ22</f>
        <v>BOCE</v>
      </c>
      <c r="O124" s="1994" t="str">
        <f>'Estimate Detail'!AR22</f>
        <v>CNAP</v>
      </c>
      <c r="P124" s="1994" t="str">
        <f>'Estimate Detail'!AS22</f>
        <v>A</v>
      </c>
      <c r="Q124" s="1994" t="str">
        <f>'Estimate Detail'!AT22</f>
        <v>FOB SH</v>
      </c>
      <c r="R124" s="1994" t="str">
        <f>'Estimate Detail'!AU22</f>
        <v>DE</v>
      </c>
      <c r="S124" s="1994" t="str">
        <f>'Estimate Detail'!AV22</f>
        <v>YES</v>
      </c>
      <c r="T124" s="1444">
        <f>'Estimate Detail'!AW22</f>
        <v>42943</v>
      </c>
      <c r="U124" s="1994"/>
      <c r="V124" s="2013"/>
      <c r="W124" s="1994"/>
      <c r="X124" s="1475"/>
      <c r="Z124" s="1472"/>
    </row>
    <row r="125" spans="1:26" s="1442" customFormat="1" hidden="1">
      <c r="A125" s="1994" t="str">
        <f>'Estimate Detail'!B23</f>
        <v>050304</v>
      </c>
      <c r="B125" s="1443"/>
      <c r="C125" s="1443"/>
      <c r="D125" s="1443" t="s">
        <v>668</v>
      </c>
      <c r="E125" s="1994" t="str">
        <f>'Estimate Detail'!C23</f>
        <v>Reheater</v>
      </c>
      <c r="F125" s="1994" t="str">
        <f>'Estimate Detail'!AJ23</f>
        <v>MAT/HW</v>
      </c>
      <c r="G125" s="1994" t="str">
        <f>'Estimate Detail'!U23</f>
        <v>Unknown Supplier</v>
      </c>
      <c r="H125" s="1994" t="str">
        <f>'Estimate Detail'!AK23</f>
        <v>External</v>
      </c>
      <c r="I125" s="1994" t="str">
        <f>'Estimate Detail'!AL23</f>
        <v>US</v>
      </c>
      <c r="J125" s="2014">
        <f>'Estimate Detail'!AM23</f>
        <v>1</v>
      </c>
      <c r="K125" s="2012" t="str">
        <f>'Estimate Detail'!AN23</f>
        <v>set</v>
      </c>
      <c r="L125" s="2014">
        <f>'Estimate Detail'!AO23</f>
        <v>0</v>
      </c>
      <c r="M125" s="1994" t="str">
        <f>'Estimate Detail'!AP23</f>
        <v>USD</v>
      </c>
      <c r="N125" s="1994" t="str">
        <f>'Estimate Detail'!AQ23</f>
        <v>BOCE</v>
      </c>
      <c r="O125" s="1994" t="str">
        <f>'Estimate Detail'!AR23</f>
        <v>CNAP</v>
      </c>
      <c r="P125" s="1994" t="str">
        <f>'Estimate Detail'!AS23</f>
        <v>A</v>
      </c>
      <c r="Q125" s="1994" t="str">
        <f>'Estimate Detail'!AT23</f>
        <v>FOB SH</v>
      </c>
      <c r="R125" s="1994" t="str">
        <f>'Estimate Detail'!AU23</f>
        <v>US</v>
      </c>
      <c r="S125" s="1994" t="str">
        <f>'Estimate Detail'!AV23</f>
        <v>YES</v>
      </c>
      <c r="T125" s="1444">
        <f>'Estimate Detail'!AW23</f>
        <v>42943</v>
      </c>
      <c r="U125" s="1994"/>
      <c r="V125" s="2013"/>
      <c r="W125" s="1994"/>
      <c r="X125" s="1475"/>
      <c r="Z125" s="1472"/>
    </row>
    <row r="126" spans="1:26" s="1442" customFormat="1">
      <c r="A126" s="1994" t="str">
        <f>'Estimate Detail'!B24</f>
        <v>050305</v>
      </c>
      <c r="B126" s="1443"/>
      <c r="C126" s="1443"/>
      <c r="D126" s="1443" t="s">
        <v>668</v>
      </c>
      <c r="E126" s="1994" t="str">
        <f>'Estimate Detail'!C24</f>
        <v>Economizer</v>
      </c>
      <c r="F126" s="1994" t="str">
        <f>'Estimate Detail'!AJ24</f>
        <v>MAT/HW</v>
      </c>
      <c r="G126" s="1994" t="str">
        <f>'Estimate Detail'!U24</f>
        <v>Unknown Supplier</v>
      </c>
      <c r="H126" s="1994" t="str">
        <f>'Estimate Detail'!AK24</f>
        <v>External</v>
      </c>
      <c r="I126" s="1994" t="str">
        <f>'Estimate Detail'!AL24</f>
        <v>CN</v>
      </c>
      <c r="J126" s="2014">
        <f>'Estimate Detail'!AM24</f>
        <v>1</v>
      </c>
      <c r="K126" s="2012" t="str">
        <f>'Estimate Detail'!AN24</f>
        <v>set</v>
      </c>
      <c r="L126" s="2014">
        <f>'Estimate Detail'!AO24</f>
        <v>0</v>
      </c>
      <c r="M126" s="1994" t="str">
        <f>'Estimate Detail'!AP24</f>
        <v>CNY</v>
      </c>
      <c r="N126" s="1994" t="str">
        <f>'Estimate Detail'!AQ24</f>
        <v>BOCE</v>
      </c>
      <c r="O126" s="1994" t="str">
        <f>'Estimate Detail'!AR24</f>
        <v>CNAP</v>
      </c>
      <c r="P126" s="1994" t="str">
        <f>'Estimate Detail'!AS24</f>
        <v>A</v>
      </c>
      <c r="Q126" s="1994" t="str">
        <f>'Estimate Detail'!AT24</f>
        <v>FOB SH</v>
      </c>
      <c r="R126" s="1994" t="str">
        <f>'Estimate Detail'!AU24</f>
        <v>CN</v>
      </c>
      <c r="S126" s="1994" t="str">
        <f>'Estimate Detail'!AV24</f>
        <v>YES</v>
      </c>
      <c r="T126" s="1444">
        <f>'Estimate Detail'!AW24</f>
        <v>42943</v>
      </c>
      <c r="U126" s="1994"/>
      <c r="V126" s="2013"/>
      <c r="W126" s="1994"/>
      <c r="X126" s="1475"/>
      <c r="Z126" s="1472"/>
    </row>
    <row r="127" spans="1:26" s="1442" customFormat="1" hidden="1">
      <c r="A127" s="1994" t="str">
        <f>'Estimate Detail'!B25</f>
        <v>050305</v>
      </c>
      <c r="B127" s="1443"/>
      <c r="C127" s="1443"/>
      <c r="D127" s="1443" t="s">
        <v>668</v>
      </c>
      <c r="E127" s="1994" t="str">
        <f>'Estimate Detail'!C25</f>
        <v>Economizer</v>
      </c>
      <c r="F127" s="1994" t="str">
        <f>'Estimate Detail'!AJ25</f>
        <v>MAT/HW</v>
      </c>
      <c r="G127" s="1994" t="str">
        <f>'Estimate Detail'!U25</f>
        <v>Unknown Supplier</v>
      </c>
      <c r="H127" s="1994" t="str">
        <f>'Estimate Detail'!AK25</f>
        <v>External</v>
      </c>
      <c r="I127" s="1994" t="str">
        <f>'Estimate Detail'!AL25</f>
        <v>DE</v>
      </c>
      <c r="J127" s="2014">
        <f>'Estimate Detail'!AM25</f>
        <v>1</v>
      </c>
      <c r="K127" s="2012" t="str">
        <f>'Estimate Detail'!AN25</f>
        <v>set</v>
      </c>
      <c r="L127" s="2014">
        <f>'Estimate Detail'!AO25</f>
        <v>0</v>
      </c>
      <c r="M127" s="1994" t="str">
        <f>'Estimate Detail'!AP25</f>
        <v>EUR</v>
      </c>
      <c r="N127" s="1994" t="str">
        <f>'Estimate Detail'!AQ25</f>
        <v>BOCE</v>
      </c>
      <c r="O127" s="1994" t="str">
        <f>'Estimate Detail'!AR25</f>
        <v>CNAP</v>
      </c>
      <c r="P127" s="1994" t="str">
        <f>'Estimate Detail'!AS25</f>
        <v>A</v>
      </c>
      <c r="Q127" s="1994" t="str">
        <f>'Estimate Detail'!AT25</f>
        <v>FOB SH</v>
      </c>
      <c r="R127" s="1994" t="str">
        <f>'Estimate Detail'!AU25</f>
        <v>DE</v>
      </c>
      <c r="S127" s="1994" t="str">
        <f>'Estimate Detail'!AV25</f>
        <v>YES</v>
      </c>
      <c r="T127" s="1444">
        <f>'Estimate Detail'!AW25</f>
        <v>42943</v>
      </c>
      <c r="U127" s="1994"/>
      <c r="V127" s="2013"/>
      <c r="W127" s="1994"/>
      <c r="X127" s="1475"/>
      <c r="Z127" s="1472"/>
    </row>
    <row r="128" spans="1:26" s="1442" customFormat="1" hidden="1">
      <c r="A128" s="1994" t="str">
        <f>'Estimate Detail'!B26</f>
        <v>050305</v>
      </c>
      <c r="B128" s="1443"/>
      <c r="C128" s="1443"/>
      <c r="D128" s="1443" t="s">
        <v>668</v>
      </c>
      <c r="E128" s="1994" t="str">
        <f>'Estimate Detail'!C26</f>
        <v>Economizer</v>
      </c>
      <c r="F128" s="1994" t="str">
        <f>'Estimate Detail'!AJ26</f>
        <v>MAT/HW</v>
      </c>
      <c r="G128" s="1994" t="str">
        <f>'Estimate Detail'!U26</f>
        <v>Unknown Supplier</v>
      </c>
      <c r="H128" s="1994" t="str">
        <f>'Estimate Detail'!AK26</f>
        <v>External</v>
      </c>
      <c r="I128" s="1994" t="str">
        <f>'Estimate Detail'!AL26</f>
        <v>US</v>
      </c>
      <c r="J128" s="2014">
        <f>'Estimate Detail'!AM26</f>
        <v>1</v>
      </c>
      <c r="K128" s="2012" t="str">
        <f>'Estimate Detail'!AN26</f>
        <v>set</v>
      </c>
      <c r="L128" s="2014">
        <f>'Estimate Detail'!AO26</f>
        <v>0</v>
      </c>
      <c r="M128" s="1994" t="str">
        <f>'Estimate Detail'!AP26</f>
        <v>USD</v>
      </c>
      <c r="N128" s="1994" t="str">
        <f>'Estimate Detail'!AQ26</f>
        <v>BOCE</v>
      </c>
      <c r="O128" s="1994" t="str">
        <f>'Estimate Detail'!AR26</f>
        <v>CNAP</v>
      </c>
      <c r="P128" s="1994" t="str">
        <f>'Estimate Detail'!AS26</f>
        <v>A</v>
      </c>
      <c r="Q128" s="1994" t="str">
        <f>'Estimate Detail'!AT26</f>
        <v>FOB SH</v>
      </c>
      <c r="R128" s="1994" t="str">
        <f>'Estimate Detail'!AU26</f>
        <v>US</v>
      </c>
      <c r="S128" s="1994" t="str">
        <f>'Estimate Detail'!AV26</f>
        <v>YES</v>
      </c>
      <c r="T128" s="1444">
        <f>'Estimate Detail'!AW26</f>
        <v>42943</v>
      </c>
      <c r="U128" s="1994"/>
      <c r="V128" s="2013"/>
      <c r="W128" s="1994"/>
      <c r="X128" s="1475"/>
      <c r="Z128" s="1472"/>
    </row>
    <row r="129" spans="1:26" s="1442" customFormat="1" hidden="1">
      <c r="A129" s="1994" t="str">
        <f>'Estimate Detail'!B27</f>
        <v>050306</v>
      </c>
      <c r="B129" s="1443"/>
      <c r="C129" s="1443"/>
      <c r="D129" s="1443" t="s">
        <v>668</v>
      </c>
      <c r="E129" s="1994" t="str">
        <f>'Estimate Detail'!C27</f>
        <v>Boiler Internal Piping</v>
      </c>
      <c r="F129" s="1994" t="str">
        <f>'Estimate Detail'!AJ27</f>
        <v>MAT/HW</v>
      </c>
      <c r="G129" s="1994" t="str">
        <f>'Estimate Detail'!U27</f>
        <v>Unknown Supplier</v>
      </c>
      <c r="H129" s="1994" t="str">
        <f>'Estimate Detail'!AK27</f>
        <v>External</v>
      </c>
      <c r="I129" s="1994" t="str">
        <f>'Estimate Detail'!AL27</f>
        <v>CN</v>
      </c>
      <c r="J129" s="2014">
        <f>'Estimate Detail'!AM27</f>
        <v>1</v>
      </c>
      <c r="K129" s="2012" t="str">
        <f>'Estimate Detail'!AN27</f>
        <v>set</v>
      </c>
      <c r="L129" s="2014">
        <f>'Estimate Detail'!AO27</f>
        <v>0</v>
      </c>
      <c r="M129" s="1994" t="str">
        <f>'Estimate Detail'!AP27</f>
        <v>CNY</v>
      </c>
      <c r="N129" s="1994" t="str">
        <f>'Estimate Detail'!AQ27</f>
        <v>BOCE</v>
      </c>
      <c r="O129" s="1994" t="str">
        <f>'Estimate Detail'!AR27</f>
        <v>CNAP</v>
      </c>
      <c r="P129" s="1994" t="str">
        <f>'Estimate Detail'!AS27</f>
        <v>A</v>
      </c>
      <c r="Q129" s="1994" t="str">
        <f>'Estimate Detail'!AT27</f>
        <v>FOB SH</v>
      </c>
      <c r="R129" s="1994" t="str">
        <f>'Estimate Detail'!AU27</f>
        <v>CN</v>
      </c>
      <c r="S129" s="1994" t="str">
        <f>'Estimate Detail'!AV27</f>
        <v>YES</v>
      </c>
      <c r="T129" s="1444">
        <f>'Estimate Detail'!AW27</f>
        <v>42943</v>
      </c>
      <c r="U129" s="1994"/>
      <c r="V129" s="2013"/>
      <c r="W129" s="1994"/>
      <c r="X129" s="1475"/>
      <c r="Z129" s="1472"/>
    </row>
    <row r="130" spans="1:26" s="1442" customFormat="1" hidden="1">
      <c r="A130" s="1994" t="str">
        <f>'Estimate Detail'!B28</f>
        <v>050306</v>
      </c>
      <c r="B130" s="1443"/>
      <c r="C130" s="1443"/>
      <c r="D130" s="1443" t="s">
        <v>668</v>
      </c>
      <c r="E130" s="1994" t="str">
        <f>'Estimate Detail'!C28</f>
        <v>Boiler Internal Piping</v>
      </c>
      <c r="F130" s="1994" t="str">
        <f>'Estimate Detail'!AJ28</f>
        <v>MAT/HW</v>
      </c>
      <c r="G130" s="1994" t="str">
        <f>'Estimate Detail'!U28</f>
        <v>Unknown Supplier</v>
      </c>
      <c r="H130" s="1994" t="str">
        <f>'Estimate Detail'!AK28</f>
        <v>External</v>
      </c>
      <c r="I130" s="1994" t="str">
        <f>'Estimate Detail'!AL28</f>
        <v>DE</v>
      </c>
      <c r="J130" s="2014">
        <f>'Estimate Detail'!AM28</f>
        <v>1</v>
      </c>
      <c r="K130" s="2012" t="str">
        <f>'Estimate Detail'!AN28</f>
        <v>set</v>
      </c>
      <c r="L130" s="2014">
        <f>'Estimate Detail'!AO28</f>
        <v>0</v>
      </c>
      <c r="M130" s="1994" t="str">
        <f>'Estimate Detail'!AP28</f>
        <v>EUR</v>
      </c>
      <c r="N130" s="1994" t="str">
        <f>'Estimate Detail'!AQ28</f>
        <v>BOCE</v>
      </c>
      <c r="O130" s="1994" t="str">
        <f>'Estimate Detail'!AR28</f>
        <v>CNAP</v>
      </c>
      <c r="P130" s="1994" t="str">
        <f>'Estimate Detail'!AS28</f>
        <v>A</v>
      </c>
      <c r="Q130" s="1994" t="str">
        <f>'Estimate Detail'!AT28</f>
        <v>FOB SH</v>
      </c>
      <c r="R130" s="1994" t="str">
        <f>'Estimate Detail'!AU28</f>
        <v>DE</v>
      </c>
      <c r="S130" s="1994" t="str">
        <f>'Estimate Detail'!AV28</f>
        <v>YES</v>
      </c>
      <c r="T130" s="1444">
        <f>'Estimate Detail'!AW28</f>
        <v>42943</v>
      </c>
      <c r="U130" s="1994"/>
      <c r="V130" s="2013"/>
      <c r="W130" s="1994"/>
      <c r="X130" s="1475"/>
      <c r="Z130" s="1472"/>
    </row>
    <row r="131" spans="1:26" s="1442" customFormat="1" hidden="1">
      <c r="A131" s="1994" t="str">
        <f>'Estimate Detail'!B29</f>
        <v>050306</v>
      </c>
      <c r="B131" s="1443"/>
      <c r="C131" s="1443"/>
      <c r="D131" s="1443" t="s">
        <v>668</v>
      </c>
      <c r="E131" s="1994" t="str">
        <f>'Estimate Detail'!C29</f>
        <v>Boiler Internal Piping</v>
      </c>
      <c r="F131" s="1994" t="str">
        <f>'Estimate Detail'!AJ29</f>
        <v>MAT/HW</v>
      </c>
      <c r="G131" s="1994" t="str">
        <f>'Estimate Detail'!U29</f>
        <v>Unknown Supplier</v>
      </c>
      <c r="H131" s="1994" t="str">
        <f>'Estimate Detail'!AK29</f>
        <v>External</v>
      </c>
      <c r="I131" s="1994" t="str">
        <f>'Estimate Detail'!AL29</f>
        <v>US</v>
      </c>
      <c r="J131" s="2014">
        <f>'Estimate Detail'!AM29</f>
        <v>1</v>
      </c>
      <c r="K131" s="2012" t="str">
        <f>'Estimate Detail'!AN29</f>
        <v>set</v>
      </c>
      <c r="L131" s="2014">
        <f>'Estimate Detail'!AO29</f>
        <v>0</v>
      </c>
      <c r="M131" s="1994" t="str">
        <f>'Estimate Detail'!AP29</f>
        <v>USD</v>
      </c>
      <c r="N131" s="1994" t="str">
        <f>'Estimate Detail'!AQ29</f>
        <v>BOCE</v>
      </c>
      <c r="O131" s="1994" t="str">
        <f>'Estimate Detail'!AR29</f>
        <v>CNAP</v>
      </c>
      <c r="P131" s="1994" t="str">
        <f>'Estimate Detail'!AS29</f>
        <v>A</v>
      </c>
      <c r="Q131" s="1994" t="str">
        <f>'Estimate Detail'!AT29</f>
        <v>FOB SH</v>
      </c>
      <c r="R131" s="1994" t="str">
        <f>'Estimate Detail'!AU29</f>
        <v>US</v>
      </c>
      <c r="S131" s="1994" t="str">
        <f>'Estimate Detail'!AV29</f>
        <v>YES</v>
      </c>
      <c r="T131" s="1444">
        <f>'Estimate Detail'!AW29</f>
        <v>42943</v>
      </c>
      <c r="U131" s="1994"/>
      <c r="V131" s="2013"/>
      <c r="W131" s="1994"/>
      <c r="X131" s="1475"/>
      <c r="Z131" s="1472"/>
    </row>
    <row r="132" spans="1:26" s="1442" customFormat="1" hidden="1">
      <c r="A132" s="1994" t="str">
        <f>'Estimate Detail'!B30</f>
        <v>050307</v>
      </c>
      <c r="B132" s="1443"/>
      <c r="C132" s="1443"/>
      <c r="D132" s="1443" t="s">
        <v>668</v>
      </c>
      <c r="E132" s="1994" t="str">
        <f>'Estimate Detail'!C30</f>
        <v>Ancillaries</v>
      </c>
      <c r="F132" s="1994" t="str">
        <f>'Estimate Detail'!AJ30</f>
        <v>MAT/HW</v>
      </c>
      <c r="G132" s="1994" t="str">
        <f>'Estimate Detail'!U30</f>
        <v>Unknown Supplier</v>
      </c>
      <c r="H132" s="1994" t="str">
        <f>'Estimate Detail'!AK30</f>
        <v>External</v>
      </c>
      <c r="I132" s="1994" t="str">
        <f>'Estimate Detail'!AL30</f>
        <v>CN</v>
      </c>
      <c r="J132" s="2014">
        <f>'Estimate Detail'!AM30</f>
        <v>1</v>
      </c>
      <c r="K132" s="2012" t="str">
        <f>'Estimate Detail'!AN30</f>
        <v>set</v>
      </c>
      <c r="L132" s="2014">
        <f>'Estimate Detail'!AO30</f>
        <v>0</v>
      </c>
      <c r="M132" s="1994" t="str">
        <f>'Estimate Detail'!AP30</f>
        <v>CNY</v>
      </c>
      <c r="N132" s="1994" t="str">
        <f>'Estimate Detail'!AQ30</f>
        <v>BOCE</v>
      </c>
      <c r="O132" s="1994" t="str">
        <f>'Estimate Detail'!AR30</f>
        <v>CNAP</v>
      </c>
      <c r="P132" s="1994" t="str">
        <f>'Estimate Detail'!AS30</f>
        <v>A</v>
      </c>
      <c r="Q132" s="1994" t="str">
        <f>'Estimate Detail'!AT30</f>
        <v>FOB SH</v>
      </c>
      <c r="R132" s="1994" t="str">
        <f>'Estimate Detail'!AU30</f>
        <v>CN</v>
      </c>
      <c r="S132" s="1994" t="str">
        <f>'Estimate Detail'!AV30</f>
        <v>YES</v>
      </c>
      <c r="T132" s="1444">
        <f>'Estimate Detail'!AW30</f>
        <v>42943</v>
      </c>
      <c r="U132" s="2092"/>
      <c r="V132" s="2093"/>
      <c r="W132" s="2092"/>
      <c r="X132" s="1475"/>
      <c r="Z132" s="1472"/>
    </row>
    <row r="133" spans="1:26" s="1442" customFormat="1" hidden="1">
      <c r="A133" s="1994" t="str">
        <f>'Estimate Detail'!B31</f>
        <v>050307</v>
      </c>
      <c r="B133" s="1443"/>
      <c r="C133" s="1443"/>
      <c r="D133" s="1443" t="s">
        <v>668</v>
      </c>
      <c r="E133" s="1994" t="str">
        <f>'Estimate Detail'!C31</f>
        <v>Ancillaries</v>
      </c>
      <c r="F133" s="1994" t="str">
        <f>'Estimate Detail'!AJ31</f>
        <v>MAT/HW</v>
      </c>
      <c r="G133" s="1994" t="str">
        <f>'Estimate Detail'!U31</f>
        <v>Unknown Supplier</v>
      </c>
      <c r="H133" s="1994" t="str">
        <f>'Estimate Detail'!AK31</f>
        <v>External</v>
      </c>
      <c r="I133" s="1994" t="str">
        <f>'Estimate Detail'!AL31</f>
        <v>DE</v>
      </c>
      <c r="J133" s="2014">
        <f>'Estimate Detail'!AM31</f>
        <v>1</v>
      </c>
      <c r="K133" s="2012" t="str">
        <f>'Estimate Detail'!AN31</f>
        <v>set</v>
      </c>
      <c r="L133" s="2014">
        <f>'Estimate Detail'!AO31</f>
        <v>0</v>
      </c>
      <c r="M133" s="1994" t="str">
        <f>'Estimate Detail'!AP31</f>
        <v>EUR</v>
      </c>
      <c r="N133" s="1994" t="str">
        <f>'Estimate Detail'!AQ31</f>
        <v>BOCE</v>
      </c>
      <c r="O133" s="1994" t="str">
        <f>'Estimate Detail'!AR31</f>
        <v>CNAP</v>
      </c>
      <c r="P133" s="1994" t="str">
        <f>'Estimate Detail'!AS31</f>
        <v>A</v>
      </c>
      <c r="Q133" s="1994" t="str">
        <f>'Estimate Detail'!AT31</f>
        <v>FOB SH</v>
      </c>
      <c r="R133" s="1994" t="str">
        <f>'Estimate Detail'!AU31</f>
        <v>DE</v>
      </c>
      <c r="S133" s="1994" t="str">
        <f>'Estimate Detail'!AV31</f>
        <v>YES</v>
      </c>
      <c r="T133" s="1444">
        <f>'Estimate Detail'!AW31</f>
        <v>42943</v>
      </c>
      <c r="U133" s="2092"/>
      <c r="V133" s="2093"/>
      <c r="W133" s="2092"/>
      <c r="X133" s="1475"/>
      <c r="Z133" s="1472"/>
    </row>
    <row r="134" spans="1:26" s="1442" customFormat="1" hidden="1">
      <c r="A134" s="1994" t="str">
        <f>'Estimate Detail'!B32</f>
        <v>050307</v>
      </c>
      <c r="B134" s="1443"/>
      <c r="C134" s="1443"/>
      <c r="D134" s="1443" t="s">
        <v>668</v>
      </c>
      <c r="E134" s="1994" t="str">
        <f>'Estimate Detail'!C32</f>
        <v>Ancillaries</v>
      </c>
      <c r="F134" s="1994" t="str">
        <f>'Estimate Detail'!AJ32</f>
        <v>MAT/HW</v>
      </c>
      <c r="G134" s="1994" t="str">
        <f>'Estimate Detail'!U32</f>
        <v>Unknown Supplier</v>
      </c>
      <c r="H134" s="1994" t="str">
        <f>'Estimate Detail'!AK32</f>
        <v>External</v>
      </c>
      <c r="I134" s="1994" t="str">
        <f>'Estimate Detail'!AL32</f>
        <v>US</v>
      </c>
      <c r="J134" s="2014">
        <f>'Estimate Detail'!AM32</f>
        <v>1</v>
      </c>
      <c r="K134" s="2012" t="str">
        <f>'Estimate Detail'!AN32</f>
        <v>set</v>
      </c>
      <c r="L134" s="2014">
        <f>'Estimate Detail'!AO32</f>
        <v>0</v>
      </c>
      <c r="M134" s="1994" t="str">
        <f>'Estimate Detail'!AP32</f>
        <v>USD</v>
      </c>
      <c r="N134" s="1994" t="str">
        <f>'Estimate Detail'!AQ32</f>
        <v>BOCE</v>
      </c>
      <c r="O134" s="1994" t="str">
        <f>'Estimate Detail'!AR32</f>
        <v>CNAP</v>
      </c>
      <c r="P134" s="1994" t="str">
        <f>'Estimate Detail'!AS32</f>
        <v>A</v>
      </c>
      <c r="Q134" s="1994" t="str">
        <f>'Estimate Detail'!AT32</f>
        <v>FOB SH</v>
      </c>
      <c r="R134" s="1994" t="str">
        <f>'Estimate Detail'!AU32</f>
        <v>US</v>
      </c>
      <c r="S134" s="1994" t="str">
        <f>'Estimate Detail'!AV32</f>
        <v>YES</v>
      </c>
      <c r="T134" s="1444">
        <f>'Estimate Detail'!AW32</f>
        <v>42943</v>
      </c>
      <c r="U134" s="2092"/>
      <c r="V134" s="2093"/>
      <c r="W134" s="2092"/>
      <c r="X134" s="1475"/>
      <c r="Z134" s="1472"/>
    </row>
    <row r="135" spans="1:26" s="1442" customFormat="1" hidden="1">
      <c r="A135" s="1994" t="str">
        <f>'Estimate Detail'!B33</f>
        <v>050308</v>
      </c>
      <c r="B135" s="1443"/>
      <c r="C135" s="1443"/>
      <c r="D135" s="1443" t="s">
        <v>668</v>
      </c>
      <c r="E135" s="1994" t="str">
        <f>'Estimate Detail'!C33</f>
        <v>Boiler External Piping</v>
      </c>
      <c r="F135" s="1994" t="str">
        <f>'Estimate Detail'!AJ33</f>
        <v>MAT/HW</v>
      </c>
      <c r="G135" s="1994" t="str">
        <f>'Estimate Detail'!U33</f>
        <v>Unknown Supplier</v>
      </c>
      <c r="H135" s="1994" t="str">
        <f>'Estimate Detail'!AK33</f>
        <v>External</v>
      </c>
      <c r="I135" s="1994" t="str">
        <f>'Estimate Detail'!AL33</f>
        <v>CN</v>
      </c>
      <c r="J135" s="2014">
        <f>'Estimate Detail'!AM33</f>
        <v>1</v>
      </c>
      <c r="K135" s="2012" t="str">
        <f>'Estimate Detail'!AN33</f>
        <v>set</v>
      </c>
      <c r="L135" s="2014">
        <f>'Estimate Detail'!AO33</f>
        <v>0</v>
      </c>
      <c r="M135" s="1994" t="str">
        <f>'Estimate Detail'!AP33</f>
        <v>CNY</v>
      </c>
      <c r="N135" s="1994" t="str">
        <f>'Estimate Detail'!AQ33</f>
        <v>BOCE</v>
      </c>
      <c r="O135" s="1994" t="str">
        <f>'Estimate Detail'!AR33</f>
        <v>CNAP</v>
      </c>
      <c r="P135" s="1994" t="str">
        <f>'Estimate Detail'!AS33</f>
        <v>A</v>
      </c>
      <c r="Q135" s="1994" t="str">
        <f>'Estimate Detail'!AT33</f>
        <v>FOB SH</v>
      </c>
      <c r="R135" s="1994" t="str">
        <f>'Estimate Detail'!AU33</f>
        <v>CN</v>
      </c>
      <c r="S135" s="1994" t="str">
        <f>'Estimate Detail'!AV33</f>
        <v>YES</v>
      </c>
      <c r="T135" s="1444">
        <f>'Estimate Detail'!AW33</f>
        <v>42943</v>
      </c>
      <c r="U135" s="2092"/>
      <c r="V135" s="2093"/>
      <c r="W135" s="2092"/>
      <c r="X135" s="1475"/>
      <c r="Z135" s="1472"/>
    </row>
    <row r="136" spans="1:26" s="1442" customFormat="1" hidden="1">
      <c r="A136" s="1994" t="str">
        <f>'Estimate Detail'!B34</f>
        <v>050308</v>
      </c>
      <c r="B136" s="1443"/>
      <c r="C136" s="1443"/>
      <c r="D136" s="1443" t="s">
        <v>668</v>
      </c>
      <c r="E136" s="1994" t="str">
        <f>'Estimate Detail'!C34</f>
        <v>Boiler External Piping</v>
      </c>
      <c r="F136" s="1994" t="str">
        <f>'Estimate Detail'!AJ34</f>
        <v>MAT/HW</v>
      </c>
      <c r="G136" s="1994" t="str">
        <f>'Estimate Detail'!U34</f>
        <v>Unknown Supplier</v>
      </c>
      <c r="H136" s="1994" t="str">
        <f>'Estimate Detail'!AK34</f>
        <v>External</v>
      </c>
      <c r="I136" s="1994" t="str">
        <f>'Estimate Detail'!AL34</f>
        <v>DE</v>
      </c>
      <c r="J136" s="2014">
        <f>'Estimate Detail'!AM34</f>
        <v>1</v>
      </c>
      <c r="K136" s="2012" t="str">
        <f>'Estimate Detail'!AN34</f>
        <v>set</v>
      </c>
      <c r="L136" s="2014">
        <f>'Estimate Detail'!AO34</f>
        <v>0</v>
      </c>
      <c r="M136" s="1994" t="str">
        <f>'Estimate Detail'!AP34</f>
        <v>EUR</v>
      </c>
      <c r="N136" s="1994" t="str">
        <f>'Estimate Detail'!AQ34</f>
        <v>BOCE</v>
      </c>
      <c r="O136" s="1994" t="str">
        <f>'Estimate Detail'!AR34</f>
        <v>CNAP</v>
      </c>
      <c r="P136" s="1994" t="str">
        <f>'Estimate Detail'!AS34</f>
        <v>A</v>
      </c>
      <c r="Q136" s="1994" t="str">
        <f>'Estimate Detail'!AT34</f>
        <v>FOB SH</v>
      </c>
      <c r="R136" s="1994" t="str">
        <f>'Estimate Detail'!AU34</f>
        <v>DE</v>
      </c>
      <c r="S136" s="1994" t="str">
        <f>'Estimate Detail'!AV34</f>
        <v>YES</v>
      </c>
      <c r="T136" s="1444">
        <f>'Estimate Detail'!AW34</f>
        <v>42943</v>
      </c>
      <c r="U136" s="2092"/>
      <c r="V136" s="2093"/>
      <c r="W136" s="2092"/>
      <c r="X136" s="1475"/>
      <c r="Z136" s="1472"/>
    </row>
    <row r="137" spans="1:26" s="1442" customFormat="1" hidden="1">
      <c r="A137" s="1994" t="str">
        <f>'Estimate Detail'!B35</f>
        <v>050308</v>
      </c>
      <c r="B137" s="1443"/>
      <c r="C137" s="1443"/>
      <c r="D137" s="1443" t="s">
        <v>668</v>
      </c>
      <c r="E137" s="1994" t="str">
        <f>'Estimate Detail'!C35</f>
        <v>Boiler External Piping</v>
      </c>
      <c r="F137" s="1994" t="str">
        <f>'Estimate Detail'!AJ35</f>
        <v>MAT/HW</v>
      </c>
      <c r="G137" s="1994" t="str">
        <f>'Estimate Detail'!U35</f>
        <v>Unknown Supplier</v>
      </c>
      <c r="H137" s="1994" t="str">
        <f>'Estimate Detail'!AK35</f>
        <v>External</v>
      </c>
      <c r="I137" s="1994" t="str">
        <f>'Estimate Detail'!AL35</f>
        <v>US</v>
      </c>
      <c r="J137" s="2014">
        <f>'Estimate Detail'!AM35</f>
        <v>1</v>
      </c>
      <c r="K137" s="2012" t="str">
        <f>'Estimate Detail'!AN35</f>
        <v>set</v>
      </c>
      <c r="L137" s="2014">
        <f>'Estimate Detail'!AO35</f>
        <v>0</v>
      </c>
      <c r="M137" s="1994" t="str">
        <f>'Estimate Detail'!AP35</f>
        <v>USD</v>
      </c>
      <c r="N137" s="1994" t="str">
        <f>'Estimate Detail'!AQ35</f>
        <v>BOCE</v>
      </c>
      <c r="O137" s="1994" t="str">
        <f>'Estimate Detail'!AR35</f>
        <v>CNAP</v>
      </c>
      <c r="P137" s="1994" t="str">
        <f>'Estimate Detail'!AS35</f>
        <v>A</v>
      </c>
      <c r="Q137" s="1994" t="str">
        <f>'Estimate Detail'!AT35</f>
        <v>FOB SH</v>
      </c>
      <c r="R137" s="1994" t="str">
        <f>'Estimate Detail'!AU35</f>
        <v>US</v>
      </c>
      <c r="S137" s="1994" t="str">
        <f>'Estimate Detail'!AV35</f>
        <v>YES</v>
      </c>
      <c r="T137" s="1444">
        <f>'Estimate Detail'!AW35</f>
        <v>42943</v>
      </c>
      <c r="U137" s="2092"/>
      <c r="V137" s="2093"/>
      <c r="W137" s="2092"/>
      <c r="X137" s="1475"/>
      <c r="Z137" s="1472"/>
    </row>
    <row r="138" spans="1:26" s="1442" customFormat="1">
      <c r="A138" s="1994" t="str">
        <f>'Estimate Detail'!B36</f>
        <v>050309</v>
      </c>
      <c r="B138" s="1443"/>
      <c r="C138" s="1443"/>
      <c r="D138" s="1443" t="s">
        <v>668</v>
      </c>
      <c r="E138" s="1994" t="str">
        <f>'Estimate Detail'!C36</f>
        <v>Roof  Links</v>
      </c>
      <c r="F138" s="1994" t="str">
        <f>'Estimate Detail'!AJ36</f>
        <v>MAT/HW</v>
      </c>
      <c r="G138" s="1994" t="str">
        <f>'Estimate Detail'!U36</f>
        <v>Unknown Supplier</v>
      </c>
      <c r="H138" s="1994" t="str">
        <f>'Estimate Detail'!AK36</f>
        <v>External</v>
      </c>
      <c r="I138" s="1994" t="str">
        <f>'Estimate Detail'!AL36</f>
        <v>CN</v>
      </c>
      <c r="J138" s="2014">
        <f>'Estimate Detail'!AM36</f>
        <v>1</v>
      </c>
      <c r="K138" s="2012" t="str">
        <f>'Estimate Detail'!AN36</f>
        <v>set</v>
      </c>
      <c r="L138" s="2014">
        <f>'Estimate Detail'!AO36</f>
        <v>0</v>
      </c>
      <c r="M138" s="1994" t="str">
        <f>'Estimate Detail'!AP36</f>
        <v>CNY</v>
      </c>
      <c r="N138" s="1994" t="str">
        <f>'Estimate Detail'!AQ36</f>
        <v>BOCE</v>
      </c>
      <c r="O138" s="1994" t="str">
        <f>'Estimate Detail'!AR36</f>
        <v>CNAP</v>
      </c>
      <c r="P138" s="1994" t="str">
        <f>'Estimate Detail'!AS36</f>
        <v>A</v>
      </c>
      <c r="Q138" s="1994" t="str">
        <f>'Estimate Detail'!AT36</f>
        <v>FOB SH</v>
      </c>
      <c r="R138" s="1994" t="str">
        <f>'Estimate Detail'!AU36</f>
        <v>CN</v>
      </c>
      <c r="S138" s="1994" t="str">
        <f>'Estimate Detail'!AV36</f>
        <v>YES</v>
      </c>
      <c r="T138" s="1444">
        <f>'Estimate Detail'!AW36</f>
        <v>42943</v>
      </c>
      <c r="U138" s="2092"/>
      <c r="V138" s="2093"/>
      <c r="W138" s="2092"/>
      <c r="X138" s="1475"/>
      <c r="Z138" s="1472"/>
    </row>
    <row r="139" spans="1:26" s="1442" customFormat="1" hidden="1">
      <c r="A139" s="1994" t="str">
        <f>'Estimate Detail'!B37</f>
        <v>050309</v>
      </c>
      <c r="B139" s="1443"/>
      <c r="C139" s="1443"/>
      <c r="D139" s="1443" t="s">
        <v>668</v>
      </c>
      <c r="E139" s="1994" t="str">
        <f>'Estimate Detail'!C37</f>
        <v>Roof  Links</v>
      </c>
      <c r="F139" s="1994" t="str">
        <f>'Estimate Detail'!AJ37</f>
        <v>MAT/HW</v>
      </c>
      <c r="G139" s="1994" t="str">
        <f>'Estimate Detail'!U37</f>
        <v>Unknown Supplier</v>
      </c>
      <c r="H139" s="1994" t="str">
        <f>'Estimate Detail'!AK37</f>
        <v>External</v>
      </c>
      <c r="I139" s="1994" t="str">
        <f>'Estimate Detail'!AL37</f>
        <v>DE</v>
      </c>
      <c r="J139" s="2014">
        <f>'Estimate Detail'!AM37</f>
        <v>1</v>
      </c>
      <c r="K139" s="2012" t="str">
        <f>'Estimate Detail'!AN37</f>
        <v>set</v>
      </c>
      <c r="L139" s="2014">
        <f>'Estimate Detail'!AO37</f>
        <v>0</v>
      </c>
      <c r="M139" s="1994" t="str">
        <f>'Estimate Detail'!AP37</f>
        <v>EUR</v>
      </c>
      <c r="N139" s="1994" t="str">
        <f>'Estimate Detail'!AQ37</f>
        <v>BOCE</v>
      </c>
      <c r="O139" s="1994" t="str">
        <f>'Estimate Detail'!AR37</f>
        <v>CNAP</v>
      </c>
      <c r="P139" s="1994" t="str">
        <f>'Estimate Detail'!AS37</f>
        <v>A</v>
      </c>
      <c r="Q139" s="1994" t="str">
        <f>'Estimate Detail'!AT37</f>
        <v>FOB SH</v>
      </c>
      <c r="R139" s="1994" t="str">
        <f>'Estimate Detail'!AU37</f>
        <v>DE</v>
      </c>
      <c r="S139" s="1994" t="str">
        <f>'Estimate Detail'!AV37</f>
        <v>YES</v>
      </c>
      <c r="T139" s="1444">
        <f>'Estimate Detail'!AW37</f>
        <v>42943</v>
      </c>
      <c r="U139" s="2092"/>
      <c r="V139" s="2093"/>
      <c r="W139" s="2092"/>
      <c r="X139" s="1475"/>
      <c r="Z139" s="1472"/>
    </row>
    <row r="140" spans="1:26" s="1442" customFormat="1" hidden="1">
      <c r="A140" s="1994" t="str">
        <f>'Estimate Detail'!B38</f>
        <v>050309</v>
      </c>
      <c r="B140" s="1443"/>
      <c r="C140" s="1443"/>
      <c r="D140" s="1443" t="s">
        <v>668</v>
      </c>
      <c r="E140" s="1994" t="str">
        <f>'Estimate Detail'!C38</f>
        <v>Roof  Links</v>
      </c>
      <c r="F140" s="1994" t="str">
        <f>'Estimate Detail'!AJ38</f>
        <v>MAT/HW</v>
      </c>
      <c r="G140" s="1994" t="str">
        <f>'Estimate Detail'!U38</f>
        <v>Unknown Supplier</v>
      </c>
      <c r="H140" s="1994" t="str">
        <f>'Estimate Detail'!AK38</f>
        <v>External</v>
      </c>
      <c r="I140" s="1994" t="str">
        <f>'Estimate Detail'!AL38</f>
        <v>US</v>
      </c>
      <c r="J140" s="2014">
        <f>'Estimate Detail'!AM38</f>
        <v>1</v>
      </c>
      <c r="K140" s="2012" t="str">
        <f>'Estimate Detail'!AN38</f>
        <v>set</v>
      </c>
      <c r="L140" s="2014">
        <f>'Estimate Detail'!AO38</f>
        <v>0</v>
      </c>
      <c r="M140" s="1994" t="str">
        <f>'Estimate Detail'!AP38</f>
        <v>USD</v>
      </c>
      <c r="N140" s="1994" t="str">
        <f>'Estimate Detail'!AQ38</f>
        <v>BOCE</v>
      </c>
      <c r="O140" s="1994" t="str">
        <f>'Estimate Detail'!AR38</f>
        <v>CNAP</v>
      </c>
      <c r="P140" s="1994" t="str">
        <f>'Estimate Detail'!AS38</f>
        <v>A</v>
      </c>
      <c r="Q140" s="1994" t="str">
        <f>'Estimate Detail'!AT38</f>
        <v>FOB SH</v>
      </c>
      <c r="R140" s="1994" t="str">
        <f>'Estimate Detail'!AU38</f>
        <v>US</v>
      </c>
      <c r="S140" s="1994" t="str">
        <f>'Estimate Detail'!AV38</f>
        <v>YES</v>
      </c>
      <c r="T140" s="1444">
        <f>'Estimate Detail'!AW38</f>
        <v>42943</v>
      </c>
      <c r="U140" s="2092"/>
      <c r="V140" s="2093"/>
      <c r="W140" s="2092"/>
      <c r="X140" s="1475"/>
      <c r="Z140" s="1472"/>
    </row>
    <row r="141" spans="1:26" s="1442" customFormat="1" hidden="1">
      <c r="A141" s="1994" t="str">
        <f>'Estimate Detail'!B39</f>
        <v>050310</v>
      </c>
      <c r="B141" s="1443"/>
      <c r="C141" s="1443"/>
      <c r="D141" s="1443" t="s">
        <v>668</v>
      </c>
      <c r="E141" s="1994" t="str">
        <f>'Estimate Detail'!C39</f>
        <v>Spare Parts</v>
      </c>
      <c r="F141" s="1994" t="str">
        <f>'Estimate Detail'!AJ39</f>
        <v>MAT/HW</v>
      </c>
      <c r="G141" s="1994" t="str">
        <f>'Estimate Detail'!U39</f>
        <v>Unknown Supplier</v>
      </c>
      <c r="H141" s="1994" t="str">
        <f>'Estimate Detail'!AK39</f>
        <v>External</v>
      </c>
      <c r="I141" s="1994" t="str">
        <f>'Estimate Detail'!AL39</f>
        <v>CN</v>
      </c>
      <c r="J141" s="2014">
        <f>'Estimate Detail'!AM39</f>
        <v>1</v>
      </c>
      <c r="K141" s="2012" t="str">
        <f>'Estimate Detail'!AN39</f>
        <v>set</v>
      </c>
      <c r="L141" s="2014">
        <f>'Estimate Detail'!AO39</f>
        <v>0</v>
      </c>
      <c r="M141" s="1994" t="str">
        <f>'Estimate Detail'!AP39</f>
        <v>CNY</v>
      </c>
      <c r="N141" s="1994" t="str">
        <f>'Estimate Detail'!AQ39</f>
        <v>BOCE</v>
      </c>
      <c r="O141" s="1994" t="str">
        <f>'Estimate Detail'!AR39</f>
        <v>CNAP</v>
      </c>
      <c r="P141" s="1994" t="str">
        <f>'Estimate Detail'!AS39</f>
        <v>A</v>
      </c>
      <c r="Q141" s="1994" t="str">
        <f>'Estimate Detail'!AT39</f>
        <v>FOB SH</v>
      </c>
      <c r="R141" s="1994" t="str">
        <f>'Estimate Detail'!AU39</f>
        <v>CN</v>
      </c>
      <c r="S141" s="1994" t="str">
        <f>'Estimate Detail'!AV39</f>
        <v>YES</v>
      </c>
      <c r="T141" s="1444">
        <f>'Estimate Detail'!AW39</f>
        <v>42943</v>
      </c>
      <c r="U141" s="2092"/>
      <c r="V141" s="2093"/>
      <c r="W141" s="2092"/>
      <c r="X141" s="1475"/>
      <c r="Z141" s="1472"/>
    </row>
    <row r="142" spans="1:26" s="1442" customFormat="1" hidden="1">
      <c r="A142" s="1994" t="str">
        <f>'Estimate Detail'!B40</f>
        <v>050310</v>
      </c>
      <c r="B142" s="1443"/>
      <c r="C142" s="1443"/>
      <c r="D142" s="1443" t="s">
        <v>668</v>
      </c>
      <c r="E142" s="1994" t="str">
        <f>'Estimate Detail'!C40</f>
        <v>Spare Parts</v>
      </c>
      <c r="F142" s="1994" t="str">
        <f>'Estimate Detail'!AJ40</f>
        <v>MAT/HW</v>
      </c>
      <c r="G142" s="1994" t="str">
        <f>'Estimate Detail'!U40</f>
        <v>Unknown Supplier</v>
      </c>
      <c r="H142" s="1994" t="str">
        <f>'Estimate Detail'!AK40</f>
        <v>External</v>
      </c>
      <c r="I142" s="1994" t="str">
        <f>'Estimate Detail'!AL40</f>
        <v>DE</v>
      </c>
      <c r="J142" s="2014">
        <f>'Estimate Detail'!AM40</f>
        <v>1</v>
      </c>
      <c r="K142" s="2012" t="str">
        <f>'Estimate Detail'!AN40</f>
        <v>set</v>
      </c>
      <c r="L142" s="2014">
        <f>'Estimate Detail'!AO40</f>
        <v>0</v>
      </c>
      <c r="M142" s="1994" t="str">
        <f>'Estimate Detail'!AP40</f>
        <v>EUR</v>
      </c>
      <c r="N142" s="1994" t="str">
        <f>'Estimate Detail'!AQ40</f>
        <v>BOCE</v>
      </c>
      <c r="O142" s="1994" t="str">
        <f>'Estimate Detail'!AR40</f>
        <v>CNAP</v>
      </c>
      <c r="P142" s="1994" t="str">
        <f>'Estimate Detail'!AS40</f>
        <v>A</v>
      </c>
      <c r="Q142" s="1994" t="str">
        <f>'Estimate Detail'!AT40</f>
        <v>FOB SH</v>
      </c>
      <c r="R142" s="1994" t="str">
        <f>'Estimate Detail'!AU40</f>
        <v>DE</v>
      </c>
      <c r="S142" s="1994" t="str">
        <f>'Estimate Detail'!AV40</f>
        <v>YES</v>
      </c>
      <c r="T142" s="1444">
        <f>'Estimate Detail'!AW40</f>
        <v>42943</v>
      </c>
      <c r="U142" s="2092"/>
      <c r="V142" s="2093"/>
      <c r="W142" s="2092"/>
      <c r="X142" s="1475"/>
      <c r="Z142" s="1472"/>
    </row>
    <row r="143" spans="1:26" s="1442" customFormat="1" hidden="1">
      <c r="A143" s="1994" t="str">
        <f>'Estimate Detail'!B41</f>
        <v>050310</v>
      </c>
      <c r="B143" s="1443"/>
      <c r="C143" s="1443"/>
      <c r="D143" s="1443" t="s">
        <v>668</v>
      </c>
      <c r="E143" s="1994" t="str">
        <f>'Estimate Detail'!C41</f>
        <v>Spare Parts</v>
      </c>
      <c r="F143" s="1994" t="str">
        <f>'Estimate Detail'!AJ41</f>
        <v>MAT/HW</v>
      </c>
      <c r="G143" s="1994" t="str">
        <f>'Estimate Detail'!U41</f>
        <v>Unknown Supplier</v>
      </c>
      <c r="H143" s="1994" t="str">
        <f>'Estimate Detail'!AK41</f>
        <v>External</v>
      </c>
      <c r="I143" s="1994" t="str">
        <f>'Estimate Detail'!AL41</f>
        <v>US</v>
      </c>
      <c r="J143" s="2014">
        <f>'Estimate Detail'!AM41</f>
        <v>1</v>
      </c>
      <c r="K143" s="2012" t="str">
        <f>'Estimate Detail'!AN41</f>
        <v>set</v>
      </c>
      <c r="L143" s="2014">
        <f>'Estimate Detail'!AO41</f>
        <v>0</v>
      </c>
      <c r="M143" s="1994" t="str">
        <f>'Estimate Detail'!AP41</f>
        <v>USD</v>
      </c>
      <c r="N143" s="1994" t="str">
        <f>'Estimate Detail'!AQ41</f>
        <v>BOCE</v>
      </c>
      <c r="O143" s="1994" t="str">
        <f>'Estimate Detail'!AR41</f>
        <v>CNAP</v>
      </c>
      <c r="P143" s="1994" t="str">
        <f>'Estimate Detail'!AS41</f>
        <v>A</v>
      </c>
      <c r="Q143" s="1994" t="str">
        <f>'Estimate Detail'!AT41</f>
        <v>FOB SH</v>
      </c>
      <c r="R143" s="1994" t="str">
        <f>'Estimate Detail'!AU41</f>
        <v>US</v>
      </c>
      <c r="S143" s="1994" t="str">
        <f>'Estimate Detail'!AV41</f>
        <v>YES</v>
      </c>
      <c r="T143" s="1444">
        <f>'Estimate Detail'!AW41</f>
        <v>42943</v>
      </c>
      <c r="U143" s="2092"/>
      <c r="V143" s="2093"/>
      <c r="W143" s="2092"/>
      <c r="X143" s="1475"/>
      <c r="Z143" s="1472"/>
    </row>
    <row r="144" spans="1:26" s="1442" customFormat="1">
      <c r="A144" s="1994" t="str">
        <f>'Estimate Detail'!B42</f>
        <v>050311</v>
      </c>
      <c r="B144" s="1443"/>
      <c r="C144" s="1443"/>
      <c r="D144" s="1443" t="s">
        <v>668</v>
      </c>
      <c r="E144" s="1994" t="str">
        <f>'Estimate Detail'!C42</f>
        <v>Start Up System</v>
      </c>
      <c r="F144" s="1994" t="str">
        <f>'Estimate Detail'!AJ42</f>
        <v>MAT/HW</v>
      </c>
      <c r="G144" s="1994" t="str">
        <f>'Estimate Detail'!U42</f>
        <v>Unknown Supplier</v>
      </c>
      <c r="H144" s="1994" t="str">
        <f>'Estimate Detail'!AK42</f>
        <v>External</v>
      </c>
      <c r="I144" s="1994" t="str">
        <f>'Estimate Detail'!AL42</f>
        <v>CN</v>
      </c>
      <c r="J144" s="2014">
        <f>'Estimate Detail'!AM42</f>
        <v>1</v>
      </c>
      <c r="K144" s="2012" t="str">
        <f>'Estimate Detail'!AN42</f>
        <v>set</v>
      </c>
      <c r="L144" s="2014">
        <f>'Estimate Detail'!AO42</f>
        <v>0</v>
      </c>
      <c r="M144" s="1994" t="str">
        <f>'Estimate Detail'!AP42</f>
        <v>CNY</v>
      </c>
      <c r="N144" s="1994" t="str">
        <f>'Estimate Detail'!AQ42</f>
        <v>BOCE</v>
      </c>
      <c r="O144" s="1994" t="str">
        <f>'Estimate Detail'!AR42</f>
        <v>CNAP</v>
      </c>
      <c r="P144" s="1994" t="str">
        <f>'Estimate Detail'!AS42</f>
        <v>A</v>
      </c>
      <c r="Q144" s="1994" t="str">
        <f>'Estimate Detail'!AT42</f>
        <v>FOB SH</v>
      </c>
      <c r="R144" s="1994" t="str">
        <f>'Estimate Detail'!AU42</f>
        <v>CN</v>
      </c>
      <c r="S144" s="1994" t="str">
        <f>'Estimate Detail'!AV42</f>
        <v>YES</v>
      </c>
      <c r="T144" s="1444">
        <f>'Estimate Detail'!AW42</f>
        <v>42943</v>
      </c>
      <c r="U144" s="2092"/>
      <c r="V144" s="2093"/>
      <c r="W144" s="2092"/>
      <c r="X144" s="1475"/>
      <c r="Z144" s="1472"/>
    </row>
    <row r="145" spans="1:26" s="1442" customFormat="1" hidden="1">
      <c r="A145" s="1994" t="str">
        <f>'Estimate Detail'!B43</f>
        <v>050311</v>
      </c>
      <c r="B145" s="1443"/>
      <c r="C145" s="1443"/>
      <c r="D145" s="1443" t="s">
        <v>668</v>
      </c>
      <c r="E145" s="1994" t="str">
        <f>'Estimate Detail'!C43</f>
        <v>Start Up System</v>
      </c>
      <c r="F145" s="1994" t="str">
        <f>'Estimate Detail'!AJ43</f>
        <v>MAT/HW</v>
      </c>
      <c r="G145" s="1994" t="str">
        <f>'Estimate Detail'!U43</f>
        <v>Unknown Supplier</v>
      </c>
      <c r="H145" s="1994" t="str">
        <f>'Estimate Detail'!AK43</f>
        <v>External</v>
      </c>
      <c r="I145" s="1994" t="str">
        <f>'Estimate Detail'!AL43</f>
        <v>DE</v>
      </c>
      <c r="J145" s="2014">
        <f>'Estimate Detail'!AM43</f>
        <v>1</v>
      </c>
      <c r="K145" s="2012" t="str">
        <f>'Estimate Detail'!AN43</f>
        <v>set</v>
      </c>
      <c r="L145" s="2014">
        <f>'Estimate Detail'!AO43</f>
        <v>0</v>
      </c>
      <c r="M145" s="1994" t="str">
        <f>'Estimate Detail'!AP43</f>
        <v>EUR</v>
      </c>
      <c r="N145" s="1994" t="str">
        <f>'Estimate Detail'!AQ43</f>
        <v>BOCE</v>
      </c>
      <c r="O145" s="1994" t="str">
        <f>'Estimate Detail'!AR43</f>
        <v>CNAP</v>
      </c>
      <c r="P145" s="1994" t="str">
        <f>'Estimate Detail'!AS43</f>
        <v>A</v>
      </c>
      <c r="Q145" s="1994" t="str">
        <f>'Estimate Detail'!AT43</f>
        <v>FOB SH</v>
      </c>
      <c r="R145" s="1994" t="str">
        <f>'Estimate Detail'!AU43</f>
        <v>DE</v>
      </c>
      <c r="S145" s="1994" t="str">
        <f>'Estimate Detail'!AV43</f>
        <v>YES</v>
      </c>
      <c r="T145" s="1444">
        <f>'Estimate Detail'!AW43</f>
        <v>42943</v>
      </c>
      <c r="U145" s="2092"/>
      <c r="V145" s="2093"/>
      <c r="W145" s="2092"/>
      <c r="X145" s="1475"/>
      <c r="Z145" s="1472"/>
    </row>
    <row r="146" spans="1:26" s="1442" customFormat="1" hidden="1">
      <c r="A146" s="1994" t="str">
        <f>'Estimate Detail'!B44</f>
        <v>050311</v>
      </c>
      <c r="B146" s="1443"/>
      <c r="C146" s="1443"/>
      <c r="D146" s="1443" t="s">
        <v>668</v>
      </c>
      <c r="E146" s="1994" t="str">
        <f>'Estimate Detail'!C44</f>
        <v>Start Up System</v>
      </c>
      <c r="F146" s="1994" t="str">
        <f>'Estimate Detail'!AJ44</f>
        <v>MAT/HW</v>
      </c>
      <c r="G146" s="1994" t="str">
        <f>'Estimate Detail'!U44</f>
        <v>Unknown Supplier</v>
      </c>
      <c r="H146" s="1994" t="str">
        <f>'Estimate Detail'!AK44</f>
        <v>External</v>
      </c>
      <c r="I146" s="1994" t="str">
        <f>'Estimate Detail'!AL44</f>
        <v>US</v>
      </c>
      <c r="J146" s="2014">
        <f>'Estimate Detail'!AM44</f>
        <v>1</v>
      </c>
      <c r="K146" s="2012" t="str">
        <f>'Estimate Detail'!AN44</f>
        <v>set</v>
      </c>
      <c r="L146" s="2014">
        <f>'Estimate Detail'!AO44</f>
        <v>0</v>
      </c>
      <c r="M146" s="1994" t="str">
        <f>'Estimate Detail'!AP44</f>
        <v>USD</v>
      </c>
      <c r="N146" s="1994" t="str">
        <f>'Estimate Detail'!AQ44</f>
        <v>BOCE</v>
      </c>
      <c r="O146" s="1994" t="str">
        <f>'Estimate Detail'!AR44</f>
        <v>CNAP</v>
      </c>
      <c r="P146" s="1994" t="str">
        <f>'Estimate Detail'!AS44</f>
        <v>A</v>
      </c>
      <c r="Q146" s="1994" t="str">
        <f>'Estimate Detail'!AT44</f>
        <v>FOB SH</v>
      </c>
      <c r="R146" s="1994" t="str">
        <f>'Estimate Detail'!AU44</f>
        <v>US</v>
      </c>
      <c r="S146" s="1994" t="str">
        <f>'Estimate Detail'!AV44</f>
        <v>YES</v>
      </c>
      <c r="T146" s="1444">
        <f>'Estimate Detail'!AW44</f>
        <v>42943</v>
      </c>
      <c r="U146" s="2092"/>
      <c r="V146" s="2093"/>
      <c r="W146" s="2092"/>
      <c r="X146" s="1475"/>
      <c r="Z146" s="1472"/>
    </row>
    <row r="147" spans="1:26" s="1442" customFormat="1" hidden="1">
      <c r="A147" s="1994" t="str">
        <f>'Estimate Detail'!B45</f>
        <v>050312</v>
      </c>
      <c r="B147" s="1443"/>
      <c r="C147" s="1443"/>
      <c r="D147" s="1443" t="s">
        <v>668</v>
      </c>
      <c r="E147" s="1994" t="str">
        <f>'Estimate Detail'!C45</f>
        <v>Drums</v>
      </c>
      <c r="F147" s="1994" t="str">
        <f>'Estimate Detail'!AJ45</f>
        <v>MAT/HW</v>
      </c>
      <c r="G147" s="1994" t="str">
        <f>'Estimate Detail'!U45</f>
        <v>Unknown Supplier</v>
      </c>
      <c r="H147" s="1994" t="str">
        <f>'Estimate Detail'!AK45</f>
        <v>External</v>
      </c>
      <c r="I147" s="1994" t="str">
        <f>'Estimate Detail'!AL45</f>
        <v>CN</v>
      </c>
      <c r="J147" s="2014">
        <f>'Estimate Detail'!AM45</f>
        <v>1</v>
      </c>
      <c r="K147" s="2012" t="str">
        <f>'Estimate Detail'!AN45</f>
        <v>set</v>
      </c>
      <c r="L147" s="2014">
        <f>'Estimate Detail'!AO45</f>
        <v>0</v>
      </c>
      <c r="M147" s="1994" t="str">
        <f>'Estimate Detail'!AP45</f>
        <v>CNY</v>
      </c>
      <c r="N147" s="1994" t="str">
        <f>'Estimate Detail'!AQ45</f>
        <v>BOCE</v>
      </c>
      <c r="O147" s="1994" t="str">
        <f>'Estimate Detail'!AR45</f>
        <v>CNAP</v>
      </c>
      <c r="P147" s="1994" t="str">
        <f>'Estimate Detail'!AS45</f>
        <v>A</v>
      </c>
      <c r="Q147" s="1994" t="str">
        <f>'Estimate Detail'!AT45</f>
        <v>FOB SH</v>
      </c>
      <c r="R147" s="1994" t="str">
        <f>'Estimate Detail'!AU45</f>
        <v>CN</v>
      </c>
      <c r="S147" s="1994" t="str">
        <f>'Estimate Detail'!AV45</f>
        <v>YES</v>
      </c>
      <c r="T147" s="1444">
        <f>'Estimate Detail'!AW45</f>
        <v>42943</v>
      </c>
      <c r="U147" s="2092"/>
      <c r="V147" s="2093"/>
      <c r="W147" s="2092"/>
      <c r="X147" s="1475"/>
      <c r="Z147" s="1472"/>
    </row>
    <row r="148" spans="1:26" s="1442" customFormat="1" hidden="1">
      <c r="A148" s="1994" t="str">
        <f>'Estimate Detail'!B46</f>
        <v>050312</v>
      </c>
      <c r="B148" s="1443"/>
      <c r="C148" s="1443"/>
      <c r="D148" s="1443" t="s">
        <v>668</v>
      </c>
      <c r="E148" s="1994" t="str">
        <f>'Estimate Detail'!C46</f>
        <v>Drums</v>
      </c>
      <c r="F148" s="1994" t="str">
        <f>'Estimate Detail'!AJ46</f>
        <v>MAT/HW</v>
      </c>
      <c r="G148" s="1994" t="str">
        <f>'Estimate Detail'!U46</f>
        <v>Unknown Supplier</v>
      </c>
      <c r="H148" s="1994" t="str">
        <f>'Estimate Detail'!AK46</f>
        <v>External</v>
      </c>
      <c r="I148" s="1994" t="str">
        <f>'Estimate Detail'!AL46</f>
        <v>DE</v>
      </c>
      <c r="J148" s="2014">
        <f>'Estimate Detail'!AM46</f>
        <v>1</v>
      </c>
      <c r="K148" s="2012" t="str">
        <f>'Estimate Detail'!AN46</f>
        <v>set</v>
      </c>
      <c r="L148" s="2014">
        <f>'Estimate Detail'!AO46</f>
        <v>0</v>
      </c>
      <c r="M148" s="1994" t="str">
        <f>'Estimate Detail'!AP46</f>
        <v>EUR</v>
      </c>
      <c r="N148" s="1994" t="str">
        <f>'Estimate Detail'!AQ46</f>
        <v>BOCE</v>
      </c>
      <c r="O148" s="1994" t="str">
        <f>'Estimate Detail'!AR46</f>
        <v>CNAP</v>
      </c>
      <c r="P148" s="1994" t="str">
        <f>'Estimate Detail'!AS46</f>
        <v>A</v>
      </c>
      <c r="Q148" s="1994" t="str">
        <f>'Estimate Detail'!AT46</f>
        <v>FOB SH</v>
      </c>
      <c r="R148" s="1994" t="str">
        <f>'Estimate Detail'!AU46</f>
        <v>DE</v>
      </c>
      <c r="S148" s="1994" t="str">
        <f>'Estimate Detail'!AV46</f>
        <v>YES</v>
      </c>
      <c r="T148" s="1444">
        <f>'Estimate Detail'!AW46</f>
        <v>42943</v>
      </c>
      <c r="U148" s="2092"/>
      <c r="V148" s="2093"/>
      <c r="W148" s="2092"/>
      <c r="X148" s="1475"/>
      <c r="Z148" s="1472"/>
    </row>
    <row r="149" spans="1:26" s="1442" customFormat="1" hidden="1">
      <c r="A149" s="1994" t="str">
        <f>'Estimate Detail'!B47</f>
        <v>050312</v>
      </c>
      <c r="B149" s="1443"/>
      <c r="C149" s="1443"/>
      <c r="D149" s="1443" t="s">
        <v>668</v>
      </c>
      <c r="E149" s="1994" t="str">
        <f>'Estimate Detail'!C47</f>
        <v>Drums</v>
      </c>
      <c r="F149" s="1994" t="str">
        <f>'Estimate Detail'!AJ47</f>
        <v>MAT/HW</v>
      </c>
      <c r="G149" s="1994" t="str">
        <f>'Estimate Detail'!U47</f>
        <v>Unknown Supplier</v>
      </c>
      <c r="H149" s="1994" t="str">
        <f>'Estimate Detail'!AK47</f>
        <v>External</v>
      </c>
      <c r="I149" s="1994" t="str">
        <f>'Estimate Detail'!AL47</f>
        <v>US</v>
      </c>
      <c r="J149" s="2014">
        <f>'Estimate Detail'!AM47</f>
        <v>1</v>
      </c>
      <c r="K149" s="2012" t="str">
        <f>'Estimate Detail'!AN47</f>
        <v>set</v>
      </c>
      <c r="L149" s="2014">
        <f>'Estimate Detail'!AO47</f>
        <v>0</v>
      </c>
      <c r="M149" s="1994" t="str">
        <f>'Estimate Detail'!AP47</f>
        <v>USD</v>
      </c>
      <c r="N149" s="1994" t="str">
        <f>'Estimate Detail'!AQ47</f>
        <v>BOCE</v>
      </c>
      <c r="O149" s="1994" t="str">
        <f>'Estimate Detail'!AR47</f>
        <v>CNAP</v>
      </c>
      <c r="P149" s="1994" t="str">
        <f>'Estimate Detail'!AS47</f>
        <v>A</v>
      </c>
      <c r="Q149" s="1994" t="str">
        <f>'Estimate Detail'!AT47</f>
        <v>FOB SH</v>
      </c>
      <c r="R149" s="1994" t="str">
        <f>'Estimate Detail'!AU47</f>
        <v>US</v>
      </c>
      <c r="S149" s="1994" t="str">
        <f>'Estimate Detail'!AV47</f>
        <v>YES</v>
      </c>
      <c r="T149" s="1444">
        <f>'Estimate Detail'!AW47</f>
        <v>42943</v>
      </c>
      <c r="U149" s="2092"/>
      <c r="V149" s="2093"/>
      <c r="W149" s="2092"/>
      <c r="X149" s="1475"/>
      <c r="Z149" s="1472"/>
    </row>
    <row r="150" spans="1:26" s="1442" customFormat="1">
      <c r="A150" s="1994" t="str">
        <f>'Estimate Detail'!B50</f>
        <v>050314</v>
      </c>
      <c r="B150" s="1443"/>
      <c r="C150" s="1443"/>
      <c r="D150" s="1443" t="s">
        <v>668</v>
      </c>
      <c r="E150" s="1994" t="str">
        <f>'Estimate Detail'!C50</f>
        <v>Welding</v>
      </c>
      <c r="F150" s="1994" t="str">
        <f>'Estimate Detail'!AJ50</f>
        <v>MAT/HW</v>
      </c>
      <c r="G150" s="1994" t="str">
        <f>'Estimate Detail'!U50</f>
        <v>Unknown Supplier</v>
      </c>
      <c r="H150" s="1994" t="str">
        <f>'Estimate Detail'!AK50</f>
        <v>External</v>
      </c>
      <c r="I150" s="1994" t="str">
        <f>'Estimate Detail'!AL50</f>
        <v>CN</v>
      </c>
      <c r="J150" s="2014">
        <f>'Estimate Detail'!AM50</f>
        <v>1</v>
      </c>
      <c r="K150" s="2012" t="str">
        <f>'Estimate Detail'!AN50</f>
        <v>set</v>
      </c>
      <c r="L150" s="2014">
        <f>'Estimate Detail'!AO50</f>
        <v>0</v>
      </c>
      <c r="M150" s="1994" t="str">
        <f>'Estimate Detail'!AP50</f>
        <v>CNY</v>
      </c>
      <c r="N150" s="1994" t="str">
        <f>'Estimate Detail'!AQ50</f>
        <v>BOCE</v>
      </c>
      <c r="O150" s="1994" t="str">
        <f>'Estimate Detail'!AR50</f>
        <v>CNAP</v>
      </c>
      <c r="P150" s="1994" t="str">
        <f>'Estimate Detail'!AS50</f>
        <v>A</v>
      </c>
      <c r="Q150" s="1994" t="str">
        <f>'Estimate Detail'!AT50</f>
        <v>FOB SH</v>
      </c>
      <c r="R150" s="1994" t="str">
        <f>'Estimate Detail'!AU50</f>
        <v>CN</v>
      </c>
      <c r="S150" s="1994" t="str">
        <f>'Estimate Detail'!AV50</f>
        <v>YES</v>
      </c>
      <c r="T150" s="1444">
        <f>'Estimate Detail'!AW28</f>
        <v>42943</v>
      </c>
      <c r="U150" s="1994"/>
      <c r="V150" s="2013"/>
      <c r="W150" s="1994"/>
      <c r="X150" s="1475"/>
      <c r="Z150" s="1472"/>
    </row>
    <row r="151" spans="1:26" s="1442" customFormat="1">
      <c r="A151" s="1994" t="str">
        <f>'Estimate Detail'!B51</f>
        <v>050314</v>
      </c>
      <c r="B151" s="1443"/>
      <c r="C151" s="1443"/>
      <c r="D151" s="1443" t="s">
        <v>668</v>
      </c>
      <c r="E151" s="1994" t="str">
        <f>'Estimate Detail'!C51</f>
        <v>Painting</v>
      </c>
      <c r="F151" s="1994" t="str">
        <f>'Estimate Detail'!AJ51</f>
        <v>MAT/HW</v>
      </c>
      <c r="G151" s="1994" t="str">
        <f>'Estimate Detail'!U51</f>
        <v>Unknown Supplier</v>
      </c>
      <c r="H151" s="1994" t="str">
        <f>'Estimate Detail'!AK51</f>
        <v>External</v>
      </c>
      <c r="I151" s="1994" t="str">
        <f>'Estimate Detail'!AL51</f>
        <v>CN</v>
      </c>
      <c r="J151" s="2014">
        <f>'Estimate Detail'!AM51</f>
        <v>1</v>
      </c>
      <c r="K151" s="2012" t="str">
        <f>'Estimate Detail'!AN51</f>
        <v>set</v>
      </c>
      <c r="L151" s="2014">
        <f>'Estimate Detail'!AO51</f>
        <v>0</v>
      </c>
      <c r="M151" s="1994" t="str">
        <f>'Estimate Detail'!AP51</f>
        <v>CNY</v>
      </c>
      <c r="N151" s="1994" t="str">
        <f>'Estimate Detail'!AQ51</f>
        <v>BOCE</v>
      </c>
      <c r="O151" s="1994" t="str">
        <f>'Estimate Detail'!AR51</f>
        <v>CNAP</v>
      </c>
      <c r="P151" s="1994" t="str">
        <f>'Estimate Detail'!AS51</f>
        <v>A</v>
      </c>
      <c r="Q151" s="1994" t="str">
        <f>'Estimate Detail'!AT51</f>
        <v>FOB SH</v>
      </c>
      <c r="R151" s="1994" t="str">
        <f>'Estimate Detail'!AU51</f>
        <v>CN</v>
      </c>
      <c r="S151" s="1994" t="str">
        <f>'Estimate Detail'!AV51</f>
        <v>YES</v>
      </c>
      <c r="T151" s="1444">
        <f>'Estimate Detail'!AW29</f>
        <v>42943</v>
      </c>
      <c r="U151" s="1994"/>
      <c r="V151" s="2013"/>
      <c r="W151" s="1994"/>
      <c r="X151" s="1475"/>
      <c r="Z151" s="1472"/>
    </row>
    <row r="152" spans="1:26" s="1442" customFormat="1">
      <c r="A152" s="1994" t="str">
        <f>'Estimate Detail'!B52</f>
        <v>050314</v>
      </c>
      <c r="B152" s="1443"/>
      <c r="C152" s="1443"/>
      <c r="D152" s="1443" t="s">
        <v>668</v>
      </c>
      <c r="E152" s="1994" t="str">
        <f>'Estimate Detail'!C52</f>
        <v>Packaging</v>
      </c>
      <c r="F152" s="1994" t="str">
        <f>'Estimate Detail'!AJ52</f>
        <v>MAT/HW</v>
      </c>
      <c r="G152" s="1994" t="str">
        <f>'Estimate Detail'!U52</f>
        <v>Unknown Supplier</v>
      </c>
      <c r="H152" s="1994" t="str">
        <f>'Estimate Detail'!AK52</f>
        <v>External</v>
      </c>
      <c r="I152" s="1994" t="str">
        <f>'Estimate Detail'!AL52</f>
        <v>CN</v>
      </c>
      <c r="J152" s="2014">
        <f>'Estimate Detail'!AM52</f>
        <v>1</v>
      </c>
      <c r="K152" s="2012" t="str">
        <f>'Estimate Detail'!AN52</f>
        <v>set</v>
      </c>
      <c r="L152" s="2014">
        <f>'Estimate Detail'!AO52</f>
        <v>3.589467835601261</v>
      </c>
      <c r="M152" s="1994" t="str">
        <f>'Estimate Detail'!AP52</f>
        <v>CNY</v>
      </c>
      <c r="N152" s="1994" t="str">
        <f>'Estimate Detail'!AQ52</f>
        <v>BOCE</v>
      </c>
      <c r="O152" s="1994" t="str">
        <f>'Estimate Detail'!AR52</f>
        <v>CNAP</v>
      </c>
      <c r="P152" s="1994" t="str">
        <f>'Estimate Detail'!AS52</f>
        <v>A</v>
      </c>
      <c r="Q152" s="1994" t="str">
        <f>'Estimate Detail'!AT52</f>
        <v>FOB SH</v>
      </c>
      <c r="R152" s="1994" t="str">
        <f>'Estimate Detail'!AU52</f>
        <v>CN</v>
      </c>
      <c r="S152" s="1994" t="str">
        <f>'Estimate Detail'!AV52</f>
        <v>YES</v>
      </c>
      <c r="T152" s="1444">
        <f>'Estimate Detail'!AW30</f>
        <v>42943</v>
      </c>
      <c r="U152" s="1994"/>
      <c r="V152" s="2013"/>
      <c r="W152" s="1994"/>
      <c r="X152" s="1475"/>
      <c r="Z152" s="1472"/>
    </row>
    <row r="153" spans="1:26" s="1442" customFormat="1">
      <c r="A153" s="1994" t="str">
        <f>'Estimate Detail'!B53</f>
        <v>050314</v>
      </c>
      <c r="B153" s="1443"/>
      <c r="C153" s="1443"/>
      <c r="D153" s="1443" t="s">
        <v>668</v>
      </c>
      <c r="E153" s="1994" t="str">
        <f>'Estimate Detail'!C53</f>
        <v>Jig</v>
      </c>
      <c r="F153" s="1994" t="str">
        <f>'Estimate Detail'!AJ53</f>
        <v>MAT/HW</v>
      </c>
      <c r="G153" s="1994" t="str">
        <f>'Estimate Detail'!U53</f>
        <v>Unknown Supplier</v>
      </c>
      <c r="H153" s="1994" t="str">
        <f>'Estimate Detail'!AK53</f>
        <v>External</v>
      </c>
      <c r="I153" s="1994" t="str">
        <f>'Estimate Detail'!AL53</f>
        <v>CN</v>
      </c>
      <c r="J153" s="2014">
        <f>'Estimate Detail'!AM53</f>
        <v>1</v>
      </c>
      <c r="K153" s="2012" t="str">
        <f>'Estimate Detail'!AN53</f>
        <v>set</v>
      </c>
      <c r="L153" s="2014">
        <f>'Estimate Detail'!AO53</f>
        <v>0</v>
      </c>
      <c r="M153" s="1994" t="str">
        <f>'Estimate Detail'!AP53</f>
        <v>CNY</v>
      </c>
      <c r="N153" s="1994" t="str">
        <f>'Estimate Detail'!AQ53</f>
        <v>BOCE</v>
      </c>
      <c r="O153" s="1994" t="str">
        <f>'Estimate Detail'!AR53</f>
        <v>CNAP</v>
      </c>
      <c r="P153" s="1994" t="str">
        <f>'Estimate Detail'!AS53</f>
        <v>A</v>
      </c>
      <c r="Q153" s="1994" t="str">
        <f>'Estimate Detail'!AT53</f>
        <v>FOB SH</v>
      </c>
      <c r="R153" s="1994" t="str">
        <f>'Estimate Detail'!AU53</f>
        <v>CN</v>
      </c>
      <c r="S153" s="1994" t="str">
        <f>'Estimate Detail'!AV53</f>
        <v>YES</v>
      </c>
      <c r="T153" s="1444">
        <f>'Estimate Detail'!AW31</f>
        <v>42943</v>
      </c>
      <c r="U153" s="1994"/>
      <c r="V153" s="2013"/>
      <c r="W153" s="1994"/>
      <c r="X153" s="1475"/>
      <c r="Z153" s="1472"/>
    </row>
    <row r="154" spans="1:26" s="1442" customFormat="1" hidden="1">
      <c r="A154" s="1994" t="str">
        <f>'Estimate Detail'!B56</f>
        <v>050315</v>
      </c>
      <c r="B154" s="1443"/>
      <c r="C154" s="1443"/>
      <c r="D154" s="1443" t="s">
        <v>668</v>
      </c>
      <c r="E154" s="1994" t="str">
        <f>'Estimate Detail'!C56</f>
        <v>Attachment subcontract process cost</v>
      </c>
      <c r="F154" s="1994" t="str">
        <f>'Estimate Detail'!AJ56</f>
        <v>MAT/HW</v>
      </c>
      <c r="G154" s="1994" t="str">
        <f>'Estimate Detail'!U56</f>
        <v>Unknown Supplier</v>
      </c>
      <c r="H154" s="1994" t="str">
        <f>'Estimate Detail'!AK56</f>
        <v>External</v>
      </c>
      <c r="I154" s="1994" t="str">
        <f>'Estimate Detail'!AL56</f>
        <v>CN</v>
      </c>
      <c r="J154" s="2014">
        <f>'Estimate Detail'!AM56</f>
        <v>1</v>
      </c>
      <c r="K154" s="2012" t="str">
        <f>'Estimate Detail'!AN56</f>
        <v>set</v>
      </c>
      <c r="L154" s="2014">
        <f>'Estimate Detail'!AO56</f>
        <v>0</v>
      </c>
      <c r="M154" s="1994" t="str">
        <f>'Estimate Detail'!AP56</f>
        <v>CNY</v>
      </c>
      <c r="N154" s="1994" t="str">
        <f>'Estimate Detail'!AQ56</f>
        <v>BOCE</v>
      </c>
      <c r="O154" s="1994" t="str">
        <f>'Estimate Detail'!AR56</f>
        <v>CNAP</v>
      </c>
      <c r="P154" s="1994" t="str">
        <f>'Estimate Detail'!AS56</f>
        <v>A</v>
      </c>
      <c r="Q154" s="1994" t="str">
        <f>'Estimate Detail'!AT56</f>
        <v>FOB SH</v>
      </c>
      <c r="R154" s="1994" t="str">
        <f>'Estimate Detail'!AU56</f>
        <v>CN</v>
      </c>
      <c r="S154" s="1994" t="str">
        <f>'Estimate Detail'!AV56</f>
        <v>YES</v>
      </c>
      <c r="T154" s="1444">
        <f>'Estimate Detail'!AW32</f>
        <v>42943</v>
      </c>
      <c r="U154" s="1994"/>
      <c r="V154" s="2013"/>
      <c r="W154" s="1994"/>
      <c r="X154" s="1475"/>
      <c r="Z154" s="1472"/>
    </row>
    <row r="155" spans="1:26" s="1442" customFormat="1">
      <c r="A155" s="1994" t="str">
        <f>'Estimate Detail'!B60</f>
        <v>050301</v>
      </c>
      <c r="B155" s="1443"/>
      <c r="C155" s="1443"/>
      <c r="D155" s="1443" t="s">
        <v>668</v>
      </c>
      <c r="E155" s="1994" t="str">
        <f>'Estimate Detail'!C60</f>
        <v>Water Cooling System</v>
      </c>
      <c r="F155" s="1994" t="str">
        <f>'Estimate Detail'!AJ60</f>
        <v>MAT/HW</v>
      </c>
      <c r="G155" s="1994" t="str">
        <f>'Estimate Detail'!U60</f>
        <v>WUHAN BOILER COMPANY LTD</v>
      </c>
      <c r="H155" s="1994" t="str">
        <f>'Estimate Detail'!AK60</f>
        <v>Internal</v>
      </c>
      <c r="I155" s="1994" t="str">
        <f>'Estimate Detail'!AL60</f>
        <v>CN</v>
      </c>
      <c r="J155" s="2014">
        <f>'Estimate Detail'!AM60</f>
        <v>0</v>
      </c>
      <c r="K155" s="2012" t="str">
        <f>'Estimate Detail'!AN60</f>
        <v>manhour</v>
      </c>
      <c r="L155" s="2049">
        <f>'Estimate Detail'!AO60</f>
        <v>0.14299999999999999</v>
      </c>
      <c r="M155" s="1994" t="str">
        <f>'Estimate Detail'!AP60</f>
        <v>CNY</v>
      </c>
      <c r="N155" s="1994" t="str">
        <f>'Estimate Detail'!AQ60</f>
        <v>BOCF</v>
      </c>
      <c r="O155" s="1994" t="str">
        <f>'Estimate Detail'!AR60</f>
        <v>CNAP</v>
      </c>
      <c r="P155" s="1994" t="str">
        <f>'Estimate Detail'!AS60</f>
        <v>A</v>
      </c>
      <c r="Q155" s="1994">
        <f>'Estimate Detail'!AT60</f>
        <v>0</v>
      </c>
      <c r="R155" s="1994" t="str">
        <f>'Estimate Detail'!AU60</f>
        <v>CN</v>
      </c>
      <c r="S155" s="1994" t="str">
        <f>'Estimate Detail'!AV60</f>
        <v>YES</v>
      </c>
      <c r="T155" s="1444">
        <f>'Estimate Detail'!AW60</f>
        <v>43100</v>
      </c>
      <c r="U155" s="1994"/>
      <c r="V155" s="2013"/>
      <c r="W155" s="1994"/>
      <c r="X155" s="1475"/>
      <c r="Z155" s="1472"/>
    </row>
    <row r="156" spans="1:26" s="1442" customFormat="1">
      <c r="A156" s="1994" t="str">
        <f>'Estimate Detail'!B61</f>
        <v>050302</v>
      </c>
      <c r="B156" s="1443"/>
      <c r="C156" s="1443"/>
      <c r="D156" s="1443" t="s">
        <v>668</v>
      </c>
      <c r="E156" s="1994" t="str">
        <f>'Estimate Detail'!C61</f>
        <v>Superheater internal surfaces</v>
      </c>
      <c r="F156" s="1994" t="str">
        <f>'Estimate Detail'!AJ61</f>
        <v>MAT/HW</v>
      </c>
      <c r="G156" s="1994" t="str">
        <f>'Estimate Detail'!U61</f>
        <v>WUHAN BOILER COMPANY LTD</v>
      </c>
      <c r="H156" s="1994" t="str">
        <f>'Estimate Detail'!AK61</f>
        <v>Internal</v>
      </c>
      <c r="I156" s="1994" t="str">
        <f>'Estimate Detail'!AL61</f>
        <v>CN</v>
      </c>
      <c r="J156" s="2014">
        <f>'Estimate Detail'!AM61</f>
        <v>0</v>
      </c>
      <c r="K156" s="2012" t="str">
        <f>'Estimate Detail'!AN61</f>
        <v>manhour</v>
      </c>
      <c r="L156" s="2049">
        <f>'Estimate Detail'!AO61</f>
        <v>0.14299999999999999</v>
      </c>
      <c r="M156" s="1994" t="str">
        <f>'Estimate Detail'!AP61</f>
        <v>CNY</v>
      </c>
      <c r="N156" s="1994" t="str">
        <f>'Estimate Detail'!AQ61</f>
        <v>BOCF</v>
      </c>
      <c r="O156" s="1994" t="str">
        <f>'Estimate Detail'!AR61</f>
        <v>CNAP</v>
      </c>
      <c r="P156" s="1994" t="str">
        <f>'Estimate Detail'!AS61</f>
        <v>A</v>
      </c>
      <c r="Q156" s="1994">
        <f>'Estimate Detail'!AT61</f>
        <v>0</v>
      </c>
      <c r="R156" s="1994" t="str">
        <f>'Estimate Detail'!AU61</f>
        <v>CN</v>
      </c>
      <c r="S156" s="1994" t="str">
        <f>'Estimate Detail'!AV61</f>
        <v>YES</v>
      </c>
      <c r="T156" s="1444">
        <f>'Estimate Detail'!AW61</f>
        <v>43100</v>
      </c>
      <c r="U156" s="1994"/>
      <c r="V156" s="2013"/>
      <c r="W156" s="1994"/>
      <c r="X156" s="1475"/>
      <c r="Z156" s="1472"/>
    </row>
    <row r="157" spans="1:26" s="1442" customFormat="1">
      <c r="A157" s="1994" t="str">
        <f>'Estimate Detail'!B62</f>
        <v>050303</v>
      </c>
      <c r="B157" s="1443"/>
      <c r="C157" s="1443"/>
      <c r="D157" s="1443" t="s">
        <v>668</v>
      </c>
      <c r="E157" s="1994" t="str">
        <f>'Estimate Detail'!C62</f>
        <v>Superheater backpass wall</v>
      </c>
      <c r="F157" s="1994" t="str">
        <f>'Estimate Detail'!AJ62</f>
        <v>MAT/HW</v>
      </c>
      <c r="G157" s="1994" t="str">
        <f>'Estimate Detail'!U62</f>
        <v>WUHAN BOILER COMPANY LTD</v>
      </c>
      <c r="H157" s="1994" t="str">
        <f>'Estimate Detail'!AK62</f>
        <v>Internal</v>
      </c>
      <c r="I157" s="1994" t="str">
        <f>'Estimate Detail'!AL62</f>
        <v>CN</v>
      </c>
      <c r="J157" s="2014">
        <f>'Estimate Detail'!AM62</f>
        <v>0</v>
      </c>
      <c r="K157" s="2012" t="str">
        <f>'Estimate Detail'!AN62</f>
        <v>manhour</v>
      </c>
      <c r="L157" s="2049">
        <f>'Estimate Detail'!AO62</f>
        <v>0.14299999999999999</v>
      </c>
      <c r="M157" s="1994" t="str">
        <f>'Estimate Detail'!AP62</f>
        <v>CNY</v>
      </c>
      <c r="N157" s="1994" t="str">
        <f>'Estimate Detail'!AQ62</f>
        <v>BOCF</v>
      </c>
      <c r="O157" s="1994" t="str">
        <f>'Estimate Detail'!AR62</f>
        <v>CNAP</v>
      </c>
      <c r="P157" s="1994" t="str">
        <f>'Estimate Detail'!AS62</f>
        <v>A</v>
      </c>
      <c r="Q157" s="1994">
        <f>'Estimate Detail'!AT62</f>
        <v>0</v>
      </c>
      <c r="R157" s="1994" t="str">
        <f>'Estimate Detail'!AU62</f>
        <v>CN</v>
      </c>
      <c r="S157" s="1994" t="str">
        <f>'Estimate Detail'!AV62</f>
        <v>YES</v>
      </c>
      <c r="T157" s="1444">
        <f>'Estimate Detail'!AW62</f>
        <v>43100</v>
      </c>
      <c r="U157" s="2092"/>
      <c r="V157" s="2093"/>
      <c r="W157" s="2092"/>
      <c r="X157" s="1475"/>
      <c r="Z157" s="1472"/>
    </row>
    <row r="158" spans="1:26" s="1442" customFormat="1">
      <c r="A158" s="1994" t="str">
        <f>'Estimate Detail'!B63</f>
        <v>050304</v>
      </c>
      <c r="B158" s="1443"/>
      <c r="C158" s="1443"/>
      <c r="D158" s="1443" t="s">
        <v>668</v>
      </c>
      <c r="E158" s="1994" t="str">
        <f>'Estimate Detail'!C63</f>
        <v>Reheater</v>
      </c>
      <c r="F158" s="1994" t="str">
        <f>'Estimate Detail'!AJ63</f>
        <v>MAT/HW</v>
      </c>
      <c r="G158" s="1994" t="str">
        <f>'Estimate Detail'!U63</f>
        <v>WUHAN BOILER COMPANY LTD</v>
      </c>
      <c r="H158" s="1994" t="str">
        <f>'Estimate Detail'!AK63</f>
        <v>Internal</v>
      </c>
      <c r="I158" s="1994" t="str">
        <f>'Estimate Detail'!AL63</f>
        <v>CN</v>
      </c>
      <c r="J158" s="2014">
        <f>'Estimate Detail'!AM63</f>
        <v>0</v>
      </c>
      <c r="K158" s="2012" t="str">
        <f>'Estimate Detail'!AN63</f>
        <v>manhour</v>
      </c>
      <c r="L158" s="2049">
        <f>'Estimate Detail'!AO63</f>
        <v>0.14299999999999999</v>
      </c>
      <c r="M158" s="1994" t="str">
        <f>'Estimate Detail'!AP63</f>
        <v>CNY</v>
      </c>
      <c r="N158" s="1994" t="str">
        <f>'Estimate Detail'!AQ63</f>
        <v>BOCF</v>
      </c>
      <c r="O158" s="1994" t="str">
        <f>'Estimate Detail'!AR63</f>
        <v>CNAP</v>
      </c>
      <c r="P158" s="1994" t="str">
        <f>'Estimate Detail'!AS63</f>
        <v>A</v>
      </c>
      <c r="Q158" s="1994">
        <f>'Estimate Detail'!AT63</f>
        <v>0</v>
      </c>
      <c r="R158" s="1994" t="str">
        <f>'Estimate Detail'!AU63</f>
        <v>CN</v>
      </c>
      <c r="S158" s="1994" t="str">
        <f>'Estimate Detail'!AV63</f>
        <v>YES</v>
      </c>
      <c r="T158" s="1444">
        <f>'Estimate Detail'!AW62</f>
        <v>43100</v>
      </c>
      <c r="U158" s="1994"/>
      <c r="V158" s="2013"/>
      <c r="W158" s="1994"/>
      <c r="X158" s="1475"/>
      <c r="Z158" s="1472"/>
    </row>
    <row r="159" spans="1:26" s="1442" customFormat="1">
      <c r="A159" s="1994" t="str">
        <f>'Estimate Detail'!B64</f>
        <v>050305</v>
      </c>
      <c r="B159" s="1443"/>
      <c r="C159" s="1443"/>
      <c r="D159" s="1443" t="s">
        <v>668</v>
      </c>
      <c r="E159" s="1994" t="str">
        <f>'Estimate Detail'!C64</f>
        <v>Economizer</v>
      </c>
      <c r="F159" s="1994" t="str">
        <f>'Estimate Detail'!AJ64</f>
        <v>MAT/HW</v>
      </c>
      <c r="G159" s="1994" t="str">
        <f>'Estimate Detail'!U64</f>
        <v>WUHAN BOILER COMPANY LTD</v>
      </c>
      <c r="H159" s="1994" t="str">
        <f>'Estimate Detail'!AK64</f>
        <v>Internal</v>
      </c>
      <c r="I159" s="1994" t="str">
        <f>'Estimate Detail'!AL64</f>
        <v>CN</v>
      </c>
      <c r="J159" s="2014">
        <f>'Estimate Detail'!AM64</f>
        <v>0</v>
      </c>
      <c r="K159" s="2012" t="str">
        <f>'Estimate Detail'!AN64</f>
        <v>manhour</v>
      </c>
      <c r="L159" s="2049">
        <f>'Estimate Detail'!AO64</f>
        <v>0.14299999999999999</v>
      </c>
      <c r="M159" s="1994" t="str">
        <f>'Estimate Detail'!AP64</f>
        <v>CNY</v>
      </c>
      <c r="N159" s="1994" t="str">
        <f>'Estimate Detail'!AQ64</f>
        <v>BOCF</v>
      </c>
      <c r="O159" s="1994" t="str">
        <f>'Estimate Detail'!AR64</f>
        <v>CNAP</v>
      </c>
      <c r="P159" s="1994" t="str">
        <f>'Estimate Detail'!AS64</f>
        <v>A</v>
      </c>
      <c r="Q159" s="1994">
        <f>'Estimate Detail'!AT64</f>
        <v>0</v>
      </c>
      <c r="R159" s="1994" t="str">
        <f>'Estimate Detail'!AU64</f>
        <v>CN</v>
      </c>
      <c r="S159" s="1994" t="str">
        <f>'Estimate Detail'!AV64</f>
        <v>YES</v>
      </c>
      <c r="T159" s="1444">
        <f>'Estimate Detail'!AW63</f>
        <v>43100</v>
      </c>
      <c r="U159" s="1994"/>
      <c r="V159" s="2013"/>
      <c r="W159" s="1994"/>
      <c r="X159" s="1475"/>
      <c r="Z159" s="1472"/>
    </row>
    <row r="160" spans="1:26" s="1442" customFormat="1" hidden="1">
      <c r="A160" s="1994" t="str">
        <f>'Estimate Detail'!B65</f>
        <v>050306</v>
      </c>
      <c r="B160" s="1443"/>
      <c r="C160" s="1443"/>
      <c r="D160" s="1443" t="s">
        <v>668</v>
      </c>
      <c r="E160" s="1994" t="str">
        <f>'Estimate Detail'!C65</f>
        <v>Boiler Internal Piping</v>
      </c>
      <c r="F160" s="1994" t="str">
        <f>'Estimate Detail'!AJ65</f>
        <v>MAT/HW</v>
      </c>
      <c r="G160" s="1994" t="str">
        <f>'Estimate Detail'!U65</f>
        <v>WUHAN BOILER COMPANY LTD</v>
      </c>
      <c r="H160" s="1994" t="str">
        <f>'Estimate Detail'!AK65</f>
        <v>Internal</v>
      </c>
      <c r="I160" s="1994" t="str">
        <f>'Estimate Detail'!AL65</f>
        <v>CN</v>
      </c>
      <c r="J160" s="2014">
        <f>'Estimate Detail'!AM65</f>
        <v>0</v>
      </c>
      <c r="K160" s="2012" t="str">
        <f>'Estimate Detail'!AN65</f>
        <v>manhour</v>
      </c>
      <c r="L160" s="2049">
        <f>'Estimate Detail'!AO65</f>
        <v>0.14299999999999999</v>
      </c>
      <c r="M160" s="1994" t="str">
        <f>'Estimate Detail'!AP65</f>
        <v>CNY</v>
      </c>
      <c r="N160" s="1994" t="str">
        <f>'Estimate Detail'!AQ65</f>
        <v>BOCF</v>
      </c>
      <c r="O160" s="1994" t="str">
        <f>'Estimate Detail'!AR65</f>
        <v>CNAP</v>
      </c>
      <c r="P160" s="1994" t="str">
        <f>'Estimate Detail'!AS65</f>
        <v>A</v>
      </c>
      <c r="Q160" s="1994">
        <f>'Estimate Detail'!AT65</f>
        <v>0</v>
      </c>
      <c r="R160" s="1994" t="str">
        <f>'Estimate Detail'!AU65</f>
        <v>CN</v>
      </c>
      <c r="S160" s="1994" t="str">
        <f>'Estimate Detail'!AV65</f>
        <v>YES</v>
      </c>
      <c r="T160" s="1444">
        <f>'Estimate Detail'!AW64</f>
        <v>43100</v>
      </c>
      <c r="U160" s="1994"/>
      <c r="V160" s="2013"/>
      <c r="W160" s="1994"/>
      <c r="X160" s="1475"/>
      <c r="Z160" s="1472"/>
    </row>
    <row r="161" spans="1:26" s="1442" customFormat="1" hidden="1">
      <c r="A161" s="1994" t="str">
        <f>'Estimate Detail'!B66</f>
        <v>050307</v>
      </c>
      <c r="B161" s="1443"/>
      <c r="C161" s="1443"/>
      <c r="D161" s="1443" t="s">
        <v>668</v>
      </c>
      <c r="E161" s="1994" t="str">
        <f>'Estimate Detail'!C66</f>
        <v>Ancillaries</v>
      </c>
      <c r="F161" s="1994" t="str">
        <f>'Estimate Detail'!AJ66</f>
        <v>MAT/HW</v>
      </c>
      <c r="G161" s="1994" t="str">
        <f>'Estimate Detail'!U66</f>
        <v>WUHAN BOILER COMPANY LTD</v>
      </c>
      <c r="H161" s="1994" t="str">
        <f>'Estimate Detail'!AK66</f>
        <v>Internal</v>
      </c>
      <c r="I161" s="1994" t="str">
        <f>'Estimate Detail'!AL66</f>
        <v>CN</v>
      </c>
      <c r="J161" s="2014">
        <f>'Estimate Detail'!AM66</f>
        <v>0</v>
      </c>
      <c r="K161" s="2012" t="str">
        <f>'Estimate Detail'!AN66</f>
        <v>manhour</v>
      </c>
      <c r="L161" s="2049">
        <f>'Estimate Detail'!AO66</f>
        <v>0.14299999999999999</v>
      </c>
      <c r="M161" s="1994" t="str">
        <f>'Estimate Detail'!AP66</f>
        <v>CNY</v>
      </c>
      <c r="N161" s="1994" t="str">
        <f>'Estimate Detail'!AQ66</f>
        <v>BOCF</v>
      </c>
      <c r="O161" s="1994" t="str">
        <f>'Estimate Detail'!AR66</f>
        <v>CNAP</v>
      </c>
      <c r="P161" s="1994" t="str">
        <f>'Estimate Detail'!AS66</f>
        <v>A</v>
      </c>
      <c r="Q161" s="1994">
        <f>'Estimate Detail'!AT66</f>
        <v>0</v>
      </c>
      <c r="R161" s="1994" t="str">
        <f>'Estimate Detail'!AU66</f>
        <v>CN</v>
      </c>
      <c r="S161" s="1994" t="str">
        <f>'Estimate Detail'!AV66</f>
        <v>YES</v>
      </c>
      <c r="T161" s="1444">
        <f>'Estimate Detail'!AW65</f>
        <v>43100</v>
      </c>
      <c r="U161" s="2092"/>
      <c r="V161" s="2093"/>
      <c r="W161" s="2092"/>
      <c r="X161" s="1475"/>
      <c r="Z161" s="1472"/>
    </row>
    <row r="162" spans="1:26" s="1442" customFormat="1" hidden="1">
      <c r="A162" s="1994" t="str">
        <f>'Estimate Detail'!B67</f>
        <v>050308</v>
      </c>
      <c r="B162" s="1443"/>
      <c r="C162" s="1443"/>
      <c r="D162" s="1443" t="s">
        <v>668</v>
      </c>
      <c r="E162" s="1994" t="str">
        <f>'Estimate Detail'!C67</f>
        <v>Boiler External Piping</v>
      </c>
      <c r="F162" s="1994" t="str">
        <f>'Estimate Detail'!AJ67</f>
        <v>MAT/HW</v>
      </c>
      <c r="G162" s="1994" t="str">
        <f>'Estimate Detail'!U67</f>
        <v>WUHAN BOILER COMPANY LTD</v>
      </c>
      <c r="H162" s="1994" t="str">
        <f>'Estimate Detail'!AK67</f>
        <v>Internal</v>
      </c>
      <c r="I162" s="1994" t="str">
        <f>'Estimate Detail'!AL67</f>
        <v>CN</v>
      </c>
      <c r="J162" s="2014">
        <f>'Estimate Detail'!AM67</f>
        <v>0</v>
      </c>
      <c r="K162" s="2012" t="str">
        <f>'Estimate Detail'!AN67</f>
        <v>manhour</v>
      </c>
      <c r="L162" s="2049">
        <f>'Estimate Detail'!AO67</f>
        <v>0.14299999999999999</v>
      </c>
      <c r="M162" s="1994" t="str">
        <f>'Estimate Detail'!AP67</f>
        <v>CNY</v>
      </c>
      <c r="N162" s="1994" t="str">
        <f>'Estimate Detail'!AQ67</f>
        <v>BOCF</v>
      </c>
      <c r="O162" s="1994" t="str">
        <f>'Estimate Detail'!AR67</f>
        <v>CNAP</v>
      </c>
      <c r="P162" s="1994" t="str">
        <f>'Estimate Detail'!AS67</f>
        <v>A</v>
      </c>
      <c r="Q162" s="1994">
        <f>'Estimate Detail'!AT67</f>
        <v>0</v>
      </c>
      <c r="R162" s="1994" t="str">
        <f>'Estimate Detail'!AU67</f>
        <v>CN</v>
      </c>
      <c r="S162" s="1994" t="str">
        <f>'Estimate Detail'!AV67</f>
        <v>YES</v>
      </c>
      <c r="T162" s="1444">
        <f>'Estimate Detail'!AW66</f>
        <v>43100</v>
      </c>
      <c r="U162" s="1994"/>
      <c r="V162" s="2013"/>
      <c r="W162" s="1994"/>
      <c r="X162" s="1475"/>
      <c r="Z162" s="1472"/>
    </row>
    <row r="163" spans="1:26" s="1442" customFormat="1">
      <c r="A163" s="1994" t="str">
        <f>'Estimate Detail'!B68</f>
        <v>050309</v>
      </c>
      <c r="B163" s="1443"/>
      <c r="C163" s="1443"/>
      <c r="D163" s="1443" t="s">
        <v>668</v>
      </c>
      <c r="E163" s="1994" t="str">
        <f>'Estimate Detail'!C68</f>
        <v>Roof  Links</v>
      </c>
      <c r="F163" s="1994" t="str">
        <f>'Estimate Detail'!AJ68</f>
        <v>MAT/HW</v>
      </c>
      <c r="G163" s="1994" t="str">
        <f>'Estimate Detail'!U68</f>
        <v>WUHAN BOILER COMPANY LTD</v>
      </c>
      <c r="H163" s="1994" t="str">
        <f>'Estimate Detail'!AK68</f>
        <v>Internal</v>
      </c>
      <c r="I163" s="1994" t="str">
        <f>'Estimate Detail'!AL68</f>
        <v>CN</v>
      </c>
      <c r="J163" s="2014">
        <f>'Estimate Detail'!AM68</f>
        <v>0</v>
      </c>
      <c r="K163" s="2012" t="str">
        <f>'Estimate Detail'!AN68</f>
        <v>manhour</v>
      </c>
      <c r="L163" s="2049">
        <f>'Estimate Detail'!AO68</f>
        <v>0.14299999999999999</v>
      </c>
      <c r="M163" s="1994" t="str">
        <f>'Estimate Detail'!AP68</f>
        <v>CNY</v>
      </c>
      <c r="N163" s="1994" t="str">
        <f>'Estimate Detail'!AQ68</f>
        <v>BOCF</v>
      </c>
      <c r="O163" s="1994" t="str">
        <f>'Estimate Detail'!AR68</f>
        <v>CNAP</v>
      </c>
      <c r="P163" s="1994" t="str">
        <f>'Estimate Detail'!AS68</f>
        <v>A</v>
      </c>
      <c r="Q163" s="1994">
        <f>'Estimate Detail'!AT68</f>
        <v>0</v>
      </c>
      <c r="R163" s="1994" t="str">
        <f>'Estimate Detail'!AU68</f>
        <v>CN</v>
      </c>
      <c r="S163" s="1994" t="str">
        <f>'Estimate Detail'!AV68</f>
        <v>YES</v>
      </c>
      <c r="T163" s="1444">
        <f>'Estimate Detail'!AW67</f>
        <v>43100</v>
      </c>
      <c r="U163" s="1994"/>
      <c r="V163" s="2013"/>
      <c r="W163" s="1994"/>
      <c r="X163" s="1475"/>
      <c r="Z163" s="1472"/>
    </row>
    <row r="164" spans="1:26" s="1442" customFormat="1" hidden="1">
      <c r="A164" s="1994" t="str">
        <f>'Estimate Detail'!B69</f>
        <v>050310</v>
      </c>
      <c r="B164" s="1443"/>
      <c r="C164" s="1443"/>
      <c r="D164" s="1443" t="s">
        <v>668</v>
      </c>
      <c r="E164" s="1994" t="str">
        <f>'Estimate Detail'!C69</f>
        <v>Spare Parts</v>
      </c>
      <c r="F164" s="1994" t="str">
        <f>'Estimate Detail'!AJ69</f>
        <v>MAT/HW</v>
      </c>
      <c r="G164" s="1994" t="str">
        <f>'Estimate Detail'!U69</f>
        <v>WUHAN BOILER COMPANY LTD</v>
      </c>
      <c r="H164" s="1994" t="str">
        <f>'Estimate Detail'!AK69</f>
        <v>Internal</v>
      </c>
      <c r="I164" s="1994" t="str">
        <f>'Estimate Detail'!AL69</f>
        <v>CN</v>
      </c>
      <c r="J164" s="2014">
        <f>'Estimate Detail'!AM69</f>
        <v>12</v>
      </c>
      <c r="K164" s="2012" t="str">
        <f>'Estimate Detail'!AN69</f>
        <v>manhour</v>
      </c>
      <c r="L164" s="2049">
        <f>'Estimate Detail'!AO69</f>
        <v>0.14299999999999999</v>
      </c>
      <c r="M164" s="1994" t="str">
        <f>'Estimate Detail'!AP69</f>
        <v>CNY</v>
      </c>
      <c r="N164" s="1994" t="str">
        <f>'Estimate Detail'!AQ69</f>
        <v>BOCF</v>
      </c>
      <c r="O164" s="1994" t="str">
        <f>'Estimate Detail'!AR69</f>
        <v>CNAP</v>
      </c>
      <c r="P164" s="1994" t="str">
        <f>'Estimate Detail'!AS69</f>
        <v>A</v>
      </c>
      <c r="Q164" s="1994">
        <f>'Estimate Detail'!AT69</f>
        <v>0</v>
      </c>
      <c r="R164" s="1994" t="str">
        <f>'Estimate Detail'!AU69</f>
        <v>CN</v>
      </c>
      <c r="S164" s="1994" t="str">
        <f>'Estimate Detail'!AV69</f>
        <v>YES</v>
      </c>
      <c r="T164" s="1444">
        <f>'Estimate Detail'!AW68</f>
        <v>43100</v>
      </c>
      <c r="U164" s="1994"/>
      <c r="V164" s="2013"/>
      <c r="W164" s="1994"/>
      <c r="X164" s="1475"/>
      <c r="Z164" s="1472"/>
    </row>
    <row r="165" spans="1:26" s="1442" customFormat="1">
      <c r="A165" s="1994" t="str">
        <f>'Estimate Detail'!B70</f>
        <v>050311</v>
      </c>
      <c r="B165" s="1443"/>
      <c r="C165" s="1443"/>
      <c r="D165" s="1443" t="s">
        <v>668</v>
      </c>
      <c r="E165" s="1994" t="str">
        <f>'Estimate Detail'!C70</f>
        <v>Start Up System</v>
      </c>
      <c r="F165" s="1994" t="str">
        <f>'Estimate Detail'!AJ70</f>
        <v>MAT/HW</v>
      </c>
      <c r="G165" s="1994" t="str">
        <f>'Estimate Detail'!U70</f>
        <v>WUHAN BOILER COMPANY LTD</v>
      </c>
      <c r="H165" s="1994" t="str">
        <f>'Estimate Detail'!AK70</f>
        <v>Internal</v>
      </c>
      <c r="I165" s="1994" t="str">
        <f>'Estimate Detail'!AL70</f>
        <v>CN</v>
      </c>
      <c r="J165" s="2014">
        <f>'Estimate Detail'!AM70</f>
        <v>0</v>
      </c>
      <c r="K165" s="2012" t="str">
        <f>'Estimate Detail'!AN70</f>
        <v>manhour</v>
      </c>
      <c r="L165" s="2049">
        <f>'Estimate Detail'!AO70</f>
        <v>0.14299999999999999</v>
      </c>
      <c r="M165" s="1994" t="str">
        <f>'Estimate Detail'!AP70</f>
        <v>CNY</v>
      </c>
      <c r="N165" s="1994" t="str">
        <f>'Estimate Detail'!AQ70</f>
        <v>BOCF</v>
      </c>
      <c r="O165" s="1994" t="str">
        <f>'Estimate Detail'!AR70</f>
        <v>CNAP</v>
      </c>
      <c r="P165" s="1994" t="str">
        <f>'Estimate Detail'!AS70</f>
        <v>A</v>
      </c>
      <c r="Q165" s="1994">
        <f>'Estimate Detail'!AT70</f>
        <v>0</v>
      </c>
      <c r="R165" s="1994" t="str">
        <f>'Estimate Detail'!AU70</f>
        <v>CN</v>
      </c>
      <c r="S165" s="1994" t="str">
        <f>'Estimate Detail'!AV70</f>
        <v>YES</v>
      </c>
      <c r="T165" s="1444">
        <f>'Estimate Detail'!AW69</f>
        <v>43100</v>
      </c>
      <c r="U165" s="1994"/>
      <c r="V165" s="2013"/>
      <c r="W165" s="1994"/>
      <c r="X165" s="1475"/>
      <c r="Z165" s="1472"/>
    </row>
    <row r="166" spans="1:26" s="1442" customFormat="1" hidden="1">
      <c r="A166" s="1994" t="str">
        <f>'Estimate Detail'!B71</f>
        <v>050312</v>
      </c>
      <c r="B166" s="1443"/>
      <c r="C166" s="1443"/>
      <c r="D166" s="1443" t="s">
        <v>668</v>
      </c>
      <c r="E166" s="1994" t="str">
        <f>'Estimate Detail'!C71</f>
        <v>Drums</v>
      </c>
      <c r="F166" s="1994" t="str">
        <f>'Estimate Detail'!AJ71</f>
        <v>MAT/HW</v>
      </c>
      <c r="G166" s="1994" t="str">
        <f>'Estimate Detail'!U71</f>
        <v>WUHAN BOILER COMPANY LTD</v>
      </c>
      <c r="H166" s="1994" t="str">
        <f>'Estimate Detail'!AK71</f>
        <v>Internal</v>
      </c>
      <c r="I166" s="1994" t="str">
        <f>'Estimate Detail'!AL71</f>
        <v>CN</v>
      </c>
      <c r="J166" s="2014">
        <f>'Estimate Detail'!AM71</f>
        <v>0</v>
      </c>
      <c r="K166" s="2012" t="str">
        <f>'Estimate Detail'!AN71</f>
        <v>manhour</v>
      </c>
      <c r="L166" s="2049">
        <f>'Estimate Detail'!AO71</f>
        <v>0.14299999999999999</v>
      </c>
      <c r="M166" s="1994" t="str">
        <f>'Estimate Detail'!AP71</f>
        <v>CNY</v>
      </c>
      <c r="N166" s="1994" t="str">
        <f>'Estimate Detail'!AQ71</f>
        <v>BOCF</v>
      </c>
      <c r="O166" s="1994" t="str">
        <f>'Estimate Detail'!AR71</f>
        <v>CNAP</v>
      </c>
      <c r="P166" s="1994" t="str">
        <f>'Estimate Detail'!AS71</f>
        <v>A</v>
      </c>
      <c r="Q166" s="1994">
        <f>'Estimate Detail'!AT71</f>
        <v>0</v>
      </c>
      <c r="R166" s="1994" t="str">
        <f>'Estimate Detail'!AU71</f>
        <v>CN</v>
      </c>
      <c r="S166" s="1994" t="str">
        <f>'Estimate Detail'!AV71</f>
        <v>YES</v>
      </c>
      <c r="T166" s="1444">
        <f>'Estimate Detail'!AW70</f>
        <v>43100</v>
      </c>
      <c r="U166" s="2092"/>
      <c r="V166" s="2093"/>
      <c r="W166" s="2092"/>
      <c r="X166" s="1475"/>
      <c r="Z166" s="1472"/>
    </row>
    <row r="167" spans="1:26" s="1442" customFormat="1">
      <c r="A167" s="1994" t="str">
        <f>'Estimate Detail'!B72</f>
        <v>050313</v>
      </c>
      <c r="B167" s="1443"/>
      <c r="C167" s="1443"/>
      <c r="D167" s="1443" t="s">
        <v>668</v>
      </c>
      <c r="E167" s="1994" t="str">
        <f>'Estimate Detail'!C72</f>
        <v>Shotpeening</v>
      </c>
      <c r="F167" s="1994" t="str">
        <f>'Estimate Detail'!AJ72</f>
        <v>MAT/HW</v>
      </c>
      <c r="G167" s="1994" t="str">
        <f>'Estimate Detail'!U72</f>
        <v>WUHAN BOILER COMPANY LTD</v>
      </c>
      <c r="H167" s="1994" t="str">
        <f>'Estimate Detail'!AK72</f>
        <v>Internal</v>
      </c>
      <c r="I167" s="1994" t="str">
        <f>'Estimate Detail'!AL72</f>
        <v>CN</v>
      </c>
      <c r="J167" s="2014">
        <f>'Estimate Detail'!AM72</f>
        <v>0</v>
      </c>
      <c r="K167" s="2012" t="str">
        <f>'Estimate Detail'!AN72</f>
        <v>manhour</v>
      </c>
      <c r="L167" s="2049">
        <f>'Estimate Detail'!AO72</f>
        <v>0.14299999999999999</v>
      </c>
      <c r="M167" s="1994" t="str">
        <f>'Estimate Detail'!AP72</f>
        <v>CNY</v>
      </c>
      <c r="N167" s="1994" t="str">
        <f>'Estimate Detail'!AQ72</f>
        <v>BOCF</v>
      </c>
      <c r="O167" s="1994" t="str">
        <f>'Estimate Detail'!AR72</f>
        <v>CNAP</v>
      </c>
      <c r="P167" s="1994" t="str">
        <f>'Estimate Detail'!AS72</f>
        <v>A</v>
      </c>
      <c r="Q167" s="1994">
        <f>'Estimate Detail'!AT72</f>
        <v>0</v>
      </c>
      <c r="R167" s="1994" t="str">
        <f>'Estimate Detail'!AU72</f>
        <v>CN</v>
      </c>
      <c r="S167" s="1994" t="str">
        <f>'Estimate Detail'!AV72</f>
        <v>YES</v>
      </c>
      <c r="T167" s="1444">
        <f>'Estimate Detail'!AW69</f>
        <v>43100</v>
      </c>
      <c r="U167" s="1994"/>
      <c r="V167" s="2013"/>
      <c r="W167" s="1994"/>
      <c r="X167" s="1475"/>
      <c r="Z167" s="1472"/>
    </row>
    <row r="168" spans="1:26" s="1442" customFormat="1">
      <c r="A168" s="1994" t="str">
        <f>'Estimate Detail'!B75</f>
        <v>050319</v>
      </c>
      <c r="B168" s="1492"/>
      <c r="C168" s="1492" t="s">
        <v>667</v>
      </c>
      <c r="D168" s="1492" t="s">
        <v>668</v>
      </c>
      <c r="E168" s="1994" t="str">
        <f>'Estimate Detail'!C75</f>
        <v>Factory Quality Inspection hours</v>
      </c>
      <c r="F168" s="1994" t="str">
        <f>'Estimate Detail'!AJ75</f>
        <v>MAT/HW</v>
      </c>
      <c r="G168" s="1994" t="str">
        <f>'Estimate Detail'!U75</f>
        <v>WUHAN BOILER COMPANY LTD</v>
      </c>
      <c r="H168" s="1994" t="str">
        <f>'Estimate Detail'!AK75</f>
        <v>Internal</v>
      </c>
      <c r="I168" s="1994" t="str">
        <f>'Estimate Detail'!AL75</f>
        <v>CN</v>
      </c>
      <c r="J168" s="2014">
        <f>'Estimate Detail'!AM75</f>
        <v>0.84000000000000008</v>
      </c>
      <c r="K168" s="2012" t="str">
        <f>'Estimate Detail'!AN75</f>
        <v>manhour</v>
      </c>
      <c r="L168" s="2049">
        <f>'Estimate Detail'!AO75</f>
        <v>0.11700000000000001</v>
      </c>
      <c r="M168" s="1994" t="str">
        <f>'Estimate Detail'!AP75</f>
        <v>CNY</v>
      </c>
      <c r="N168" s="1994" t="str">
        <f>'Estimate Detail'!AQ75</f>
        <v>BOCF</v>
      </c>
      <c r="O168" s="1994" t="str">
        <f>'Estimate Detail'!AR75</f>
        <v>CNAP</v>
      </c>
      <c r="P168" s="1994" t="str">
        <f>'Estimate Detail'!AS75</f>
        <v>A</v>
      </c>
      <c r="Q168" s="1994">
        <f>'Estimate Detail'!AT75</f>
        <v>0</v>
      </c>
      <c r="R168" s="1994" t="str">
        <f>'Estimate Detail'!AU75</f>
        <v>CN</v>
      </c>
      <c r="S168" s="1994" t="str">
        <f>'Estimate Detail'!AV75</f>
        <v>YES</v>
      </c>
      <c r="T168" s="1444">
        <f>'Estimate Detail'!AW70</f>
        <v>43100</v>
      </c>
      <c r="U168" s="1994"/>
      <c r="V168" s="2013"/>
      <c r="W168" s="1994"/>
      <c r="X168" s="1475"/>
      <c r="Z168" s="1472"/>
    </row>
    <row r="169" spans="1:26" s="1442" customFormat="1" hidden="1">
      <c r="A169" s="1994" t="s">
        <v>673</v>
      </c>
      <c r="B169" s="1443">
        <v>0</v>
      </c>
      <c r="C169" s="1443">
        <v>0</v>
      </c>
      <c r="D169" s="1443" t="s">
        <v>1162</v>
      </c>
      <c r="E169" s="1443" t="s">
        <v>820</v>
      </c>
      <c r="F169" s="1443" t="s">
        <v>669</v>
      </c>
      <c r="G169" s="1443" t="s">
        <v>599</v>
      </c>
      <c r="H169" s="1443" t="s">
        <v>1128</v>
      </c>
      <c r="I169" s="1443" t="s">
        <v>1163</v>
      </c>
      <c r="J169" s="2014">
        <v>1</v>
      </c>
      <c r="K169" s="1993" t="s">
        <v>1136</v>
      </c>
      <c r="L169" s="2049"/>
      <c r="M169" s="1443"/>
      <c r="N169" s="1443"/>
      <c r="O169" s="1443"/>
      <c r="P169" s="1443"/>
      <c r="Q169" s="1443"/>
      <c r="R169" s="1443"/>
      <c r="S169" s="1443"/>
      <c r="T169" s="1444"/>
      <c r="U169" s="1443"/>
      <c r="V169" s="1445">
        <v>0</v>
      </c>
      <c r="W169" s="1443">
        <v>0</v>
      </c>
      <c r="X169" s="1475"/>
      <c r="Z169" s="1472"/>
    </row>
    <row r="170" spans="1:26" s="1442" customFormat="1" hidden="1">
      <c r="A170" s="1994" t="s">
        <v>680</v>
      </c>
      <c r="B170" s="1443">
        <v>0</v>
      </c>
      <c r="C170" s="1443">
        <v>0</v>
      </c>
      <c r="D170" s="1443" t="s">
        <v>1162</v>
      </c>
      <c r="E170" s="1443" t="s">
        <v>871</v>
      </c>
      <c r="F170" s="1443" t="s">
        <v>669</v>
      </c>
      <c r="G170" s="1443" t="s">
        <v>579</v>
      </c>
      <c r="H170" s="1443" t="s">
        <v>1128</v>
      </c>
      <c r="I170" s="1443" t="s">
        <v>1245</v>
      </c>
      <c r="J170" s="2014">
        <v>1</v>
      </c>
      <c r="K170" s="1993" t="s">
        <v>1136</v>
      </c>
      <c r="L170" s="2049"/>
      <c r="M170" s="1443"/>
      <c r="N170" s="1443"/>
      <c r="O170" s="1443"/>
      <c r="P170" s="1443"/>
      <c r="Q170" s="1443"/>
      <c r="R170" s="1443"/>
      <c r="S170" s="1443"/>
      <c r="T170" s="1444"/>
      <c r="U170" s="1443"/>
      <c r="V170" s="1445">
        <v>0</v>
      </c>
      <c r="W170" s="1443">
        <v>0</v>
      </c>
      <c r="X170" s="1475"/>
      <c r="Z170" s="1472"/>
    </row>
    <row r="171" spans="1:26" s="1442" customFormat="1" ht="22.5" hidden="1">
      <c r="A171" s="1994" t="s">
        <v>679</v>
      </c>
      <c r="B171" s="1443">
        <v>0</v>
      </c>
      <c r="C171" s="1443">
        <v>0</v>
      </c>
      <c r="D171" s="1443" t="s">
        <v>1162</v>
      </c>
      <c r="E171" s="1443" t="s">
        <v>878</v>
      </c>
      <c r="F171" s="1443" t="s">
        <v>669</v>
      </c>
      <c r="G171" s="1443" t="s">
        <v>479</v>
      </c>
      <c r="H171" s="1443" t="s">
        <v>1128</v>
      </c>
      <c r="I171" s="1443" t="s">
        <v>1163</v>
      </c>
      <c r="J171" s="2014">
        <v>1</v>
      </c>
      <c r="K171" s="1993" t="s">
        <v>1136</v>
      </c>
      <c r="L171" s="2049"/>
      <c r="M171" s="1443"/>
      <c r="N171" s="1443"/>
      <c r="O171" s="1443"/>
      <c r="P171" s="1443"/>
      <c r="Q171" s="1443"/>
      <c r="R171" s="1443"/>
      <c r="S171" s="1443"/>
      <c r="T171" s="1444"/>
      <c r="U171" s="1443"/>
      <c r="V171" s="1445">
        <v>0</v>
      </c>
      <c r="W171" s="1443">
        <v>0</v>
      </c>
      <c r="X171" s="1475"/>
      <c r="Z171" s="1472"/>
    </row>
    <row r="172" spans="1:26" s="1442" customFormat="1" hidden="1">
      <c r="A172" s="1994" t="s">
        <v>680</v>
      </c>
      <c r="B172" s="1443">
        <v>0</v>
      </c>
      <c r="C172" s="1443">
        <v>0</v>
      </c>
      <c r="D172" s="1443" t="s">
        <v>1162</v>
      </c>
      <c r="E172" s="1443" t="s">
        <v>873</v>
      </c>
      <c r="F172" s="1443" t="s">
        <v>669</v>
      </c>
      <c r="G172" s="1443" t="s">
        <v>610</v>
      </c>
      <c r="H172" s="1443" t="s">
        <v>1128</v>
      </c>
      <c r="I172" s="1443" t="s">
        <v>1163</v>
      </c>
      <c r="J172" s="2014">
        <v>1</v>
      </c>
      <c r="K172" s="1993" t="s">
        <v>1136</v>
      </c>
      <c r="L172" s="2049"/>
      <c r="M172" s="1443"/>
      <c r="N172" s="1443"/>
      <c r="O172" s="1443"/>
      <c r="P172" s="1443"/>
      <c r="Q172" s="1443"/>
      <c r="R172" s="1443"/>
      <c r="S172" s="1443"/>
      <c r="T172" s="1444"/>
      <c r="U172" s="1443"/>
      <c r="V172" s="1445">
        <v>0</v>
      </c>
      <c r="W172" s="1443">
        <v>0</v>
      </c>
      <c r="X172" s="1475"/>
      <c r="Z172" s="1472"/>
    </row>
    <row r="173" spans="1:26" s="1442" customFormat="1" hidden="1">
      <c r="A173" s="1994" t="s">
        <v>845</v>
      </c>
      <c r="B173" s="1443">
        <v>0</v>
      </c>
      <c r="C173" s="1443">
        <v>0</v>
      </c>
      <c r="D173" s="1443" t="s">
        <v>1162</v>
      </c>
      <c r="E173" s="1443" t="s">
        <v>1246</v>
      </c>
      <c r="F173" s="1443" t="s">
        <v>669</v>
      </c>
      <c r="G173" s="1443" t="s">
        <v>1247</v>
      </c>
      <c r="H173" s="1443" t="s">
        <v>1128</v>
      </c>
      <c r="I173" s="1443" t="s">
        <v>1164</v>
      </c>
      <c r="J173" s="2014">
        <v>1</v>
      </c>
      <c r="K173" s="1993" t="s">
        <v>1136</v>
      </c>
      <c r="L173" s="2049"/>
      <c r="M173" s="1443"/>
      <c r="N173" s="1443"/>
      <c r="O173" s="1443"/>
      <c r="P173" s="1443"/>
      <c r="Q173" s="1443"/>
      <c r="R173" s="1443"/>
      <c r="S173" s="1443"/>
      <c r="T173" s="1444"/>
      <c r="U173" s="1443"/>
      <c r="V173" s="1445">
        <v>0</v>
      </c>
      <c r="W173" s="1443">
        <v>0</v>
      </c>
      <c r="X173" s="1475"/>
      <c r="Z173" s="1472"/>
    </row>
    <row r="174" spans="1:26" s="1442" customFormat="1" hidden="1">
      <c r="A174" s="1994" t="s">
        <v>897</v>
      </c>
      <c r="B174" s="1443">
        <v>0</v>
      </c>
      <c r="C174" s="1443">
        <v>0</v>
      </c>
      <c r="D174" s="1443" t="s">
        <v>1162</v>
      </c>
      <c r="E174" s="1443" t="s">
        <v>919</v>
      </c>
      <c r="F174" s="1443" t="s">
        <v>669</v>
      </c>
      <c r="G174" s="1443" t="s">
        <v>609</v>
      </c>
      <c r="H174" s="1443" t="s">
        <v>1128</v>
      </c>
      <c r="I174" s="1443" t="s">
        <v>1163</v>
      </c>
      <c r="J174" s="2014">
        <v>1</v>
      </c>
      <c r="K174" s="1993" t="s">
        <v>1136</v>
      </c>
      <c r="L174" s="2049"/>
      <c r="M174" s="1443"/>
      <c r="N174" s="1443"/>
      <c r="O174" s="1443"/>
      <c r="P174" s="1443"/>
      <c r="Q174" s="1443"/>
      <c r="R174" s="1443"/>
      <c r="S174" s="1443"/>
      <c r="T174" s="1444"/>
      <c r="U174" s="1443"/>
      <c r="V174" s="1445">
        <v>0</v>
      </c>
      <c r="W174" s="1443">
        <v>0</v>
      </c>
      <c r="X174" s="1475"/>
      <c r="Z174" s="1472"/>
    </row>
    <row r="175" spans="1:26" s="1442" customFormat="1" ht="22.5" hidden="1">
      <c r="A175" s="1994" t="s">
        <v>897</v>
      </c>
      <c r="B175" s="1443">
        <v>0</v>
      </c>
      <c r="C175" s="1443">
        <v>0</v>
      </c>
      <c r="D175" s="1443" t="s">
        <v>1162</v>
      </c>
      <c r="E175" s="1443" t="s">
        <v>1072</v>
      </c>
      <c r="F175" s="1443" t="s">
        <v>669</v>
      </c>
      <c r="G175" s="1443" t="s">
        <v>1063</v>
      </c>
      <c r="H175" s="1443" t="s">
        <v>1128</v>
      </c>
      <c r="I175" s="1443" t="s">
        <v>1163</v>
      </c>
      <c r="J175" s="2014">
        <v>1</v>
      </c>
      <c r="K175" s="1993" t="s">
        <v>1136</v>
      </c>
      <c r="L175" s="2049"/>
      <c r="M175" s="1443"/>
      <c r="N175" s="1443"/>
      <c r="O175" s="1443"/>
      <c r="P175" s="1443"/>
      <c r="Q175" s="1443"/>
      <c r="R175" s="1443"/>
      <c r="S175" s="1443"/>
      <c r="T175" s="1444"/>
      <c r="U175" s="1443"/>
      <c r="V175" s="1445">
        <v>0</v>
      </c>
      <c r="W175" s="1443">
        <v>0</v>
      </c>
      <c r="X175" s="1475"/>
      <c r="Z175" s="1472"/>
    </row>
    <row r="176" spans="1:26" s="1442" customFormat="1" hidden="1">
      <c r="A176" s="1994" t="s">
        <v>897</v>
      </c>
      <c r="B176" s="1443">
        <v>0</v>
      </c>
      <c r="C176" s="1443">
        <v>0</v>
      </c>
      <c r="D176" s="1443" t="s">
        <v>1162</v>
      </c>
      <c r="E176" s="1443" t="s">
        <v>901</v>
      </c>
      <c r="F176" s="1443" t="s">
        <v>669</v>
      </c>
      <c r="G176" s="1443" t="s">
        <v>1064</v>
      </c>
      <c r="H176" s="1443" t="s">
        <v>1128</v>
      </c>
      <c r="I176" s="1443" t="s">
        <v>1163</v>
      </c>
      <c r="J176" s="2014">
        <v>1</v>
      </c>
      <c r="K176" s="1993" t="s">
        <v>1136</v>
      </c>
      <c r="L176" s="2049"/>
      <c r="M176" s="1443"/>
      <c r="N176" s="1443"/>
      <c r="O176" s="1443"/>
      <c r="P176" s="1443"/>
      <c r="Q176" s="1443"/>
      <c r="R176" s="1443"/>
      <c r="S176" s="1443"/>
      <c r="T176" s="1444"/>
      <c r="U176" s="1443"/>
      <c r="V176" s="1445">
        <v>0</v>
      </c>
      <c r="W176" s="1443">
        <v>0</v>
      </c>
      <c r="X176" s="1475"/>
      <c r="Z176" s="1472"/>
    </row>
    <row r="177" spans="1:26" s="1442" customFormat="1" hidden="1">
      <c r="A177" s="1994" t="s">
        <v>897</v>
      </c>
      <c r="B177" s="1443">
        <v>0</v>
      </c>
      <c r="C177" s="1443">
        <v>0</v>
      </c>
      <c r="D177" s="1443" t="s">
        <v>1162</v>
      </c>
      <c r="E177" s="1443" t="s">
        <v>903</v>
      </c>
      <c r="F177" s="1443" t="s">
        <v>669</v>
      </c>
      <c r="G177" s="1443" t="s">
        <v>1066</v>
      </c>
      <c r="H177" s="1443" t="s">
        <v>1128</v>
      </c>
      <c r="I177" s="1443" t="s">
        <v>1163</v>
      </c>
      <c r="J177" s="2014">
        <v>1</v>
      </c>
      <c r="K177" s="1993" t="s">
        <v>1136</v>
      </c>
      <c r="L177" s="2049"/>
      <c r="M177" s="1443"/>
      <c r="N177" s="1443"/>
      <c r="O177" s="1443"/>
      <c r="P177" s="1443"/>
      <c r="Q177" s="1443"/>
      <c r="R177" s="1443"/>
      <c r="S177" s="1443"/>
      <c r="T177" s="1444"/>
      <c r="U177" s="1443"/>
      <c r="V177" s="1445">
        <v>0</v>
      </c>
      <c r="W177" s="1443">
        <v>0</v>
      </c>
      <c r="X177" s="1475"/>
      <c r="Z177" s="1472"/>
    </row>
    <row r="178" spans="1:26" s="1442" customFormat="1" hidden="1">
      <c r="A178" s="1994" t="s">
        <v>897</v>
      </c>
      <c r="B178" s="1443">
        <v>0</v>
      </c>
      <c r="C178" s="1443">
        <v>0</v>
      </c>
      <c r="D178" s="1443" t="s">
        <v>1162</v>
      </c>
      <c r="E178" s="1443" t="s">
        <v>1248</v>
      </c>
      <c r="F178" s="1443" t="s">
        <v>669</v>
      </c>
      <c r="G178" s="1443" t="s">
        <v>1066</v>
      </c>
      <c r="H178" s="1443" t="s">
        <v>1128</v>
      </c>
      <c r="I178" s="1443" t="s">
        <v>1163</v>
      </c>
      <c r="J178" s="2014">
        <v>1</v>
      </c>
      <c r="K178" s="1993" t="s">
        <v>1136</v>
      </c>
      <c r="L178" s="2049"/>
      <c r="M178" s="1443"/>
      <c r="N178" s="1443"/>
      <c r="O178" s="1443"/>
      <c r="P178" s="1443"/>
      <c r="Q178" s="1443"/>
      <c r="R178" s="1443"/>
      <c r="S178" s="1443"/>
      <c r="T178" s="1444"/>
      <c r="U178" s="1443"/>
      <c r="V178" s="1445">
        <v>0</v>
      </c>
      <c r="W178" s="1443">
        <v>0</v>
      </c>
      <c r="X178" s="1475"/>
      <c r="Z178" s="1472"/>
    </row>
    <row r="179" spans="1:26" s="1442" customFormat="1" hidden="1">
      <c r="A179" s="1994" t="s">
        <v>897</v>
      </c>
      <c r="B179" s="1443">
        <v>0</v>
      </c>
      <c r="C179" s="1443">
        <v>0</v>
      </c>
      <c r="D179" s="1443" t="s">
        <v>1162</v>
      </c>
      <c r="E179" s="1443" t="s">
        <v>1067</v>
      </c>
      <c r="F179" s="1443" t="s">
        <v>669</v>
      </c>
      <c r="G179" s="1443" t="s">
        <v>676</v>
      </c>
      <c r="H179" s="1443" t="s">
        <v>1128</v>
      </c>
      <c r="I179" s="1443" t="s">
        <v>1163</v>
      </c>
      <c r="J179" s="2014">
        <v>1</v>
      </c>
      <c r="K179" s="1993" t="s">
        <v>1136</v>
      </c>
      <c r="L179" s="2049"/>
      <c r="M179" s="1443"/>
      <c r="N179" s="1443"/>
      <c r="O179" s="1443"/>
      <c r="P179" s="1443"/>
      <c r="Q179" s="1443"/>
      <c r="R179" s="1443"/>
      <c r="S179" s="1443"/>
      <c r="T179" s="1444"/>
      <c r="U179" s="1443"/>
      <c r="V179" s="1445">
        <v>0</v>
      </c>
      <c r="W179" s="1443">
        <v>0</v>
      </c>
      <c r="X179" s="1475"/>
      <c r="Z179" s="1472"/>
    </row>
    <row r="180" spans="1:26" s="1442" customFormat="1" hidden="1">
      <c r="A180" s="1994" t="s">
        <v>916</v>
      </c>
      <c r="B180" s="1443">
        <v>0</v>
      </c>
      <c r="C180" s="1443">
        <v>0</v>
      </c>
      <c r="D180" s="1443" t="s">
        <v>1162</v>
      </c>
      <c r="E180" s="1443" t="s">
        <v>917</v>
      </c>
      <c r="F180" s="1443" t="s">
        <v>669</v>
      </c>
      <c r="G180" s="1443" t="s">
        <v>614</v>
      </c>
      <c r="H180" s="1443" t="s">
        <v>1128</v>
      </c>
      <c r="I180" s="1443" t="s">
        <v>1163</v>
      </c>
      <c r="J180" s="2014">
        <v>1</v>
      </c>
      <c r="K180" s="1993" t="s">
        <v>1136</v>
      </c>
      <c r="L180" s="2049"/>
      <c r="M180" s="1443"/>
      <c r="N180" s="1443"/>
      <c r="O180" s="1443"/>
      <c r="P180" s="1443"/>
      <c r="Q180" s="1443"/>
      <c r="R180" s="1443"/>
      <c r="S180" s="1443"/>
      <c r="T180" s="1444"/>
      <c r="U180" s="1443"/>
      <c r="V180" s="1445">
        <v>0</v>
      </c>
      <c r="W180" s="1443">
        <v>0</v>
      </c>
      <c r="X180" s="1475"/>
      <c r="Z180" s="1472"/>
    </row>
    <row r="181" spans="1:26" s="1442" customFormat="1" hidden="1">
      <c r="A181" s="1994" t="s">
        <v>924</v>
      </c>
      <c r="B181" s="1443">
        <v>0</v>
      </c>
      <c r="C181" s="1443">
        <v>0</v>
      </c>
      <c r="D181" s="1443" t="s">
        <v>1162</v>
      </c>
      <c r="E181" s="1443" t="s">
        <v>926</v>
      </c>
      <c r="F181" s="1443" t="s">
        <v>669</v>
      </c>
      <c r="G181" s="1443" t="s">
        <v>613</v>
      </c>
      <c r="H181" s="1443" t="s">
        <v>1128</v>
      </c>
      <c r="I181" s="1443" t="s">
        <v>1163</v>
      </c>
      <c r="J181" s="2014">
        <v>1</v>
      </c>
      <c r="K181" s="1993" t="s">
        <v>1136</v>
      </c>
      <c r="L181" s="2049"/>
      <c r="M181" s="1443"/>
      <c r="N181" s="1443"/>
      <c r="O181" s="1443"/>
      <c r="P181" s="1443"/>
      <c r="Q181" s="1443"/>
      <c r="R181" s="1443"/>
      <c r="S181" s="1443"/>
      <c r="T181" s="1444"/>
      <c r="U181" s="1443"/>
      <c r="V181" s="1445">
        <v>0</v>
      </c>
      <c r="W181" s="1443">
        <v>0</v>
      </c>
      <c r="X181" s="1475"/>
      <c r="Z181" s="1472"/>
    </row>
    <row r="182" spans="1:26" s="1442" customFormat="1" hidden="1">
      <c r="A182" s="1994" t="s">
        <v>688</v>
      </c>
      <c r="B182" s="1443">
        <v>0</v>
      </c>
      <c r="C182" s="1443">
        <v>0</v>
      </c>
      <c r="D182" s="1443" t="s">
        <v>1162</v>
      </c>
      <c r="E182" s="1443" t="s">
        <v>1249</v>
      </c>
      <c r="F182" s="1443" t="s">
        <v>669</v>
      </c>
      <c r="G182" s="1443" t="s">
        <v>611</v>
      </c>
      <c r="H182" s="1443" t="s">
        <v>1128</v>
      </c>
      <c r="I182" s="1443" t="s">
        <v>1163</v>
      </c>
      <c r="J182" s="2014">
        <v>1</v>
      </c>
      <c r="K182" s="1993" t="s">
        <v>1136</v>
      </c>
      <c r="L182" s="2049"/>
      <c r="M182" s="1443"/>
      <c r="N182" s="1443"/>
      <c r="O182" s="1443"/>
      <c r="P182" s="1443"/>
      <c r="Q182" s="1443"/>
      <c r="R182" s="1443"/>
      <c r="S182" s="1443"/>
      <c r="T182" s="1444"/>
      <c r="U182" s="1443"/>
      <c r="V182" s="1445">
        <v>0</v>
      </c>
      <c r="W182" s="1443">
        <v>0</v>
      </c>
      <c r="X182" s="1475"/>
      <c r="Z182" s="1472"/>
    </row>
    <row r="183" spans="1:26" s="1442" customFormat="1" hidden="1">
      <c r="A183" s="1994" t="s">
        <v>698</v>
      </c>
      <c r="B183" s="1443">
        <v>0</v>
      </c>
      <c r="C183" s="1443">
        <v>0</v>
      </c>
      <c r="D183" s="1443" t="s">
        <v>1162</v>
      </c>
      <c r="E183" s="1443" t="s">
        <v>1151</v>
      </c>
      <c r="F183" s="1443" t="s">
        <v>699</v>
      </c>
      <c r="G183" s="1443" t="s">
        <v>676</v>
      </c>
      <c r="H183" s="1443" t="s">
        <v>1128</v>
      </c>
      <c r="I183" s="1443" t="s">
        <v>1163</v>
      </c>
      <c r="J183" s="2014">
        <v>1</v>
      </c>
      <c r="K183" s="1993" t="s">
        <v>1136</v>
      </c>
      <c r="L183" s="2049"/>
      <c r="M183" s="1443"/>
      <c r="N183" s="1443"/>
      <c r="O183" s="1443"/>
      <c r="P183" s="1443"/>
      <c r="Q183" s="1443"/>
      <c r="R183" s="1443"/>
      <c r="S183" s="1443"/>
      <c r="T183" s="1444"/>
      <c r="U183" s="1443"/>
      <c r="V183" s="1445">
        <v>0</v>
      </c>
      <c r="W183" s="1443">
        <v>0</v>
      </c>
      <c r="X183" s="1475"/>
      <c r="Z183" s="1472"/>
    </row>
    <row r="184" spans="1:26" s="1442" customFormat="1" hidden="1">
      <c r="A184" s="1994" t="s">
        <v>698</v>
      </c>
      <c r="B184" s="1443">
        <v>0</v>
      </c>
      <c r="C184" s="1443">
        <v>0</v>
      </c>
      <c r="D184" s="1443" t="s">
        <v>1162</v>
      </c>
      <c r="E184" s="1443" t="s">
        <v>1143</v>
      </c>
      <c r="F184" s="1443" t="s">
        <v>699</v>
      </c>
      <c r="G184" s="1443" t="s">
        <v>676</v>
      </c>
      <c r="H184" s="1443" t="s">
        <v>1128</v>
      </c>
      <c r="I184" s="1443" t="s">
        <v>1163</v>
      </c>
      <c r="J184" s="2014">
        <v>1</v>
      </c>
      <c r="K184" s="1993" t="s">
        <v>1136</v>
      </c>
      <c r="L184" s="2049"/>
      <c r="M184" s="1443"/>
      <c r="N184" s="1443"/>
      <c r="O184" s="1443"/>
      <c r="P184" s="1443"/>
      <c r="Q184" s="1443"/>
      <c r="R184" s="1443"/>
      <c r="S184" s="1443"/>
      <c r="T184" s="1444"/>
      <c r="U184" s="1443"/>
      <c r="V184" s="1445">
        <v>0</v>
      </c>
      <c r="W184" s="1443">
        <v>0</v>
      </c>
      <c r="X184" s="1475"/>
      <c r="Z184" s="1472"/>
    </row>
    <row r="185" spans="1:26" s="1442" customFormat="1" hidden="1">
      <c r="A185" s="1994" t="s">
        <v>698</v>
      </c>
      <c r="B185" s="1443">
        <v>0</v>
      </c>
      <c r="C185" s="1443">
        <v>0</v>
      </c>
      <c r="D185" s="1443" t="s">
        <v>1162</v>
      </c>
      <c r="E185" s="1443" t="s">
        <v>1144</v>
      </c>
      <c r="F185" s="1443" t="s">
        <v>699</v>
      </c>
      <c r="G185" s="1443" t="s">
        <v>676</v>
      </c>
      <c r="H185" s="1443" t="s">
        <v>1128</v>
      </c>
      <c r="I185" s="1443" t="s">
        <v>1163</v>
      </c>
      <c r="J185" s="2014">
        <v>1</v>
      </c>
      <c r="K185" s="1993" t="s">
        <v>1136</v>
      </c>
      <c r="L185" s="2049"/>
      <c r="M185" s="1443"/>
      <c r="N185" s="1443"/>
      <c r="O185" s="1443"/>
      <c r="P185" s="1443"/>
      <c r="Q185" s="1443"/>
      <c r="R185" s="1443"/>
      <c r="S185" s="1443"/>
      <c r="T185" s="1444"/>
      <c r="U185" s="1443"/>
      <c r="V185" s="1445">
        <v>0</v>
      </c>
      <c r="W185" s="1443">
        <v>0</v>
      </c>
      <c r="X185" s="1475"/>
      <c r="Z185" s="1472"/>
    </row>
    <row r="186" spans="1:26" s="1442" customFormat="1" ht="22.5" hidden="1">
      <c r="A186" s="1994" t="s">
        <v>698</v>
      </c>
      <c r="B186" s="1443">
        <v>0</v>
      </c>
      <c r="C186" s="1443">
        <v>0</v>
      </c>
      <c r="D186" s="1443" t="s">
        <v>1162</v>
      </c>
      <c r="E186" s="1443" t="s">
        <v>1145</v>
      </c>
      <c r="F186" s="1443" t="s">
        <v>699</v>
      </c>
      <c r="G186" s="1443" t="s">
        <v>676</v>
      </c>
      <c r="H186" s="1443" t="s">
        <v>1128</v>
      </c>
      <c r="I186" s="1443" t="s">
        <v>1163</v>
      </c>
      <c r="J186" s="2014">
        <v>1</v>
      </c>
      <c r="K186" s="1993" t="s">
        <v>1136</v>
      </c>
      <c r="L186" s="2049"/>
      <c r="M186" s="1443"/>
      <c r="N186" s="1443"/>
      <c r="O186" s="1443"/>
      <c r="P186" s="1443"/>
      <c r="Q186" s="1443"/>
      <c r="R186" s="1443"/>
      <c r="S186" s="1443"/>
      <c r="T186" s="1444"/>
      <c r="U186" s="1443"/>
      <c r="V186" s="1445">
        <v>0</v>
      </c>
      <c r="W186" s="1443">
        <v>0</v>
      </c>
      <c r="X186" s="1475"/>
      <c r="Z186" s="1472"/>
    </row>
    <row r="187" spans="1:26" s="1442" customFormat="1" hidden="1">
      <c r="A187" s="1994" t="s">
        <v>698</v>
      </c>
      <c r="B187" s="1443">
        <v>0</v>
      </c>
      <c r="C187" s="1443">
        <v>0</v>
      </c>
      <c r="D187" s="1443" t="s">
        <v>1162</v>
      </c>
      <c r="E187" s="1443" t="s">
        <v>1146</v>
      </c>
      <c r="F187" s="1443" t="s">
        <v>699</v>
      </c>
      <c r="G187" s="1443" t="s">
        <v>676</v>
      </c>
      <c r="H187" s="1443" t="s">
        <v>1128</v>
      </c>
      <c r="I187" s="1443" t="s">
        <v>1163</v>
      </c>
      <c r="J187" s="2014">
        <v>1</v>
      </c>
      <c r="K187" s="1993" t="s">
        <v>1136</v>
      </c>
      <c r="L187" s="2049"/>
      <c r="M187" s="1443"/>
      <c r="N187" s="1443"/>
      <c r="O187" s="1443"/>
      <c r="P187" s="1443"/>
      <c r="Q187" s="1443"/>
      <c r="R187" s="1443"/>
      <c r="S187" s="1443"/>
      <c r="T187" s="1444"/>
      <c r="U187" s="1443"/>
      <c r="V187" s="1445">
        <v>0</v>
      </c>
      <c r="W187" s="1443">
        <v>0</v>
      </c>
      <c r="X187" s="1475"/>
      <c r="Z187" s="1472"/>
    </row>
    <row r="188" spans="1:26" s="1442" customFormat="1" hidden="1">
      <c r="A188" s="1994" t="s">
        <v>698</v>
      </c>
      <c r="B188" s="1443">
        <v>0</v>
      </c>
      <c r="C188" s="1443">
        <v>0</v>
      </c>
      <c r="D188" s="1443" t="s">
        <v>1162</v>
      </c>
      <c r="E188" s="1443" t="s">
        <v>1148</v>
      </c>
      <c r="F188" s="1443" t="s">
        <v>699</v>
      </c>
      <c r="G188" s="1443" t="s">
        <v>676</v>
      </c>
      <c r="H188" s="1443" t="s">
        <v>1128</v>
      </c>
      <c r="I188" s="1443" t="s">
        <v>1163</v>
      </c>
      <c r="J188" s="2014">
        <v>1</v>
      </c>
      <c r="K188" s="1993" t="s">
        <v>1136</v>
      </c>
      <c r="L188" s="2049"/>
      <c r="M188" s="1443"/>
      <c r="N188" s="1443"/>
      <c r="O188" s="1443"/>
      <c r="P188" s="1443"/>
      <c r="Q188" s="1443"/>
      <c r="R188" s="1443"/>
      <c r="S188" s="1443"/>
      <c r="T188" s="1444"/>
      <c r="U188" s="1443"/>
      <c r="V188" s="1445">
        <v>0</v>
      </c>
      <c r="W188" s="1443">
        <v>0</v>
      </c>
      <c r="X188" s="1475"/>
      <c r="Z188" s="1472"/>
    </row>
    <row r="189" spans="1:26" s="1442" customFormat="1" hidden="1">
      <c r="A189" s="1994" t="s">
        <v>698</v>
      </c>
      <c r="B189" s="1443">
        <v>0</v>
      </c>
      <c r="C189" s="1443">
        <v>0</v>
      </c>
      <c r="D189" s="1443" t="s">
        <v>1162</v>
      </c>
      <c r="E189" s="1443" t="s">
        <v>1149</v>
      </c>
      <c r="F189" s="1443" t="s">
        <v>699</v>
      </c>
      <c r="G189" s="1443" t="s">
        <v>676</v>
      </c>
      <c r="H189" s="1443" t="s">
        <v>1128</v>
      </c>
      <c r="I189" s="1443" t="s">
        <v>1163</v>
      </c>
      <c r="J189" s="2014">
        <v>1</v>
      </c>
      <c r="K189" s="1993" t="s">
        <v>1136</v>
      </c>
      <c r="L189" s="2049"/>
      <c r="M189" s="1443"/>
      <c r="N189" s="1443"/>
      <c r="O189" s="1443"/>
      <c r="P189" s="1443"/>
      <c r="Q189" s="1443"/>
      <c r="R189" s="1443"/>
      <c r="S189" s="1443"/>
      <c r="T189" s="1444"/>
      <c r="U189" s="1443"/>
      <c r="V189" s="1445">
        <v>0</v>
      </c>
      <c r="W189" s="1443">
        <v>0</v>
      </c>
      <c r="X189" s="1475"/>
      <c r="Z189" s="1472"/>
    </row>
    <row r="190" spans="1:26" s="1442" customFormat="1" hidden="1">
      <c r="A190" s="1994" t="s">
        <v>724</v>
      </c>
      <c r="B190" s="1443">
        <v>0</v>
      </c>
      <c r="C190" s="1443">
        <v>0</v>
      </c>
      <c r="D190" s="1443" t="s">
        <v>1162</v>
      </c>
      <c r="E190" s="1994" t="s">
        <v>725</v>
      </c>
      <c r="F190" s="1994" t="s">
        <v>669</v>
      </c>
      <c r="G190" s="1994" t="s">
        <v>676</v>
      </c>
      <c r="H190" s="1994" t="s">
        <v>1128</v>
      </c>
      <c r="I190" s="1994" t="s">
        <v>1163</v>
      </c>
      <c r="J190" s="2014">
        <v>1</v>
      </c>
      <c r="K190" s="2012" t="s">
        <v>1136</v>
      </c>
      <c r="L190" s="2049"/>
      <c r="M190" s="1994"/>
      <c r="N190" s="1994"/>
      <c r="O190" s="1994"/>
      <c r="P190" s="1994"/>
      <c r="Q190" s="1994"/>
      <c r="R190" s="1994"/>
      <c r="S190" s="1994"/>
      <c r="T190" s="1444"/>
      <c r="U190" s="1443"/>
      <c r="V190" s="2013">
        <v>0</v>
      </c>
      <c r="W190" s="1994">
        <v>0</v>
      </c>
      <c r="X190" s="1475"/>
      <c r="Z190" s="1472"/>
    </row>
    <row r="191" spans="1:26" s="1442" customFormat="1" hidden="1">
      <c r="A191" s="1994" t="s">
        <v>726</v>
      </c>
      <c r="B191" s="1443">
        <v>0</v>
      </c>
      <c r="C191" s="1443">
        <v>0</v>
      </c>
      <c r="D191" s="1443" t="s">
        <v>1162</v>
      </c>
      <c r="E191" s="1994" t="s">
        <v>735</v>
      </c>
      <c r="F191" s="1994" t="s">
        <v>669</v>
      </c>
      <c r="G191" s="1994" t="s">
        <v>676</v>
      </c>
      <c r="H191" s="1994" t="s">
        <v>1128</v>
      </c>
      <c r="I191" s="1994" t="s">
        <v>1163</v>
      </c>
      <c r="J191" s="2014">
        <v>1</v>
      </c>
      <c r="K191" s="2012" t="s">
        <v>1136</v>
      </c>
      <c r="L191" s="2049"/>
      <c r="M191" s="1994"/>
      <c r="N191" s="1994"/>
      <c r="O191" s="1994"/>
      <c r="P191" s="1994"/>
      <c r="Q191" s="1994"/>
      <c r="R191" s="1994"/>
      <c r="S191" s="1994"/>
      <c r="T191" s="1444"/>
      <c r="U191" s="1443"/>
      <c r="V191" s="2013">
        <v>0</v>
      </c>
      <c r="W191" s="1994">
        <v>0</v>
      </c>
      <c r="X191" s="1475"/>
      <c r="Z191" s="1472"/>
    </row>
    <row r="192" spans="1:26" s="1442" customFormat="1" hidden="1">
      <c r="A192" s="1994" t="s">
        <v>726</v>
      </c>
      <c r="B192" s="1443">
        <v>0</v>
      </c>
      <c r="C192" s="1443">
        <v>0</v>
      </c>
      <c r="D192" s="1443" t="s">
        <v>1162</v>
      </c>
      <c r="E192" s="1994" t="s">
        <v>735</v>
      </c>
      <c r="F192" s="1994" t="s">
        <v>669</v>
      </c>
      <c r="G192" s="1994" t="s">
        <v>676</v>
      </c>
      <c r="H192" s="1994" t="s">
        <v>1128</v>
      </c>
      <c r="I192" s="1994" t="s">
        <v>1164</v>
      </c>
      <c r="J192" s="2014">
        <v>1</v>
      </c>
      <c r="K192" s="2012" t="s">
        <v>1136</v>
      </c>
      <c r="L192" s="2049"/>
      <c r="M192" s="1994"/>
      <c r="N192" s="1994"/>
      <c r="O192" s="1994"/>
      <c r="P192" s="1994"/>
      <c r="Q192" s="1994"/>
      <c r="R192" s="1994"/>
      <c r="S192" s="1994"/>
      <c r="T192" s="1444"/>
      <c r="U192" s="1443"/>
      <c r="V192" s="2013">
        <v>0</v>
      </c>
      <c r="W192" s="1994">
        <v>0</v>
      </c>
      <c r="X192" s="1475"/>
      <c r="Z192" s="1472"/>
    </row>
    <row r="193" spans="1:26" s="1442" customFormat="1" hidden="1">
      <c r="A193" s="1994" t="s">
        <v>727</v>
      </c>
      <c r="B193" s="1443">
        <v>0</v>
      </c>
      <c r="C193" s="1443">
        <v>0</v>
      </c>
      <c r="D193" s="1443" t="s">
        <v>1162</v>
      </c>
      <c r="E193" s="1994" t="s">
        <v>222</v>
      </c>
      <c r="F193" s="1994" t="s">
        <v>669</v>
      </c>
      <c r="G193" s="1994" t="s">
        <v>676</v>
      </c>
      <c r="H193" s="1994" t="s">
        <v>1128</v>
      </c>
      <c r="I193" s="1994" t="s">
        <v>1163</v>
      </c>
      <c r="J193" s="2014">
        <v>1</v>
      </c>
      <c r="K193" s="2012" t="s">
        <v>1136</v>
      </c>
      <c r="L193" s="2049"/>
      <c r="M193" s="1994"/>
      <c r="N193" s="1994"/>
      <c r="O193" s="1994"/>
      <c r="P193" s="1994"/>
      <c r="Q193" s="1994"/>
      <c r="R193" s="1994"/>
      <c r="S193" s="1994"/>
      <c r="T193" s="1444"/>
      <c r="U193" s="1443"/>
      <c r="V193" s="2013">
        <v>0</v>
      </c>
      <c r="W193" s="1994">
        <v>0</v>
      </c>
      <c r="X193" s="1475"/>
      <c r="Z193" s="1472"/>
    </row>
    <row r="194" spans="1:26" s="1442" customFormat="1" hidden="1">
      <c r="A194" s="1994" t="s">
        <v>728</v>
      </c>
      <c r="B194" s="1443">
        <v>0</v>
      </c>
      <c r="C194" s="1443">
        <v>0</v>
      </c>
      <c r="D194" s="1443" t="s">
        <v>1162</v>
      </c>
      <c r="E194" s="1994" t="s">
        <v>221</v>
      </c>
      <c r="F194" s="1994" t="s">
        <v>669</v>
      </c>
      <c r="G194" s="1994" t="s">
        <v>676</v>
      </c>
      <c r="H194" s="1994" t="s">
        <v>1128</v>
      </c>
      <c r="I194" s="1994" t="s">
        <v>1163</v>
      </c>
      <c r="J194" s="2014">
        <v>1</v>
      </c>
      <c r="K194" s="2012" t="s">
        <v>1136</v>
      </c>
      <c r="L194" s="2049"/>
      <c r="M194" s="1994"/>
      <c r="N194" s="1994"/>
      <c r="O194" s="1994"/>
      <c r="P194" s="1994"/>
      <c r="Q194" s="1994"/>
      <c r="R194" s="1994"/>
      <c r="S194" s="1994"/>
      <c r="T194" s="1444"/>
      <c r="U194" s="1443"/>
      <c r="V194" s="2013">
        <v>0</v>
      </c>
      <c r="W194" s="1994">
        <v>0</v>
      </c>
      <c r="X194" s="1475"/>
      <c r="Z194" s="1472"/>
    </row>
    <row r="195" spans="1:26" s="1442" customFormat="1" hidden="1">
      <c r="A195" s="1994" t="s">
        <v>729</v>
      </c>
      <c r="B195" s="1443">
        <v>0</v>
      </c>
      <c r="C195" s="1443">
        <v>0</v>
      </c>
      <c r="D195" s="1443" t="s">
        <v>1162</v>
      </c>
      <c r="E195" s="1994" t="s">
        <v>739</v>
      </c>
      <c r="F195" s="1994" t="s">
        <v>669</v>
      </c>
      <c r="G195" s="1994" t="s">
        <v>676</v>
      </c>
      <c r="H195" s="1994" t="s">
        <v>1128</v>
      </c>
      <c r="I195" s="1994" t="s">
        <v>1163</v>
      </c>
      <c r="J195" s="2014">
        <v>1</v>
      </c>
      <c r="K195" s="2012" t="s">
        <v>1136</v>
      </c>
      <c r="L195" s="2049"/>
      <c r="M195" s="1994"/>
      <c r="N195" s="1994"/>
      <c r="O195" s="1994"/>
      <c r="P195" s="1994"/>
      <c r="Q195" s="1994"/>
      <c r="R195" s="1994"/>
      <c r="S195" s="1994"/>
      <c r="T195" s="1444"/>
      <c r="U195" s="1443"/>
      <c r="V195" s="2013">
        <v>0</v>
      </c>
      <c r="W195" s="1994">
        <v>0</v>
      </c>
      <c r="X195" s="1475"/>
      <c r="Z195" s="1472"/>
    </row>
    <row r="196" spans="1:26" s="1442" customFormat="1" hidden="1">
      <c r="A196" s="1994" t="s">
        <v>734</v>
      </c>
      <c r="B196" s="1443">
        <v>0</v>
      </c>
      <c r="C196" s="1443">
        <v>0</v>
      </c>
      <c r="D196" s="1443" t="s">
        <v>1162</v>
      </c>
      <c r="E196" s="1994" t="s">
        <v>740</v>
      </c>
      <c r="F196" s="1994" t="s">
        <v>669</v>
      </c>
      <c r="G196" s="1994" t="s">
        <v>676</v>
      </c>
      <c r="H196" s="1994" t="s">
        <v>1128</v>
      </c>
      <c r="I196" s="1994" t="s">
        <v>1163</v>
      </c>
      <c r="J196" s="2014">
        <v>1</v>
      </c>
      <c r="K196" s="2012" t="s">
        <v>1136</v>
      </c>
      <c r="L196" s="2049"/>
      <c r="M196" s="1994"/>
      <c r="N196" s="1994"/>
      <c r="O196" s="1994"/>
      <c r="P196" s="1994"/>
      <c r="Q196" s="1994"/>
      <c r="R196" s="1994"/>
      <c r="S196" s="1994"/>
      <c r="T196" s="1444"/>
      <c r="U196" s="1443"/>
      <c r="V196" s="2013">
        <v>0</v>
      </c>
      <c r="W196" s="1994">
        <v>0</v>
      </c>
      <c r="X196" s="1475"/>
      <c r="Z196" s="1472"/>
    </row>
    <row r="197" spans="1:26" s="1442" customFormat="1" hidden="1">
      <c r="A197" s="1994" t="s">
        <v>788</v>
      </c>
      <c r="B197" s="1443">
        <v>0</v>
      </c>
      <c r="C197" s="1443">
        <v>0</v>
      </c>
      <c r="D197" s="1443" t="s">
        <v>1162</v>
      </c>
      <c r="E197" s="1994" t="s">
        <v>791</v>
      </c>
      <c r="F197" s="1994" t="s">
        <v>669</v>
      </c>
      <c r="G197" s="1994" t="s">
        <v>676</v>
      </c>
      <c r="H197" s="1994" t="s">
        <v>1128</v>
      </c>
      <c r="I197" s="1994" t="s">
        <v>1163</v>
      </c>
      <c r="J197" s="2014">
        <v>1</v>
      </c>
      <c r="K197" s="2012" t="s">
        <v>1136</v>
      </c>
      <c r="L197" s="2049"/>
      <c r="M197" s="1994"/>
      <c r="N197" s="1994"/>
      <c r="O197" s="1994"/>
      <c r="P197" s="1994"/>
      <c r="Q197" s="1994"/>
      <c r="R197" s="1994"/>
      <c r="S197" s="1994"/>
      <c r="T197" s="1444"/>
      <c r="U197" s="1443"/>
      <c r="V197" s="2013">
        <v>0</v>
      </c>
      <c r="W197" s="1994">
        <v>0</v>
      </c>
      <c r="X197" s="1475"/>
      <c r="Z197" s="1472"/>
    </row>
    <row r="198" spans="1:26" s="1442" customFormat="1" hidden="1">
      <c r="A198" s="1994" t="s">
        <v>788</v>
      </c>
      <c r="B198" s="1443">
        <v>0</v>
      </c>
      <c r="C198" s="1443">
        <v>0</v>
      </c>
      <c r="D198" s="1443" t="s">
        <v>1162</v>
      </c>
      <c r="E198" s="1994" t="s">
        <v>792</v>
      </c>
      <c r="F198" s="1994" t="s">
        <v>669</v>
      </c>
      <c r="G198" s="1994" t="s">
        <v>676</v>
      </c>
      <c r="H198" s="1994" t="s">
        <v>1128</v>
      </c>
      <c r="I198" s="1994" t="s">
        <v>1163</v>
      </c>
      <c r="J198" s="2014">
        <v>1</v>
      </c>
      <c r="K198" s="2012" t="s">
        <v>1136</v>
      </c>
      <c r="L198" s="2049"/>
      <c r="M198" s="1994"/>
      <c r="N198" s="1994"/>
      <c r="O198" s="1994"/>
      <c r="P198" s="1994"/>
      <c r="Q198" s="1994"/>
      <c r="R198" s="1994"/>
      <c r="S198" s="1994"/>
      <c r="T198" s="1444"/>
      <c r="U198" s="1443"/>
      <c r="V198" s="2013">
        <v>0</v>
      </c>
      <c r="W198" s="1994">
        <v>0</v>
      </c>
      <c r="X198" s="1475"/>
      <c r="Z198" s="1472"/>
    </row>
    <row r="199" spans="1:26" s="1442" customFormat="1" hidden="1">
      <c r="A199" s="1994" t="s">
        <v>788</v>
      </c>
      <c r="B199" s="1443">
        <v>0</v>
      </c>
      <c r="C199" s="1443">
        <v>0</v>
      </c>
      <c r="D199" s="1443" t="s">
        <v>1162</v>
      </c>
      <c r="E199" s="1994" t="s">
        <v>793</v>
      </c>
      <c r="F199" s="1994" t="s">
        <v>669</v>
      </c>
      <c r="G199" s="1994" t="s">
        <v>676</v>
      </c>
      <c r="H199" s="1994" t="s">
        <v>1128</v>
      </c>
      <c r="I199" s="1994" t="s">
        <v>1163</v>
      </c>
      <c r="J199" s="2014">
        <v>1</v>
      </c>
      <c r="K199" s="2012" t="s">
        <v>1136</v>
      </c>
      <c r="L199" s="2049"/>
      <c r="M199" s="1994"/>
      <c r="N199" s="1994"/>
      <c r="O199" s="1994"/>
      <c r="P199" s="1994"/>
      <c r="Q199" s="1994"/>
      <c r="R199" s="1994"/>
      <c r="S199" s="1994"/>
      <c r="T199" s="1444"/>
      <c r="U199" s="1443"/>
      <c r="V199" s="2013">
        <v>0</v>
      </c>
      <c r="W199" s="1994">
        <v>0</v>
      </c>
      <c r="X199" s="1475"/>
      <c r="Z199" s="1472"/>
    </row>
    <row r="200" spans="1:26" s="1442" customFormat="1" hidden="1">
      <c r="A200" s="1994" t="s">
        <v>729</v>
      </c>
      <c r="B200" s="1443">
        <v>0</v>
      </c>
      <c r="C200" s="1443">
        <v>0</v>
      </c>
      <c r="D200" s="1443" t="s">
        <v>1162</v>
      </c>
      <c r="E200" s="1994" t="s">
        <v>739</v>
      </c>
      <c r="F200" s="1994" t="s">
        <v>669</v>
      </c>
      <c r="G200" s="1994" t="s">
        <v>677</v>
      </c>
      <c r="H200" s="1994" t="s">
        <v>1129</v>
      </c>
      <c r="I200" s="1994" t="s">
        <v>1163</v>
      </c>
      <c r="J200" s="2014">
        <v>1065.5</v>
      </c>
      <c r="K200" s="2012" t="s">
        <v>1155</v>
      </c>
      <c r="L200" s="2049"/>
      <c r="M200" s="1994"/>
      <c r="N200" s="1994"/>
      <c r="O200" s="1994"/>
      <c r="P200" s="1994"/>
      <c r="Q200" s="1994"/>
      <c r="R200" s="1994"/>
      <c r="S200" s="1994"/>
      <c r="T200" s="1444"/>
      <c r="U200" s="1443"/>
      <c r="V200" s="2013">
        <v>0</v>
      </c>
      <c r="W200" s="1994">
        <v>0</v>
      </c>
      <c r="X200" s="1475"/>
      <c r="Z200" s="1472"/>
    </row>
    <row r="201" spans="1:26" s="1442" customFormat="1" hidden="1">
      <c r="A201" s="1994" t="s">
        <v>1028</v>
      </c>
      <c r="B201" s="1443">
        <v>0</v>
      </c>
      <c r="C201" s="1443">
        <v>0</v>
      </c>
      <c r="D201" s="1443" t="s">
        <v>1162</v>
      </c>
      <c r="E201" s="1994" t="s">
        <v>1027</v>
      </c>
      <c r="F201" s="1994" t="s">
        <v>669</v>
      </c>
      <c r="G201" s="1994" t="s">
        <v>677</v>
      </c>
      <c r="H201" s="1994" t="s">
        <v>1129</v>
      </c>
      <c r="I201" s="1994" t="s">
        <v>1163</v>
      </c>
      <c r="J201" s="2014">
        <v>74.585000000000008</v>
      </c>
      <c r="K201" s="2012" t="s">
        <v>1155</v>
      </c>
      <c r="L201" s="2049"/>
      <c r="M201" s="1994"/>
      <c r="N201" s="1994"/>
      <c r="O201" s="1994"/>
      <c r="P201" s="1994"/>
      <c r="Q201" s="1994"/>
      <c r="R201" s="1994"/>
      <c r="S201" s="1994"/>
      <c r="T201" s="1444"/>
      <c r="U201" s="1443"/>
      <c r="V201" s="2013">
        <v>0</v>
      </c>
      <c r="W201" s="1994">
        <v>0</v>
      </c>
      <c r="X201" s="1475"/>
      <c r="Z201" s="1472"/>
    </row>
    <row r="202" spans="1:26" s="2026" customFormat="1" hidden="1">
      <c r="A202" s="2020" t="s">
        <v>689</v>
      </c>
      <c r="B202" s="2021"/>
      <c r="C202" s="2021" t="s">
        <v>667</v>
      </c>
      <c r="D202" s="2021" t="s">
        <v>1162</v>
      </c>
      <c r="E202" s="2020" t="s">
        <v>122</v>
      </c>
      <c r="F202" s="2020" t="s">
        <v>690</v>
      </c>
      <c r="G202" s="2020" t="s">
        <v>677</v>
      </c>
      <c r="H202" s="2020" t="s">
        <v>1129</v>
      </c>
      <c r="I202" s="2020" t="s">
        <v>1163</v>
      </c>
      <c r="J202" s="2019">
        <v>1</v>
      </c>
      <c r="K202" s="2022" t="s">
        <v>1136</v>
      </c>
      <c r="L202" s="2050"/>
      <c r="M202" s="2020"/>
      <c r="N202" s="2020"/>
      <c r="O202" s="2020"/>
      <c r="P202" s="2020"/>
      <c r="Q202" s="2020"/>
      <c r="R202" s="2020"/>
      <c r="S202" s="2020"/>
      <c r="T202" s="2023"/>
      <c r="U202" s="2020"/>
      <c r="V202" s="2024" t="s">
        <v>667</v>
      </c>
      <c r="W202" s="2020" t="s">
        <v>667</v>
      </c>
      <c r="X202" s="2025"/>
      <c r="Z202" s="2027"/>
    </row>
    <row r="203" spans="1:26" s="1442" customFormat="1" hidden="1">
      <c r="A203" s="1994" t="s">
        <v>692</v>
      </c>
      <c r="B203" s="1443"/>
      <c r="C203" s="1443" t="s">
        <v>667</v>
      </c>
      <c r="D203" s="1443" t="s">
        <v>1162</v>
      </c>
      <c r="E203" s="1994" t="s">
        <v>1166</v>
      </c>
      <c r="F203" s="1994" t="s">
        <v>693</v>
      </c>
      <c r="G203" s="1994" t="s">
        <v>677</v>
      </c>
      <c r="H203" s="1994" t="s">
        <v>1129</v>
      </c>
      <c r="I203" s="1994" t="s">
        <v>1163</v>
      </c>
      <c r="J203" s="2014">
        <v>1</v>
      </c>
      <c r="K203" s="2012" t="s">
        <v>1136</v>
      </c>
      <c r="L203" s="2049"/>
      <c r="M203" s="1994"/>
      <c r="N203" s="1994"/>
      <c r="O203" s="1994"/>
      <c r="P203" s="1994"/>
      <c r="Q203" s="1994"/>
      <c r="R203" s="1994"/>
      <c r="S203" s="1994"/>
      <c r="T203" s="1444"/>
      <c r="U203" s="1994"/>
      <c r="V203" s="2013" t="s">
        <v>667</v>
      </c>
      <c r="W203" s="1994" t="s">
        <v>667</v>
      </c>
      <c r="X203" s="1475"/>
      <c r="Z203" s="1472"/>
    </row>
    <row r="204" spans="1:26" s="1442" customFormat="1" hidden="1">
      <c r="A204" s="1994" t="s">
        <v>1028</v>
      </c>
      <c r="B204" s="1443"/>
      <c r="C204" s="1443" t="s">
        <v>667</v>
      </c>
      <c r="D204" s="1443" t="s">
        <v>1162</v>
      </c>
      <c r="E204" s="1994" t="s">
        <v>1167</v>
      </c>
      <c r="F204" s="1994" t="s">
        <v>669</v>
      </c>
      <c r="G204" s="1994" t="s">
        <v>677</v>
      </c>
      <c r="H204" s="1994" t="s">
        <v>1129</v>
      </c>
      <c r="I204" s="1994" t="s">
        <v>1163</v>
      </c>
      <c r="J204" s="2014">
        <v>1</v>
      </c>
      <c r="K204" s="2012" t="s">
        <v>1136</v>
      </c>
      <c r="L204" s="2049"/>
      <c r="M204" s="1994"/>
      <c r="N204" s="1994"/>
      <c r="O204" s="1994"/>
      <c r="P204" s="1994"/>
      <c r="Q204" s="1994"/>
      <c r="R204" s="1994"/>
      <c r="S204" s="1994"/>
      <c r="T204" s="1444"/>
      <c r="U204" s="1994"/>
      <c r="V204" s="2013" t="s">
        <v>667</v>
      </c>
      <c r="W204" s="1994" t="s">
        <v>667</v>
      </c>
      <c r="X204" s="1475"/>
      <c r="Z204" s="1472"/>
    </row>
    <row r="205" spans="1:26" s="1442" customFormat="1" hidden="1">
      <c r="A205" s="1994" t="s">
        <v>1017</v>
      </c>
      <c r="B205" s="1443"/>
      <c r="C205" s="1443" t="s">
        <v>667</v>
      </c>
      <c r="D205" s="1443" t="s">
        <v>1162</v>
      </c>
      <c r="E205" s="1994" t="s">
        <v>1168</v>
      </c>
      <c r="F205" s="1994" t="s">
        <v>693</v>
      </c>
      <c r="G205" s="1994" t="s">
        <v>677</v>
      </c>
      <c r="H205" s="1994" t="s">
        <v>1129</v>
      </c>
      <c r="I205" s="1994" t="s">
        <v>1163</v>
      </c>
      <c r="J205" s="2014">
        <v>1</v>
      </c>
      <c r="K205" s="2012" t="s">
        <v>1136</v>
      </c>
      <c r="L205" s="2049"/>
      <c r="M205" s="1994"/>
      <c r="N205" s="1994"/>
      <c r="O205" s="1994"/>
      <c r="P205" s="1994"/>
      <c r="Q205" s="1994"/>
      <c r="R205" s="1994"/>
      <c r="S205" s="1994"/>
      <c r="T205" s="1444"/>
      <c r="U205" s="1994"/>
      <c r="V205" s="2013" t="s">
        <v>667</v>
      </c>
      <c r="W205" s="1994" t="s">
        <v>667</v>
      </c>
      <c r="X205" s="1475"/>
      <c r="Z205" s="1472"/>
    </row>
    <row r="206" spans="1:26" s="1442" customFormat="1" hidden="1">
      <c r="A206" s="1994" t="s">
        <v>695</v>
      </c>
      <c r="B206" s="1443"/>
      <c r="C206" s="1443" t="s">
        <v>667</v>
      </c>
      <c r="D206" s="1443" t="s">
        <v>1162</v>
      </c>
      <c r="E206" s="1994" t="s">
        <v>1024</v>
      </c>
      <c r="F206" s="1994" t="s">
        <v>693</v>
      </c>
      <c r="G206" s="1994" t="s">
        <v>677</v>
      </c>
      <c r="H206" s="1994" t="s">
        <v>1129</v>
      </c>
      <c r="I206" s="1994" t="s">
        <v>1163</v>
      </c>
      <c r="J206" s="2014">
        <v>1</v>
      </c>
      <c r="K206" s="2012" t="s">
        <v>1136</v>
      </c>
      <c r="L206" s="2049"/>
      <c r="M206" s="1994"/>
      <c r="N206" s="1994"/>
      <c r="O206" s="1994"/>
      <c r="P206" s="1994"/>
      <c r="Q206" s="1994"/>
      <c r="R206" s="1994"/>
      <c r="S206" s="1994"/>
      <c r="T206" s="1444"/>
      <c r="U206" s="1994"/>
      <c r="V206" s="2013" t="s">
        <v>667</v>
      </c>
      <c r="W206" s="1994" t="s">
        <v>667</v>
      </c>
      <c r="X206" s="1475"/>
      <c r="Z206" s="1472"/>
    </row>
    <row r="207" spans="1:26" s="1442" customFormat="1" hidden="1">
      <c r="A207" s="1994" t="s">
        <v>694</v>
      </c>
      <c r="B207" s="1443"/>
      <c r="C207" s="1443" t="s">
        <v>667</v>
      </c>
      <c r="D207" s="1443" t="s">
        <v>1162</v>
      </c>
      <c r="E207" s="1994" t="s">
        <v>697</v>
      </c>
      <c r="F207" s="1994" t="s">
        <v>693</v>
      </c>
      <c r="G207" s="1994" t="s">
        <v>677</v>
      </c>
      <c r="H207" s="1994" t="s">
        <v>1129</v>
      </c>
      <c r="I207" s="1994" t="s">
        <v>1163</v>
      </c>
      <c r="J207" s="2014">
        <v>1</v>
      </c>
      <c r="K207" s="2012" t="s">
        <v>1136</v>
      </c>
      <c r="L207" s="2049"/>
      <c r="M207" s="1994"/>
      <c r="N207" s="1994"/>
      <c r="O207" s="1994"/>
      <c r="P207" s="1994"/>
      <c r="Q207" s="1994"/>
      <c r="R207" s="1994"/>
      <c r="S207" s="1443"/>
      <c r="T207" s="1444"/>
      <c r="U207" s="1994"/>
      <c r="V207" s="2013" t="s">
        <v>667</v>
      </c>
      <c r="W207" s="1994" t="s">
        <v>667</v>
      </c>
      <c r="X207" s="1475"/>
      <c r="Z207" s="1472"/>
    </row>
    <row r="208" spans="1:26" s="1442" customFormat="1" hidden="1">
      <c r="A208" s="1994" t="s">
        <v>696</v>
      </c>
      <c r="B208" s="1443"/>
      <c r="C208" s="1443" t="s">
        <v>667</v>
      </c>
      <c r="D208" s="1443" t="s">
        <v>1162</v>
      </c>
      <c r="E208" s="1994" t="s">
        <v>1169</v>
      </c>
      <c r="F208" s="1994" t="s">
        <v>693</v>
      </c>
      <c r="G208" s="1994" t="s">
        <v>677</v>
      </c>
      <c r="H208" s="1994" t="s">
        <v>1129</v>
      </c>
      <c r="I208" s="1994" t="s">
        <v>1163</v>
      </c>
      <c r="J208" s="2014">
        <v>1</v>
      </c>
      <c r="K208" s="2012" t="s">
        <v>1136</v>
      </c>
      <c r="L208" s="2049"/>
      <c r="M208" s="1994"/>
      <c r="N208" s="1994"/>
      <c r="O208" s="1994"/>
      <c r="P208" s="1994"/>
      <c r="Q208" s="1994"/>
      <c r="R208" s="1994"/>
      <c r="S208" s="1994"/>
      <c r="T208" s="1444"/>
      <c r="U208" s="1994"/>
      <c r="V208" s="2013" t="s">
        <v>667</v>
      </c>
      <c r="W208" s="1994" t="s">
        <v>667</v>
      </c>
      <c r="X208" s="1475"/>
      <c r="Z208" s="1472"/>
    </row>
    <row r="209" spans="1:26" s="1442" customFormat="1" hidden="1">
      <c r="A209" s="1994" t="s">
        <v>698</v>
      </c>
      <c r="B209" s="1443"/>
      <c r="C209" s="1443" t="s">
        <v>667</v>
      </c>
      <c r="D209" s="1443" t="s">
        <v>1162</v>
      </c>
      <c r="E209" s="1994" t="s">
        <v>1170</v>
      </c>
      <c r="F209" s="1994" t="s">
        <v>699</v>
      </c>
      <c r="G209" s="1994" t="s">
        <v>676</v>
      </c>
      <c r="H209" s="1994" t="s">
        <v>1128</v>
      </c>
      <c r="I209" s="1994" t="s">
        <v>1163</v>
      </c>
      <c r="J209" s="2014">
        <v>1</v>
      </c>
      <c r="K209" s="2012" t="s">
        <v>1136</v>
      </c>
      <c r="L209" s="2049"/>
      <c r="M209" s="1994"/>
      <c r="N209" s="1994"/>
      <c r="O209" s="1994"/>
      <c r="P209" s="1994"/>
      <c r="Q209" s="1994"/>
      <c r="R209" s="1994"/>
      <c r="S209" s="1994"/>
      <c r="T209" s="1444"/>
      <c r="U209" s="1994"/>
      <c r="V209" s="2013" t="s">
        <v>667</v>
      </c>
      <c r="W209" s="1994" t="s">
        <v>667</v>
      </c>
      <c r="X209" s="1475"/>
      <c r="Z209" s="1472"/>
    </row>
    <row r="210" spans="1:26" s="1442" customFormat="1" hidden="1">
      <c r="A210" s="1994" t="s">
        <v>698</v>
      </c>
      <c r="B210" s="1443"/>
      <c r="C210" s="1443" t="s">
        <v>667</v>
      </c>
      <c r="D210" s="1443" t="s">
        <v>1162</v>
      </c>
      <c r="E210" s="1994" t="s">
        <v>1171</v>
      </c>
      <c r="F210" s="1994" t="s">
        <v>699</v>
      </c>
      <c r="G210" s="1994" t="s">
        <v>676</v>
      </c>
      <c r="H210" s="1994" t="s">
        <v>1128</v>
      </c>
      <c r="I210" s="1994" t="s">
        <v>1163</v>
      </c>
      <c r="J210" s="2014">
        <v>1</v>
      </c>
      <c r="K210" s="2012" t="s">
        <v>1136</v>
      </c>
      <c r="L210" s="2049"/>
      <c r="M210" s="1994"/>
      <c r="N210" s="1994"/>
      <c r="O210" s="1994"/>
      <c r="P210" s="1994"/>
      <c r="Q210" s="1994"/>
      <c r="R210" s="1994"/>
      <c r="S210" s="1994"/>
      <c r="T210" s="1444"/>
      <c r="U210" s="1994"/>
      <c r="V210" s="2013" t="s">
        <v>667</v>
      </c>
      <c r="W210" s="1994" t="s">
        <v>667</v>
      </c>
      <c r="X210" s="1475"/>
      <c r="Z210" s="1472"/>
    </row>
    <row r="211" spans="1:26" s="1442" customFormat="1" hidden="1">
      <c r="A211" s="1994" t="s">
        <v>1172</v>
      </c>
      <c r="B211" s="1443"/>
      <c r="C211" s="1443" t="s">
        <v>667</v>
      </c>
      <c r="D211" s="1443" t="s">
        <v>1162</v>
      </c>
      <c r="E211" s="1994" t="s">
        <v>1173</v>
      </c>
      <c r="F211" s="1994" t="s">
        <v>669</v>
      </c>
      <c r="G211" s="1994" t="s">
        <v>676</v>
      </c>
      <c r="H211" s="1994" t="s">
        <v>1128</v>
      </c>
      <c r="I211" s="1994" t="s">
        <v>1163</v>
      </c>
      <c r="J211" s="2014">
        <v>1</v>
      </c>
      <c r="K211" s="2012" t="s">
        <v>1136</v>
      </c>
      <c r="L211" s="2049"/>
      <c r="M211" s="1994"/>
      <c r="N211" s="1994"/>
      <c r="O211" s="1994"/>
      <c r="P211" s="1994"/>
      <c r="Q211" s="1994"/>
      <c r="R211" s="1994"/>
      <c r="S211" s="1994"/>
      <c r="T211" s="1444"/>
      <c r="U211" s="1994"/>
      <c r="V211" s="2013" t="s">
        <v>667</v>
      </c>
      <c r="W211" s="1994" t="s">
        <v>667</v>
      </c>
      <c r="X211" s="1475"/>
      <c r="Z211" s="1472"/>
    </row>
    <row r="212" spans="1:26" s="1442" customFormat="1" hidden="1">
      <c r="A212" s="1994" t="s">
        <v>1172</v>
      </c>
      <c r="B212" s="1443"/>
      <c r="C212" s="1443" t="s">
        <v>667</v>
      </c>
      <c r="D212" s="1443" t="s">
        <v>1162</v>
      </c>
      <c r="E212" s="1994" t="s">
        <v>1174</v>
      </c>
      <c r="F212" s="1994" t="s">
        <v>669</v>
      </c>
      <c r="G212" s="1994" t="s">
        <v>676</v>
      </c>
      <c r="H212" s="1994" t="s">
        <v>1128</v>
      </c>
      <c r="I212" s="1994" t="s">
        <v>1164</v>
      </c>
      <c r="J212" s="2014">
        <v>1</v>
      </c>
      <c r="K212" s="2012" t="s">
        <v>1136</v>
      </c>
      <c r="L212" s="2049"/>
      <c r="M212" s="1994"/>
      <c r="N212" s="1994"/>
      <c r="O212" s="1994"/>
      <c r="P212" s="1994"/>
      <c r="Q212" s="1994"/>
      <c r="R212" s="1994"/>
      <c r="S212" s="1994"/>
      <c r="T212" s="1444"/>
      <c r="U212" s="1994"/>
      <c r="V212" s="2013" t="s">
        <v>667</v>
      </c>
      <c r="W212" s="1994" t="s">
        <v>667</v>
      </c>
      <c r="X212" s="1475"/>
      <c r="Z212" s="1472"/>
    </row>
    <row r="213" spans="1:26" s="1442" customFormat="1" hidden="1">
      <c r="A213" s="1994" t="s">
        <v>1172</v>
      </c>
      <c r="B213" s="1443"/>
      <c r="C213" s="1443" t="s">
        <v>667</v>
      </c>
      <c r="D213" s="1443" t="s">
        <v>1162</v>
      </c>
      <c r="E213" s="1994" t="s">
        <v>1175</v>
      </c>
      <c r="F213" s="1994" t="s">
        <v>669</v>
      </c>
      <c r="G213" s="1994" t="s">
        <v>676</v>
      </c>
      <c r="H213" s="1994" t="s">
        <v>1128</v>
      </c>
      <c r="I213" s="1994" t="s">
        <v>1163</v>
      </c>
      <c r="J213" s="2014">
        <v>1</v>
      </c>
      <c r="K213" s="2012" t="s">
        <v>1136</v>
      </c>
      <c r="L213" s="2049"/>
      <c r="M213" s="1994"/>
      <c r="N213" s="1994"/>
      <c r="O213" s="1994"/>
      <c r="P213" s="1994"/>
      <c r="Q213" s="1994"/>
      <c r="R213" s="1994"/>
      <c r="S213" s="1994"/>
      <c r="T213" s="1444"/>
      <c r="U213" s="1994"/>
      <c r="V213" s="2013" t="s">
        <v>667</v>
      </c>
      <c r="W213" s="1994" t="s">
        <v>667</v>
      </c>
      <c r="X213" s="1475"/>
      <c r="Z213" s="1472"/>
    </row>
    <row r="214" spans="1:26" s="1442" customFormat="1" hidden="1">
      <c r="A214" s="1994" t="s">
        <v>1028</v>
      </c>
      <c r="B214" s="1443"/>
      <c r="C214" s="1443" t="s">
        <v>667</v>
      </c>
      <c r="D214" s="1443" t="s">
        <v>1162</v>
      </c>
      <c r="E214" s="1994" t="s">
        <v>1176</v>
      </c>
      <c r="F214" s="1994" t="s">
        <v>669</v>
      </c>
      <c r="G214" s="1994" t="s">
        <v>677</v>
      </c>
      <c r="H214" s="1994" t="s">
        <v>1129</v>
      </c>
      <c r="I214" s="1994" t="s">
        <v>1163</v>
      </c>
      <c r="J214" s="2014">
        <v>1</v>
      </c>
      <c r="K214" s="2012" t="s">
        <v>1136</v>
      </c>
      <c r="L214" s="2049"/>
      <c r="M214" s="1994"/>
      <c r="N214" s="1994"/>
      <c r="O214" s="1994"/>
      <c r="P214" s="1994"/>
      <c r="Q214" s="1994"/>
      <c r="R214" s="1994"/>
      <c r="S214" s="1994"/>
      <c r="T214" s="1444"/>
      <c r="U214" s="1994"/>
      <c r="V214" s="2013" t="s">
        <v>667</v>
      </c>
      <c r="W214" s="1994" t="s">
        <v>667</v>
      </c>
      <c r="X214" s="1475"/>
      <c r="Z214" s="1472"/>
    </row>
    <row r="215" spans="1:26" s="1442" customFormat="1" hidden="1">
      <c r="A215" s="1994" t="s">
        <v>749</v>
      </c>
      <c r="B215" s="1443"/>
      <c r="C215" s="1443" t="s">
        <v>667</v>
      </c>
      <c r="D215" s="1443" t="s">
        <v>1162</v>
      </c>
      <c r="E215" s="1994" t="s">
        <v>1177</v>
      </c>
      <c r="F215" s="1994" t="s">
        <v>669</v>
      </c>
      <c r="G215" s="1994" t="s">
        <v>676</v>
      </c>
      <c r="H215" s="1994" t="s">
        <v>1128</v>
      </c>
      <c r="I215" s="1994" t="s">
        <v>1164</v>
      </c>
      <c r="J215" s="2014">
        <v>1</v>
      </c>
      <c r="K215" s="2012" t="s">
        <v>1136</v>
      </c>
      <c r="L215" s="2049"/>
      <c r="M215" s="1994"/>
      <c r="N215" s="1994"/>
      <c r="O215" s="1994"/>
      <c r="P215" s="1994"/>
      <c r="Q215" s="1994"/>
      <c r="R215" s="1994"/>
      <c r="S215" s="1994"/>
      <c r="T215" s="1444"/>
      <c r="U215" s="1994"/>
      <c r="V215" s="2013" t="s">
        <v>667</v>
      </c>
      <c r="W215" s="1994" t="s">
        <v>667</v>
      </c>
      <c r="X215" s="1475"/>
      <c r="Z215" s="1472"/>
    </row>
    <row r="216" spans="1:26" s="1442" customFormat="1" hidden="1">
      <c r="A216" s="1994" t="s">
        <v>749</v>
      </c>
      <c r="B216" s="1443"/>
      <c r="C216" s="1443"/>
      <c r="D216" s="1443" t="s">
        <v>1162</v>
      </c>
      <c r="E216" s="1994" t="s">
        <v>1178</v>
      </c>
      <c r="F216" s="1994" t="s">
        <v>669</v>
      </c>
      <c r="G216" s="1994" t="s">
        <v>676</v>
      </c>
      <c r="H216" s="1994" t="s">
        <v>1128</v>
      </c>
      <c r="I216" s="1994" t="s">
        <v>1164</v>
      </c>
      <c r="J216" s="2014">
        <v>1</v>
      </c>
      <c r="K216" s="2012" t="s">
        <v>1136</v>
      </c>
      <c r="L216" s="2049"/>
      <c r="M216" s="1994"/>
      <c r="N216" s="1994"/>
      <c r="O216" s="1994"/>
      <c r="P216" s="1994"/>
      <c r="Q216" s="1994"/>
      <c r="R216" s="1994"/>
      <c r="S216" s="1994"/>
      <c r="T216" s="1444"/>
      <c r="U216" s="1994"/>
      <c r="V216" s="2013"/>
      <c r="W216" s="1994"/>
      <c r="X216" s="1475"/>
      <c r="Z216" s="1472"/>
    </row>
    <row r="217" spans="1:26" s="1442" customFormat="1" ht="22.5" hidden="1">
      <c r="A217" s="1994" t="s">
        <v>1041</v>
      </c>
      <c r="B217" s="1443"/>
      <c r="C217" s="1443" t="s">
        <v>667</v>
      </c>
      <c r="D217" s="1443" t="s">
        <v>1179</v>
      </c>
      <c r="E217" s="1994" t="s">
        <v>1180</v>
      </c>
      <c r="F217" s="1994" t="s">
        <v>1181</v>
      </c>
      <c r="G217" s="1994" t="s">
        <v>677</v>
      </c>
      <c r="H217" s="1994" t="s">
        <v>1165</v>
      </c>
      <c r="I217" s="1994" t="s">
        <v>1163</v>
      </c>
      <c r="J217" s="2014">
        <v>1</v>
      </c>
      <c r="K217" s="2012" t="s">
        <v>1136</v>
      </c>
      <c r="L217" s="2049"/>
      <c r="M217" s="1994"/>
      <c r="N217" s="1994"/>
      <c r="O217" s="1994"/>
      <c r="P217" s="1994"/>
      <c r="Q217" s="1994"/>
      <c r="R217" s="1994"/>
      <c r="S217" s="1994"/>
      <c r="T217" s="1444"/>
      <c r="U217" s="1994"/>
      <c r="V217" s="2013" t="s">
        <v>667</v>
      </c>
      <c r="W217" s="1994" t="s">
        <v>667</v>
      </c>
      <c r="X217" s="1475"/>
      <c r="Z217" s="1472"/>
    </row>
    <row r="218" spans="1:26" s="1442" customFormat="1" ht="22.5" hidden="1">
      <c r="A218" s="1994" t="s">
        <v>1041</v>
      </c>
      <c r="B218" s="1443"/>
      <c r="C218" s="1443" t="s">
        <v>667</v>
      </c>
      <c r="D218" s="1443" t="s">
        <v>1179</v>
      </c>
      <c r="E218" s="1994" t="s">
        <v>1182</v>
      </c>
      <c r="F218" s="1994" t="s">
        <v>1181</v>
      </c>
      <c r="G218" s="1994" t="s">
        <v>677</v>
      </c>
      <c r="H218" s="1994" t="s">
        <v>1165</v>
      </c>
      <c r="I218" s="1994" t="s">
        <v>1163</v>
      </c>
      <c r="J218" s="2014">
        <v>1</v>
      </c>
      <c r="K218" s="2012" t="s">
        <v>1136</v>
      </c>
      <c r="L218" s="2049"/>
      <c r="M218" s="1994"/>
      <c r="N218" s="1994"/>
      <c r="O218" s="1994"/>
      <c r="P218" s="1994"/>
      <c r="Q218" s="1994"/>
      <c r="R218" s="1994"/>
      <c r="S218" s="1994"/>
      <c r="T218" s="1444"/>
      <c r="U218" s="1994"/>
      <c r="V218" s="2013" t="s">
        <v>667</v>
      </c>
      <c r="W218" s="1994" t="s">
        <v>667</v>
      </c>
      <c r="X218" s="1475"/>
      <c r="Z218" s="1472"/>
    </row>
    <row r="219" spans="1:26" s="1442" customFormat="1" ht="22.5" hidden="1">
      <c r="A219" s="1994" t="s">
        <v>1041</v>
      </c>
      <c r="B219" s="1443"/>
      <c r="C219" s="1443" t="s">
        <v>667</v>
      </c>
      <c r="D219" s="1443" t="s">
        <v>1179</v>
      </c>
      <c r="E219" s="1994" t="s">
        <v>1183</v>
      </c>
      <c r="F219" s="1994" t="s">
        <v>1181</v>
      </c>
      <c r="G219" s="1994" t="s">
        <v>677</v>
      </c>
      <c r="H219" s="1994" t="s">
        <v>1165</v>
      </c>
      <c r="I219" s="1994" t="s">
        <v>1163</v>
      </c>
      <c r="J219" s="2014">
        <v>1</v>
      </c>
      <c r="K219" s="2012" t="s">
        <v>1136</v>
      </c>
      <c r="L219" s="2049"/>
      <c r="M219" s="1994"/>
      <c r="N219" s="1994"/>
      <c r="O219" s="1994"/>
      <c r="P219" s="1994"/>
      <c r="Q219" s="1994"/>
      <c r="R219" s="1994"/>
      <c r="S219" s="1994"/>
      <c r="T219" s="1444"/>
      <c r="U219" s="1994"/>
      <c r="V219" s="2013" t="s">
        <v>667</v>
      </c>
      <c r="W219" s="1994" t="s">
        <v>667</v>
      </c>
      <c r="X219" s="1475"/>
      <c r="Z219" s="1472"/>
    </row>
    <row r="220" spans="1:26" s="1442" customFormat="1" hidden="1">
      <c r="A220" s="1994" t="s">
        <v>1043</v>
      </c>
      <c r="B220" s="1443"/>
      <c r="C220" s="1443" t="s">
        <v>667</v>
      </c>
      <c r="D220" s="1443" t="s">
        <v>1179</v>
      </c>
      <c r="E220" s="1994" t="s">
        <v>1184</v>
      </c>
      <c r="F220" s="1994" t="s">
        <v>1181</v>
      </c>
      <c r="G220" s="1994" t="s">
        <v>677</v>
      </c>
      <c r="H220" s="1994" t="s">
        <v>1165</v>
      </c>
      <c r="I220" s="1994" t="s">
        <v>1163</v>
      </c>
      <c r="J220" s="2014">
        <v>1</v>
      </c>
      <c r="K220" s="2012" t="s">
        <v>1136</v>
      </c>
      <c r="L220" s="2049"/>
      <c r="M220" s="1994"/>
      <c r="N220" s="1994"/>
      <c r="O220" s="1994"/>
      <c r="P220" s="1994"/>
      <c r="Q220" s="1994"/>
      <c r="R220" s="1994"/>
      <c r="S220" s="1994"/>
      <c r="T220" s="1444"/>
      <c r="U220" s="1994"/>
      <c r="V220" s="2013" t="s">
        <v>667</v>
      </c>
      <c r="W220" s="1994" t="s">
        <v>667</v>
      </c>
      <c r="X220" s="1475"/>
      <c r="Z220" s="1472"/>
    </row>
    <row r="221" spans="1:26" s="1442" customFormat="1" hidden="1">
      <c r="A221" s="1994" t="s">
        <v>1043</v>
      </c>
      <c r="B221" s="1443"/>
      <c r="C221" s="1443" t="s">
        <v>667</v>
      </c>
      <c r="D221" s="1443" t="s">
        <v>1179</v>
      </c>
      <c r="E221" s="1994" t="s">
        <v>1185</v>
      </c>
      <c r="F221" s="1994" t="s">
        <v>1181</v>
      </c>
      <c r="G221" s="1994" t="s">
        <v>677</v>
      </c>
      <c r="H221" s="1994" t="s">
        <v>1165</v>
      </c>
      <c r="I221" s="1994" t="s">
        <v>1163</v>
      </c>
      <c r="J221" s="2014">
        <v>1</v>
      </c>
      <c r="K221" s="2012" t="s">
        <v>1136</v>
      </c>
      <c r="L221" s="2049"/>
      <c r="M221" s="1994"/>
      <c r="N221" s="1994"/>
      <c r="O221" s="1994"/>
      <c r="P221" s="1994"/>
      <c r="Q221" s="1994"/>
      <c r="R221" s="1994"/>
      <c r="S221" s="1994"/>
      <c r="T221" s="1444"/>
      <c r="U221" s="1994"/>
      <c r="V221" s="2013" t="s">
        <v>667</v>
      </c>
      <c r="W221" s="1994" t="s">
        <v>667</v>
      </c>
      <c r="X221" s="1475"/>
      <c r="Z221" s="1472"/>
    </row>
    <row r="222" spans="1:26" s="1442" customFormat="1" hidden="1">
      <c r="A222" s="1994" t="s">
        <v>1043</v>
      </c>
      <c r="B222" s="1443"/>
      <c r="C222" s="1443" t="s">
        <v>667</v>
      </c>
      <c r="D222" s="1443" t="s">
        <v>1179</v>
      </c>
      <c r="E222" s="1994" t="s">
        <v>1186</v>
      </c>
      <c r="F222" s="1994" t="s">
        <v>1181</v>
      </c>
      <c r="G222" s="1994" t="s">
        <v>677</v>
      </c>
      <c r="H222" s="1994" t="s">
        <v>1165</v>
      </c>
      <c r="I222" s="1994" t="s">
        <v>1163</v>
      </c>
      <c r="J222" s="2014">
        <v>1</v>
      </c>
      <c r="K222" s="2012" t="s">
        <v>1136</v>
      </c>
      <c r="L222" s="2049"/>
      <c r="M222" s="1994"/>
      <c r="N222" s="1994"/>
      <c r="O222" s="1994"/>
      <c r="P222" s="1994"/>
      <c r="Q222" s="1994"/>
      <c r="R222" s="1994"/>
      <c r="S222" s="1994"/>
      <c r="T222" s="1444"/>
      <c r="U222" s="1994"/>
      <c r="V222" s="2013"/>
      <c r="W222" s="1994"/>
      <c r="X222" s="1475"/>
      <c r="Z222" s="1472"/>
    </row>
    <row r="223" spans="1:26" s="1442" customFormat="1" hidden="1">
      <c r="A223" s="1994" t="s">
        <v>1041</v>
      </c>
      <c r="B223" s="1443"/>
      <c r="C223" s="1443"/>
      <c r="D223" s="1443" t="s">
        <v>1179</v>
      </c>
      <c r="E223" s="1994" t="s">
        <v>1187</v>
      </c>
      <c r="F223" s="1994" t="s">
        <v>1181</v>
      </c>
      <c r="G223" s="1994" t="s">
        <v>677</v>
      </c>
      <c r="H223" s="1994" t="s">
        <v>1165</v>
      </c>
      <c r="I223" s="1994" t="s">
        <v>1163</v>
      </c>
      <c r="J223" s="2014">
        <v>1</v>
      </c>
      <c r="K223" s="2012" t="s">
        <v>1136</v>
      </c>
      <c r="L223" s="2049"/>
      <c r="M223" s="1994"/>
      <c r="N223" s="1994"/>
      <c r="O223" s="1994"/>
      <c r="P223" s="1994"/>
      <c r="Q223" s="1994"/>
      <c r="R223" s="1994"/>
      <c r="S223" s="1994"/>
      <c r="T223" s="1444"/>
      <c r="U223" s="1994"/>
      <c r="V223" s="2013"/>
      <c r="W223" s="1994"/>
      <c r="X223" s="1475"/>
      <c r="Z223" s="1472"/>
    </row>
    <row r="224" spans="1:26" s="1442" customFormat="1" hidden="1">
      <c r="A224" s="1994" t="s">
        <v>1044</v>
      </c>
      <c r="B224" s="1443"/>
      <c r="C224" s="1443"/>
      <c r="D224" s="1443" t="s">
        <v>1179</v>
      </c>
      <c r="E224" s="1994" t="s">
        <v>1188</v>
      </c>
      <c r="F224" s="1994" t="s">
        <v>1181</v>
      </c>
      <c r="G224" s="1994" t="s">
        <v>677</v>
      </c>
      <c r="H224" s="1994" t="s">
        <v>1165</v>
      </c>
      <c r="I224" s="1994" t="s">
        <v>1163</v>
      </c>
      <c r="J224" s="2014">
        <v>1</v>
      </c>
      <c r="K224" s="2012" t="s">
        <v>1136</v>
      </c>
      <c r="L224" s="2049"/>
      <c r="M224" s="1994"/>
      <c r="N224" s="1994"/>
      <c r="O224" s="1994"/>
      <c r="P224" s="1994"/>
      <c r="Q224" s="1994"/>
      <c r="R224" s="1994"/>
      <c r="S224" s="1994"/>
      <c r="T224" s="1444"/>
      <c r="U224" s="1994"/>
      <c r="V224" s="2013"/>
      <c r="W224" s="1994"/>
      <c r="X224" s="1475"/>
      <c r="Z224" s="1472"/>
    </row>
    <row r="225" spans="1:26" s="1442" customFormat="1" hidden="1">
      <c r="A225" s="1994" t="s">
        <v>1041</v>
      </c>
      <c r="B225" s="1443"/>
      <c r="C225" s="1443" t="s">
        <v>667</v>
      </c>
      <c r="D225" s="1443" t="s">
        <v>1179</v>
      </c>
      <c r="E225" s="1994" t="s">
        <v>1189</v>
      </c>
      <c r="F225" s="1994" t="s">
        <v>1181</v>
      </c>
      <c r="G225" s="1994" t="s">
        <v>677</v>
      </c>
      <c r="H225" s="1994" t="s">
        <v>1165</v>
      </c>
      <c r="I225" s="1994" t="s">
        <v>1163</v>
      </c>
      <c r="J225" s="2014">
        <v>1</v>
      </c>
      <c r="K225" s="2012" t="s">
        <v>1136</v>
      </c>
      <c r="L225" s="2049"/>
      <c r="M225" s="1994"/>
      <c r="N225" s="1994"/>
      <c r="O225" s="1994"/>
      <c r="P225" s="1994"/>
      <c r="Q225" s="1994"/>
      <c r="R225" s="1994"/>
      <c r="S225" s="1994"/>
      <c r="T225" s="1444"/>
      <c r="U225" s="1994"/>
      <c r="V225" s="2013" t="s">
        <v>667</v>
      </c>
      <c r="W225" s="1994" t="s">
        <v>667</v>
      </c>
      <c r="X225" s="1475"/>
      <c r="Z225" s="1472"/>
    </row>
    <row r="226" spans="1:26" s="1442" customFormat="1" hidden="1">
      <c r="A226" s="1994" t="s">
        <v>1041</v>
      </c>
      <c r="B226" s="1443"/>
      <c r="C226" s="1443" t="s">
        <v>667</v>
      </c>
      <c r="D226" s="1443" t="s">
        <v>1179</v>
      </c>
      <c r="E226" s="1994" t="s">
        <v>1190</v>
      </c>
      <c r="F226" s="1994" t="s">
        <v>1181</v>
      </c>
      <c r="G226" s="1994" t="s">
        <v>677</v>
      </c>
      <c r="H226" s="1994" t="s">
        <v>1165</v>
      </c>
      <c r="I226" s="1994" t="s">
        <v>1163</v>
      </c>
      <c r="J226" s="2014">
        <v>1</v>
      </c>
      <c r="K226" s="2012" t="s">
        <v>1136</v>
      </c>
      <c r="L226" s="2049"/>
      <c r="M226" s="1994"/>
      <c r="N226" s="1994"/>
      <c r="O226" s="1994"/>
      <c r="P226" s="1994"/>
      <c r="Q226" s="1994"/>
      <c r="R226" s="1994"/>
      <c r="S226" s="1994"/>
      <c r="T226" s="1444"/>
      <c r="U226" s="1994"/>
      <c r="V226" s="2013" t="s">
        <v>667</v>
      </c>
      <c r="W226" s="1994" t="s">
        <v>667</v>
      </c>
      <c r="X226" s="1475"/>
      <c r="Z226" s="1472"/>
    </row>
    <row r="227" spans="1:26" s="1442" customFormat="1" hidden="1">
      <c r="A227" s="1994" t="s">
        <v>1041</v>
      </c>
      <c r="B227" s="1443"/>
      <c r="C227" s="1443" t="s">
        <v>667</v>
      </c>
      <c r="D227" s="1443" t="s">
        <v>1179</v>
      </c>
      <c r="E227" s="1994" t="s">
        <v>1191</v>
      </c>
      <c r="F227" s="1994" t="s">
        <v>1181</v>
      </c>
      <c r="G227" s="1994" t="s">
        <v>677</v>
      </c>
      <c r="H227" s="1994" t="s">
        <v>1165</v>
      </c>
      <c r="I227" s="1994" t="s">
        <v>1163</v>
      </c>
      <c r="J227" s="2014">
        <v>1</v>
      </c>
      <c r="K227" s="2012" t="s">
        <v>1136</v>
      </c>
      <c r="L227" s="2049"/>
      <c r="M227" s="1994"/>
      <c r="N227" s="1994"/>
      <c r="O227" s="1994"/>
      <c r="P227" s="1994"/>
      <c r="Q227" s="1994"/>
      <c r="R227" s="1994"/>
      <c r="S227" s="1994"/>
      <c r="T227" s="1444"/>
      <c r="U227" s="1994"/>
      <c r="V227" s="2013" t="s">
        <v>667</v>
      </c>
      <c r="W227" s="1994" t="s">
        <v>667</v>
      </c>
      <c r="X227" s="1475"/>
      <c r="Z227" s="1472"/>
    </row>
    <row r="228" spans="1:26" s="1442" customFormat="1" hidden="1">
      <c r="A228" s="1994" t="s">
        <v>1041</v>
      </c>
      <c r="B228" s="1443"/>
      <c r="C228" s="1443" t="s">
        <v>667</v>
      </c>
      <c r="D228" s="1443" t="s">
        <v>1179</v>
      </c>
      <c r="E228" s="1994" t="s">
        <v>1192</v>
      </c>
      <c r="F228" s="1994" t="s">
        <v>1181</v>
      </c>
      <c r="G228" s="1994" t="s">
        <v>676</v>
      </c>
      <c r="H228" s="1994" t="s">
        <v>1165</v>
      </c>
      <c r="I228" s="1994" t="s">
        <v>1163</v>
      </c>
      <c r="J228" s="2014">
        <v>1</v>
      </c>
      <c r="K228" s="2012" t="s">
        <v>1136</v>
      </c>
      <c r="L228" s="2049"/>
      <c r="M228" s="1994"/>
      <c r="N228" s="1994"/>
      <c r="O228" s="1994"/>
      <c r="P228" s="1994"/>
      <c r="Q228" s="1994"/>
      <c r="R228" s="1994"/>
      <c r="S228" s="1994"/>
      <c r="T228" s="1444"/>
      <c r="U228" s="1994"/>
      <c r="V228" s="2013" t="s">
        <v>667</v>
      </c>
      <c r="W228" s="1994" t="s">
        <v>667</v>
      </c>
      <c r="X228" s="1475"/>
      <c r="Z228" s="1472"/>
    </row>
    <row r="229" spans="1:26" s="1442" customFormat="1" hidden="1">
      <c r="A229" s="1994" t="s">
        <v>1041</v>
      </c>
      <c r="B229" s="1443"/>
      <c r="C229" s="1443" t="s">
        <v>667</v>
      </c>
      <c r="D229" s="1443" t="s">
        <v>1179</v>
      </c>
      <c r="E229" s="1994" t="s">
        <v>1193</v>
      </c>
      <c r="F229" s="1994" t="s">
        <v>1181</v>
      </c>
      <c r="G229" s="1994" t="s">
        <v>677</v>
      </c>
      <c r="H229" s="1994" t="s">
        <v>1165</v>
      </c>
      <c r="I229" s="1994" t="s">
        <v>1163</v>
      </c>
      <c r="J229" s="2014">
        <v>1</v>
      </c>
      <c r="K229" s="2012" t="s">
        <v>1136</v>
      </c>
      <c r="L229" s="2049"/>
      <c r="M229" s="1994"/>
      <c r="N229" s="1994"/>
      <c r="O229" s="1994"/>
      <c r="P229" s="1994"/>
      <c r="Q229" s="1994"/>
      <c r="R229" s="1994"/>
      <c r="S229" s="1994"/>
      <c r="T229" s="1444"/>
      <c r="U229" s="1994"/>
      <c r="V229" s="2013" t="s">
        <v>667</v>
      </c>
      <c r="W229" s="1994" t="s">
        <v>667</v>
      </c>
      <c r="X229" s="1475"/>
      <c r="Z229" s="1472"/>
    </row>
    <row r="230" spans="1:26" s="1442" customFormat="1" hidden="1">
      <c r="A230" s="1994" t="s">
        <v>1041</v>
      </c>
      <c r="B230" s="1443"/>
      <c r="C230" s="1443" t="s">
        <v>667</v>
      </c>
      <c r="D230" s="1443" t="s">
        <v>1179</v>
      </c>
      <c r="E230" s="1994" t="s">
        <v>1194</v>
      </c>
      <c r="F230" s="1994" t="s">
        <v>1181</v>
      </c>
      <c r="G230" s="1994" t="s">
        <v>677</v>
      </c>
      <c r="H230" s="1994" t="s">
        <v>1165</v>
      </c>
      <c r="I230" s="1994" t="s">
        <v>1163</v>
      </c>
      <c r="J230" s="2014">
        <v>1</v>
      </c>
      <c r="K230" s="2012" t="s">
        <v>1136</v>
      </c>
      <c r="L230" s="2049"/>
      <c r="M230" s="1994"/>
      <c r="N230" s="1994"/>
      <c r="O230" s="1994"/>
      <c r="P230" s="1994"/>
      <c r="Q230" s="1994"/>
      <c r="R230" s="1994"/>
      <c r="S230" s="1994"/>
      <c r="T230" s="1444"/>
      <c r="U230" s="1994"/>
      <c r="V230" s="2013" t="s">
        <v>667</v>
      </c>
      <c r="W230" s="1994" t="s">
        <v>667</v>
      </c>
      <c r="X230" s="1475"/>
      <c r="Z230" s="1472"/>
    </row>
    <row r="231" spans="1:26" s="1442" customFormat="1" hidden="1">
      <c r="A231" s="1994" t="s">
        <v>1041</v>
      </c>
      <c r="B231" s="1443"/>
      <c r="C231" s="1443" t="s">
        <v>667</v>
      </c>
      <c r="D231" s="1443" t="s">
        <v>1179</v>
      </c>
      <c r="E231" s="1994" t="s">
        <v>1195</v>
      </c>
      <c r="F231" s="1994" t="s">
        <v>1181</v>
      </c>
      <c r="G231" s="1994" t="s">
        <v>677</v>
      </c>
      <c r="H231" s="1994" t="s">
        <v>1165</v>
      </c>
      <c r="I231" s="1994" t="s">
        <v>1163</v>
      </c>
      <c r="J231" s="2014">
        <v>1</v>
      </c>
      <c r="K231" s="2012" t="s">
        <v>1136</v>
      </c>
      <c r="L231" s="2049"/>
      <c r="M231" s="1994"/>
      <c r="N231" s="1994"/>
      <c r="O231" s="1994"/>
      <c r="P231" s="1994"/>
      <c r="Q231" s="1994"/>
      <c r="R231" s="1994"/>
      <c r="S231" s="1994"/>
      <c r="T231" s="1444"/>
      <c r="U231" s="1994"/>
      <c r="V231" s="2013" t="s">
        <v>667</v>
      </c>
      <c r="W231" s="1994" t="s">
        <v>667</v>
      </c>
      <c r="X231" s="1475"/>
      <c r="Z231" s="1472"/>
    </row>
    <row r="232" spans="1:26" s="1442" customFormat="1" hidden="1">
      <c r="A232" s="1994" t="s">
        <v>1041</v>
      </c>
      <c r="B232" s="1443"/>
      <c r="C232" s="1443" t="s">
        <v>667</v>
      </c>
      <c r="D232" s="1443" t="s">
        <v>1179</v>
      </c>
      <c r="E232" s="1994" t="s">
        <v>1196</v>
      </c>
      <c r="F232" s="1994" t="s">
        <v>1181</v>
      </c>
      <c r="G232" s="1994" t="s">
        <v>677</v>
      </c>
      <c r="H232" s="1994" t="s">
        <v>1165</v>
      </c>
      <c r="I232" s="1994" t="s">
        <v>1163</v>
      </c>
      <c r="J232" s="2014">
        <v>1</v>
      </c>
      <c r="K232" s="2012" t="s">
        <v>1136</v>
      </c>
      <c r="L232" s="2049"/>
      <c r="M232" s="1994"/>
      <c r="N232" s="1994"/>
      <c r="O232" s="1994"/>
      <c r="P232" s="1994"/>
      <c r="Q232" s="1994"/>
      <c r="R232" s="1994"/>
      <c r="S232" s="1994"/>
      <c r="T232" s="1444"/>
      <c r="U232" s="1994"/>
      <c r="V232" s="2013" t="s">
        <v>667</v>
      </c>
      <c r="W232" s="1994" t="s">
        <v>667</v>
      </c>
      <c r="X232" s="1475"/>
      <c r="Z232" s="1472"/>
    </row>
    <row r="233" spans="1:26" s="1442" customFormat="1" hidden="1">
      <c r="A233" s="1994" t="s">
        <v>1041</v>
      </c>
      <c r="B233" s="1443"/>
      <c r="C233" s="1443"/>
      <c r="D233" s="1443" t="s">
        <v>1179</v>
      </c>
      <c r="E233" s="1994" t="s">
        <v>1197</v>
      </c>
      <c r="F233" s="1994" t="s">
        <v>1181</v>
      </c>
      <c r="G233" s="1994" t="s">
        <v>747</v>
      </c>
      <c r="H233" s="1994" t="s">
        <v>1165</v>
      </c>
      <c r="I233" s="1994" t="s">
        <v>1164</v>
      </c>
      <c r="J233" s="2014">
        <v>1</v>
      </c>
      <c r="K233" s="2012" t="s">
        <v>1136</v>
      </c>
      <c r="L233" s="2049"/>
      <c r="M233" s="1994"/>
      <c r="N233" s="1994"/>
      <c r="O233" s="1994"/>
      <c r="P233" s="1994"/>
      <c r="Q233" s="1994"/>
      <c r="R233" s="1994"/>
      <c r="S233" s="1994"/>
      <c r="T233" s="1444"/>
      <c r="U233" s="1994"/>
      <c r="V233" s="2013"/>
      <c r="W233" s="1994"/>
      <c r="X233" s="1475"/>
      <c r="Z233" s="1472"/>
    </row>
    <row r="234" spans="1:26" s="1442" customFormat="1" hidden="1">
      <c r="A234" s="1994" t="s">
        <v>1041</v>
      </c>
      <c r="B234" s="1443"/>
      <c r="C234" s="1443" t="s">
        <v>667</v>
      </c>
      <c r="D234" s="1443" t="s">
        <v>1179</v>
      </c>
      <c r="E234" s="1994" t="s">
        <v>1198</v>
      </c>
      <c r="F234" s="1994" t="s">
        <v>1181</v>
      </c>
      <c r="G234" s="1994" t="s">
        <v>747</v>
      </c>
      <c r="H234" s="1994" t="s">
        <v>1165</v>
      </c>
      <c r="I234" s="1994" t="s">
        <v>1164</v>
      </c>
      <c r="J234" s="2014">
        <v>1</v>
      </c>
      <c r="K234" s="2012" t="s">
        <v>1136</v>
      </c>
      <c r="L234" s="2049"/>
      <c r="M234" s="1994"/>
      <c r="N234" s="1994"/>
      <c r="O234" s="1994"/>
      <c r="P234" s="1994"/>
      <c r="Q234" s="1994"/>
      <c r="R234" s="1994"/>
      <c r="S234" s="1994"/>
      <c r="T234" s="1444"/>
      <c r="U234" s="1994"/>
      <c r="V234" s="2013" t="s">
        <v>667</v>
      </c>
      <c r="W234" s="1994" t="s">
        <v>667</v>
      </c>
      <c r="X234" s="1475"/>
      <c r="Z234" s="1472"/>
    </row>
    <row r="235" spans="1:26" s="1442" customFormat="1" hidden="1">
      <c r="A235" s="1994" t="s">
        <v>1043</v>
      </c>
      <c r="B235" s="1443"/>
      <c r="C235" s="1443" t="s">
        <v>667</v>
      </c>
      <c r="D235" s="1443" t="s">
        <v>1179</v>
      </c>
      <c r="E235" s="1994" t="s">
        <v>1199</v>
      </c>
      <c r="F235" s="1994" t="s">
        <v>1181</v>
      </c>
      <c r="G235" s="1994" t="s">
        <v>747</v>
      </c>
      <c r="H235" s="1994" t="s">
        <v>1165</v>
      </c>
      <c r="I235" s="1994" t="s">
        <v>1164</v>
      </c>
      <c r="J235" s="2014">
        <v>1</v>
      </c>
      <c r="K235" s="2012" t="s">
        <v>1136</v>
      </c>
      <c r="L235" s="2049"/>
      <c r="M235" s="1994"/>
      <c r="N235" s="1994"/>
      <c r="O235" s="1994"/>
      <c r="P235" s="1994"/>
      <c r="Q235" s="1994"/>
      <c r="R235" s="1994"/>
      <c r="S235" s="1994"/>
      <c r="T235" s="1444"/>
      <c r="U235" s="1994"/>
      <c r="V235" s="2013" t="s">
        <v>667</v>
      </c>
      <c r="W235" s="1994" t="s">
        <v>667</v>
      </c>
      <c r="X235" s="1475"/>
      <c r="Z235" s="1472"/>
    </row>
    <row r="236" spans="1:26" s="1442" customFormat="1" hidden="1">
      <c r="A236" s="1994" t="s">
        <v>1043</v>
      </c>
      <c r="B236" s="1443"/>
      <c r="C236" s="1443" t="s">
        <v>667</v>
      </c>
      <c r="D236" s="1443" t="s">
        <v>1179</v>
      </c>
      <c r="E236" s="1994" t="s">
        <v>1200</v>
      </c>
      <c r="F236" s="1994" t="s">
        <v>1181</v>
      </c>
      <c r="G236" s="1994" t="s">
        <v>747</v>
      </c>
      <c r="H236" s="1994" t="s">
        <v>1165</v>
      </c>
      <c r="I236" s="1994" t="s">
        <v>1164</v>
      </c>
      <c r="J236" s="2014">
        <v>1</v>
      </c>
      <c r="K236" s="2012" t="s">
        <v>1136</v>
      </c>
      <c r="L236" s="2049"/>
      <c r="M236" s="1994"/>
      <c r="N236" s="1994"/>
      <c r="O236" s="1994"/>
      <c r="P236" s="1994"/>
      <c r="Q236" s="1994"/>
      <c r="R236" s="1994"/>
      <c r="S236" s="1994"/>
      <c r="T236" s="1444"/>
      <c r="U236" s="1994"/>
      <c r="V236" s="2013" t="s">
        <v>667</v>
      </c>
      <c r="W236" s="1994" t="s">
        <v>667</v>
      </c>
      <c r="X236" s="1475"/>
      <c r="Z236" s="1472"/>
    </row>
    <row r="237" spans="1:26" s="1442" customFormat="1" ht="22.5" hidden="1">
      <c r="A237" s="1994" t="s">
        <v>1043</v>
      </c>
      <c r="B237" s="1443"/>
      <c r="C237" s="1443" t="s">
        <v>667</v>
      </c>
      <c r="D237" s="1443" t="s">
        <v>1179</v>
      </c>
      <c r="E237" s="1994" t="s">
        <v>1201</v>
      </c>
      <c r="F237" s="1994" t="s">
        <v>1181</v>
      </c>
      <c r="G237" s="1994" t="s">
        <v>747</v>
      </c>
      <c r="H237" s="1994" t="s">
        <v>1165</v>
      </c>
      <c r="I237" s="1994" t="s">
        <v>1164</v>
      </c>
      <c r="J237" s="2014">
        <v>1</v>
      </c>
      <c r="K237" s="2012" t="s">
        <v>1136</v>
      </c>
      <c r="L237" s="2049"/>
      <c r="M237" s="1994"/>
      <c r="N237" s="1994"/>
      <c r="O237" s="1994"/>
      <c r="P237" s="1994"/>
      <c r="Q237" s="1994"/>
      <c r="R237" s="1994"/>
      <c r="S237" s="1994"/>
      <c r="T237" s="1444"/>
      <c r="U237" s="1994"/>
      <c r="V237" s="2013" t="s">
        <v>667</v>
      </c>
      <c r="W237" s="1994" t="s">
        <v>667</v>
      </c>
      <c r="X237" s="1475"/>
      <c r="Z237" s="1472"/>
    </row>
    <row r="238" spans="1:26" s="1442" customFormat="1" hidden="1">
      <c r="A238" s="1994" t="s">
        <v>1043</v>
      </c>
      <c r="B238" s="1443"/>
      <c r="C238" s="1443" t="s">
        <v>667</v>
      </c>
      <c r="D238" s="1443" t="s">
        <v>1179</v>
      </c>
      <c r="E238" s="1994" t="s">
        <v>1202</v>
      </c>
      <c r="F238" s="1994" t="s">
        <v>1181</v>
      </c>
      <c r="G238" s="1994" t="s">
        <v>747</v>
      </c>
      <c r="H238" s="1994" t="s">
        <v>1165</v>
      </c>
      <c r="I238" s="1994" t="s">
        <v>1164</v>
      </c>
      <c r="J238" s="2014">
        <v>1</v>
      </c>
      <c r="K238" s="2012" t="s">
        <v>1136</v>
      </c>
      <c r="L238" s="2049"/>
      <c r="M238" s="1994"/>
      <c r="N238" s="1994"/>
      <c r="O238" s="1994"/>
      <c r="P238" s="1994"/>
      <c r="Q238" s="1994"/>
      <c r="R238" s="1994"/>
      <c r="S238" s="1994"/>
      <c r="T238" s="1444"/>
      <c r="U238" s="1994"/>
      <c r="V238" s="2013" t="s">
        <v>667</v>
      </c>
      <c r="W238" s="1994" t="s">
        <v>667</v>
      </c>
      <c r="X238" s="1475"/>
      <c r="Z238" s="1472"/>
    </row>
    <row r="239" spans="1:26" ht="14.25" hidden="1">
      <c r="A239" s="1994" t="s">
        <v>1043</v>
      </c>
      <c r="B239" s="1443"/>
      <c r="C239" s="1443" t="s">
        <v>667</v>
      </c>
      <c r="D239" s="1443" t="s">
        <v>1179</v>
      </c>
      <c r="E239" s="1994" t="s">
        <v>1202</v>
      </c>
      <c r="F239" s="1994" t="s">
        <v>1181</v>
      </c>
      <c r="G239" s="1994" t="s">
        <v>747</v>
      </c>
      <c r="H239" s="1994" t="s">
        <v>1165</v>
      </c>
      <c r="I239" s="1994" t="s">
        <v>1164</v>
      </c>
      <c r="J239" s="2014">
        <v>2</v>
      </c>
      <c r="K239" s="2012" t="s">
        <v>1136</v>
      </c>
      <c r="L239" s="2049"/>
      <c r="M239" s="1994"/>
      <c r="N239" s="1994"/>
      <c r="O239" s="1994"/>
      <c r="P239" s="1994"/>
      <c r="Q239" s="1994"/>
      <c r="R239" s="1994"/>
      <c r="S239" s="1994"/>
      <c r="T239" s="1444"/>
      <c r="U239" s="1994"/>
      <c r="V239" s="2013" t="s">
        <v>667</v>
      </c>
      <c r="W239" s="1994" t="s">
        <v>667</v>
      </c>
      <c r="X239" s="1451"/>
    </row>
    <row r="240" spans="1:26" ht="14.25">
      <c r="A240" s="1447"/>
      <c r="B240" s="1447"/>
      <c r="C240" s="1447"/>
      <c r="D240" s="1447"/>
      <c r="E240" s="1447"/>
      <c r="F240" s="1447"/>
      <c r="G240" s="1447"/>
      <c r="H240" s="1447"/>
      <c r="I240" s="1447"/>
      <c r="J240" s="2030"/>
      <c r="K240" s="1447"/>
      <c r="L240" s="1448"/>
      <c r="M240" s="1447"/>
      <c r="N240" s="1447"/>
      <c r="O240" s="1447"/>
      <c r="P240" s="1447"/>
      <c r="Q240" s="1447"/>
      <c r="R240" s="1447"/>
      <c r="S240" s="1447"/>
      <c r="T240" s="1449"/>
      <c r="U240" s="1447"/>
      <c r="V240" s="1450"/>
      <c r="W240" s="1447"/>
    </row>
    <row r="241" spans="6:30">
      <c r="F241" s="1430" t="s">
        <v>668</v>
      </c>
      <c r="J241" s="2032">
        <f>L241-J254</f>
        <v>109.82684008502389</v>
      </c>
      <c r="L241" s="1464">
        <f>'Estimate Summary'!D50</f>
        <v>169.08558792062516</v>
      </c>
    </row>
    <row r="242" spans="6:30">
      <c r="L242" s="1464"/>
    </row>
    <row r="243" spans="6:30">
      <c r="L243" s="1465" t="s">
        <v>395</v>
      </c>
      <c r="M243" s="1466"/>
      <c r="N243" s="1467" t="s">
        <v>393</v>
      </c>
      <c r="O243" s="1466">
        <f>'Estimate Detail'!T5</f>
        <v>7.9771000000000001</v>
      </c>
      <c r="P243" s="1468" t="s">
        <v>181</v>
      </c>
    </row>
    <row r="244" spans="6:30">
      <c r="L244" s="1465" t="s">
        <v>395</v>
      </c>
      <c r="M244" s="1466"/>
      <c r="N244" s="1467" t="s">
        <v>394</v>
      </c>
      <c r="O244" s="1466">
        <f>'Estimate Detail'!T6</f>
        <v>0</v>
      </c>
      <c r="P244" s="1468" t="s">
        <v>181</v>
      </c>
    </row>
    <row r="245" spans="6:30">
      <c r="L245" s="1465" t="s">
        <v>393</v>
      </c>
      <c r="M245" s="1466"/>
      <c r="N245" s="1467" t="s">
        <v>395</v>
      </c>
      <c r="O245" s="1466">
        <f>'Estimate Detail'!T7</f>
        <v>6.9324000000000003</v>
      </c>
      <c r="P245" s="1468" t="s">
        <v>181</v>
      </c>
    </row>
    <row r="246" spans="6:30">
      <c r="L246" s="1465" t="s">
        <v>393</v>
      </c>
      <c r="M246" s="1466"/>
      <c r="N246" s="1467" t="s">
        <v>394</v>
      </c>
      <c r="O246" s="1469"/>
      <c r="P246" s="1469"/>
    </row>
    <row r="247" spans="6:30">
      <c r="J247" s="2032" t="s">
        <v>1130</v>
      </c>
      <c r="N247" s="1430" t="s">
        <v>753</v>
      </c>
      <c r="O247" s="1498">
        <f>'Estimate Detail'!T8</f>
        <v>0</v>
      </c>
      <c r="P247" s="1468" t="s">
        <v>181</v>
      </c>
      <c r="Z247" s="1430" t="s">
        <v>129</v>
      </c>
      <c r="AA247" s="1473" t="e">
        <f t="shared" ref="AA247:AA252" si="2">SUMIF($Y$5:$Y$54,Z247,$Z$5:$Z$54)</f>
        <v>#REF!</v>
      </c>
      <c r="AC247" s="1473">
        <f>'Estimate Summary'!D28</f>
        <v>0</v>
      </c>
      <c r="AD247" s="1473" t="e">
        <f>AA247-AC247</f>
        <v>#REF!</v>
      </c>
    </row>
    <row r="248" spans="6:30">
      <c r="J248" s="1473">
        <f>M248</f>
        <v>57.444467835601266</v>
      </c>
      <c r="L248" s="1470" t="s">
        <v>181</v>
      </c>
      <c r="M248" s="1471">
        <f>SUMIF($M$5:$M$154,L248,$L$5:$L$154)</f>
        <v>57.444467835601266</v>
      </c>
      <c r="O248" s="1471"/>
      <c r="R248" s="1473"/>
      <c r="Z248" s="1430" t="s">
        <v>128</v>
      </c>
      <c r="AA248" s="1473">
        <f t="shared" si="2"/>
        <v>0</v>
      </c>
      <c r="AC248" s="1473">
        <f>SUM('Estimate Summary'!D26:D27)</f>
        <v>97.216307920625155</v>
      </c>
      <c r="AD248" s="1473">
        <f t="shared" ref="AD248:AD254" si="3">AA248-AC248</f>
        <v>-97.216307920625155</v>
      </c>
    </row>
    <row r="249" spans="6:30">
      <c r="J249" s="1473">
        <f>M249*O243</f>
        <v>0</v>
      </c>
      <c r="L249" s="1470" t="s">
        <v>179</v>
      </c>
      <c r="M249" s="1471">
        <f>SUMIF($M$5:$M$154,L249,$L$5:$L$154)</f>
        <v>0</v>
      </c>
      <c r="O249" s="1471"/>
      <c r="Z249" s="1430" t="s">
        <v>703</v>
      </c>
      <c r="AA249" s="1473" t="e">
        <f t="shared" si="2"/>
        <v>#REF!</v>
      </c>
      <c r="AC249" s="1473">
        <f>'Estimate Summary'!D38</f>
        <v>2.4</v>
      </c>
      <c r="AD249" s="1473" t="e">
        <f t="shared" si="3"/>
        <v>#REF!</v>
      </c>
    </row>
    <row r="250" spans="6:30">
      <c r="J250" s="1473">
        <f>M250*O244</f>
        <v>0</v>
      </c>
      <c r="L250" s="1470" t="s">
        <v>349</v>
      </c>
      <c r="M250" s="1471">
        <f>SUMIF($M$5:$M$154,L250,$L$5:$L$154)</f>
        <v>0</v>
      </c>
      <c r="O250" s="1471"/>
      <c r="Z250" s="1430" t="s">
        <v>421</v>
      </c>
      <c r="AA250" s="1473" t="e">
        <f t="shared" si="2"/>
        <v>#REF!</v>
      </c>
      <c r="AC250" s="1473">
        <f>'Estimate Summary'!D39</f>
        <v>39.655000000000001</v>
      </c>
      <c r="AD250" s="1473" t="e">
        <f t="shared" si="3"/>
        <v>#REF!</v>
      </c>
    </row>
    <row r="251" spans="6:30">
      <c r="J251" s="1473">
        <f>M251*O245</f>
        <v>0</v>
      </c>
      <c r="L251" s="1470" t="s">
        <v>257</v>
      </c>
      <c r="M251" s="1471">
        <f>SUMIF($M$5:$M$154,L251,$L$5:$L$154)</f>
        <v>0</v>
      </c>
      <c r="O251" s="1471"/>
      <c r="Z251" s="1430" t="s">
        <v>704</v>
      </c>
      <c r="AA251" s="1473" t="e">
        <f t="shared" si="2"/>
        <v>#REF!</v>
      </c>
      <c r="AC251" s="1473">
        <f>'Estimate Summary'!D40</f>
        <v>28</v>
      </c>
      <c r="AD251" s="1473" t="e">
        <f t="shared" si="3"/>
        <v>#REF!</v>
      </c>
    </row>
    <row r="252" spans="6:30">
      <c r="J252" s="1473">
        <f>M252*O247</f>
        <v>0</v>
      </c>
      <c r="L252" s="1430" t="s">
        <v>160</v>
      </c>
      <c r="M252" s="1471">
        <f>SUMIF($M$5:$M$154,L252,$L$5:$L$154)</f>
        <v>0</v>
      </c>
      <c r="O252" s="1471"/>
      <c r="Z252" s="1430" t="s">
        <v>705</v>
      </c>
      <c r="AA252" s="1473">
        <f t="shared" si="2"/>
        <v>0</v>
      </c>
      <c r="AC252" s="1473">
        <f>'Estimate Summary'!D41</f>
        <v>0</v>
      </c>
      <c r="AD252" s="1473">
        <f t="shared" si="3"/>
        <v>0</v>
      </c>
    </row>
    <row r="253" spans="6:30">
      <c r="J253" s="1473">
        <f>M253</f>
        <v>1.8142799999999999</v>
      </c>
      <c r="L253" s="1430" t="s">
        <v>181</v>
      </c>
      <c r="M253" s="1471">
        <f>'Estimate Detail'!H73+'Estimate Detail'!H75</f>
        <v>1.8142799999999999</v>
      </c>
      <c r="N253" s="1430" t="s">
        <v>1154</v>
      </c>
      <c r="O253" s="1471"/>
      <c r="AA253" s="1473"/>
      <c r="AC253" s="1473"/>
      <c r="AD253" s="1473"/>
    </row>
    <row r="254" spans="6:30">
      <c r="J254" s="1473">
        <f>SUM(J248:J253)</f>
        <v>59.258747835601262</v>
      </c>
      <c r="M254" s="1471">
        <f>SUM(M248:M253)</f>
        <v>59.258747835601262</v>
      </c>
      <c r="O254" s="1471"/>
      <c r="Z254" s="1430" t="s">
        <v>702</v>
      </c>
      <c r="AA254" s="1473">
        <f>SUMIF($Y$5:$Y$54,Z254,$Z$5:$Z$54)</f>
        <v>0</v>
      </c>
      <c r="AC254" s="1473">
        <f>'Estimate Summary'!D37</f>
        <v>1.8142799999999999</v>
      </c>
      <c r="AD254" s="1473">
        <f t="shared" si="3"/>
        <v>-1.8142799999999999</v>
      </c>
    </row>
    <row r="256" spans="6:30">
      <c r="J256" s="2032">
        <f>J254-'Estimate Summary'!D50</f>
        <v>-109.82684008502389</v>
      </c>
    </row>
  </sheetData>
  <autoFilter ref="A4:W239" xr:uid="{00000000-0009-0000-0000-00000A000000}">
    <filterColumn colId="9">
      <filters>
        <filter val="1.000"/>
        <filter val="11,890.723"/>
        <filter val="2,667.785"/>
        <filter val="27,803.427"/>
        <filter val="27,805.893"/>
        <filter val="3,496.639"/>
        <filter val="33,452.432"/>
        <filter val="43,237.487"/>
        <filter val="50,476.686"/>
        <filter val="9,238.364"/>
      </filters>
    </filterColumn>
    <filterColumn colId="11">
      <filters>
        <filter val="0.095"/>
        <filter val="0.118"/>
        <filter val="0.359"/>
        <filter val="1,088.710"/>
        <filter val="1,351.408"/>
        <filter val="1,943.370"/>
        <filter val="128.000"/>
        <filter val="15,259.164"/>
        <filter val="16,814.522"/>
        <filter val="18.530"/>
        <filter val="198.250"/>
        <filter val="2,342.342"/>
        <filter val="29.000"/>
        <filter val="3,559.298"/>
        <filter val="3,602.836"/>
        <filter val="3,863.080"/>
        <filter val="3,909.340"/>
        <filter val="300.000"/>
        <filter val="301.357"/>
        <filter val="44.907"/>
        <filter val="5,329.363"/>
        <filter val="5,593.022"/>
        <filter val="5,945.256"/>
        <filter val="628.501"/>
        <filter val="700.000"/>
        <filter val="705.000"/>
        <filter val="780.000"/>
        <filter val="8,904.086"/>
        <filter val="833.566"/>
        <filter val="90.000"/>
      </filters>
    </filterColumn>
  </autoFilter>
  <phoneticPr fontId="4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FT169"/>
  <sheetViews>
    <sheetView zoomScale="70" zoomScaleNormal="70" workbookViewId="0">
      <pane xSplit="3" ySplit="6" topLeftCell="D7" activePane="bottomRight" state="frozen"/>
      <selection activeCell="D9" sqref="D9"/>
      <selection pane="topRight" activeCell="D9" sqref="D9"/>
      <selection pane="bottomLeft" activeCell="D9" sqref="D9"/>
      <selection pane="bottomRight" activeCell="V23" sqref="V23"/>
    </sheetView>
  </sheetViews>
  <sheetFormatPr defaultColWidth="5.5703125" defaultRowHeight="12.75"/>
  <cols>
    <col min="1" max="1" width="5.140625" style="109" customWidth="1"/>
    <col min="2" max="2" width="6.7109375" style="110" customWidth="1"/>
    <col min="3" max="3" width="13.5703125" style="111" customWidth="1"/>
    <col min="4" max="4" width="16" style="110" customWidth="1"/>
    <col min="5" max="5" width="13.28515625" style="110" customWidth="1"/>
    <col min="6" max="6" width="13.28515625" style="112" customWidth="1"/>
    <col min="7" max="7" width="13.140625" style="112" customWidth="1"/>
    <col min="8" max="8" width="13.5703125" style="112" customWidth="1"/>
    <col min="9" max="9" width="12.140625" style="112" customWidth="1"/>
    <col min="10" max="10" width="13.42578125" style="113" customWidth="1"/>
    <col min="11" max="11" width="3.42578125" style="110" customWidth="1"/>
    <col min="12" max="12" width="5.140625" style="110" customWidth="1"/>
    <col min="13" max="13" width="8" style="110" customWidth="1"/>
    <col min="14" max="14" width="21.7109375" style="110" customWidth="1"/>
    <col min="15" max="15" width="10.7109375" style="110" customWidth="1"/>
    <col min="16" max="16" width="9.85546875" style="110" bestFit="1" customWidth="1"/>
    <col min="17" max="17" width="9.85546875" style="110" customWidth="1"/>
    <col min="18" max="18" width="12.5703125" style="110" customWidth="1"/>
    <col min="19" max="19" width="12.7109375" style="110" customWidth="1"/>
    <col min="20" max="23" width="9.85546875" style="110" customWidth="1"/>
    <col min="24" max="24" width="9.85546875" style="110" bestFit="1" customWidth="1"/>
    <col min="25" max="26" width="9.85546875" style="110" customWidth="1"/>
    <col min="27" max="27" width="11.140625" style="110" bestFit="1" customWidth="1"/>
    <col min="28" max="51" width="11.140625" style="110" customWidth="1"/>
    <col min="52" max="52" width="9.85546875" style="110" bestFit="1" customWidth="1"/>
    <col min="53" max="53" width="9.85546875" style="110" customWidth="1"/>
    <col min="54" max="55" width="9.85546875" style="110" bestFit="1" customWidth="1"/>
    <col min="56" max="56" width="10" style="110" bestFit="1" customWidth="1"/>
    <col min="57" max="58" width="8.28515625" style="110" customWidth="1"/>
    <col min="59" max="59" width="10.7109375" style="110" customWidth="1"/>
    <col min="60" max="60" width="11.42578125" style="110" customWidth="1"/>
    <col min="61" max="61" width="10" style="110" customWidth="1"/>
    <col min="62" max="63" width="10.42578125" style="110" customWidth="1"/>
    <col min="64" max="64" width="8.85546875" style="110" bestFit="1" customWidth="1"/>
    <col min="65" max="65" width="9.85546875" style="110" bestFit="1" customWidth="1"/>
    <col min="66" max="76" width="8.28515625" style="110" bestFit="1" customWidth="1"/>
    <col min="77" max="80" width="8.28515625" style="110" customWidth="1"/>
    <col min="81" max="81" width="8.28515625" style="110" bestFit="1" customWidth="1"/>
    <col min="82" max="82" width="9.28515625" style="110" customWidth="1"/>
    <col min="83" max="96" width="8.28515625" style="110" customWidth="1"/>
    <col min="97" max="97" width="6.7109375" style="110" hidden="1" customWidth="1"/>
    <col min="98" max="98" width="8.140625" style="110" hidden="1" customWidth="1"/>
    <col min="99" max="99" width="4.28515625" style="110" customWidth="1"/>
    <col min="100" max="102" width="9.42578125" style="110" customWidth="1"/>
    <col min="103" max="103" width="9.85546875" style="110" bestFit="1" customWidth="1"/>
    <col min="104" max="107" width="10" style="110" customWidth="1"/>
    <col min="108" max="118" width="9.7109375" style="110" customWidth="1"/>
    <col min="119" max="119" width="12.140625" style="110" customWidth="1"/>
    <col min="120" max="120" width="9.7109375" style="110" customWidth="1"/>
    <col min="121" max="121" width="9.42578125" style="110" customWidth="1"/>
    <col min="122" max="122" width="13.5703125" style="110" customWidth="1"/>
    <col min="123" max="123" width="12.7109375" style="110" customWidth="1"/>
    <col min="124" max="125" width="6.85546875" style="110" customWidth="1"/>
    <col min="126" max="126" width="7.5703125" style="110" bestFit="1" customWidth="1"/>
    <col min="127" max="129" width="8.42578125" style="110" customWidth="1"/>
    <col min="130" max="130" width="9.28515625" style="110" customWidth="1"/>
    <col min="131" max="131" width="11.42578125" style="110" customWidth="1"/>
    <col min="132" max="132" width="12.7109375" style="110" customWidth="1"/>
    <col min="133" max="133" width="5.85546875" style="110" customWidth="1"/>
    <col min="134" max="134" width="13.5703125" style="110" customWidth="1"/>
    <col min="135" max="135" width="13" style="110" customWidth="1"/>
    <col min="136" max="136" width="19.140625" style="110" customWidth="1"/>
    <col min="137" max="137" width="18.42578125" style="110" customWidth="1"/>
    <col min="138" max="140" width="17.28515625" style="110" customWidth="1"/>
    <col min="141" max="141" width="14.5703125" style="113" bestFit="1" customWidth="1"/>
    <col min="142" max="142" width="12.5703125" style="113" bestFit="1" customWidth="1"/>
    <col min="143" max="143" width="14.5703125" style="113" bestFit="1" customWidth="1"/>
    <col min="144" max="144" width="6.42578125" style="110" customWidth="1"/>
    <col min="145" max="152" width="5.5703125" style="110"/>
    <col min="153" max="153" width="7" style="110" bestFit="1" customWidth="1"/>
    <col min="154" max="16384" width="5.5703125" style="110"/>
  </cols>
  <sheetData>
    <row r="1" spans="1:151">
      <c r="CU1" s="114"/>
    </row>
    <row r="2" spans="1:151">
      <c r="N2" s="110" t="s">
        <v>77</v>
      </c>
      <c r="CU2" s="114"/>
      <c r="DP2" s="110">
        <v>3</v>
      </c>
      <c r="DQ2" s="110">
        <v>2</v>
      </c>
      <c r="DR2" s="110">
        <v>1</v>
      </c>
    </row>
    <row r="3" spans="1:151" ht="15" customHeight="1">
      <c r="A3" s="115" t="s">
        <v>156</v>
      </c>
      <c r="B3" s="63"/>
      <c r="D3" s="10">
        <f>'Estimate Summary'!AT5</f>
        <v>0</v>
      </c>
      <c r="E3" s="10"/>
      <c r="G3" s="116"/>
      <c r="H3" s="117" t="s">
        <v>225</v>
      </c>
      <c r="I3" s="118" t="e">
        <f ca="1">'Estimate Summary'!D67</f>
        <v>#N/A</v>
      </c>
      <c r="N3" s="119" t="s">
        <v>226</v>
      </c>
      <c r="O3" s="120">
        <v>0</v>
      </c>
      <c r="P3" s="120">
        <v>0</v>
      </c>
      <c r="Q3" s="120">
        <v>0</v>
      </c>
      <c r="R3" s="120">
        <v>0</v>
      </c>
      <c r="S3" s="120">
        <v>0</v>
      </c>
      <c r="T3" s="120">
        <v>0</v>
      </c>
      <c r="U3" s="120">
        <v>0</v>
      </c>
      <c r="V3" s="120">
        <v>0</v>
      </c>
      <c r="W3" s="120">
        <v>0</v>
      </c>
      <c r="X3" s="120">
        <v>0</v>
      </c>
      <c r="Y3" s="120">
        <v>0</v>
      </c>
      <c r="Z3" s="120">
        <v>0</v>
      </c>
      <c r="AA3" s="120">
        <v>0</v>
      </c>
      <c r="AB3" s="120">
        <v>0</v>
      </c>
      <c r="AC3" s="120">
        <v>0</v>
      </c>
      <c r="AD3" s="120">
        <v>0</v>
      </c>
      <c r="AE3" s="120">
        <v>0</v>
      </c>
      <c r="AF3" s="120">
        <v>0</v>
      </c>
      <c r="AG3" s="120">
        <v>0</v>
      </c>
      <c r="AH3" s="120">
        <v>0</v>
      </c>
      <c r="AI3" s="120">
        <v>0</v>
      </c>
      <c r="AJ3" s="120">
        <v>0</v>
      </c>
      <c r="AK3" s="120">
        <v>0</v>
      </c>
      <c r="AL3" s="120">
        <v>0</v>
      </c>
      <c r="AM3" s="120">
        <v>0</v>
      </c>
      <c r="AN3" s="120">
        <v>0</v>
      </c>
      <c r="AO3" s="120">
        <v>0</v>
      </c>
      <c r="AP3" s="120">
        <v>0</v>
      </c>
      <c r="AQ3" s="120">
        <v>0</v>
      </c>
      <c r="AR3" s="120">
        <v>0</v>
      </c>
      <c r="AS3" s="120">
        <v>0</v>
      </c>
      <c r="AT3" s="120">
        <v>0</v>
      </c>
      <c r="AU3" s="120">
        <v>0</v>
      </c>
      <c r="AV3" s="120">
        <v>0</v>
      </c>
      <c r="AW3" s="120">
        <v>0</v>
      </c>
      <c r="AX3" s="120">
        <v>0</v>
      </c>
      <c r="AY3" s="120">
        <v>0</v>
      </c>
      <c r="AZ3" s="120">
        <v>0</v>
      </c>
      <c r="BA3" s="120">
        <v>0</v>
      </c>
      <c r="BB3" s="120">
        <v>0</v>
      </c>
      <c r="BC3" s="120">
        <v>0</v>
      </c>
      <c r="BD3" s="120">
        <v>0.1</v>
      </c>
      <c r="BE3" s="120">
        <v>0.1</v>
      </c>
      <c r="BF3" s="120">
        <v>0.1</v>
      </c>
      <c r="BG3" s="120">
        <v>0.1</v>
      </c>
      <c r="BH3" s="120">
        <v>0.1</v>
      </c>
      <c r="BI3" s="120">
        <v>0.1</v>
      </c>
      <c r="BJ3" s="120">
        <v>0.1</v>
      </c>
      <c r="BK3" s="120">
        <v>0.1</v>
      </c>
      <c r="BL3" s="120">
        <v>0.1</v>
      </c>
      <c r="BM3" s="120">
        <v>0.1</v>
      </c>
      <c r="BN3" s="120">
        <v>0.1</v>
      </c>
      <c r="BO3" s="120">
        <v>0.1</v>
      </c>
      <c r="BP3" s="120">
        <v>0.1</v>
      </c>
      <c r="BQ3" s="120">
        <v>0.1</v>
      </c>
      <c r="BR3" s="120">
        <v>0.1</v>
      </c>
      <c r="BS3" s="120">
        <v>0.1</v>
      </c>
      <c r="BT3" s="120">
        <v>0.1</v>
      </c>
      <c r="BU3" s="120">
        <v>0.1</v>
      </c>
      <c r="BV3" s="120">
        <v>0.2</v>
      </c>
      <c r="BW3" s="120">
        <v>0.1</v>
      </c>
      <c r="BX3" s="120">
        <v>0.1</v>
      </c>
      <c r="BY3" s="120">
        <v>0.1</v>
      </c>
      <c r="BZ3" s="120">
        <v>0.1</v>
      </c>
      <c r="CA3" s="120">
        <v>0.1</v>
      </c>
      <c r="CB3" s="120">
        <v>0.1</v>
      </c>
      <c r="CC3" s="120">
        <v>0.1</v>
      </c>
      <c r="CD3" s="120">
        <v>0.1</v>
      </c>
      <c r="CE3" s="120">
        <v>0.1</v>
      </c>
      <c r="CF3" s="120">
        <v>0.1</v>
      </c>
      <c r="CG3" s="120">
        <v>0.1</v>
      </c>
      <c r="CH3" s="120">
        <v>0.1</v>
      </c>
      <c r="CI3" s="120">
        <v>0.1</v>
      </c>
      <c r="CJ3" s="120">
        <v>0.1</v>
      </c>
      <c r="CK3" s="120">
        <v>0.1</v>
      </c>
      <c r="CL3" s="120">
        <v>0.1</v>
      </c>
      <c r="CM3" s="120">
        <v>0.1</v>
      </c>
      <c r="CN3" s="120">
        <v>0.1</v>
      </c>
      <c r="CO3" s="120">
        <v>0.1</v>
      </c>
      <c r="CP3" s="120">
        <v>0.1</v>
      </c>
      <c r="CQ3" s="120">
        <v>0.1</v>
      </c>
      <c r="CR3" s="120">
        <v>0.1</v>
      </c>
      <c r="CS3" s="120"/>
      <c r="CT3" s="120"/>
      <c r="CU3" s="121"/>
      <c r="CV3" s="122"/>
      <c r="CW3" s="122"/>
      <c r="CX3" s="122"/>
      <c r="CY3" s="122"/>
      <c r="CZ3" s="122"/>
      <c r="DA3" s="122"/>
      <c r="DB3" s="122"/>
      <c r="DC3" s="122"/>
      <c r="DD3" s="123"/>
      <c r="DE3" s="123"/>
      <c r="DF3" s="123"/>
      <c r="DG3" s="123"/>
      <c r="DH3" s="123"/>
      <c r="DI3" s="123"/>
      <c r="DJ3" s="123"/>
      <c r="DK3" s="123"/>
      <c r="DL3" s="123"/>
      <c r="DM3" s="123"/>
      <c r="DN3" s="123"/>
      <c r="DO3" s="123" t="s">
        <v>122</v>
      </c>
      <c r="DP3" s="1356"/>
      <c r="DQ3" s="1356"/>
      <c r="DR3" s="1356"/>
      <c r="DS3" s="1356">
        <f>SUM(DP3:DR3)</f>
        <v>0</v>
      </c>
      <c r="DT3" s="123"/>
      <c r="DU3" s="123"/>
      <c r="DV3" s="123"/>
      <c r="DW3" s="123"/>
      <c r="DX3" s="1335"/>
      <c r="DY3" s="1336"/>
      <c r="DZ3" s="1336"/>
      <c r="EA3" s="1335"/>
      <c r="EO3" s="60"/>
    </row>
    <row r="4" spans="1:151">
      <c r="A4" s="115" t="s">
        <v>227</v>
      </c>
      <c r="B4" s="63"/>
      <c r="D4" s="10">
        <f>'Estimate Summary'!AT6</f>
        <v>0</v>
      </c>
      <c r="E4" s="10"/>
      <c r="F4" s="110"/>
      <c r="G4" s="124"/>
      <c r="H4" s="125" t="s">
        <v>228</v>
      </c>
      <c r="I4" s="118" t="e">
        <f ca="1">'Estimate Summary'!D68</f>
        <v>#N/A</v>
      </c>
      <c r="J4" s="126"/>
      <c r="K4" s="127"/>
      <c r="L4" s="127"/>
      <c r="M4" s="127"/>
      <c r="N4" s="119" t="s">
        <v>229</v>
      </c>
      <c r="O4" s="128">
        <v>0</v>
      </c>
      <c r="P4" s="128">
        <v>0</v>
      </c>
      <c r="Q4" s="128">
        <v>0</v>
      </c>
      <c r="R4" s="128">
        <v>0</v>
      </c>
      <c r="S4" s="128">
        <v>0</v>
      </c>
      <c r="T4" s="128">
        <v>0</v>
      </c>
      <c r="U4" s="128">
        <v>0</v>
      </c>
      <c r="V4" s="128">
        <v>0</v>
      </c>
      <c r="W4" s="128">
        <v>0</v>
      </c>
      <c r="X4" s="128">
        <v>0</v>
      </c>
      <c r="Y4" s="128">
        <v>0</v>
      </c>
      <c r="Z4" s="128">
        <v>0</v>
      </c>
      <c r="AA4" s="128">
        <v>0</v>
      </c>
      <c r="AB4" s="128">
        <v>0</v>
      </c>
      <c r="AC4" s="128">
        <v>0</v>
      </c>
      <c r="AD4" s="128">
        <v>0</v>
      </c>
      <c r="AE4" s="128">
        <v>0</v>
      </c>
      <c r="AF4" s="128">
        <v>0</v>
      </c>
      <c r="AG4" s="128">
        <v>0</v>
      </c>
      <c r="AH4" s="128">
        <v>0</v>
      </c>
      <c r="AI4" s="128">
        <v>0</v>
      </c>
      <c r="AJ4" s="128">
        <v>0</v>
      </c>
      <c r="AK4" s="128">
        <v>0</v>
      </c>
      <c r="AL4" s="128">
        <v>0</v>
      </c>
      <c r="AM4" s="128">
        <v>0</v>
      </c>
      <c r="AN4" s="128">
        <v>0</v>
      </c>
      <c r="AO4" s="128">
        <v>0</v>
      </c>
      <c r="AP4" s="128">
        <v>0</v>
      </c>
      <c r="AQ4" s="128">
        <v>0</v>
      </c>
      <c r="AR4" s="128">
        <v>0</v>
      </c>
      <c r="AS4" s="128">
        <v>0</v>
      </c>
      <c r="AT4" s="128">
        <v>0</v>
      </c>
      <c r="AU4" s="128">
        <v>0</v>
      </c>
      <c r="AV4" s="128">
        <v>0</v>
      </c>
      <c r="AW4" s="128">
        <v>0</v>
      </c>
      <c r="AX4" s="128">
        <v>0</v>
      </c>
      <c r="AY4" s="128">
        <v>0</v>
      </c>
      <c r="AZ4" s="128">
        <v>0</v>
      </c>
      <c r="BA4" s="128">
        <v>0</v>
      </c>
      <c r="BB4" s="128">
        <v>0</v>
      </c>
      <c r="BC4" s="128">
        <v>0</v>
      </c>
      <c r="BD4" s="128">
        <v>0</v>
      </c>
      <c r="BE4" s="128">
        <v>0</v>
      </c>
      <c r="BF4" s="128">
        <v>0</v>
      </c>
      <c r="BG4" s="128">
        <v>0</v>
      </c>
      <c r="BH4" s="128">
        <v>0</v>
      </c>
      <c r="BI4" s="128">
        <v>0</v>
      </c>
      <c r="BJ4" s="128">
        <v>0</v>
      </c>
      <c r="BK4" s="128">
        <v>0</v>
      </c>
      <c r="BL4" s="128">
        <v>0</v>
      </c>
      <c r="BM4" s="128">
        <v>0</v>
      </c>
      <c r="BN4" s="128">
        <v>0</v>
      </c>
      <c r="BO4" s="128">
        <v>0</v>
      </c>
      <c r="BP4" s="128">
        <v>0</v>
      </c>
      <c r="BQ4" s="128">
        <v>0</v>
      </c>
      <c r="BR4" s="128">
        <v>0</v>
      </c>
      <c r="BS4" s="128">
        <v>0</v>
      </c>
      <c r="BT4" s="128">
        <v>0</v>
      </c>
      <c r="BU4" s="128">
        <v>0</v>
      </c>
      <c r="BV4" s="128">
        <v>0</v>
      </c>
      <c r="BW4" s="128">
        <v>0</v>
      </c>
      <c r="BX4" s="128">
        <v>0</v>
      </c>
      <c r="BY4" s="128">
        <v>0</v>
      </c>
      <c r="BZ4" s="128">
        <v>0</v>
      </c>
      <c r="CA4" s="128">
        <v>0</v>
      </c>
      <c r="CB4" s="128">
        <v>0</v>
      </c>
      <c r="CC4" s="128">
        <v>0</v>
      </c>
      <c r="CD4" s="128">
        <v>0</v>
      </c>
      <c r="CE4" s="128">
        <v>0</v>
      </c>
      <c r="CF4" s="128">
        <v>0</v>
      </c>
      <c r="CG4" s="128">
        <v>0</v>
      </c>
      <c r="CH4" s="128">
        <v>0</v>
      </c>
      <c r="CI4" s="128">
        <v>0</v>
      </c>
      <c r="CJ4" s="128">
        <v>0</v>
      </c>
      <c r="CK4" s="128">
        <v>0</v>
      </c>
      <c r="CL4" s="128">
        <v>0</v>
      </c>
      <c r="CM4" s="128">
        <v>0</v>
      </c>
      <c r="CN4" s="128">
        <v>0</v>
      </c>
      <c r="CO4" s="128">
        <v>0</v>
      </c>
      <c r="CP4" s="128">
        <v>0</v>
      </c>
      <c r="CQ4" s="128">
        <v>0</v>
      </c>
      <c r="CR4" s="128">
        <v>0.2</v>
      </c>
      <c r="CS4" s="128"/>
      <c r="CT4" s="128"/>
      <c r="CU4" s="121"/>
      <c r="CV4" s="122"/>
      <c r="CW4" s="122"/>
      <c r="CX4" s="122"/>
      <c r="CY4" s="122"/>
      <c r="CZ4" s="122"/>
      <c r="DA4" s="122"/>
      <c r="DB4" s="122"/>
      <c r="DC4" s="122"/>
      <c r="DD4" s="123"/>
      <c r="DE4" s="123"/>
      <c r="DF4" s="123"/>
      <c r="DG4" s="123"/>
      <c r="DH4" s="123"/>
      <c r="DI4" s="123"/>
      <c r="DJ4" s="123"/>
      <c r="DK4" s="123"/>
      <c r="DL4" s="123"/>
      <c r="DM4" s="123"/>
      <c r="DN4" s="123"/>
      <c r="DO4" s="123"/>
      <c r="DP4" s="1356"/>
      <c r="DQ4" s="1356"/>
      <c r="DR4" s="1356"/>
      <c r="DS4" s="123"/>
      <c r="DT4" s="123"/>
      <c r="DU4" s="123"/>
      <c r="DV4" s="123"/>
      <c r="DW4" s="123"/>
      <c r="DX4" s="1335"/>
      <c r="DY4" s="1336"/>
      <c r="DZ4" s="1336"/>
      <c r="EA4" s="1335"/>
      <c r="EO4" s="60"/>
    </row>
    <row r="5" spans="1:151">
      <c r="A5" s="115" t="s">
        <v>230</v>
      </c>
      <c r="B5" s="63"/>
      <c r="D5" s="129">
        <f>'Estimate Summary'!AT7</f>
        <v>0</v>
      </c>
      <c r="E5" s="10"/>
      <c r="K5" s="130"/>
      <c r="L5" s="130"/>
      <c r="M5" s="131"/>
      <c r="N5" s="119" t="s">
        <v>231</v>
      </c>
      <c r="O5" s="120">
        <v>0</v>
      </c>
      <c r="P5" s="120">
        <v>0</v>
      </c>
      <c r="Q5" s="120">
        <v>0</v>
      </c>
      <c r="R5" s="120">
        <v>0</v>
      </c>
      <c r="S5" s="120">
        <v>0</v>
      </c>
      <c r="T5" s="120">
        <v>0</v>
      </c>
      <c r="U5" s="120">
        <v>0</v>
      </c>
      <c r="V5" s="120">
        <v>0</v>
      </c>
      <c r="W5" s="120">
        <v>0</v>
      </c>
      <c r="X5" s="120">
        <v>0</v>
      </c>
      <c r="Y5" s="120">
        <v>0</v>
      </c>
      <c r="Z5" s="120">
        <v>0</v>
      </c>
      <c r="AA5" s="120">
        <v>0</v>
      </c>
      <c r="AB5" s="120">
        <v>0</v>
      </c>
      <c r="AC5" s="120">
        <v>0</v>
      </c>
      <c r="AD5" s="120">
        <v>0</v>
      </c>
      <c r="AE5" s="120">
        <v>0</v>
      </c>
      <c r="AF5" s="120">
        <v>0</v>
      </c>
      <c r="AG5" s="120">
        <v>0</v>
      </c>
      <c r="AH5" s="120">
        <v>0</v>
      </c>
      <c r="AI5" s="120">
        <v>0</v>
      </c>
      <c r="AJ5" s="120">
        <v>0</v>
      </c>
      <c r="AK5" s="120">
        <v>0</v>
      </c>
      <c r="AL5" s="120">
        <v>0</v>
      </c>
      <c r="AM5" s="120">
        <v>0</v>
      </c>
      <c r="AN5" s="120">
        <v>0</v>
      </c>
      <c r="AO5" s="120">
        <v>0</v>
      </c>
      <c r="AP5" s="120">
        <v>0</v>
      </c>
      <c r="AQ5" s="120">
        <v>0</v>
      </c>
      <c r="AR5" s="120">
        <v>0</v>
      </c>
      <c r="AS5" s="120">
        <v>0</v>
      </c>
      <c r="AT5" s="120">
        <v>0</v>
      </c>
      <c r="AU5" s="120">
        <v>0</v>
      </c>
      <c r="AV5" s="120">
        <v>0</v>
      </c>
      <c r="AW5" s="120">
        <v>0</v>
      </c>
      <c r="AX5" s="120">
        <v>0</v>
      </c>
      <c r="AY5" s="120">
        <v>0</v>
      </c>
      <c r="AZ5" s="120">
        <v>0</v>
      </c>
      <c r="BA5" s="120">
        <v>0</v>
      </c>
      <c r="BB5" s="120">
        <v>0</v>
      </c>
      <c r="BC5" s="120">
        <v>0</v>
      </c>
      <c r="BD5" s="120">
        <v>0.2</v>
      </c>
      <c r="BE5" s="120">
        <v>0.85</v>
      </c>
      <c r="BF5" s="120">
        <v>0.85</v>
      </c>
      <c r="BG5" s="120">
        <v>0.85</v>
      </c>
      <c r="BH5" s="120">
        <v>0.85</v>
      </c>
      <c r="BI5" s="120">
        <v>0.85</v>
      </c>
      <c r="BJ5" s="120">
        <v>0.85</v>
      </c>
      <c r="BK5" s="120">
        <v>0.85</v>
      </c>
      <c r="BL5" s="120">
        <v>0.85</v>
      </c>
      <c r="BM5" s="120">
        <v>0.85</v>
      </c>
      <c r="BN5" s="120">
        <v>0.85</v>
      </c>
      <c r="BO5" s="120">
        <v>0.85</v>
      </c>
      <c r="BP5" s="120">
        <v>0.85</v>
      </c>
      <c r="BQ5" s="120">
        <v>0.85</v>
      </c>
      <c r="BR5" s="120">
        <v>0.85</v>
      </c>
      <c r="BS5" s="120">
        <v>0.85</v>
      </c>
      <c r="BT5" s="120">
        <v>0.85</v>
      </c>
      <c r="BU5" s="120">
        <v>0.85</v>
      </c>
      <c r="BV5" s="120">
        <v>0.4</v>
      </c>
      <c r="BW5" s="120">
        <v>0.85</v>
      </c>
      <c r="BX5" s="120">
        <v>0.85</v>
      </c>
      <c r="BY5" s="120">
        <v>0.85</v>
      </c>
      <c r="BZ5" s="120">
        <v>0.85</v>
      </c>
      <c r="CA5" s="120">
        <v>0.85</v>
      </c>
      <c r="CB5" s="120">
        <v>0.85</v>
      </c>
      <c r="CC5" s="120">
        <v>0.2</v>
      </c>
      <c r="CD5" s="120">
        <v>0.35</v>
      </c>
      <c r="CE5" s="120">
        <v>0.4</v>
      </c>
      <c r="CF5" s="120">
        <v>0.85</v>
      </c>
      <c r="CG5" s="120">
        <v>0.85</v>
      </c>
      <c r="CH5" s="120">
        <v>0.85</v>
      </c>
      <c r="CI5" s="120">
        <v>0.85</v>
      </c>
      <c r="CJ5" s="120">
        <v>0.85</v>
      </c>
      <c r="CK5" s="120">
        <v>0.85</v>
      </c>
      <c r="CL5" s="120">
        <v>0.85</v>
      </c>
      <c r="CM5" s="120">
        <v>0.85</v>
      </c>
      <c r="CN5" s="120">
        <v>0.85</v>
      </c>
      <c r="CO5" s="120">
        <v>0.85</v>
      </c>
      <c r="CP5" s="120">
        <v>0.85</v>
      </c>
      <c r="CQ5" s="120">
        <v>0.85</v>
      </c>
      <c r="CR5" s="120">
        <v>0.2</v>
      </c>
      <c r="CS5" s="120"/>
      <c r="CT5" s="120"/>
      <c r="CU5" s="121"/>
      <c r="CV5" s="122"/>
      <c r="CW5" s="122"/>
      <c r="CX5" s="122"/>
      <c r="CY5" s="132"/>
      <c r="CZ5" s="132"/>
      <c r="DA5" s="132"/>
      <c r="DB5" s="132"/>
      <c r="DC5" s="132"/>
      <c r="DD5" s="133"/>
      <c r="DE5" s="133"/>
      <c r="DF5" s="133"/>
      <c r="DG5" s="133"/>
      <c r="DH5" s="133"/>
      <c r="DI5" s="133"/>
      <c r="DJ5" s="133"/>
      <c r="DK5" s="133"/>
      <c r="DL5" s="133"/>
      <c r="DM5" s="133"/>
      <c r="DN5" s="133"/>
      <c r="DO5" s="133"/>
      <c r="DP5" s="1357">
        <f>SUM(DP3:DP4)</f>
        <v>0</v>
      </c>
      <c r="DQ5" s="1357">
        <f>SUM(DQ3:DQ4)</f>
        <v>0</v>
      </c>
      <c r="DR5" s="1357">
        <f>SUM(DR3:DR4)</f>
        <v>0</v>
      </c>
      <c r="DS5" s="1357">
        <f>SUM(DP5:DR5)</f>
        <v>0</v>
      </c>
      <c r="DT5" s="133"/>
      <c r="DU5" s="133"/>
      <c r="DV5" s="133"/>
      <c r="DW5" s="133"/>
      <c r="DX5" s="133"/>
      <c r="DY5" s="133"/>
      <c r="DZ5" s="133"/>
      <c r="EA5" s="133"/>
      <c r="EO5" s="60"/>
    </row>
    <row r="6" spans="1:151" ht="12.75" customHeight="1">
      <c r="A6" s="115" t="s">
        <v>232</v>
      </c>
      <c r="B6" s="63"/>
      <c r="D6" s="10">
        <f>'Estimate Summary'!AT8</f>
        <v>0</v>
      </c>
      <c r="E6" s="10"/>
      <c r="F6" s="134"/>
      <c r="G6" s="10"/>
      <c r="H6" s="60"/>
      <c r="I6" s="135"/>
      <c r="J6" s="136"/>
      <c r="K6" s="130"/>
      <c r="L6" s="130"/>
      <c r="M6" s="131"/>
      <c r="N6" s="119" t="s">
        <v>233</v>
      </c>
      <c r="O6" s="128">
        <v>0.9</v>
      </c>
      <c r="P6" s="128">
        <v>0.9</v>
      </c>
      <c r="Q6" s="128">
        <v>0.9</v>
      </c>
      <c r="R6" s="128">
        <v>0.35</v>
      </c>
      <c r="S6" s="128">
        <v>0.35</v>
      </c>
      <c r="T6" s="128">
        <v>0.35</v>
      </c>
      <c r="U6" s="128">
        <v>0.35</v>
      </c>
      <c r="V6" s="128">
        <v>0.35</v>
      </c>
      <c r="W6" s="128">
        <v>0.35</v>
      </c>
      <c r="X6" s="128">
        <v>0.9</v>
      </c>
      <c r="Y6" s="128">
        <v>0.9</v>
      </c>
      <c r="Z6" s="128">
        <v>0.9</v>
      </c>
      <c r="AA6" s="128">
        <v>0.77</v>
      </c>
      <c r="AB6" s="128">
        <v>0.77</v>
      </c>
      <c r="AC6" s="128">
        <v>0.77</v>
      </c>
      <c r="AD6" s="128">
        <v>1</v>
      </c>
      <c r="AE6" s="128">
        <v>1</v>
      </c>
      <c r="AF6" s="128">
        <v>1</v>
      </c>
      <c r="AG6" s="128">
        <v>1</v>
      </c>
      <c r="AH6" s="128">
        <v>1</v>
      </c>
      <c r="AI6" s="128">
        <v>1</v>
      </c>
      <c r="AJ6" s="128">
        <v>1</v>
      </c>
      <c r="AK6" s="128">
        <v>1</v>
      </c>
      <c r="AL6" s="128">
        <v>1</v>
      </c>
      <c r="AM6" s="128">
        <v>1</v>
      </c>
      <c r="AN6" s="128">
        <v>1</v>
      </c>
      <c r="AO6" s="128">
        <v>1</v>
      </c>
      <c r="AP6" s="128">
        <v>1</v>
      </c>
      <c r="AQ6" s="128">
        <v>1</v>
      </c>
      <c r="AR6" s="128">
        <v>1</v>
      </c>
      <c r="AS6" s="128">
        <v>1</v>
      </c>
      <c r="AT6" s="128">
        <v>1</v>
      </c>
      <c r="AU6" s="128">
        <v>1</v>
      </c>
      <c r="AV6" s="128">
        <v>1</v>
      </c>
      <c r="AW6" s="128">
        <v>1</v>
      </c>
      <c r="AX6" s="128">
        <v>1</v>
      </c>
      <c r="AY6" s="128">
        <v>1</v>
      </c>
      <c r="AZ6" s="128">
        <v>1</v>
      </c>
      <c r="BA6" s="128">
        <v>1</v>
      </c>
      <c r="BB6" s="128">
        <v>1</v>
      </c>
      <c r="BC6" s="128">
        <v>1</v>
      </c>
      <c r="BD6" s="128">
        <v>0.3</v>
      </c>
      <c r="BE6" s="128">
        <v>0</v>
      </c>
      <c r="BF6" s="128">
        <v>0</v>
      </c>
      <c r="BG6" s="128">
        <v>0</v>
      </c>
      <c r="BH6" s="128">
        <v>0</v>
      </c>
      <c r="BI6" s="128">
        <v>0</v>
      </c>
      <c r="BJ6" s="128">
        <v>0</v>
      </c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>
        <v>0</v>
      </c>
      <c r="BS6" s="128">
        <v>0</v>
      </c>
      <c r="BT6" s="128">
        <v>0</v>
      </c>
      <c r="BU6" s="128">
        <v>0</v>
      </c>
      <c r="BV6" s="128">
        <v>0.35</v>
      </c>
      <c r="BW6" s="128">
        <v>0</v>
      </c>
      <c r="BX6" s="128">
        <v>0</v>
      </c>
      <c r="BY6" s="128">
        <v>0</v>
      </c>
      <c r="BZ6" s="128">
        <v>0</v>
      </c>
      <c r="CA6" s="128">
        <v>0</v>
      </c>
      <c r="CB6" s="128">
        <v>0</v>
      </c>
      <c r="CC6" s="128">
        <v>0.3</v>
      </c>
      <c r="CD6" s="128">
        <v>0.5</v>
      </c>
      <c r="CE6" s="128">
        <v>0.45</v>
      </c>
      <c r="CF6" s="128">
        <v>0</v>
      </c>
      <c r="CG6" s="128">
        <v>0</v>
      </c>
      <c r="CH6" s="128">
        <v>0</v>
      </c>
      <c r="CI6" s="128">
        <v>0</v>
      </c>
      <c r="CJ6" s="128">
        <v>0</v>
      </c>
      <c r="CK6" s="128">
        <v>0</v>
      </c>
      <c r="CL6" s="128">
        <v>0</v>
      </c>
      <c r="CM6" s="128">
        <v>0</v>
      </c>
      <c r="CN6" s="128">
        <v>0</v>
      </c>
      <c r="CO6" s="128">
        <v>0</v>
      </c>
      <c r="CP6" s="128">
        <v>0</v>
      </c>
      <c r="CQ6" s="128">
        <v>0</v>
      </c>
      <c r="CR6" s="128">
        <v>0.3</v>
      </c>
      <c r="CS6" s="128"/>
      <c r="CT6" s="128"/>
      <c r="CU6" s="121"/>
      <c r="CV6" s="122"/>
      <c r="CW6" s="122"/>
      <c r="CX6" s="122"/>
      <c r="DO6" s="110" t="s">
        <v>421</v>
      </c>
      <c r="EO6" s="2"/>
    </row>
    <row r="7" spans="1:151" ht="12.75" customHeight="1">
      <c r="A7" s="115"/>
      <c r="B7" s="63"/>
      <c r="D7" s="10"/>
      <c r="E7" s="10"/>
      <c r="F7" s="134"/>
      <c r="G7" s="10"/>
      <c r="H7" s="60"/>
      <c r="I7" s="135"/>
      <c r="J7" s="136"/>
      <c r="K7" s="130"/>
      <c r="L7" s="130"/>
      <c r="M7" s="130"/>
      <c r="N7" s="119" t="s">
        <v>234</v>
      </c>
      <c r="O7" s="120">
        <v>0.1</v>
      </c>
      <c r="P7" s="120">
        <v>0.1</v>
      </c>
      <c r="Q7" s="120">
        <v>0.1</v>
      </c>
      <c r="R7" s="120">
        <v>0.65</v>
      </c>
      <c r="S7" s="120">
        <v>0.65</v>
      </c>
      <c r="T7" s="120">
        <v>0.65</v>
      </c>
      <c r="U7" s="120">
        <v>0.65</v>
      </c>
      <c r="V7" s="120">
        <v>0.65</v>
      </c>
      <c r="W7" s="120">
        <v>0.65</v>
      </c>
      <c r="X7" s="120">
        <v>0.1</v>
      </c>
      <c r="Y7" s="120">
        <v>0.1</v>
      </c>
      <c r="Z7" s="120">
        <v>0.1</v>
      </c>
      <c r="AA7" s="120">
        <v>0.23</v>
      </c>
      <c r="AB7" s="120">
        <v>0.23</v>
      </c>
      <c r="AC7" s="120">
        <v>0.23</v>
      </c>
      <c r="AD7" s="120">
        <v>0</v>
      </c>
      <c r="AE7" s="120">
        <v>0</v>
      </c>
      <c r="AF7" s="120">
        <v>0</v>
      </c>
      <c r="AG7" s="120">
        <v>0</v>
      </c>
      <c r="AH7" s="120">
        <v>0</v>
      </c>
      <c r="AI7" s="120">
        <v>0</v>
      </c>
      <c r="AJ7" s="120">
        <v>0</v>
      </c>
      <c r="AK7" s="120">
        <v>0</v>
      </c>
      <c r="AL7" s="120">
        <v>0</v>
      </c>
      <c r="AM7" s="120">
        <v>0</v>
      </c>
      <c r="AN7" s="120">
        <v>0</v>
      </c>
      <c r="AO7" s="120">
        <v>0</v>
      </c>
      <c r="AP7" s="120">
        <v>0</v>
      </c>
      <c r="AQ7" s="120">
        <v>0</v>
      </c>
      <c r="AR7" s="120">
        <v>0</v>
      </c>
      <c r="AS7" s="120">
        <v>0</v>
      </c>
      <c r="AT7" s="120">
        <v>0</v>
      </c>
      <c r="AU7" s="120">
        <v>0</v>
      </c>
      <c r="AV7" s="120">
        <v>0</v>
      </c>
      <c r="AW7" s="120">
        <v>0</v>
      </c>
      <c r="AX7" s="120">
        <v>0</v>
      </c>
      <c r="AY7" s="120">
        <v>0</v>
      </c>
      <c r="AZ7" s="120">
        <v>0</v>
      </c>
      <c r="BA7" s="120">
        <v>0</v>
      </c>
      <c r="BB7" s="120">
        <v>0</v>
      </c>
      <c r="BC7" s="120">
        <v>0</v>
      </c>
      <c r="BD7" s="120">
        <v>0.35</v>
      </c>
      <c r="BE7" s="120">
        <v>0</v>
      </c>
      <c r="BF7" s="120">
        <v>0</v>
      </c>
      <c r="BG7" s="120">
        <v>0</v>
      </c>
      <c r="BH7" s="120">
        <v>0</v>
      </c>
      <c r="BI7" s="120">
        <v>0</v>
      </c>
      <c r="BJ7" s="120">
        <v>0</v>
      </c>
      <c r="BK7" s="120">
        <v>0</v>
      </c>
      <c r="BL7" s="120">
        <v>0</v>
      </c>
      <c r="BM7" s="120">
        <v>0</v>
      </c>
      <c r="BN7" s="120">
        <v>0</v>
      </c>
      <c r="BO7" s="120">
        <v>0</v>
      </c>
      <c r="BP7" s="120">
        <v>0</v>
      </c>
      <c r="BQ7" s="120">
        <v>0</v>
      </c>
      <c r="BR7" s="120">
        <v>0</v>
      </c>
      <c r="BS7" s="120">
        <v>0</v>
      </c>
      <c r="BT7" s="120">
        <v>0</v>
      </c>
      <c r="BU7" s="120">
        <v>0</v>
      </c>
      <c r="BV7" s="120"/>
      <c r="BW7" s="120">
        <v>0</v>
      </c>
      <c r="BX7" s="120">
        <v>0</v>
      </c>
      <c r="BY7" s="120">
        <v>0</v>
      </c>
      <c r="BZ7" s="120">
        <v>0</v>
      </c>
      <c r="CA7" s="120">
        <v>0</v>
      </c>
      <c r="CB7" s="120">
        <v>0</v>
      </c>
      <c r="CC7" s="120">
        <v>0.35</v>
      </c>
      <c r="CD7" s="120">
        <v>0</v>
      </c>
      <c r="CE7" s="120"/>
      <c r="CF7" s="120">
        <v>0</v>
      </c>
      <c r="CG7" s="120">
        <v>0</v>
      </c>
      <c r="CH7" s="120">
        <v>0</v>
      </c>
      <c r="CI7" s="120">
        <v>0</v>
      </c>
      <c r="CJ7" s="120">
        <v>0</v>
      </c>
      <c r="CK7" s="120">
        <v>0</v>
      </c>
      <c r="CL7" s="120">
        <v>0</v>
      </c>
      <c r="CM7" s="120">
        <v>0</v>
      </c>
      <c r="CN7" s="120">
        <v>0</v>
      </c>
      <c r="CO7" s="120">
        <v>0</v>
      </c>
      <c r="CP7" s="120">
        <v>0</v>
      </c>
      <c r="CQ7" s="120">
        <v>0</v>
      </c>
      <c r="CR7" s="120">
        <v>0.2</v>
      </c>
      <c r="CS7" s="120"/>
      <c r="CT7" s="120"/>
      <c r="CU7" s="121"/>
      <c r="CV7" s="122"/>
      <c r="CW7" s="122"/>
      <c r="CX7" s="122"/>
      <c r="DQ7" s="137"/>
      <c r="EO7" s="2"/>
    </row>
    <row r="8" spans="1:151" ht="12.75" customHeight="1" thickBot="1">
      <c r="A8" s="138"/>
      <c r="B8" s="138"/>
      <c r="C8" s="10"/>
      <c r="E8" s="10"/>
      <c r="F8" s="134"/>
      <c r="G8" s="10"/>
      <c r="H8" s="2"/>
      <c r="I8" s="135"/>
      <c r="J8" s="136"/>
      <c r="K8" s="130"/>
      <c r="L8" s="130"/>
      <c r="M8" s="130"/>
      <c r="N8" s="119" t="s">
        <v>235</v>
      </c>
      <c r="O8" s="128">
        <v>0</v>
      </c>
      <c r="P8" s="128">
        <v>0</v>
      </c>
      <c r="Q8" s="128">
        <v>0</v>
      </c>
      <c r="R8" s="128">
        <v>0</v>
      </c>
      <c r="S8" s="128">
        <v>0</v>
      </c>
      <c r="T8" s="128">
        <v>0</v>
      </c>
      <c r="U8" s="128">
        <v>0</v>
      </c>
      <c r="V8" s="128">
        <v>0</v>
      </c>
      <c r="W8" s="128">
        <v>0</v>
      </c>
      <c r="X8" s="128">
        <v>0</v>
      </c>
      <c r="Y8" s="128">
        <v>0</v>
      </c>
      <c r="Z8" s="128">
        <v>0</v>
      </c>
      <c r="AA8" s="128">
        <v>0</v>
      </c>
      <c r="AB8" s="128">
        <v>0</v>
      </c>
      <c r="AC8" s="128">
        <v>0</v>
      </c>
      <c r="AD8" s="128">
        <v>0</v>
      </c>
      <c r="AE8" s="128">
        <v>0</v>
      </c>
      <c r="AF8" s="128">
        <v>0</v>
      </c>
      <c r="AG8" s="128">
        <v>0</v>
      </c>
      <c r="AH8" s="128">
        <v>0</v>
      </c>
      <c r="AI8" s="128">
        <v>0</v>
      </c>
      <c r="AJ8" s="128">
        <v>0</v>
      </c>
      <c r="AK8" s="128">
        <v>0</v>
      </c>
      <c r="AL8" s="128">
        <v>0</v>
      </c>
      <c r="AM8" s="128">
        <v>0</v>
      </c>
      <c r="AN8" s="128">
        <v>0</v>
      </c>
      <c r="AO8" s="128">
        <v>0</v>
      </c>
      <c r="AP8" s="128">
        <v>0</v>
      </c>
      <c r="AQ8" s="128">
        <v>0</v>
      </c>
      <c r="AR8" s="128">
        <v>0</v>
      </c>
      <c r="AS8" s="128">
        <v>0</v>
      </c>
      <c r="AT8" s="128">
        <v>0</v>
      </c>
      <c r="AU8" s="128">
        <v>0</v>
      </c>
      <c r="AV8" s="128">
        <v>0</v>
      </c>
      <c r="AW8" s="128">
        <v>0</v>
      </c>
      <c r="AX8" s="128">
        <v>0</v>
      </c>
      <c r="AY8" s="128">
        <v>0</v>
      </c>
      <c r="AZ8" s="128">
        <v>0</v>
      </c>
      <c r="BA8" s="128">
        <v>0</v>
      </c>
      <c r="BB8" s="128">
        <v>0</v>
      </c>
      <c r="BC8" s="128">
        <v>0</v>
      </c>
      <c r="BD8" s="128">
        <v>0</v>
      </c>
      <c r="BE8" s="128">
        <v>0</v>
      </c>
      <c r="BF8" s="128">
        <v>0</v>
      </c>
      <c r="BG8" s="128">
        <v>0</v>
      </c>
      <c r="BH8" s="128">
        <v>0</v>
      </c>
      <c r="BI8" s="128">
        <v>0</v>
      </c>
      <c r="BJ8" s="128">
        <v>0</v>
      </c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>
        <v>0</v>
      </c>
      <c r="BS8" s="128">
        <v>0</v>
      </c>
      <c r="BT8" s="128">
        <v>0</v>
      </c>
      <c r="BU8" s="128">
        <v>0</v>
      </c>
      <c r="BV8" s="128">
        <v>0</v>
      </c>
      <c r="BW8" s="128">
        <v>0</v>
      </c>
      <c r="BX8" s="128">
        <v>0</v>
      </c>
      <c r="BY8" s="128">
        <v>0</v>
      </c>
      <c r="BZ8" s="128">
        <v>0</v>
      </c>
      <c r="CA8" s="128">
        <v>0</v>
      </c>
      <c r="CB8" s="128">
        <v>0</v>
      </c>
      <c r="CC8" s="128">
        <v>0</v>
      </c>
      <c r="CD8" s="128">
        <v>0</v>
      </c>
      <c r="CE8" s="128">
        <v>0</v>
      </c>
      <c r="CF8" s="128">
        <v>0</v>
      </c>
      <c r="CG8" s="128">
        <v>0</v>
      </c>
      <c r="CH8" s="128">
        <v>0</v>
      </c>
      <c r="CI8" s="128">
        <v>0</v>
      </c>
      <c r="CJ8" s="128">
        <v>0</v>
      </c>
      <c r="CK8" s="128">
        <v>0</v>
      </c>
      <c r="CL8" s="128">
        <v>0</v>
      </c>
      <c r="CM8" s="128">
        <v>0</v>
      </c>
      <c r="CN8" s="128">
        <v>0</v>
      </c>
      <c r="CO8" s="128">
        <v>0</v>
      </c>
      <c r="CP8" s="128">
        <v>0</v>
      </c>
      <c r="CQ8" s="128">
        <v>0</v>
      </c>
      <c r="CR8" s="128">
        <v>0</v>
      </c>
      <c r="CS8" s="128"/>
      <c r="CT8" s="128"/>
      <c r="CU8" s="121"/>
      <c r="CV8" s="122"/>
      <c r="CW8" s="122"/>
      <c r="CX8" s="122"/>
      <c r="DQ8" s="137"/>
      <c r="EG8" s="139" t="s">
        <v>236</v>
      </c>
      <c r="EH8" s="140"/>
      <c r="EO8" s="2"/>
    </row>
    <row r="9" spans="1:151" ht="12.75" customHeight="1" thickTop="1">
      <c r="A9" s="138"/>
      <c r="B9" s="138"/>
      <c r="C9" s="10"/>
      <c r="E9" s="10"/>
      <c r="F9" s="134"/>
      <c r="G9" s="10"/>
      <c r="H9" s="2"/>
      <c r="I9" s="135"/>
      <c r="J9" s="136"/>
      <c r="K9" s="130"/>
      <c r="L9" s="130"/>
      <c r="M9" s="130"/>
      <c r="N9" s="119" t="s">
        <v>237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  <c r="AK9" s="120">
        <v>0</v>
      </c>
      <c r="AL9" s="120">
        <v>0</v>
      </c>
      <c r="AM9" s="120">
        <v>0</v>
      </c>
      <c r="AN9" s="120">
        <v>0</v>
      </c>
      <c r="AO9" s="120">
        <v>0</v>
      </c>
      <c r="AP9" s="120">
        <v>0</v>
      </c>
      <c r="AQ9" s="120">
        <v>0</v>
      </c>
      <c r="AR9" s="120">
        <v>0</v>
      </c>
      <c r="AS9" s="120">
        <v>0</v>
      </c>
      <c r="AT9" s="120">
        <v>0</v>
      </c>
      <c r="AU9" s="120">
        <v>0</v>
      </c>
      <c r="AV9" s="120">
        <v>0</v>
      </c>
      <c r="AW9" s="120">
        <v>0</v>
      </c>
      <c r="AX9" s="120">
        <v>0</v>
      </c>
      <c r="AY9" s="120">
        <v>0</v>
      </c>
      <c r="AZ9" s="120">
        <v>0</v>
      </c>
      <c r="BA9" s="120">
        <v>0</v>
      </c>
      <c r="BB9" s="120">
        <v>0</v>
      </c>
      <c r="BC9" s="120">
        <v>0</v>
      </c>
      <c r="BD9" s="120">
        <v>0</v>
      </c>
      <c r="BE9" s="120">
        <v>0</v>
      </c>
      <c r="BF9" s="120">
        <v>0</v>
      </c>
      <c r="BG9" s="120">
        <v>0</v>
      </c>
      <c r="BH9" s="120">
        <v>0</v>
      </c>
      <c r="BI9" s="120">
        <v>0</v>
      </c>
      <c r="BJ9" s="120">
        <v>0</v>
      </c>
      <c r="BK9" s="120">
        <v>0</v>
      </c>
      <c r="BL9" s="120">
        <v>0</v>
      </c>
      <c r="BM9" s="120">
        <v>0</v>
      </c>
      <c r="BN9" s="120">
        <v>0</v>
      </c>
      <c r="BO9" s="120">
        <v>0</v>
      </c>
      <c r="BP9" s="120">
        <v>0</v>
      </c>
      <c r="BQ9" s="120">
        <v>0</v>
      </c>
      <c r="BR9" s="120">
        <v>0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0</v>
      </c>
      <c r="CC9" s="120">
        <v>0</v>
      </c>
      <c r="CD9" s="120">
        <v>0</v>
      </c>
      <c r="CE9" s="120">
        <v>0</v>
      </c>
      <c r="CF9" s="120">
        <v>0</v>
      </c>
      <c r="CG9" s="120">
        <v>0</v>
      </c>
      <c r="CH9" s="120">
        <v>0</v>
      </c>
      <c r="CI9" s="120">
        <v>0</v>
      </c>
      <c r="CJ9" s="120">
        <v>0</v>
      </c>
      <c r="CK9" s="120">
        <v>0</v>
      </c>
      <c r="CL9" s="120">
        <v>0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/>
      <c r="CT9" s="120"/>
      <c r="CU9" s="121"/>
      <c r="CV9" s="122"/>
      <c r="CW9" s="122"/>
      <c r="CX9" s="122"/>
      <c r="DQ9" s="137"/>
      <c r="EF9" s="141" t="e">
        <f ca="1">EM155</f>
        <v>#N/A</v>
      </c>
      <c r="EG9" s="142" t="s">
        <v>161</v>
      </c>
      <c r="EO9" s="2"/>
    </row>
    <row r="10" spans="1:151" ht="12.75" customHeight="1">
      <c r="A10" s="138"/>
      <c r="B10" s="138"/>
      <c r="C10" s="10"/>
      <c r="E10" s="10"/>
      <c r="F10" s="134"/>
      <c r="G10" s="10"/>
      <c r="H10" s="2"/>
      <c r="I10" s="135"/>
      <c r="J10" s="136"/>
      <c r="K10" s="130"/>
      <c r="L10" s="130"/>
      <c r="M10" s="130"/>
      <c r="N10" s="143" t="s">
        <v>166</v>
      </c>
      <c r="O10" s="128">
        <v>0</v>
      </c>
      <c r="P10" s="128">
        <v>0</v>
      </c>
      <c r="Q10" s="128">
        <v>0</v>
      </c>
      <c r="R10" s="128">
        <v>0</v>
      </c>
      <c r="S10" s="128">
        <v>0</v>
      </c>
      <c r="T10" s="128">
        <v>0</v>
      </c>
      <c r="U10" s="128">
        <v>0</v>
      </c>
      <c r="V10" s="128">
        <v>0</v>
      </c>
      <c r="W10" s="128">
        <v>0</v>
      </c>
      <c r="X10" s="128">
        <v>0</v>
      </c>
      <c r="Y10" s="128">
        <v>0</v>
      </c>
      <c r="Z10" s="128">
        <v>0</v>
      </c>
      <c r="AA10" s="128">
        <v>0</v>
      </c>
      <c r="AB10" s="128">
        <v>0</v>
      </c>
      <c r="AC10" s="128">
        <v>0</v>
      </c>
      <c r="AD10" s="128">
        <v>0</v>
      </c>
      <c r="AE10" s="128">
        <v>0</v>
      </c>
      <c r="AF10" s="128">
        <v>0</v>
      </c>
      <c r="AG10" s="128">
        <v>0</v>
      </c>
      <c r="AH10" s="128">
        <v>0</v>
      </c>
      <c r="AI10" s="128">
        <v>0</v>
      </c>
      <c r="AJ10" s="128">
        <v>0</v>
      </c>
      <c r="AK10" s="128">
        <v>0</v>
      </c>
      <c r="AL10" s="128">
        <v>0</v>
      </c>
      <c r="AM10" s="128">
        <v>0</v>
      </c>
      <c r="AN10" s="128">
        <v>0</v>
      </c>
      <c r="AO10" s="128">
        <v>0</v>
      </c>
      <c r="AP10" s="128">
        <v>0</v>
      </c>
      <c r="AQ10" s="128">
        <v>0</v>
      </c>
      <c r="AR10" s="128">
        <v>0</v>
      </c>
      <c r="AS10" s="128">
        <v>0</v>
      </c>
      <c r="AT10" s="128">
        <v>0</v>
      </c>
      <c r="AU10" s="128">
        <v>0</v>
      </c>
      <c r="AV10" s="128">
        <v>0</v>
      </c>
      <c r="AW10" s="128">
        <v>0</v>
      </c>
      <c r="AX10" s="128">
        <v>0</v>
      </c>
      <c r="AY10" s="128">
        <v>0</v>
      </c>
      <c r="AZ10" s="128">
        <v>0</v>
      </c>
      <c r="BA10" s="128">
        <v>0</v>
      </c>
      <c r="BB10" s="128">
        <v>0</v>
      </c>
      <c r="BC10" s="128">
        <v>0</v>
      </c>
      <c r="BD10" s="128">
        <v>0.05</v>
      </c>
      <c r="BE10" s="128">
        <v>0.05</v>
      </c>
      <c r="BF10" s="128">
        <v>0.05</v>
      </c>
      <c r="BG10" s="128">
        <v>0.05</v>
      </c>
      <c r="BH10" s="128">
        <v>0.05</v>
      </c>
      <c r="BI10" s="128">
        <v>0.05</v>
      </c>
      <c r="BJ10" s="128">
        <v>0.05</v>
      </c>
      <c r="BK10" s="128">
        <v>0.05</v>
      </c>
      <c r="BL10" s="128">
        <v>0.05</v>
      </c>
      <c r="BM10" s="128">
        <v>0.05</v>
      </c>
      <c r="BN10" s="128">
        <v>0.05</v>
      </c>
      <c r="BO10" s="128">
        <v>0.05</v>
      </c>
      <c r="BP10" s="128">
        <v>0.05</v>
      </c>
      <c r="BQ10" s="128">
        <v>0.05</v>
      </c>
      <c r="BR10" s="128">
        <v>0.05</v>
      </c>
      <c r="BS10" s="128">
        <v>0.05</v>
      </c>
      <c r="BT10" s="128">
        <v>0.05</v>
      </c>
      <c r="BU10" s="128">
        <v>0.05</v>
      </c>
      <c r="BV10" s="128">
        <v>0.05</v>
      </c>
      <c r="BW10" s="128">
        <v>0.05</v>
      </c>
      <c r="BX10" s="128">
        <v>0.05</v>
      </c>
      <c r="BY10" s="128">
        <v>0.05</v>
      </c>
      <c r="BZ10" s="128">
        <v>0.05</v>
      </c>
      <c r="CA10" s="128">
        <v>0.05</v>
      </c>
      <c r="CB10" s="128">
        <v>0.05</v>
      </c>
      <c r="CC10" s="128">
        <v>0.05</v>
      </c>
      <c r="CD10" s="128">
        <v>0.05</v>
      </c>
      <c r="CE10" s="128">
        <v>0.05</v>
      </c>
      <c r="CF10" s="128">
        <v>0.05</v>
      </c>
      <c r="CG10" s="128">
        <v>0.05</v>
      </c>
      <c r="CH10" s="128">
        <v>0.05</v>
      </c>
      <c r="CI10" s="128">
        <v>0.05</v>
      </c>
      <c r="CJ10" s="128">
        <v>0.05</v>
      </c>
      <c r="CK10" s="128">
        <v>0.05</v>
      </c>
      <c r="CL10" s="128">
        <v>0.05</v>
      </c>
      <c r="CM10" s="128">
        <v>0.05</v>
      </c>
      <c r="CN10" s="128">
        <v>0.05</v>
      </c>
      <c r="CO10" s="128">
        <v>0.05</v>
      </c>
      <c r="CP10" s="128">
        <v>0.05</v>
      </c>
      <c r="CQ10" s="128">
        <v>0.05</v>
      </c>
      <c r="CR10" s="128">
        <v>0</v>
      </c>
      <c r="CS10" s="128"/>
      <c r="CT10" s="128"/>
      <c r="CU10" s="121"/>
      <c r="CV10" s="122"/>
      <c r="CW10" s="122"/>
      <c r="CX10" s="122"/>
      <c r="DQ10" s="137"/>
      <c r="EF10" s="144" t="e">
        <f ca="1">I3</f>
        <v>#N/A</v>
      </c>
      <c r="EG10" s="110" t="s">
        <v>167</v>
      </c>
      <c r="EI10" s="110" t="s">
        <v>168</v>
      </c>
      <c r="EO10" s="2"/>
    </row>
    <row r="11" spans="1:151" ht="12.75" customHeight="1" thickBot="1">
      <c r="A11" s="138"/>
      <c r="B11" s="138"/>
      <c r="C11" s="10"/>
      <c r="E11" s="10"/>
      <c r="F11" s="134"/>
      <c r="G11" s="10"/>
      <c r="H11" s="2"/>
      <c r="I11" s="135"/>
      <c r="J11" s="136"/>
      <c r="K11" s="130"/>
      <c r="L11" s="130"/>
      <c r="M11" s="130"/>
      <c r="N11" s="145"/>
      <c r="O11" s="518">
        <v>1</v>
      </c>
      <c r="P11" s="518">
        <v>1</v>
      </c>
      <c r="Q11" s="518">
        <v>1</v>
      </c>
      <c r="R11" s="518">
        <v>1</v>
      </c>
      <c r="S11" s="518">
        <v>1</v>
      </c>
      <c r="T11" s="518">
        <v>1</v>
      </c>
      <c r="U11" s="518">
        <v>1</v>
      </c>
      <c r="V11" s="518">
        <v>1</v>
      </c>
      <c r="W11" s="518">
        <v>1</v>
      </c>
      <c r="X11" s="518">
        <v>1</v>
      </c>
      <c r="Y11" s="518">
        <v>1</v>
      </c>
      <c r="Z11" s="518">
        <v>1</v>
      </c>
      <c r="AA11" s="518">
        <v>1</v>
      </c>
      <c r="AB11" s="518">
        <v>1</v>
      </c>
      <c r="AC11" s="518">
        <v>1</v>
      </c>
      <c r="AD11" s="518">
        <v>1</v>
      </c>
      <c r="AE11" s="518">
        <v>1</v>
      </c>
      <c r="AF11" s="518">
        <v>1</v>
      </c>
      <c r="AG11" s="518">
        <v>1</v>
      </c>
      <c r="AH11" s="518">
        <v>1</v>
      </c>
      <c r="AI11" s="518">
        <v>1</v>
      </c>
      <c r="AJ11" s="518">
        <v>1</v>
      </c>
      <c r="AK11" s="518">
        <v>1</v>
      </c>
      <c r="AL11" s="518">
        <v>1</v>
      </c>
      <c r="AM11" s="518">
        <v>1</v>
      </c>
      <c r="AN11" s="518">
        <v>1</v>
      </c>
      <c r="AO11" s="518">
        <v>1</v>
      </c>
      <c r="AP11" s="518">
        <v>1</v>
      </c>
      <c r="AQ11" s="518">
        <v>1</v>
      </c>
      <c r="AR11" s="518">
        <v>1</v>
      </c>
      <c r="AS11" s="518">
        <v>1</v>
      </c>
      <c r="AT11" s="518">
        <v>1</v>
      </c>
      <c r="AU11" s="518">
        <v>1</v>
      </c>
      <c r="AV11" s="518">
        <v>1</v>
      </c>
      <c r="AW11" s="518">
        <v>1</v>
      </c>
      <c r="AX11" s="518">
        <v>1</v>
      </c>
      <c r="AY11" s="518">
        <v>1</v>
      </c>
      <c r="AZ11" s="518">
        <v>1</v>
      </c>
      <c r="BA11" s="518">
        <v>1</v>
      </c>
      <c r="BB11" s="518">
        <v>1</v>
      </c>
      <c r="BC11" s="518">
        <v>1</v>
      </c>
      <c r="BD11" s="518">
        <v>1</v>
      </c>
      <c r="BE11" s="518">
        <v>1</v>
      </c>
      <c r="BF11" s="518">
        <v>1</v>
      </c>
      <c r="BG11" s="146">
        <v>1</v>
      </c>
      <c r="BH11" s="146">
        <v>1</v>
      </c>
      <c r="BI11" s="146">
        <v>1</v>
      </c>
      <c r="BJ11" s="146">
        <v>1</v>
      </c>
      <c r="BK11" s="146">
        <v>1</v>
      </c>
      <c r="BL11" s="146">
        <v>1</v>
      </c>
      <c r="BM11" s="146">
        <v>1</v>
      </c>
      <c r="BN11" s="146">
        <v>1</v>
      </c>
      <c r="BO11" s="146">
        <v>1</v>
      </c>
      <c r="BP11" s="146">
        <v>1</v>
      </c>
      <c r="BQ11" s="146">
        <v>1</v>
      </c>
      <c r="BR11" s="146">
        <v>1</v>
      </c>
      <c r="BS11" s="146">
        <v>1</v>
      </c>
      <c r="BT11" s="146">
        <v>1</v>
      </c>
      <c r="BU11" s="146">
        <v>1</v>
      </c>
      <c r="BV11" s="146">
        <v>1</v>
      </c>
      <c r="BW11" s="146">
        <v>1</v>
      </c>
      <c r="BX11" s="146">
        <v>1</v>
      </c>
      <c r="BY11" s="146">
        <v>1</v>
      </c>
      <c r="BZ11" s="146">
        <v>1</v>
      </c>
      <c r="CA11" s="146">
        <v>1</v>
      </c>
      <c r="CB11" s="146">
        <v>1</v>
      </c>
      <c r="CC11" s="146">
        <v>1</v>
      </c>
      <c r="CD11" s="146">
        <v>1</v>
      </c>
      <c r="CE11" s="146">
        <v>1</v>
      </c>
      <c r="CF11" s="146">
        <v>1</v>
      </c>
      <c r="CG11" s="146">
        <v>1</v>
      </c>
      <c r="CH11" s="146">
        <v>1</v>
      </c>
      <c r="CI11" s="146">
        <v>1</v>
      </c>
      <c r="CJ11" s="146">
        <v>1</v>
      </c>
      <c r="CK11" s="146">
        <v>1</v>
      </c>
      <c r="CL11" s="146">
        <v>1</v>
      </c>
      <c r="CM11" s="146">
        <v>1</v>
      </c>
      <c r="CN11" s="146">
        <v>1</v>
      </c>
      <c r="CO11" s="146">
        <v>1</v>
      </c>
      <c r="CP11" s="146">
        <v>1</v>
      </c>
      <c r="CQ11" s="146">
        <v>1</v>
      </c>
      <c r="CR11" s="146">
        <v>1</v>
      </c>
      <c r="CS11" s="146">
        <f>SUM(CS3:CS10)</f>
        <v>0</v>
      </c>
      <c r="CT11" s="146">
        <f>SUM(CT3:CT10)</f>
        <v>0</v>
      </c>
      <c r="CU11" s="121"/>
      <c r="CV11" s="122"/>
      <c r="CW11" s="122"/>
      <c r="CX11" s="122"/>
      <c r="DQ11" s="137"/>
      <c r="ED11" s="110" t="e">
        <f ca="1">ED19-ED22</f>
        <v>#N/A</v>
      </c>
      <c r="EF11" s="147" t="e">
        <f ca="1">SUM(ED22,EF22:EJ22,EL22)</f>
        <v>#N/A</v>
      </c>
      <c r="EG11" s="110" t="s">
        <v>169</v>
      </c>
      <c r="EO11" s="2"/>
    </row>
    <row r="12" spans="1:151" ht="9" customHeight="1" thickTop="1">
      <c r="A12" s="63"/>
      <c r="B12" s="63"/>
      <c r="C12" s="148"/>
      <c r="E12" s="10"/>
      <c r="F12" s="134"/>
      <c r="G12" s="10"/>
      <c r="H12" s="60"/>
      <c r="I12" s="135"/>
      <c r="J12" s="136"/>
      <c r="K12" s="130"/>
      <c r="L12" s="130"/>
      <c r="M12" s="130"/>
      <c r="N12" s="149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0"/>
      <c r="AF12" s="150"/>
      <c r="AG12" s="150"/>
      <c r="AH12" s="150"/>
      <c r="AI12" s="150"/>
      <c r="AJ12" s="150"/>
      <c r="AK12" s="150"/>
      <c r="AL12" s="150"/>
      <c r="AM12" s="150"/>
      <c r="AN12" s="150"/>
      <c r="AO12" s="150"/>
      <c r="AP12" s="150"/>
      <c r="AQ12" s="150"/>
      <c r="AR12" s="150"/>
      <c r="AS12" s="150"/>
      <c r="AT12" s="150"/>
      <c r="AU12" s="150"/>
      <c r="AV12" s="150"/>
      <c r="AW12" s="150"/>
      <c r="AX12" s="150"/>
      <c r="AY12" s="150"/>
      <c r="AZ12" s="150"/>
      <c r="BA12" s="150"/>
      <c r="BB12" s="150"/>
      <c r="BC12" s="150"/>
      <c r="BD12" s="151"/>
      <c r="BE12" s="151"/>
      <c r="BF12" s="151"/>
      <c r="BG12" s="151"/>
      <c r="BH12" s="151"/>
      <c r="BI12" s="151"/>
      <c r="BJ12" s="151"/>
      <c r="BK12" s="151"/>
      <c r="BL12" s="151"/>
      <c r="BM12" s="151"/>
      <c r="BN12" s="151"/>
      <c r="BO12" s="151"/>
      <c r="BP12" s="151"/>
      <c r="BQ12" s="151"/>
      <c r="BR12" s="151"/>
      <c r="BS12" s="151"/>
      <c r="BT12" s="151"/>
      <c r="BU12" s="151"/>
      <c r="BV12" s="151"/>
      <c r="BW12" s="151"/>
      <c r="BX12" s="151"/>
      <c r="BY12" s="151"/>
      <c r="BZ12" s="151"/>
      <c r="CA12" s="151"/>
      <c r="CB12" s="151"/>
      <c r="CC12" s="151"/>
      <c r="CD12" s="151"/>
      <c r="CE12" s="151"/>
      <c r="CF12" s="151"/>
      <c r="CG12" s="151"/>
      <c r="CH12" s="151"/>
      <c r="CI12" s="151"/>
      <c r="CJ12" s="151"/>
      <c r="CK12" s="151"/>
      <c r="CL12" s="151"/>
      <c r="CM12" s="151"/>
      <c r="CN12" s="151"/>
      <c r="CO12" s="151"/>
      <c r="CP12" s="151"/>
      <c r="CQ12" s="151"/>
      <c r="CR12" s="151"/>
      <c r="CS12" s="150"/>
      <c r="CT12" s="150"/>
      <c r="CU12" s="114"/>
      <c r="CV12" s="114"/>
      <c r="CW12" s="114"/>
      <c r="CX12" s="114"/>
      <c r="CY12" s="114"/>
      <c r="CZ12" s="114"/>
      <c r="DA12" s="114"/>
      <c r="DB12" s="114"/>
      <c r="DC12" s="114"/>
      <c r="DD12" s="114"/>
      <c r="DE12" s="114"/>
      <c r="DF12" s="114"/>
      <c r="DG12" s="114"/>
      <c r="DH12" s="114"/>
      <c r="DI12" s="114"/>
      <c r="DJ12" s="114"/>
      <c r="DK12" s="114"/>
      <c r="DL12" s="114"/>
      <c r="DM12" s="114"/>
      <c r="DN12" s="114"/>
      <c r="DO12" s="114"/>
      <c r="DP12" s="114"/>
      <c r="DQ12" s="152"/>
      <c r="DR12" s="114"/>
      <c r="DS12" s="114"/>
      <c r="DT12" s="114"/>
      <c r="DU12" s="114"/>
      <c r="DV12" s="114"/>
      <c r="DW12" s="114"/>
      <c r="DX12" s="114"/>
      <c r="DY12" s="114"/>
      <c r="DZ12" s="114"/>
      <c r="EA12" s="114"/>
      <c r="EM12" s="153"/>
      <c r="EO12" s="60"/>
    </row>
    <row r="13" spans="1:151">
      <c r="A13" s="63"/>
      <c r="B13" s="63"/>
      <c r="C13" s="148"/>
      <c r="E13" s="10"/>
      <c r="F13" s="134"/>
      <c r="G13" s="10"/>
      <c r="H13" s="60"/>
      <c r="J13" s="154" t="s">
        <v>170</v>
      </c>
      <c r="K13" s="130"/>
      <c r="L13" s="130"/>
      <c r="M13" s="155">
        <v>1</v>
      </c>
      <c r="N13" s="119" t="s">
        <v>171</v>
      </c>
      <c r="O13" s="156">
        <v>0</v>
      </c>
      <c r="P13" s="156">
        <v>0</v>
      </c>
      <c r="Q13" s="156">
        <v>0</v>
      </c>
      <c r="R13" s="156">
        <v>0</v>
      </c>
      <c r="S13" s="156">
        <v>0</v>
      </c>
      <c r="T13" s="156">
        <v>0</v>
      </c>
      <c r="U13" s="156">
        <v>0</v>
      </c>
      <c r="V13" s="156">
        <v>0</v>
      </c>
      <c r="W13" s="156">
        <v>0</v>
      </c>
      <c r="X13" s="156">
        <v>0</v>
      </c>
      <c r="Y13" s="156">
        <v>0</v>
      </c>
      <c r="Z13" s="156">
        <v>0</v>
      </c>
      <c r="AA13" s="156">
        <v>0</v>
      </c>
      <c r="AB13" s="156">
        <v>0</v>
      </c>
      <c r="AC13" s="156">
        <v>0</v>
      </c>
      <c r="AD13" s="156">
        <v>0</v>
      </c>
      <c r="AE13" s="156">
        <v>0</v>
      </c>
      <c r="AF13" s="156">
        <v>0</v>
      </c>
      <c r="AG13" s="156">
        <v>0</v>
      </c>
      <c r="AH13" s="156">
        <v>0</v>
      </c>
      <c r="AI13" s="156">
        <v>0</v>
      </c>
      <c r="AJ13" s="156">
        <v>0</v>
      </c>
      <c r="AK13" s="156">
        <v>0</v>
      </c>
      <c r="AL13" s="156">
        <v>0</v>
      </c>
      <c r="AM13" s="156">
        <v>0</v>
      </c>
      <c r="AN13" s="156">
        <v>0</v>
      </c>
      <c r="AO13" s="156">
        <v>0</v>
      </c>
      <c r="AP13" s="156">
        <v>0</v>
      </c>
      <c r="AQ13" s="156">
        <v>0</v>
      </c>
      <c r="AR13" s="156">
        <v>0</v>
      </c>
      <c r="AS13" s="156">
        <v>0</v>
      </c>
      <c r="AT13" s="156">
        <v>0</v>
      </c>
      <c r="AU13" s="156">
        <v>0</v>
      </c>
      <c r="AV13" s="156">
        <v>0</v>
      </c>
      <c r="AW13" s="156">
        <v>0</v>
      </c>
      <c r="AX13" s="156">
        <v>0</v>
      </c>
      <c r="AY13" s="156">
        <v>0</v>
      </c>
      <c r="AZ13" s="156">
        <v>0</v>
      </c>
      <c r="BA13" s="156">
        <v>0</v>
      </c>
      <c r="BB13" s="156">
        <v>0</v>
      </c>
      <c r="BC13" s="156">
        <v>0</v>
      </c>
      <c r="BD13" s="156">
        <v>7</v>
      </c>
      <c r="BE13" s="156">
        <v>9</v>
      </c>
      <c r="BF13" s="156">
        <v>10</v>
      </c>
      <c r="BG13" s="156">
        <v>7</v>
      </c>
      <c r="BH13" s="156">
        <v>13</v>
      </c>
      <c r="BI13" s="156">
        <v>10</v>
      </c>
      <c r="BJ13" s="156">
        <v>10</v>
      </c>
      <c r="BK13" s="156">
        <v>13</v>
      </c>
      <c r="BL13" s="999">
        <v>11</v>
      </c>
      <c r="BM13" s="156">
        <v>11</v>
      </c>
      <c r="BN13" s="156">
        <v>7</v>
      </c>
      <c r="BO13" s="156">
        <v>7</v>
      </c>
      <c r="BP13" s="156">
        <v>10</v>
      </c>
      <c r="BQ13" s="156">
        <v>13</v>
      </c>
      <c r="BR13" s="156">
        <v>13</v>
      </c>
      <c r="BS13" s="999">
        <v>10</v>
      </c>
      <c r="BT13" s="999">
        <v>10</v>
      </c>
      <c r="BU13" s="999">
        <v>10</v>
      </c>
      <c r="BV13" s="999">
        <v>13</v>
      </c>
      <c r="BW13" s="999">
        <v>13</v>
      </c>
      <c r="BX13" s="999">
        <v>0</v>
      </c>
      <c r="BY13" s="999">
        <v>10</v>
      </c>
      <c r="BZ13" s="999">
        <v>12</v>
      </c>
      <c r="CA13" s="999">
        <v>10</v>
      </c>
      <c r="CB13" s="999">
        <v>7</v>
      </c>
      <c r="CC13" s="999">
        <v>0</v>
      </c>
      <c r="CD13" s="999">
        <v>7</v>
      </c>
      <c r="CE13" s="999">
        <v>7</v>
      </c>
      <c r="CF13" s="999">
        <v>11</v>
      </c>
      <c r="CG13" s="156">
        <v>14</v>
      </c>
      <c r="CH13" s="156">
        <v>10</v>
      </c>
      <c r="CI13" s="156">
        <v>11</v>
      </c>
      <c r="CJ13" s="156">
        <v>10</v>
      </c>
      <c r="CK13" s="156">
        <v>9</v>
      </c>
      <c r="CL13" s="156">
        <v>7</v>
      </c>
      <c r="CM13" s="156">
        <v>7</v>
      </c>
      <c r="CN13" s="156">
        <v>10</v>
      </c>
      <c r="CO13" s="156">
        <v>12</v>
      </c>
      <c r="CP13" s="156">
        <v>10</v>
      </c>
      <c r="CQ13" s="156">
        <v>10</v>
      </c>
      <c r="CR13" s="999">
        <v>9</v>
      </c>
      <c r="CS13" s="157"/>
      <c r="CT13" s="157"/>
      <c r="CU13" s="158" t="s">
        <v>172</v>
      </c>
      <c r="CV13" s="159">
        <v>4</v>
      </c>
      <c r="CW13" s="159">
        <v>5</v>
      </c>
      <c r="CX13" s="159">
        <v>6</v>
      </c>
      <c r="CY13" s="159">
        <v>4</v>
      </c>
      <c r="CZ13" s="159">
        <v>2</v>
      </c>
      <c r="DA13" s="159">
        <v>4</v>
      </c>
      <c r="DB13" s="159">
        <v>2</v>
      </c>
      <c r="DC13" s="159">
        <v>3</v>
      </c>
      <c r="DD13" s="160"/>
      <c r="DE13" s="160"/>
      <c r="DF13" s="160"/>
      <c r="DG13" s="160"/>
      <c r="DH13" s="160"/>
      <c r="DI13" s="160"/>
      <c r="DJ13" s="160"/>
      <c r="DK13" s="160"/>
      <c r="DL13" s="160"/>
      <c r="DM13" s="160"/>
      <c r="DN13" s="160"/>
      <c r="DO13" s="160"/>
      <c r="DP13" s="160"/>
      <c r="DR13" s="160"/>
      <c r="DS13" s="160"/>
      <c r="DT13" s="160"/>
      <c r="DU13" s="160"/>
      <c r="DW13" s="160"/>
      <c r="DX13" s="160"/>
      <c r="DY13" s="160"/>
      <c r="DZ13" s="160"/>
      <c r="EA13" s="160"/>
      <c r="EB13" s="148"/>
      <c r="EC13" s="148"/>
      <c r="ED13" s="148"/>
      <c r="EE13" s="148"/>
      <c r="EF13" s="148"/>
      <c r="EG13" s="148"/>
      <c r="EH13" s="148"/>
      <c r="EI13" s="148"/>
      <c r="EJ13" s="148"/>
      <c r="EK13" s="153"/>
      <c r="EL13" s="153"/>
      <c r="EM13" s="153"/>
      <c r="EN13" s="148"/>
      <c r="EO13" s="148"/>
      <c r="EP13" s="148"/>
      <c r="EQ13" s="148"/>
      <c r="ER13" s="148"/>
      <c r="ES13" s="148"/>
      <c r="ET13" s="148"/>
      <c r="EU13" s="148"/>
    </row>
    <row r="14" spans="1:151" ht="14.25" customHeight="1">
      <c r="A14" s="110"/>
      <c r="C14" s="110"/>
      <c r="F14" s="110"/>
      <c r="G14" s="110"/>
      <c r="H14" s="110"/>
      <c r="I14" s="110"/>
      <c r="J14" s="136"/>
      <c r="K14" s="130"/>
      <c r="L14" s="130"/>
      <c r="M14" s="131"/>
      <c r="N14" s="119" t="s">
        <v>173</v>
      </c>
      <c r="O14" s="997">
        <v>4</v>
      </c>
      <c r="P14" s="997">
        <v>4</v>
      </c>
      <c r="Q14" s="997">
        <v>4</v>
      </c>
      <c r="R14" s="997">
        <v>4</v>
      </c>
      <c r="S14" s="997">
        <v>4</v>
      </c>
      <c r="T14" s="997">
        <v>4</v>
      </c>
      <c r="U14" s="997">
        <v>4</v>
      </c>
      <c r="V14" s="997">
        <v>4</v>
      </c>
      <c r="W14" s="997">
        <v>4</v>
      </c>
      <c r="X14" s="997">
        <v>4</v>
      </c>
      <c r="Y14" s="997">
        <v>4</v>
      </c>
      <c r="Z14" s="997">
        <v>4</v>
      </c>
      <c r="AA14" s="997">
        <v>3</v>
      </c>
      <c r="AB14" s="997">
        <v>3</v>
      </c>
      <c r="AC14" s="997">
        <v>3</v>
      </c>
      <c r="AD14" s="997">
        <v>6</v>
      </c>
      <c r="AE14" s="997">
        <v>6</v>
      </c>
      <c r="AF14" s="997">
        <v>6</v>
      </c>
      <c r="AG14" s="997">
        <v>6</v>
      </c>
      <c r="AH14" s="997">
        <v>6</v>
      </c>
      <c r="AI14" s="997">
        <v>6</v>
      </c>
      <c r="AJ14" s="997">
        <v>6</v>
      </c>
      <c r="AK14" s="997">
        <v>6</v>
      </c>
      <c r="AL14" s="997">
        <v>6</v>
      </c>
      <c r="AM14" s="997">
        <v>6</v>
      </c>
      <c r="AN14" s="997">
        <v>6</v>
      </c>
      <c r="AO14" s="997">
        <v>6</v>
      </c>
      <c r="AP14" s="997">
        <v>6</v>
      </c>
      <c r="AQ14" s="997">
        <v>6</v>
      </c>
      <c r="AR14" s="997">
        <v>6</v>
      </c>
      <c r="AS14" s="997">
        <v>7</v>
      </c>
      <c r="AT14" s="997">
        <v>7</v>
      </c>
      <c r="AU14" s="997">
        <v>7</v>
      </c>
      <c r="AV14" s="997">
        <v>7</v>
      </c>
      <c r="AW14" s="997">
        <v>7</v>
      </c>
      <c r="AX14" s="997">
        <v>7</v>
      </c>
      <c r="AY14" s="997">
        <v>6</v>
      </c>
      <c r="AZ14" s="997">
        <v>6</v>
      </c>
      <c r="BA14" s="997">
        <v>6</v>
      </c>
      <c r="BB14" s="997">
        <v>6</v>
      </c>
      <c r="BC14" s="161">
        <v>6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2">
        <v>16</v>
      </c>
      <c r="CS14" s="163"/>
      <c r="CT14" s="164"/>
      <c r="CU14" s="165" t="s">
        <v>220</v>
      </c>
      <c r="CV14" s="160"/>
      <c r="CW14" s="160"/>
      <c r="CX14" s="160"/>
      <c r="CY14" s="160"/>
      <c r="CZ14" s="160"/>
      <c r="DA14" s="160"/>
      <c r="DB14" s="160"/>
      <c r="DC14" s="160"/>
      <c r="EB14" s="148"/>
      <c r="EC14" s="148"/>
      <c r="ED14" s="148"/>
      <c r="EE14" s="148"/>
      <c r="EF14" s="166" t="s">
        <v>4</v>
      </c>
      <c r="EG14" s="148" t="s">
        <v>5</v>
      </c>
      <c r="EH14" s="148"/>
      <c r="EI14" s="148"/>
      <c r="EJ14" s="148"/>
      <c r="EK14" s="153"/>
      <c r="EL14" s="153"/>
      <c r="EM14" s="153"/>
      <c r="EN14" s="148"/>
      <c r="EO14" s="148"/>
      <c r="EP14" s="148"/>
      <c r="EQ14" s="148"/>
      <c r="ER14" s="148"/>
      <c r="ES14" s="148"/>
      <c r="ET14" s="148"/>
      <c r="EU14" s="148"/>
    </row>
    <row r="15" spans="1:151" ht="14.25" customHeight="1">
      <c r="A15" s="110"/>
      <c r="C15" s="110"/>
      <c r="F15" s="110"/>
      <c r="G15" s="110"/>
      <c r="H15" s="110"/>
      <c r="I15" s="110"/>
      <c r="J15" s="136"/>
      <c r="K15" s="130"/>
      <c r="L15" s="130"/>
      <c r="M15" s="131"/>
      <c r="N15" s="143" t="s">
        <v>231</v>
      </c>
      <c r="O15" s="156">
        <v>0</v>
      </c>
      <c r="P15" s="156">
        <v>0</v>
      </c>
      <c r="Q15" s="156">
        <v>0</v>
      </c>
      <c r="R15" s="156">
        <v>0</v>
      </c>
      <c r="S15" s="156">
        <v>0</v>
      </c>
      <c r="T15" s="156">
        <v>0</v>
      </c>
      <c r="U15" s="156">
        <v>0</v>
      </c>
      <c r="V15" s="156">
        <v>0</v>
      </c>
      <c r="W15" s="156">
        <v>0</v>
      </c>
      <c r="X15" s="156">
        <v>0</v>
      </c>
      <c r="Y15" s="156">
        <v>0</v>
      </c>
      <c r="Z15" s="156">
        <v>0</v>
      </c>
      <c r="AA15" s="156">
        <v>0</v>
      </c>
      <c r="AB15" s="156">
        <v>0</v>
      </c>
      <c r="AC15" s="156">
        <v>0</v>
      </c>
      <c r="AD15" s="156">
        <v>0</v>
      </c>
      <c r="AE15" s="156">
        <v>0</v>
      </c>
      <c r="AF15" s="156">
        <v>0</v>
      </c>
      <c r="AG15" s="156">
        <v>0</v>
      </c>
      <c r="AH15" s="156">
        <v>0</v>
      </c>
      <c r="AI15" s="156">
        <v>0</v>
      </c>
      <c r="AJ15" s="156">
        <v>0</v>
      </c>
      <c r="AK15" s="156">
        <v>0</v>
      </c>
      <c r="AL15" s="156">
        <v>0</v>
      </c>
      <c r="AM15" s="156">
        <v>0</v>
      </c>
      <c r="AN15" s="156">
        <v>0</v>
      </c>
      <c r="AO15" s="156">
        <v>0</v>
      </c>
      <c r="AP15" s="156">
        <v>0</v>
      </c>
      <c r="AQ15" s="156">
        <v>0</v>
      </c>
      <c r="AR15" s="156">
        <v>0</v>
      </c>
      <c r="AS15" s="156">
        <v>0</v>
      </c>
      <c r="AT15" s="156">
        <v>0</v>
      </c>
      <c r="AU15" s="156">
        <v>0</v>
      </c>
      <c r="AV15" s="156">
        <v>0</v>
      </c>
      <c r="AW15" s="156">
        <v>0</v>
      </c>
      <c r="AX15" s="156">
        <v>0</v>
      </c>
      <c r="AY15" s="156">
        <v>0</v>
      </c>
      <c r="AZ15" s="156">
        <v>0</v>
      </c>
      <c r="BA15" s="156">
        <v>0</v>
      </c>
      <c r="BB15" s="156">
        <v>0</v>
      </c>
      <c r="BC15" s="156">
        <v>0</v>
      </c>
      <c r="BD15" s="156">
        <v>12</v>
      </c>
      <c r="BE15" s="156">
        <v>16</v>
      </c>
      <c r="BF15" s="156">
        <v>17</v>
      </c>
      <c r="BG15" s="156">
        <v>16</v>
      </c>
      <c r="BH15" s="156">
        <v>21</v>
      </c>
      <c r="BI15" s="156">
        <v>15</v>
      </c>
      <c r="BJ15" s="156">
        <v>15</v>
      </c>
      <c r="BK15" s="156">
        <v>21</v>
      </c>
      <c r="BL15" s="156">
        <v>17</v>
      </c>
      <c r="BM15" s="156">
        <v>17</v>
      </c>
      <c r="BN15" s="156">
        <v>21</v>
      </c>
      <c r="BO15" s="156">
        <v>21</v>
      </c>
      <c r="BP15" s="156">
        <v>21</v>
      </c>
      <c r="BQ15" s="156">
        <v>21</v>
      </c>
      <c r="BR15" s="156">
        <v>21</v>
      </c>
      <c r="BS15" s="156">
        <v>21</v>
      </c>
      <c r="BT15" s="156">
        <v>21</v>
      </c>
      <c r="BU15" s="156">
        <v>20</v>
      </c>
      <c r="BV15" s="156">
        <v>15</v>
      </c>
      <c r="BW15" s="156">
        <v>21</v>
      </c>
      <c r="BX15" s="156">
        <v>0</v>
      </c>
      <c r="BY15" s="156">
        <v>21</v>
      </c>
      <c r="BZ15" s="156">
        <v>17</v>
      </c>
      <c r="CA15" s="156">
        <v>21</v>
      </c>
      <c r="CB15" s="156">
        <v>21</v>
      </c>
      <c r="CC15" s="156">
        <v>0</v>
      </c>
      <c r="CD15" s="156">
        <v>12</v>
      </c>
      <c r="CE15" s="156">
        <v>11</v>
      </c>
      <c r="CF15" s="156">
        <v>17</v>
      </c>
      <c r="CG15" s="156">
        <v>21</v>
      </c>
      <c r="CH15" s="156">
        <v>21</v>
      </c>
      <c r="CI15" s="156">
        <v>17</v>
      </c>
      <c r="CJ15" s="156">
        <v>21</v>
      </c>
      <c r="CK15" s="156">
        <v>16</v>
      </c>
      <c r="CL15" s="156">
        <v>21</v>
      </c>
      <c r="CM15" s="156">
        <v>21</v>
      </c>
      <c r="CN15" s="156">
        <v>21</v>
      </c>
      <c r="CO15" s="156">
        <v>17</v>
      </c>
      <c r="CP15" s="156">
        <v>21</v>
      </c>
      <c r="CQ15" s="156">
        <v>21</v>
      </c>
      <c r="CR15" s="1007">
        <v>17</v>
      </c>
      <c r="CS15" s="167"/>
      <c r="CT15" s="157"/>
      <c r="CU15" s="165" t="s">
        <v>6</v>
      </c>
      <c r="CV15" s="160"/>
      <c r="CW15" s="160"/>
      <c r="CX15" s="160"/>
      <c r="CY15" s="160"/>
      <c r="CZ15" s="160"/>
      <c r="DA15" s="160"/>
      <c r="DB15" s="160"/>
      <c r="DC15" s="160"/>
      <c r="DD15" s="168">
        <v>8</v>
      </c>
      <c r="DE15" s="168">
        <v>10</v>
      </c>
      <c r="DF15" s="168">
        <v>10</v>
      </c>
      <c r="DG15" s="168">
        <v>10</v>
      </c>
      <c r="DH15" s="168">
        <v>10</v>
      </c>
      <c r="DI15" s="168">
        <v>12</v>
      </c>
      <c r="DJ15" s="168">
        <v>12</v>
      </c>
      <c r="DK15" s="168">
        <v>12</v>
      </c>
      <c r="DL15" s="168">
        <v>12</v>
      </c>
      <c r="DM15" s="168">
        <v>12</v>
      </c>
      <c r="DN15" s="168">
        <v>12</v>
      </c>
      <c r="DO15" s="168"/>
      <c r="DP15" s="168">
        <v>10</v>
      </c>
      <c r="DQ15" s="168">
        <v>10</v>
      </c>
      <c r="DR15" s="168">
        <v>1</v>
      </c>
      <c r="DS15" s="168">
        <v>1</v>
      </c>
      <c r="DT15" s="168">
        <v>1</v>
      </c>
      <c r="DU15" s="168">
        <v>4</v>
      </c>
      <c r="DV15" s="168">
        <v>8</v>
      </c>
      <c r="DW15" s="168">
        <v>1</v>
      </c>
      <c r="DX15" s="168">
        <v>10</v>
      </c>
      <c r="DY15" s="168"/>
      <c r="DZ15" s="168"/>
      <c r="EA15" s="168">
        <v>1</v>
      </c>
      <c r="EB15" s="148"/>
      <c r="EC15" s="148"/>
      <c r="ED15" s="148"/>
      <c r="EE15" s="148"/>
      <c r="EG15" s="148" t="s">
        <v>142</v>
      </c>
      <c r="EH15" s="148"/>
      <c r="EI15" s="148"/>
      <c r="EJ15" s="148"/>
      <c r="EK15" s="153"/>
      <c r="EL15" s="168">
        <v>1</v>
      </c>
      <c r="EM15" s="153"/>
      <c r="EN15" s="148"/>
      <c r="EO15" s="148"/>
      <c r="EP15" s="148"/>
      <c r="EQ15" s="148"/>
      <c r="ER15" s="148"/>
      <c r="ES15" s="148"/>
      <c r="ET15" s="148"/>
      <c r="EU15" s="148"/>
    </row>
    <row r="16" spans="1:151" ht="14.25" customHeight="1">
      <c r="A16" s="10"/>
      <c r="B16" s="60"/>
      <c r="G16" s="10"/>
      <c r="H16" s="135"/>
      <c r="I16" s="135"/>
      <c r="J16" s="136"/>
      <c r="K16" s="130"/>
      <c r="L16" s="130"/>
      <c r="M16" s="131"/>
      <c r="N16" s="143" t="s">
        <v>233</v>
      </c>
      <c r="O16" s="997">
        <v>12</v>
      </c>
      <c r="P16" s="997">
        <v>12</v>
      </c>
      <c r="Q16" s="997">
        <v>12</v>
      </c>
      <c r="R16" s="997">
        <v>14</v>
      </c>
      <c r="S16" s="997">
        <v>14</v>
      </c>
      <c r="T16" s="997">
        <v>14</v>
      </c>
      <c r="U16" s="997">
        <v>14</v>
      </c>
      <c r="V16" s="997">
        <v>14</v>
      </c>
      <c r="W16" s="997">
        <v>14</v>
      </c>
      <c r="X16" s="997">
        <v>14</v>
      </c>
      <c r="Y16" s="997">
        <v>14</v>
      </c>
      <c r="Z16" s="997">
        <v>14</v>
      </c>
      <c r="AA16" s="997">
        <v>11</v>
      </c>
      <c r="AB16" s="997">
        <v>11</v>
      </c>
      <c r="AC16" s="997">
        <v>11</v>
      </c>
      <c r="AD16" s="997">
        <v>16</v>
      </c>
      <c r="AE16" s="997">
        <v>16</v>
      </c>
      <c r="AF16" s="997">
        <v>16</v>
      </c>
      <c r="AG16" s="997">
        <v>16</v>
      </c>
      <c r="AH16" s="997">
        <v>16</v>
      </c>
      <c r="AI16" s="997">
        <v>16</v>
      </c>
      <c r="AJ16" s="997">
        <v>16</v>
      </c>
      <c r="AK16" s="997">
        <v>16</v>
      </c>
      <c r="AL16" s="997">
        <v>16</v>
      </c>
      <c r="AM16" s="997">
        <v>16</v>
      </c>
      <c r="AN16" s="997">
        <v>16</v>
      </c>
      <c r="AO16" s="997">
        <v>16</v>
      </c>
      <c r="AP16" s="997">
        <v>16</v>
      </c>
      <c r="AQ16" s="997">
        <v>16</v>
      </c>
      <c r="AR16" s="997">
        <v>16</v>
      </c>
      <c r="AS16" s="997">
        <v>16</v>
      </c>
      <c r="AT16" s="997">
        <v>16</v>
      </c>
      <c r="AU16" s="997">
        <v>16</v>
      </c>
      <c r="AV16" s="997">
        <v>16</v>
      </c>
      <c r="AW16" s="997">
        <v>16</v>
      </c>
      <c r="AX16" s="997">
        <v>16</v>
      </c>
      <c r="AY16" s="997">
        <v>16</v>
      </c>
      <c r="AZ16" s="997">
        <v>16</v>
      </c>
      <c r="BA16" s="997">
        <v>16</v>
      </c>
      <c r="BB16" s="997">
        <v>16</v>
      </c>
      <c r="BC16" s="997">
        <v>16</v>
      </c>
      <c r="BD16" s="997">
        <v>13</v>
      </c>
      <c r="BE16" s="997">
        <v>0</v>
      </c>
      <c r="BF16" s="997">
        <v>0</v>
      </c>
      <c r="BG16" s="997">
        <v>0</v>
      </c>
      <c r="BH16" s="997">
        <v>0</v>
      </c>
      <c r="BI16" s="997">
        <v>0</v>
      </c>
      <c r="BJ16" s="997">
        <v>0</v>
      </c>
      <c r="BK16" s="997">
        <v>0</v>
      </c>
      <c r="BL16" s="997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18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18</v>
      </c>
      <c r="CE16" s="161">
        <v>18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001">
        <v>18</v>
      </c>
      <c r="CS16" s="163"/>
      <c r="CT16" s="164"/>
      <c r="CU16" s="165" t="s">
        <v>143</v>
      </c>
      <c r="CV16" s="160"/>
      <c r="CW16" s="160"/>
      <c r="CX16" s="160"/>
      <c r="CY16" s="160"/>
      <c r="CZ16" s="160"/>
      <c r="DA16" s="160"/>
      <c r="DB16" s="160"/>
      <c r="DC16" s="160"/>
      <c r="DD16" s="168">
        <v>16</v>
      </c>
      <c r="DE16" s="168">
        <v>18</v>
      </c>
      <c r="DF16" s="168">
        <v>18</v>
      </c>
      <c r="DG16" s="168">
        <v>17</v>
      </c>
      <c r="DH16" s="168">
        <v>15</v>
      </c>
      <c r="DI16" s="168">
        <v>17</v>
      </c>
      <c r="DJ16" s="168">
        <v>17</v>
      </c>
      <c r="DK16" s="168">
        <v>17</v>
      </c>
      <c r="DL16" s="168">
        <v>17</v>
      </c>
      <c r="DM16" s="168">
        <v>17</v>
      </c>
      <c r="DN16" s="168">
        <v>17</v>
      </c>
      <c r="DO16" s="168"/>
      <c r="DP16" s="168">
        <v>15</v>
      </c>
      <c r="DQ16" s="168">
        <v>18</v>
      </c>
      <c r="DR16" s="168">
        <v>10</v>
      </c>
      <c r="DS16" s="168">
        <v>60</v>
      </c>
      <c r="DT16" s="168">
        <v>19</v>
      </c>
      <c r="DU16" s="168">
        <v>15</v>
      </c>
      <c r="DV16" s="168">
        <v>19</v>
      </c>
      <c r="DW16" s="168">
        <v>60</v>
      </c>
      <c r="DX16" s="168">
        <v>25</v>
      </c>
      <c r="DY16" s="168"/>
      <c r="DZ16" s="168"/>
      <c r="EA16" s="168">
        <v>21</v>
      </c>
      <c r="EB16" s="148"/>
      <c r="EC16" s="148"/>
      <c r="ED16" s="148"/>
      <c r="EE16" s="148"/>
      <c r="EG16" s="110" t="s">
        <v>144</v>
      </c>
      <c r="EK16" s="153"/>
      <c r="EL16" s="477">
        <v>36</v>
      </c>
      <c r="EM16" s="153"/>
      <c r="EN16" s="148"/>
      <c r="EO16" s="148"/>
      <c r="EP16" s="148"/>
      <c r="EQ16" s="148"/>
      <c r="ER16" s="148"/>
      <c r="ES16" s="148"/>
      <c r="ET16" s="148"/>
      <c r="EU16" s="148"/>
    </row>
    <row r="17" spans="1:176">
      <c r="A17" s="10"/>
      <c r="B17" s="60"/>
      <c r="G17" s="10"/>
      <c r="H17" s="135"/>
      <c r="I17" s="135"/>
      <c r="J17" s="136"/>
      <c r="K17" s="130"/>
      <c r="L17" s="130"/>
      <c r="M17" s="131"/>
      <c r="N17" s="143" t="s">
        <v>234</v>
      </c>
      <c r="O17" s="156">
        <v>15</v>
      </c>
      <c r="P17" s="156">
        <v>15</v>
      </c>
      <c r="Q17" s="156">
        <v>15</v>
      </c>
      <c r="R17" s="156">
        <v>15</v>
      </c>
      <c r="S17" s="156">
        <v>15</v>
      </c>
      <c r="T17" s="156">
        <v>15</v>
      </c>
      <c r="U17" s="156">
        <v>15</v>
      </c>
      <c r="V17" s="156">
        <v>15</v>
      </c>
      <c r="W17" s="156">
        <v>15</v>
      </c>
      <c r="X17" s="156">
        <v>16</v>
      </c>
      <c r="Y17" s="156">
        <v>16</v>
      </c>
      <c r="Z17" s="156">
        <v>16</v>
      </c>
      <c r="AA17" s="156">
        <v>14</v>
      </c>
      <c r="AB17" s="156">
        <v>14</v>
      </c>
      <c r="AC17" s="156">
        <v>14</v>
      </c>
      <c r="AD17" s="156">
        <v>0</v>
      </c>
      <c r="AE17" s="156">
        <v>0</v>
      </c>
      <c r="AF17" s="156">
        <v>0</v>
      </c>
      <c r="AG17" s="156">
        <v>0</v>
      </c>
      <c r="AH17" s="156">
        <v>0</v>
      </c>
      <c r="AI17" s="156">
        <v>0</v>
      </c>
      <c r="AJ17" s="156">
        <v>0</v>
      </c>
      <c r="AK17" s="156">
        <v>0</v>
      </c>
      <c r="AL17" s="156">
        <v>0</v>
      </c>
      <c r="AM17" s="156">
        <v>0</v>
      </c>
      <c r="AN17" s="156">
        <v>0</v>
      </c>
      <c r="AO17" s="156">
        <v>0</v>
      </c>
      <c r="AP17" s="156">
        <v>0</v>
      </c>
      <c r="AQ17" s="156">
        <v>0</v>
      </c>
      <c r="AR17" s="156">
        <v>0</v>
      </c>
      <c r="AS17" s="156">
        <v>0</v>
      </c>
      <c r="AT17" s="156">
        <v>0</v>
      </c>
      <c r="AU17" s="156">
        <v>0</v>
      </c>
      <c r="AV17" s="156">
        <v>0</v>
      </c>
      <c r="AW17" s="156">
        <v>0</v>
      </c>
      <c r="AX17" s="156">
        <v>0</v>
      </c>
      <c r="AY17" s="156">
        <v>0</v>
      </c>
      <c r="AZ17" s="156">
        <v>0</v>
      </c>
      <c r="BA17" s="156">
        <v>0</v>
      </c>
      <c r="BB17" s="156">
        <v>0</v>
      </c>
      <c r="BC17" s="156">
        <v>0</v>
      </c>
      <c r="BD17" s="156">
        <v>16</v>
      </c>
      <c r="BE17" s="156">
        <v>0</v>
      </c>
      <c r="BF17" s="156">
        <v>0</v>
      </c>
      <c r="BG17" s="156">
        <v>0</v>
      </c>
      <c r="BH17" s="156">
        <v>0</v>
      </c>
      <c r="BI17" s="156">
        <v>0</v>
      </c>
      <c r="BJ17" s="156">
        <v>0</v>
      </c>
      <c r="BK17" s="156">
        <v>0</v>
      </c>
      <c r="BL17" s="999">
        <v>0</v>
      </c>
      <c r="BM17" s="999">
        <v>0</v>
      </c>
      <c r="BN17" s="999">
        <v>0</v>
      </c>
      <c r="BO17" s="999">
        <v>0</v>
      </c>
      <c r="BP17" s="999">
        <v>0</v>
      </c>
      <c r="BQ17" s="999">
        <v>0</v>
      </c>
      <c r="BR17" s="999">
        <v>0</v>
      </c>
      <c r="BS17" s="999">
        <v>0</v>
      </c>
      <c r="BT17" s="999">
        <v>0</v>
      </c>
      <c r="BU17" s="999">
        <v>0</v>
      </c>
      <c r="BV17" s="999">
        <v>21</v>
      </c>
      <c r="BW17" s="999">
        <v>0</v>
      </c>
      <c r="BX17" s="999">
        <v>0</v>
      </c>
      <c r="BY17" s="999">
        <v>0</v>
      </c>
      <c r="BZ17" s="999">
        <v>0</v>
      </c>
      <c r="CA17" s="999">
        <v>0</v>
      </c>
      <c r="CB17" s="999">
        <v>0</v>
      </c>
      <c r="CC17" s="999">
        <v>0</v>
      </c>
      <c r="CD17" s="999">
        <v>0</v>
      </c>
      <c r="CE17" s="999">
        <v>20</v>
      </c>
      <c r="CF17" s="999">
        <v>0</v>
      </c>
      <c r="CG17" s="999">
        <v>0</v>
      </c>
      <c r="CH17" s="999">
        <v>0</v>
      </c>
      <c r="CI17" s="999">
        <v>0</v>
      </c>
      <c r="CJ17" s="999">
        <v>0</v>
      </c>
      <c r="CK17" s="999">
        <v>0</v>
      </c>
      <c r="CL17" s="999">
        <v>0</v>
      </c>
      <c r="CM17" s="999">
        <v>0</v>
      </c>
      <c r="CN17" s="999">
        <v>0</v>
      </c>
      <c r="CO17" s="999">
        <v>0</v>
      </c>
      <c r="CP17" s="999">
        <v>0</v>
      </c>
      <c r="CQ17" s="999">
        <v>0</v>
      </c>
      <c r="CR17" s="1000">
        <v>21</v>
      </c>
      <c r="CS17" s="167"/>
      <c r="CT17" s="157"/>
      <c r="CU17" s="165"/>
      <c r="CV17" s="160"/>
      <c r="CW17" s="160"/>
      <c r="CX17" s="160"/>
      <c r="CY17" s="160"/>
      <c r="CZ17" s="160"/>
      <c r="DA17" s="160"/>
      <c r="DB17" s="160"/>
      <c r="DC17" s="160"/>
      <c r="DD17" s="160"/>
      <c r="DE17" s="160"/>
      <c r="DF17" s="160"/>
      <c r="DG17" s="160"/>
      <c r="DH17" s="160"/>
      <c r="DI17" s="160"/>
      <c r="DJ17" s="160"/>
      <c r="DK17" s="160"/>
      <c r="DL17" s="160"/>
      <c r="DM17" s="160"/>
      <c r="DN17" s="160"/>
      <c r="DO17" s="160"/>
      <c r="DP17" s="160"/>
      <c r="DQ17" s="160"/>
      <c r="DR17" s="160"/>
      <c r="DS17" s="160"/>
      <c r="DT17" s="160"/>
      <c r="DU17" s="160"/>
      <c r="DV17" s="160"/>
      <c r="DW17" s="160"/>
      <c r="DX17" s="160"/>
      <c r="DY17" s="160"/>
      <c r="DZ17" s="160"/>
      <c r="EA17" s="160"/>
      <c r="EB17" s="148"/>
      <c r="EC17" s="148"/>
      <c r="ED17" s="148"/>
      <c r="EE17" s="148"/>
      <c r="EF17" s="169"/>
      <c r="EK17" s="153"/>
      <c r="EL17" s="153"/>
      <c r="EM17" s="153"/>
      <c r="EN17" s="148"/>
      <c r="EO17" s="148"/>
      <c r="EP17" s="148"/>
      <c r="EQ17" s="148"/>
      <c r="ER17" s="148"/>
      <c r="ES17" s="148"/>
      <c r="ET17" s="148"/>
      <c r="EU17" s="148"/>
    </row>
    <row r="18" spans="1:176" ht="14.25" customHeight="1" thickBot="1">
      <c r="A18" s="10"/>
      <c r="B18" s="60"/>
      <c r="G18" s="10"/>
      <c r="H18" s="135"/>
      <c r="I18" s="135"/>
      <c r="J18" s="136"/>
      <c r="K18" s="130"/>
      <c r="L18" s="130"/>
      <c r="M18" s="131"/>
      <c r="N18" s="143" t="s">
        <v>235</v>
      </c>
      <c r="O18" s="997">
        <v>0</v>
      </c>
      <c r="P18" s="997">
        <v>0</v>
      </c>
      <c r="Q18" s="997">
        <v>0</v>
      </c>
      <c r="R18" s="997">
        <v>0</v>
      </c>
      <c r="S18" s="997">
        <v>0</v>
      </c>
      <c r="T18" s="997">
        <v>0</v>
      </c>
      <c r="U18" s="997">
        <v>0</v>
      </c>
      <c r="V18" s="997">
        <v>0</v>
      </c>
      <c r="W18" s="997">
        <v>0</v>
      </c>
      <c r="X18" s="997">
        <v>0</v>
      </c>
      <c r="Y18" s="997">
        <v>0</v>
      </c>
      <c r="Z18" s="997">
        <v>0</v>
      </c>
      <c r="AA18" s="997">
        <v>0</v>
      </c>
      <c r="AB18" s="997">
        <v>0</v>
      </c>
      <c r="AC18" s="997">
        <v>0</v>
      </c>
      <c r="AD18" s="997">
        <v>0</v>
      </c>
      <c r="AE18" s="997">
        <v>0</v>
      </c>
      <c r="AF18" s="997">
        <v>0</v>
      </c>
      <c r="AG18" s="997">
        <v>0</v>
      </c>
      <c r="AH18" s="997">
        <v>0</v>
      </c>
      <c r="AI18" s="997">
        <v>0</v>
      </c>
      <c r="AJ18" s="997">
        <v>0</v>
      </c>
      <c r="AK18" s="997">
        <v>0</v>
      </c>
      <c r="AL18" s="997">
        <v>0</v>
      </c>
      <c r="AM18" s="997">
        <v>0</v>
      </c>
      <c r="AN18" s="997">
        <v>0</v>
      </c>
      <c r="AO18" s="997">
        <v>0</v>
      </c>
      <c r="AP18" s="997">
        <v>0</v>
      </c>
      <c r="AQ18" s="997">
        <v>0</v>
      </c>
      <c r="AR18" s="997">
        <v>0</v>
      </c>
      <c r="AS18" s="997">
        <v>0</v>
      </c>
      <c r="AT18" s="997">
        <v>0</v>
      </c>
      <c r="AU18" s="997">
        <v>0</v>
      </c>
      <c r="AV18" s="997">
        <v>0</v>
      </c>
      <c r="AW18" s="997">
        <v>0</v>
      </c>
      <c r="AX18" s="997">
        <v>0</v>
      </c>
      <c r="AY18" s="997">
        <v>0</v>
      </c>
      <c r="AZ18" s="997">
        <v>0</v>
      </c>
      <c r="BA18" s="997">
        <v>0</v>
      </c>
      <c r="BB18" s="161">
        <v>0</v>
      </c>
      <c r="BC18" s="161">
        <v>0</v>
      </c>
      <c r="BD18" s="161">
        <v>0</v>
      </c>
      <c r="BE18" s="161">
        <v>0</v>
      </c>
      <c r="BF18" s="161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3"/>
      <c r="CT18" s="164"/>
      <c r="CU18" s="170"/>
      <c r="CV18" s="148"/>
      <c r="CW18" s="148"/>
      <c r="CX18" s="148"/>
      <c r="CY18" s="148"/>
      <c r="CZ18" s="148"/>
      <c r="DA18" s="148"/>
      <c r="DB18" s="148">
        <f>'Estimate Summary'!D14+270</f>
        <v>43861</v>
      </c>
      <c r="DC18" s="148"/>
      <c r="DD18" s="148"/>
      <c r="DE18" s="148"/>
      <c r="DF18" s="148"/>
      <c r="DG18" s="148"/>
      <c r="DH18" s="148"/>
      <c r="DI18" s="148"/>
      <c r="DJ18" s="148"/>
      <c r="DK18" s="148"/>
      <c r="DL18" s="148"/>
      <c r="DM18" s="148"/>
      <c r="DN18" s="148"/>
      <c r="DO18" s="148"/>
      <c r="DP18" s="148"/>
      <c r="DQ18" s="148"/>
      <c r="DR18" s="148"/>
      <c r="DS18" s="148"/>
      <c r="DT18" s="148"/>
      <c r="DU18" s="148"/>
      <c r="DV18" s="148"/>
      <c r="DW18" s="148"/>
      <c r="DX18" s="148"/>
      <c r="DY18" s="148"/>
      <c r="DZ18" s="148"/>
      <c r="EA18" s="148"/>
      <c r="EB18" s="148"/>
      <c r="EC18" s="148"/>
      <c r="EE18" s="148"/>
      <c r="EF18" s="169" t="s">
        <v>351</v>
      </c>
      <c r="EG18" s="169" t="s">
        <v>316</v>
      </c>
      <c r="EH18" s="169" t="s">
        <v>317</v>
      </c>
      <c r="EI18" s="169" t="s">
        <v>318</v>
      </c>
      <c r="EJ18" s="169" t="s">
        <v>319</v>
      </c>
      <c r="EK18" s="153"/>
      <c r="EL18" s="153"/>
      <c r="EM18" s="153"/>
      <c r="EN18" s="148"/>
      <c r="EO18" s="148"/>
      <c r="EP18" s="148"/>
      <c r="EQ18" s="148"/>
      <c r="ER18" s="148"/>
      <c r="ES18" s="148"/>
      <c r="ET18" s="148"/>
      <c r="EU18" s="148"/>
    </row>
    <row r="19" spans="1:176" ht="26.25" thickTop="1">
      <c r="A19" s="10"/>
      <c r="B19" s="60"/>
      <c r="G19" s="10"/>
      <c r="H19" s="135"/>
      <c r="I19" s="135"/>
      <c r="J19" s="136"/>
      <c r="K19" s="130"/>
      <c r="L19" s="130"/>
      <c r="M19" s="131"/>
      <c r="N19" s="143" t="s">
        <v>237</v>
      </c>
      <c r="O19" s="156">
        <v>0</v>
      </c>
      <c r="P19" s="156">
        <v>0</v>
      </c>
      <c r="Q19" s="156">
        <v>0</v>
      </c>
      <c r="R19" s="156">
        <v>0</v>
      </c>
      <c r="S19" s="156">
        <v>0</v>
      </c>
      <c r="T19" s="156">
        <v>0</v>
      </c>
      <c r="U19" s="156">
        <v>0</v>
      </c>
      <c r="V19" s="156">
        <v>0</v>
      </c>
      <c r="W19" s="156">
        <v>0</v>
      </c>
      <c r="X19" s="156">
        <v>0</v>
      </c>
      <c r="Y19" s="156">
        <v>0</v>
      </c>
      <c r="Z19" s="156">
        <v>0</v>
      </c>
      <c r="AA19" s="156">
        <v>0</v>
      </c>
      <c r="AB19" s="156">
        <v>0</v>
      </c>
      <c r="AC19" s="156">
        <v>0</v>
      </c>
      <c r="AD19" s="156">
        <v>0</v>
      </c>
      <c r="AE19" s="156">
        <v>0</v>
      </c>
      <c r="AF19" s="156">
        <v>0</v>
      </c>
      <c r="AG19" s="156">
        <v>0</v>
      </c>
      <c r="AH19" s="156">
        <v>0</v>
      </c>
      <c r="AI19" s="156">
        <v>0</v>
      </c>
      <c r="AJ19" s="156">
        <v>0</v>
      </c>
      <c r="AK19" s="156">
        <v>0</v>
      </c>
      <c r="AL19" s="156">
        <v>0</v>
      </c>
      <c r="AM19" s="156">
        <v>0</v>
      </c>
      <c r="AN19" s="156">
        <v>0</v>
      </c>
      <c r="AO19" s="156">
        <v>0</v>
      </c>
      <c r="AP19" s="156">
        <v>0</v>
      </c>
      <c r="AQ19" s="156">
        <v>0</v>
      </c>
      <c r="AR19" s="156">
        <v>0</v>
      </c>
      <c r="AS19" s="156">
        <v>0</v>
      </c>
      <c r="AT19" s="156">
        <v>0</v>
      </c>
      <c r="AU19" s="156">
        <v>0</v>
      </c>
      <c r="AV19" s="156">
        <v>0</v>
      </c>
      <c r="AW19" s="156">
        <v>0</v>
      </c>
      <c r="AX19" s="156">
        <v>0</v>
      </c>
      <c r="AY19" s="156">
        <v>0</v>
      </c>
      <c r="AZ19" s="156">
        <v>0</v>
      </c>
      <c r="BA19" s="156">
        <v>0</v>
      </c>
      <c r="BB19" s="156">
        <v>0</v>
      </c>
      <c r="BC19" s="156">
        <v>0</v>
      </c>
      <c r="BD19" s="156">
        <v>0</v>
      </c>
      <c r="BE19" s="156">
        <v>0</v>
      </c>
      <c r="BF19" s="156">
        <v>0</v>
      </c>
      <c r="BG19" s="156">
        <v>0</v>
      </c>
      <c r="BH19" s="156">
        <v>0</v>
      </c>
      <c r="BI19" s="156">
        <v>0</v>
      </c>
      <c r="BJ19" s="156">
        <v>0</v>
      </c>
      <c r="BK19" s="156">
        <v>0</v>
      </c>
      <c r="BL19" s="156">
        <v>0</v>
      </c>
      <c r="BM19" s="156">
        <v>0</v>
      </c>
      <c r="BN19" s="156">
        <v>0</v>
      </c>
      <c r="BO19" s="156">
        <v>0</v>
      </c>
      <c r="BP19" s="156">
        <v>0</v>
      </c>
      <c r="BQ19" s="156">
        <v>0</v>
      </c>
      <c r="BR19" s="156">
        <v>0</v>
      </c>
      <c r="BS19" s="156">
        <v>0</v>
      </c>
      <c r="BT19" s="156">
        <v>0</v>
      </c>
      <c r="BU19" s="156">
        <v>0</v>
      </c>
      <c r="BV19" s="156">
        <v>0</v>
      </c>
      <c r="BW19" s="156">
        <v>0</v>
      </c>
      <c r="BX19" s="156">
        <v>0</v>
      </c>
      <c r="BY19" s="156">
        <v>0</v>
      </c>
      <c r="BZ19" s="156">
        <v>0</v>
      </c>
      <c r="CA19" s="156">
        <v>0</v>
      </c>
      <c r="CB19" s="156">
        <v>0</v>
      </c>
      <c r="CC19" s="156">
        <v>0</v>
      </c>
      <c r="CD19" s="156">
        <v>0</v>
      </c>
      <c r="CE19" s="156">
        <v>0</v>
      </c>
      <c r="CF19" s="156">
        <v>0</v>
      </c>
      <c r="CG19" s="156">
        <v>0</v>
      </c>
      <c r="CH19" s="156">
        <v>0</v>
      </c>
      <c r="CI19" s="156">
        <v>0</v>
      </c>
      <c r="CJ19" s="156">
        <v>0</v>
      </c>
      <c r="CK19" s="156">
        <v>0</v>
      </c>
      <c r="CL19" s="156">
        <v>0</v>
      </c>
      <c r="CM19" s="156">
        <v>0</v>
      </c>
      <c r="CN19" s="156">
        <v>0</v>
      </c>
      <c r="CO19" s="156">
        <v>0</v>
      </c>
      <c r="CP19" s="156">
        <v>0</v>
      </c>
      <c r="CQ19" s="156">
        <v>0</v>
      </c>
      <c r="CR19" s="156">
        <v>0</v>
      </c>
      <c r="CS19" s="167"/>
      <c r="CT19" s="157"/>
      <c r="CU19" s="170"/>
      <c r="CV19" s="148"/>
      <c r="CW19" s="148"/>
      <c r="CX19" s="148"/>
      <c r="CY19" s="148"/>
      <c r="CZ19" s="148"/>
      <c r="DA19" s="148"/>
      <c r="DB19" s="148"/>
      <c r="DC19" s="148"/>
      <c r="DD19" s="148"/>
      <c r="DE19" s="148"/>
      <c r="DF19" s="148"/>
      <c r="DG19" s="148"/>
      <c r="DH19" s="148"/>
      <c r="DI19" s="148"/>
      <c r="DJ19" s="148"/>
      <c r="DK19" s="148"/>
      <c r="DL19" s="148"/>
      <c r="DM19" s="148"/>
      <c r="DN19" s="148"/>
      <c r="DO19" s="148"/>
      <c r="DP19" s="148"/>
      <c r="DQ19" s="148"/>
      <c r="DR19" s="148"/>
      <c r="DS19" s="148"/>
      <c r="DT19" s="148"/>
      <c r="DU19" s="148"/>
      <c r="DV19" s="148"/>
      <c r="DW19" s="148"/>
      <c r="DX19" s="148"/>
      <c r="DY19" s="148"/>
      <c r="DZ19" s="148"/>
      <c r="EA19" s="148"/>
      <c r="EB19" s="171" t="s">
        <v>187</v>
      </c>
      <c r="EC19" s="172"/>
      <c r="ED19" s="173" t="e">
        <f ca="1">'Estimate Summary'!N57</f>
        <v>#N/A</v>
      </c>
      <c r="EE19" s="174"/>
      <c r="EF19" s="2712" t="s">
        <v>145</v>
      </c>
      <c r="EG19" s="2712"/>
      <c r="EH19" s="2712"/>
      <c r="EI19" s="2712"/>
      <c r="EJ19" s="175"/>
      <c r="EK19" s="153"/>
      <c r="EL19" s="153"/>
      <c r="EM19" s="153"/>
      <c r="EN19" s="148"/>
      <c r="EO19" s="148"/>
      <c r="EP19" s="148"/>
      <c r="EQ19" s="148"/>
      <c r="ER19" s="148"/>
      <c r="ES19" s="148"/>
      <c r="ET19" s="148"/>
      <c r="EU19" s="148"/>
    </row>
    <row r="20" spans="1:176" ht="14.25" customHeight="1" thickBot="1">
      <c r="A20" s="10"/>
      <c r="B20" s="60"/>
      <c r="G20" s="10"/>
      <c r="H20" s="135"/>
      <c r="J20" s="154" t="s">
        <v>188</v>
      </c>
      <c r="K20" s="130"/>
      <c r="L20" s="130"/>
      <c r="M20" s="131"/>
      <c r="N20" s="143" t="s">
        <v>166</v>
      </c>
      <c r="O20" s="998">
        <v>36</v>
      </c>
      <c r="P20" s="998">
        <v>36</v>
      </c>
      <c r="Q20" s="998">
        <v>36</v>
      </c>
      <c r="R20" s="998">
        <v>36</v>
      </c>
      <c r="S20" s="998">
        <v>36</v>
      </c>
      <c r="T20" s="998">
        <v>36</v>
      </c>
      <c r="U20" s="998">
        <v>36</v>
      </c>
      <c r="V20" s="998">
        <v>36</v>
      </c>
      <c r="W20" s="998">
        <v>36</v>
      </c>
      <c r="X20" s="998">
        <v>36</v>
      </c>
      <c r="Y20" s="998">
        <v>36</v>
      </c>
      <c r="Z20" s="998">
        <v>36</v>
      </c>
      <c r="AA20" s="998">
        <v>36</v>
      </c>
      <c r="AB20" s="998">
        <v>36</v>
      </c>
      <c r="AC20" s="998">
        <v>36</v>
      </c>
      <c r="AD20" s="998">
        <v>36</v>
      </c>
      <c r="AE20" s="998">
        <v>36</v>
      </c>
      <c r="AF20" s="998">
        <v>36</v>
      </c>
      <c r="AG20" s="998">
        <v>36</v>
      </c>
      <c r="AH20" s="998">
        <v>36</v>
      </c>
      <c r="AI20" s="998">
        <v>36</v>
      </c>
      <c r="AJ20" s="998">
        <v>36</v>
      </c>
      <c r="AK20" s="998">
        <v>36</v>
      </c>
      <c r="AL20" s="998">
        <v>36</v>
      </c>
      <c r="AM20" s="998">
        <v>36</v>
      </c>
      <c r="AN20" s="998">
        <v>36</v>
      </c>
      <c r="AO20" s="998">
        <v>36</v>
      </c>
      <c r="AP20" s="998">
        <v>36</v>
      </c>
      <c r="AQ20" s="998">
        <v>36</v>
      </c>
      <c r="AR20" s="998">
        <v>36</v>
      </c>
      <c r="AS20" s="998">
        <v>36</v>
      </c>
      <c r="AT20" s="998">
        <v>36</v>
      </c>
      <c r="AU20" s="998">
        <v>36</v>
      </c>
      <c r="AV20" s="998">
        <v>36</v>
      </c>
      <c r="AW20" s="998">
        <v>36</v>
      </c>
      <c r="AX20" s="998">
        <v>36</v>
      </c>
      <c r="AY20" s="998">
        <v>36</v>
      </c>
      <c r="AZ20" s="998">
        <v>36</v>
      </c>
      <c r="BA20" s="998">
        <v>36</v>
      </c>
      <c r="BB20" s="998">
        <v>36</v>
      </c>
      <c r="BC20" s="998">
        <v>36</v>
      </c>
      <c r="BD20" s="998">
        <v>36</v>
      </c>
      <c r="BE20" s="998">
        <v>36</v>
      </c>
      <c r="BF20" s="998">
        <v>36</v>
      </c>
      <c r="BG20" s="998">
        <v>36</v>
      </c>
      <c r="BH20" s="998">
        <v>36</v>
      </c>
      <c r="BI20" s="998">
        <v>36</v>
      </c>
      <c r="BJ20" s="998">
        <v>36</v>
      </c>
      <c r="BK20" s="998">
        <v>36</v>
      </c>
      <c r="BL20" s="998">
        <v>36</v>
      </c>
      <c r="BM20" s="998">
        <v>36</v>
      </c>
      <c r="BN20" s="998">
        <v>36</v>
      </c>
      <c r="BO20" s="998">
        <v>36</v>
      </c>
      <c r="BP20" s="998">
        <v>36</v>
      </c>
      <c r="BQ20" s="998">
        <v>36</v>
      </c>
      <c r="BR20" s="998">
        <v>36</v>
      </c>
      <c r="BS20" s="998">
        <v>36</v>
      </c>
      <c r="BT20" s="998">
        <v>36</v>
      </c>
      <c r="BU20" s="998">
        <v>36</v>
      </c>
      <c r="BV20" s="998">
        <v>36</v>
      </c>
      <c r="BW20" s="998">
        <v>36</v>
      </c>
      <c r="BX20" s="998">
        <v>36</v>
      </c>
      <c r="BY20" s="998">
        <v>36</v>
      </c>
      <c r="BZ20" s="998">
        <v>36</v>
      </c>
      <c r="CA20" s="998">
        <v>36</v>
      </c>
      <c r="CB20" s="998">
        <v>36</v>
      </c>
      <c r="CC20" s="998">
        <v>36</v>
      </c>
      <c r="CD20" s="998">
        <v>36</v>
      </c>
      <c r="CE20" s="998">
        <v>36</v>
      </c>
      <c r="CF20" s="998">
        <v>36</v>
      </c>
      <c r="CG20" s="998">
        <v>36</v>
      </c>
      <c r="CH20" s="998">
        <v>36</v>
      </c>
      <c r="CI20" s="998">
        <v>36</v>
      </c>
      <c r="CJ20" s="998">
        <v>36</v>
      </c>
      <c r="CK20" s="998">
        <v>36</v>
      </c>
      <c r="CL20" s="998">
        <v>36</v>
      </c>
      <c r="CM20" s="998">
        <v>36</v>
      </c>
      <c r="CN20" s="998">
        <v>36</v>
      </c>
      <c r="CO20" s="998">
        <v>36</v>
      </c>
      <c r="CP20" s="998">
        <v>36</v>
      </c>
      <c r="CQ20" s="998">
        <v>36</v>
      </c>
      <c r="CR20" s="998"/>
      <c r="CS20" s="176"/>
      <c r="CT20" s="176"/>
      <c r="CU20" s="177"/>
      <c r="CV20" s="178"/>
      <c r="CW20" s="178"/>
      <c r="CX20" s="178"/>
      <c r="CY20" s="178"/>
      <c r="CZ20" s="178"/>
      <c r="DA20" s="178"/>
      <c r="DB20" s="178"/>
      <c r="DC20" s="178"/>
      <c r="DD20" s="179"/>
      <c r="DE20" s="179"/>
      <c r="DF20" s="179"/>
      <c r="DG20" s="179"/>
      <c r="DH20" s="179"/>
      <c r="DI20" s="179"/>
      <c r="DJ20" s="179"/>
      <c r="DK20" s="179"/>
      <c r="DL20" s="179"/>
      <c r="DM20" s="179"/>
      <c r="DN20" s="179"/>
      <c r="DO20" s="179"/>
      <c r="DP20" s="179"/>
      <c r="DQ20" s="179"/>
      <c r="DR20" s="179"/>
      <c r="DS20" s="179"/>
      <c r="DT20" s="179"/>
      <c r="DU20" s="179"/>
      <c r="DV20" s="179"/>
      <c r="DW20" s="179"/>
      <c r="DX20" s="179"/>
      <c r="DY20" s="179"/>
      <c r="DZ20" s="179"/>
      <c r="EA20" s="179"/>
      <c r="EB20" s="180"/>
      <c r="EC20" s="181"/>
      <c r="ED20" s="182"/>
      <c r="EK20" s="183"/>
      <c r="EL20" s="183"/>
      <c r="EM20" s="153"/>
      <c r="EO20" s="60"/>
    </row>
    <row r="21" spans="1:176" ht="14.25" customHeight="1" thickBot="1">
      <c r="A21" s="10"/>
      <c r="B21" s="2"/>
      <c r="G21" s="10"/>
      <c r="H21" s="135"/>
      <c r="J21" s="154"/>
      <c r="K21" s="130"/>
      <c r="L21" s="130"/>
      <c r="M21" s="130"/>
      <c r="N21" s="184" t="s">
        <v>85</v>
      </c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5"/>
      <c r="AC21" s="185"/>
      <c r="AD21" s="185"/>
      <c r="AE21" s="185"/>
      <c r="AF21" s="185"/>
      <c r="AG21" s="185"/>
      <c r="AH21" s="185"/>
      <c r="AI21" s="185"/>
      <c r="AJ21" s="185"/>
      <c r="AK21" s="185"/>
      <c r="AL21" s="185"/>
      <c r="AM21" s="185"/>
      <c r="AN21" s="185"/>
      <c r="AO21" s="185"/>
      <c r="AP21" s="185"/>
      <c r="AQ21" s="185"/>
      <c r="AR21" s="185"/>
      <c r="AS21" s="185"/>
      <c r="AT21" s="185"/>
      <c r="AU21" s="185"/>
      <c r="AV21" s="185"/>
      <c r="AW21" s="185"/>
      <c r="AX21" s="185"/>
      <c r="AY21" s="185"/>
      <c r="AZ21" s="185"/>
      <c r="BA21" s="185"/>
      <c r="BB21" s="185"/>
      <c r="BC21" s="185"/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/>
      <c r="BY21" s="186"/>
      <c r="BZ21" s="186"/>
      <c r="CA21" s="187"/>
      <c r="CB21" s="187"/>
      <c r="CC21" s="186"/>
      <c r="CD21" s="187"/>
      <c r="CE21" s="187"/>
      <c r="CF21" s="187"/>
      <c r="CG21" s="187"/>
      <c r="CH21" s="187"/>
      <c r="CI21" s="187"/>
      <c r="CJ21" s="187"/>
      <c r="CK21" s="187"/>
      <c r="CL21" s="187"/>
      <c r="CM21" s="187"/>
      <c r="CN21" s="187"/>
      <c r="CO21" s="187"/>
      <c r="CP21" s="187"/>
      <c r="CQ21" s="187"/>
      <c r="CR21" s="187"/>
      <c r="CS21" s="187"/>
      <c r="CT21" s="187"/>
      <c r="CU21" s="178"/>
      <c r="CV21" s="178"/>
      <c r="CW21" s="178"/>
      <c r="CX21" s="178"/>
      <c r="CY21" s="178"/>
      <c r="CZ21" s="178"/>
      <c r="DA21" s="178"/>
      <c r="DB21" s="178"/>
      <c r="DC21" s="178"/>
      <c r="DD21" s="179"/>
      <c r="DE21" s="179"/>
      <c r="DF21" s="179"/>
      <c r="DG21" s="179"/>
      <c r="DH21" s="179"/>
      <c r="DI21" s="179"/>
      <c r="DJ21" s="179"/>
      <c r="DK21" s="179"/>
      <c r="DL21" s="179"/>
      <c r="DM21" s="179"/>
      <c r="DN21" s="179"/>
      <c r="DO21" s="179"/>
      <c r="DP21" s="179"/>
      <c r="DQ21" s="179"/>
      <c r="DR21" s="179"/>
      <c r="DS21" s="179"/>
      <c r="DT21" s="179"/>
      <c r="DU21" s="179"/>
      <c r="DV21" s="179"/>
      <c r="DW21" s="179"/>
      <c r="DX21" s="179"/>
      <c r="DY21" s="179"/>
      <c r="DZ21" s="179"/>
      <c r="EA21" s="179"/>
      <c r="EB21" s="188"/>
      <c r="EC21" s="5"/>
      <c r="ED21" s="189"/>
      <c r="EK21" s="183"/>
      <c r="EL21" s="183"/>
      <c r="EO21" s="2"/>
    </row>
    <row r="22" spans="1:176" s="206" customFormat="1" ht="13.9" customHeight="1" thickBot="1">
      <c r="A22" s="10"/>
      <c r="B22" s="190"/>
      <c r="C22" s="191"/>
      <c r="D22" s="2715" t="s">
        <v>86</v>
      </c>
      <c r="E22" s="2716"/>
      <c r="F22" s="2716"/>
      <c r="G22" s="2717"/>
      <c r="H22" s="2718" t="s">
        <v>87</v>
      </c>
      <c r="I22" s="2719"/>
      <c r="J22" s="2719"/>
      <c r="K22" s="60"/>
      <c r="L22" s="192"/>
      <c r="M22" s="193"/>
      <c r="N22" s="194" t="s">
        <v>88</v>
      </c>
      <c r="O22" s="195">
        <f>'Estimate Detail'!$H12</f>
        <v>0</v>
      </c>
      <c r="P22" s="195">
        <f>'Estimate Detail'!$H13</f>
        <v>0</v>
      </c>
      <c r="Q22" s="195">
        <f>'Estimate Detail'!$H14</f>
        <v>0</v>
      </c>
      <c r="R22" s="195">
        <f>'Estimate Detail'!$H15</f>
        <v>0</v>
      </c>
      <c r="S22" s="195">
        <f>'Estimate Detail'!$H16</f>
        <v>0</v>
      </c>
      <c r="T22" s="195">
        <f>'Estimate Detail'!$H17</f>
        <v>0</v>
      </c>
      <c r="U22" s="195">
        <f>'Estimate Detail'!$H18</f>
        <v>0</v>
      </c>
      <c r="V22" s="195">
        <f>'Estimate Detail'!$H19</f>
        <v>0</v>
      </c>
      <c r="W22" s="195">
        <f>'Estimate Detail'!$H19</f>
        <v>0</v>
      </c>
      <c r="X22" s="195">
        <f>'Estimate Detail'!$H21</f>
        <v>0</v>
      </c>
      <c r="Y22" s="195">
        <f>'Estimate Detail'!$H22</f>
        <v>0</v>
      </c>
      <c r="Z22" s="195">
        <f>'Estimate Detail'!$H23</f>
        <v>0</v>
      </c>
      <c r="AA22" s="195">
        <f>'Estimate Detail'!$H24</f>
        <v>0</v>
      </c>
      <c r="AB22" s="195">
        <f>'Estimate Detail'!$H25</f>
        <v>0</v>
      </c>
      <c r="AC22" s="195">
        <f>'Estimate Detail'!$H26</f>
        <v>0</v>
      </c>
      <c r="AD22" s="195">
        <f>'Estimate Detail'!$H27</f>
        <v>0</v>
      </c>
      <c r="AE22" s="195">
        <f>'Estimate Detail'!$H28</f>
        <v>0</v>
      </c>
      <c r="AF22" s="195">
        <f>'Estimate Detail'!$H29</f>
        <v>0</v>
      </c>
      <c r="AG22" s="195">
        <f>'Estimate Detail'!$H30</f>
        <v>0</v>
      </c>
      <c r="AH22" s="195">
        <f>'Estimate Detail'!$H31</f>
        <v>0</v>
      </c>
      <c r="AI22" s="195">
        <f>'Estimate Detail'!$H32</f>
        <v>0</v>
      </c>
      <c r="AJ22" s="195">
        <f>'Estimate Detail'!$H33</f>
        <v>0</v>
      </c>
      <c r="AK22" s="195">
        <f>'Estimate Detail'!$H34</f>
        <v>0</v>
      </c>
      <c r="AL22" s="195">
        <f>'Estimate Detail'!$H35</f>
        <v>0</v>
      </c>
      <c r="AM22" s="195">
        <f>'Estimate Detail'!$H36</f>
        <v>0</v>
      </c>
      <c r="AN22" s="195">
        <f>'Estimate Detail'!$H37</f>
        <v>0</v>
      </c>
      <c r="AO22" s="195">
        <f>'Estimate Detail'!$H38</f>
        <v>0</v>
      </c>
      <c r="AP22" s="195">
        <f>'Estimate Detail'!$H39</f>
        <v>93.6268400850239</v>
      </c>
      <c r="AQ22" s="195">
        <f>'Estimate Detail'!$H40</f>
        <v>0</v>
      </c>
      <c r="AR22" s="195">
        <f>'Estimate Detail'!$H41</f>
        <v>0</v>
      </c>
      <c r="AS22" s="195">
        <f>'Estimate Detail'!$H42</f>
        <v>0</v>
      </c>
      <c r="AT22" s="195">
        <f>'Estimate Detail'!$H43</f>
        <v>0</v>
      </c>
      <c r="AU22" s="195">
        <f>'Estimate Detail'!$H44</f>
        <v>0</v>
      </c>
      <c r="AV22" s="195">
        <f>'Estimate Detail'!$H45</f>
        <v>0</v>
      </c>
      <c r="AW22" s="195">
        <f>'Estimate Detail'!$H46</f>
        <v>0</v>
      </c>
      <c r="AX22" s="195">
        <f>'Estimate Detail'!$H47</f>
        <v>0</v>
      </c>
      <c r="AY22" s="195">
        <f>'Estimate Detail'!$H50</f>
        <v>0</v>
      </c>
      <c r="AZ22" s="195">
        <f>'Estimate Detail'!$H51</f>
        <v>0</v>
      </c>
      <c r="BA22" s="195">
        <f>'Estimate Detail'!$H52</f>
        <v>3.589467835601261</v>
      </c>
      <c r="BB22" s="195">
        <f>'Estimate Detail'!$H53</f>
        <v>0</v>
      </c>
      <c r="BC22" s="195">
        <f>'Estimate Detail'!$H56</f>
        <v>0</v>
      </c>
      <c r="BD22" s="195">
        <f>'Estimate Detail'!$H78</f>
        <v>0</v>
      </c>
      <c r="BE22" s="195">
        <f>'Estimate Detail'!$H87</f>
        <v>0</v>
      </c>
      <c r="BF22" s="195">
        <f>'Estimate Detail'!$H90</f>
        <v>0</v>
      </c>
      <c r="BG22" s="195">
        <f>'Estimate Detail'!$H93</f>
        <v>0</v>
      </c>
      <c r="BH22" s="195">
        <f>'Estimate Detail'!$H96</f>
        <v>0</v>
      </c>
      <c r="BI22" s="195">
        <f>'Estimate Detail'!$H99</f>
        <v>0</v>
      </c>
      <c r="BJ22" s="195">
        <f>'Estimate Detail'!$H100</f>
        <v>0</v>
      </c>
      <c r="BK22" s="195">
        <f>'Estimate Detail'!$H98</f>
        <v>0</v>
      </c>
      <c r="BL22" s="195">
        <f>'Estimate Detail'!$H101</f>
        <v>0</v>
      </c>
      <c r="BM22" s="195">
        <f>'Estimate Detail'!$H102</f>
        <v>0</v>
      </c>
      <c r="BN22" s="195">
        <f>'Estimate Detail'!$H103</f>
        <v>0</v>
      </c>
      <c r="BO22" s="195">
        <f>'Estimate Detail'!$H104</f>
        <v>0</v>
      </c>
      <c r="BP22" s="195">
        <f>'Estimate Detail'!$H97</f>
        <v>0</v>
      </c>
      <c r="BQ22" s="195">
        <f>'Estimate Detail'!$H107</f>
        <v>0</v>
      </c>
      <c r="BR22" s="195">
        <f>'Estimate Detail'!$H108</f>
        <v>0</v>
      </c>
      <c r="BS22" s="196">
        <f>'Estimate Detail'!$H111</f>
        <v>0</v>
      </c>
      <c r="BT22" s="196">
        <f>'Estimate Detail'!$H120</f>
        <v>0</v>
      </c>
      <c r="BU22" s="196">
        <f>'Estimate Detail'!$H125</f>
        <v>0</v>
      </c>
      <c r="BV22" s="196">
        <f>'Estimate Detail'!$H131</f>
        <v>0</v>
      </c>
      <c r="BW22" s="196">
        <f>'Estimate Detail'!$H145</f>
        <v>0</v>
      </c>
      <c r="BX22" s="196">
        <f>'Estimate Detail'!$H154</f>
        <v>0</v>
      </c>
      <c r="BY22" s="196">
        <f>'Estimate Detail'!$H155</f>
        <v>0</v>
      </c>
      <c r="BZ22" s="196">
        <f>'Estimate Detail'!$H163</f>
        <v>0</v>
      </c>
      <c r="CA22" s="196">
        <f>'Estimate Detail'!$H170</f>
        <v>0</v>
      </c>
      <c r="CB22" s="196">
        <f>'Estimate Detail'!$H175</f>
        <v>0</v>
      </c>
      <c r="CC22" s="196">
        <f>'Estimate Detail'!$H187</f>
        <v>0</v>
      </c>
      <c r="CD22" s="196">
        <f>'Estimate Detail'!$H190</f>
        <v>0</v>
      </c>
      <c r="CE22" s="196">
        <f>'Estimate Detail'!$H195</f>
        <v>0</v>
      </c>
      <c r="CF22" s="196">
        <f>'Estimate Detail'!$H202</f>
        <v>0</v>
      </c>
      <c r="CG22" s="196">
        <f>'Estimate Detail'!$H205</f>
        <v>0</v>
      </c>
      <c r="CH22" s="196">
        <f>'Estimate Detail'!$H212</f>
        <v>0</v>
      </c>
      <c r="CI22" s="196">
        <f>'Estimate Detail'!$H235</f>
        <v>0</v>
      </c>
      <c r="CJ22" s="196">
        <f>'Estimate Detail'!$H236</f>
        <v>0</v>
      </c>
      <c r="CK22" s="196">
        <f>'Estimate Detail'!$H237</f>
        <v>0</v>
      </c>
      <c r="CL22" s="196">
        <f>'Estimate Detail'!$H238</f>
        <v>0</v>
      </c>
      <c r="CM22" s="196">
        <f>'Estimate Detail'!$H239</f>
        <v>0</v>
      </c>
      <c r="CN22" s="196">
        <f>'Estimate Detail'!$H240</f>
        <v>0</v>
      </c>
      <c r="CO22" s="196">
        <f>'Estimate Detail'!$H243</f>
        <v>0</v>
      </c>
      <c r="CP22" s="196">
        <f>'Estimate Detail'!$H250</f>
        <v>0</v>
      </c>
      <c r="CQ22" s="196">
        <f>'Estimate Detail'!$H254</f>
        <v>0</v>
      </c>
      <c r="CR22" s="596">
        <f>'Estimate Detail'!H331+'Estimate Detail'!H335+'Estimate Detail'!H339</f>
        <v>28</v>
      </c>
      <c r="CS22" s="187"/>
      <c r="CT22" s="187"/>
      <c r="CU22" s="197"/>
      <c r="CV22" s="195">
        <f>'Estimate Summary'!$N47</f>
        <v>0</v>
      </c>
      <c r="CW22" s="195">
        <f>'Estimate Summary'!$N48</f>
        <v>0</v>
      </c>
      <c r="CX22" s="195">
        <f>'Estimate Summary'!$N49</f>
        <v>0</v>
      </c>
      <c r="CY22" s="195" t="e">
        <f ca="1">'Estimate Summary'!$N52</f>
        <v>#N/A</v>
      </c>
      <c r="CZ22" s="195" t="e">
        <f ca="1">'Estimate Summary'!$N54</f>
        <v>#N/A</v>
      </c>
      <c r="DA22" s="195" t="e">
        <f ca="1">'Estimate Summary'!$N55</f>
        <v>#N/A</v>
      </c>
      <c r="DB22" s="195" t="e">
        <f ca="1">'Estimate Summary'!$N56</f>
        <v>#N/A</v>
      </c>
      <c r="DC22" s="195" t="e">
        <f ca="1">'Estimate Summary'!$N59*0</f>
        <v>#N/A</v>
      </c>
      <c r="DD22" s="187">
        <f>'Estimate Detail'!$H60</f>
        <v>0</v>
      </c>
      <c r="DE22" s="187">
        <f>'Estimate Detail'!$H61</f>
        <v>0</v>
      </c>
      <c r="DF22" s="187">
        <f>'Estimate Detail'!$H62</f>
        <v>0</v>
      </c>
      <c r="DG22" s="187">
        <f>'Estimate Detail'!$H63</f>
        <v>0</v>
      </c>
      <c r="DH22" s="187">
        <f>'Estimate Detail'!$H64</f>
        <v>0</v>
      </c>
      <c r="DI22" s="187">
        <f>'Estimate Detail'!$H65</f>
        <v>0</v>
      </c>
      <c r="DJ22" s="187">
        <f>'Estimate Detail'!$H66</f>
        <v>0</v>
      </c>
      <c r="DK22" s="187">
        <f>'Estimate Detail'!$H67</f>
        <v>0</v>
      </c>
      <c r="DL22" s="187">
        <f>'Estimate Detail'!$H68</f>
        <v>0</v>
      </c>
      <c r="DM22" s="187">
        <f>'Estimate Detail'!$H69</f>
        <v>1.716</v>
      </c>
      <c r="DN22" s="187">
        <f>'Estimate Detail'!$H70</f>
        <v>0</v>
      </c>
      <c r="DO22" s="187">
        <f>'Estimate Detail'!$H71</f>
        <v>0</v>
      </c>
      <c r="DP22" s="187">
        <f>'Estimate Detail'!$H72</f>
        <v>0</v>
      </c>
      <c r="DQ22" s="187">
        <f>'Estimate Detail'!$H75</f>
        <v>9.828000000000002E-2</v>
      </c>
      <c r="DR22" s="597">
        <f>'Estimate Detail'!H272+'Estimate Detail'!H277+'Estimate Detail'!H292</f>
        <v>2.4</v>
      </c>
      <c r="DS22" s="598">
        <f>'Estimate Detail'!$H294+'Estimate Detail'!H295+'Estimate Detail'!H296+'Estimate Detail'!H315+'Estimate Detail'!H319</f>
        <v>17.920000000000002</v>
      </c>
      <c r="DT22" s="187">
        <f>SUM('Estimate Detail'!H297:H299)</f>
        <v>0</v>
      </c>
      <c r="DU22" s="187">
        <f>'Estimate Detail'!$H300</f>
        <v>21.734999999999999</v>
      </c>
      <c r="DV22" s="187">
        <f>'Estimate Detail'!$H302</f>
        <v>0</v>
      </c>
      <c r="DW22" s="187">
        <f>'Estimate Detail'!$H303</f>
        <v>0</v>
      </c>
      <c r="DX22" s="187">
        <f ca="1">(SUM('Estimate Detail'!H341:H365)-'Estimate Detail'!H345-'Estimate Detail'!H351)*0+'Estimate Summary'!AU41</f>
        <v>0</v>
      </c>
      <c r="DY22" s="187">
        <f>'Estimate Detail'!$H369</f>
        <v>0</v>
      </c>
      <c r="DZ22" s="187">
        <f>'Estimate Detail'!$H372</f>
        <v>0</v>
      </c>
      <c r="EA22" s="187" t="e">
        <f ca="1">'Estimate Summary'!N53</f>
        <v>#N/A</v>
      </c>
      <c r="EB22" s="198" t="e">
        <f ca="1">SUM(O22:EA22)</f>
        <v>#N/A</v>
      </c>
      <c r="EC22" s="199" t="s">
        <v>89</v>
      </c>
      <c r="ED22" s="200" t="e">
        <f ca="1">ED155</f>
        <v>#N/A</v>
      </c>
      <c r="EE22" s="201" t="s">
        <v>90</v>
      </c>
      <c r="EF22" s="202">
        <f>'Estimate Summary'!O50</f>
        <v>0</v>
      </c>
      <c r="EG22" s="202">
        <f>'Estimate Summary'!P57</f>
        <v>0</v>
      </c>
      <c r="EH22" s="202">
        <f>'Estimate Summary'!Q57</f>
        <v>0</v>
      </c>
      <c r="EI22" s="202">
        <f>'Estimate Summary'!R57</f>
        <v>0</v>
      </c>
      <c r="EJ22" s="202">
        <f>'Estimate Summary'!S57</f>
        <v>0</v>
      </c>
      <c r="EK22" s="203"/>
      <c r="EL22" s="204" t="e">
        <f ca="1">SUM('Estimate Summary'!D59:D66)</f>
        <v>#N/A</v>
      </c>
      <c r="EM22" s="205"/>
      <c r="EN22" s="110"/>
      <c r="EO22" s="60"/>
      <c r="EP22" s="110"/>
      <c r="EQ22" s="110"/>
      <c r="ER22" s="110"/>
      <c r="ES22" s="110"/>
      <c r="ET22" s="110"/>
      <c r="EU22" s="110"/>
      <c r="EV22" s="110"/>
      <c r="EW22" s="110"/>
      <c r="EX22" s="110"/>
      <c r="EY22" s="110"/>
      <c r="EZ22" s="110"/>
      <c r="FA22" s="110"/>
      <c r="FB22" s="110"/>
      <c r="FC22" s="110"/>
      <c r="FD22" s="110"/>
      <c r="FE22" s="110"/>
      <c r="FF22" s="110"/>
      <c r="FG22" s="110"/>
      <c r="FH22" s="110"/>
      <c r="FI22" s="110"/>
      <c r="FJ22" s="110"/>
      <c r="FK22" s="110"/>
      <c r="FL22" s="110"/>
      <c r="FM22" s="110"/>
      <c r="FN22" s="110"/>
      <c r="FO22" s="110"/>
      <c r="FP22" s="110"/>
      <c r="FQ22" s="110"/>
      <c r="FR22" s="110"/>
      <c r="FS22" s="110"/>
      <c r="FT22" s="110"/>
    </row>
    <row r="23" spans="1:176" ht="201" customHeight="1" thickBot="1">
      <c r="A23" s="207" t="s">
        <v>91</v>
      </c>
      <c r="B23" s="207" t="s">
        <v>92</v>
      </c>
      <c r="C23" s="208" t="s">
        <v>93</v>
      </c>
      <c r="D23" s="209" t="s">
        <v>94</v>
      </c>
      <c r="E23" s="210" t="s">
        <v>95</v>
      </c>
      <c r="F23" s="210" t="s">
        <v>96</v>
      </c>
      <c r="G23" s="211" t="s">
        <v>97</v>
      </c>
      <c r="H23" s="211" t="s">
        <v>98</v>
      </c>
      <c r="I23" s="211" t="s">
        <v>99</v>
      </c>
      <c r="J23" s="212" t="s">
        <v>100</v>
      </c>
      <c r="K23" s="60"/>
      <c r="L23" s="213" t="s">
        <v>91</v>
      </c>
      <c r="M23" s="213" t="s">
        <v>92</v>
      </c>
      <c r="N23" s="214" t="s">
        <v>101</v>
      </c>
      <c r="O23" s="215" t="str">
        <f>'Estimate Detail'!$C12</f>
        <v>Water Cooling System</v>
      </c>
      <c r="P23" s="215" t="str">
        <f>'Estimate Detail'!$C13</f>
        <v>Water Cooling System</v>
      </c>
      <c r="Q23" s="215" t="str">
        <f>'Estimate Detail'!$C14</f>
        <v>Water Cooling System</v>
      </c>
      <c r="R23" s="215" t="str">
        <f>'Estimate Detail'!$C15</f>
        <v>Superheater internal surfaces</v>
      </c>
      <c r="S23" s="215" t="str">
        <f>'Estimate Detail'!$C16</f>
        <v>Superheater internal surfaces</v>
      </c>
      <c r="T23" s="215" t="str">
        <f>'Estimate Detail'!$C17</f>
        <v>Superheater internal surfaces</v>
      </c>
      <c r="U23" s="215" t="str">
        <f>'Estimate Detail'!$C18</f>
        <v>Superheater backpass wall</v>
      </c>
      <c r="V23" s="215" t="str">
        <f>'Estimate Detail'!$C19</f>
        <v>Superheater backpass wall</v>
      </c>
      <c r="W23" s="215" t="str">
        <f>'Estimate Detail'!$C20</f>
        <v>Superheater backpass wall</v>
      </c>
      <c r="X23" s="215" t="str">
        <f>'Estimate Detail'!$C21</f>
        <v>Reheater</v>
      </c>
      <c r="Y23" s="215" t="str">
        <f>'Estimate Detail'!$C22</f>
        <v>Reheater</v>
      </c>
      <c r="Z23" s="215" t="str">
        <f>'Estimate Detail'!$C23</f>
        <v>Reheater</v>
      </c>
      <c r="AA23" s="215" t="str">
        <f>'Estimate Detail'!$C24</f>
        <v>Economizer</v>
      </c>
      <c r="AB23" s="215" t="str">
        <f>'Estimate Detail'!$C25</f>
        <v>Economizer</v>
      </c>
      <c r="AC23" s="215" t="str">
        <f>'Estimate Detail'!$C26</f>
        <v>Economizer</v>
      </c>
      <c r="AD23" s="215" t="str">
        <f>'Estimate Detail'!$C27</f>
        <v>Boiler Internal Piping</v>
      </c>
      <c r="AE23" s="215" t="str">
        <f>'Estimate Detail'!$C28</f>
        <v>Boiler Internal Piping</v>
      </c>
      <c r="AF23" s="215" t="str">
        <f>'Estimate Detail'!$C29</f>
        <v>Boiler Internal Piping</v>
      </c>
      <c r="AG23" s="215" t="str">
        <f>'Estimate Detail'!$C30</f>
        <v>Ancillaries</v>
      </c>
      <c r="AH23" s="215" t="str">
        <f>'Estimate Detail'!$C31</f>
        <v>Ancillaries</v>
      </c>
      <c r="AI23" s="215" t="str">
        <f>'Estimate Detail'!$C32</f>
        <v>Ancillaries</v>
      </c>
      <c r="AJ23" s="215" t="str">
        <f>'Estimate Detail'!$C33</f>
        <v>Boiler External Piping</v>
      </c>
      <c r="AK23" s="215" t="str">
        <f>'Estimate Detail'!$C34</f>
        <v>Boiler External Piping</v>
      </c>
      <c r="AL23" s="215" t="str">
        <f>'Estimate Detail'!$C35</f>
        <v>Boiler External Piping</v>
      </c>
      <c r="AM23" s="215" t="str">
        <f>'Estimate Detail'!$C36</f>
        <v>Roof  Links</v>
      </c>
      <c r="AN23" s="215" t="str">
        <f>'Estimate Detail'!$C37</f>
        <v>Roof  Links</v>
      </c>
      <c r="AO23" s="215" t="str">
        <f>'Estimate Detail'!$C38</f>
        <v>Roof  Links</v>
      </c>
      <c r="AP23" s="215" t="str">
        <f>'Estimate Detail'!$C39</f>
        <v>Spare Parts</v>
      </c>
      <c r="AQ23" s="215" t="str">
        <f>'Estimate Detail'!$C40</f>
        <v>Spare Parts</v>
      </c>
      <c r="AR23" s="215" t="str">
        <f>'Estimate Detail'!$C41</f>
        <v>Spare Parts</v>
      </c>
      <c r="AS23" s="215" t="str">
        <f>'Estimate Detail'!$C42</f>
        <v>Start Up System</v>
      </c>
      <c r="AT23" s="215" t="str">
        <f>'Estimate Detail'!$C43</f>
        <v>Start Up System</v>
      </c>
      <c r="AU23" s="215" t="str">
        <f>'Estimate Detail'!$C44</f>
        <v>Start Up System</v>
      </c>
      <c r="AV23" s="215" t="str">
        <f>'Estimate Detail'!$C45</f>
        <v>Drums</v>
      </c>
      <c r="AW23" s="215" t="str">
        <f>'Estimate Detail'!$C46</f>
        <v>Drums</v>
      </c>
      <c r="AX23" s="215" t="str">
        <f>'Estimate Detail'!$C47</f>
        <v>Drums</v>
      </c>
      <c r="AY23" s="215" t="str">
        <f>'Estimate Detail'!$C50</f>
        <v>Welding</v>
      </c>
      <c r="AZ23" s="215" t="str">
        <f>'Estimate Detail'!$C51</f>
        <v>Painting</v>
      </c>
      <c r="BA23" s="215" t="str">
        <f>'Estimate Detail'!$C52</f>
        <v>Packaging</v>
      </c>
      <c r="BB23" s="215" t="str">
        <f>'Estimate Detail'!$C53</f>
        <v>Jig</v>
      </c>
      <c r="BC23" s="215" t="str">
        <f>'Estimate Detail'!$C56</f>
        <v>Attachment subcontract process cost</v>
      </c>
      <c r="BD23" s="215" t="str">
        <f>'Estimate Detail'!$C78</f>
        <v>Structural Steel</v>
      </c>
      <c r="BE23" s="215" t="str">
        <f>'Estimate Detail'!$C87</f>
        <v>Platforms &amp; Stairs</v>
      </c>
      <c r="BF23" s="215" t="str">
        <f>'Estimate Detail'!$C90</f>
        <v>Boiler Roof and External Cladding - Assy No. 36</v>
      </c>
      <c r="BG23" s="215" t="str">
        <f>'Estimate Detail'!$C93</f>
        <v>Buckstays</v>
      </c>
      <c r="BH23" s="215" t="str">
        <f>'Estimate Detail'!$C96</f>
        <v>Outer Casing - Assy No. 09</v>
      </c>
      <c r="BI23" s="215" t="str">
        <f>'Estimate Detail'!$C99</f>
        <v>Top Enclosure - Assy No. 34</v>
      </c>
      <c r="BJ23" s="215" t="str">
        <f>'Estimate Detail'!$C100</f>
        <v>Skin Casing - Assy No. 35</v>
      </c>
      <c r="BK23" s="215" t="str">
        <f>'Estimate Detail'!$C98</f>
        <v>Windbox Hangers &amp; Supports - Assy No. 12</v>
      </c>
      <c r="BL23" s="215" t="str">
        <f>'Estimate Detail'!$C101</f>
        <v>Pressure Parts Hangers &amp; Supports - Assy No. 32</v>
      </c>
      <c r="BM23" s="215" t="str">
        <f>'Estimate Detail'!$C102</f>
        <v>Start Up System Hangers - Assy No. 64</v>
      </c>
      <c r="BN23" s="215" t="str">
        <f>'Estimate Detail'!$C103</f>
        <v>Air &amp; Gas Ducts Hangers - Assy No. 41&amp;50</v>
      </c>
      <c r="BO23" s="215" t="str">
        <f>'Estimate Detail'!$C104</f>
        <v>Air &amp; Gas Ducts Joint hinge - Assy No. 41&amp;51</v>
      </c>
      <c r="BP23" s="215" t="str">
        <f>'Estimate Detail'!$C97</f>
        <v>Doors including Connection - Assy No. 23</v>
      </c>
      <c r="BQ23" s="215" t="str">
        <f>'Estimate Detail'!$C107</f>
        <v>Condensate Pumps - Assy No. 64</v>
      </c>
      <c r="BR23" s="215" t="str">
        <f>'Estimate Detail'!$C108</f>
        <v>Boiler Circulating Pumps - Assy No. 64</v>
      </c>
      <c r="BS23" s="215" t="str">
        <f>'Estimate Detail'!$C111</f>
        <v>Valves</v>
      </c>
      <c r="BT23" s="215" t="str">
        <f>'Estimate Detail'!$C120</f>
        <v>Vent Piping &amp; Silencer</v>
      </c>
      <c r="BU23" s="215" t="str">
        <f>'Estimate Detail'!$C125</f>
        <v>Sootblower(Included Gas-temperature probe)</v>
      </c>
      <c r="BV23" s="215" t="str">
        <f>'Estimate Detail'!$C131</f>
        <v>Mill</v>
      </c>
      <c r="BW23" s="215" t="str">
        <f>'Estimate Detail'!$C145</f>
        <v>Burners</v>
      </c>
      <c r="BX23" s="215" t="str">
        <f>'Estimate Detail'!$C154</f>
        <v>Plasma Firing Equipment - Assy No. 12</v>
      </c>
      <c r="BY23" s="215" t="str">
        <f>'Estimate Detail'!$C155</f>
        <v>Fuel Piping</v>
      </c>
      <c r="BZ23" s="215" t="str">
        <f>'Estimate Detail'!$C163</f>
        <v>Oil &amp; Atomizing Air System</v>
      </c>
      <c r="CA23" s="215" t="str">
        <f>'Estimate Detail'!$C170</f>
        <v>Ash handling System</v>
      </c>
      <c r="CB23" s="215" t="str">
        <f>'Estimate Detail'!$C175</f>
        <v>Air &amp; Duct</v>
      </c>
      <c r="CC23" s="215" t="str">
        <f>'Estimate Detail'!$C187</f>
        <v>SCR Complete System - Assy No. 66</v>
      </c>
      <c r="CD23" s="215" t="str">
        <f>'Estimate Detail'!$C190</f>
        <v>Air Preheater</v>
      </c>
      <c r="CE23" s="215" t="str">
        <f>'Estimate Detail'!$C195</f>
        <v>Fans</v>
      </c>
      <c r="CF23" s="215" t="str">
        <f>'Estimate Detail'!$C202</f>
        <v>Flue Gas Heat Recovery System</v>
      </c>
      <c r="CG23" s="215" t="str">
        <f>'Estimate Detail'!$C205</f>
        <v>Motors</v>
      </c>
      <c r="CH23" s="215" t="str">
        <f>'Estimate Detail'!$C212</f>
        <v>Controls &amp; Instrumentation</v>
      </c>
      <c r="CI23" s="215" t="str">
        <f>'Estimate Detail'!$C235</f>
        <v>Hoists &amp; Trolleys</v>
      </c>
      <c r="CJ23" s="215" t="str">
        <f>'Estimate Detail'!$C236</f>
        <v>Wrench - Assy No. 07</v>
      </c>
      <c r="CK23" s="215" t="str">
        <f>'Estimate Detail'!$C237</f>
        <v>Maintenance Platform - Assy No. 26</v>
      </c>
      <c r="CL23" s="215" t="str">
        <f>'Estimate Detail'!$C238</f>
        <v>Hangers for Internal Pipes - Assy No. 22</v>
      </c>
      <c r="CM23" s="215" t="str">
        <f>'Estimate Detail'!$C239</f>
        <v>Hangers for External Pipes - Assy No. 29</v>
      </c>
      <c r="CN23" s="215" t="str">
        <f>'Estimate Detail'!$C240</f>
        <v>Elevator (personnal &amp; cargo)</v>
      </c>
      <c r="CO23" s="215" t="str">
        <f>'Estimate Detail'!$C243</f>
        <v>Refractory, Insulation, Lagging &amp; Painting</v>
      </c>
      <c r="CP23" s="215" t="str">
        <f>'Estimate Detail'!$C250</f>
        <v>WBC-Spare parts</v>
      </c>
      <c r="CQ23" s="215" t="str">
        <f>'Estimate Detail'!$C254</f>
        <v>Mills - Spare Parts</v>
      </c>
      <c r="CR23" s="215" t="str">
        <f>'Estimate Detail'!$C321</f>
        <v>WBC -Transportation</v>
      </c>
      <c r="CS23" s="215"/>
      <c r="CT23" s="215"/>
      <c r="CU23" s="216"/>
      <c r="CV23" s="215" t="str">
        <f>'Estimate Summary'!$C47</f>
        <v>Risk Coverage</v>
      </c>
      <c r="CW23" s="215" t="str">
        <f>'Estimate Summary'!$C48</f>
        <v>Other</v>
      </c>
      <c r="CX23" s="215" t="str">
        <f>'Estimate Summary'!$C49</f>
        <v>Other</v>
      </c>
      <c r="CY23" s="215" t="str">
        <f>'Estimate Summary'!$C52</f>
        <v>Financial Cost</v>
      </c>
      <c r="CZ23" s="215" t="str">
        <f>'Estimate Summary'!$C54</f>
        <v>Warranty</v>
      </c>
      <c r="DA23" s="215" t="str">
        <f>'Estimate Summary'!$C55</f>
        <v>Site Non-Inventoriable Cost</v>
      </c>
      <c r="DB23" s="215" t="str">
        <f>'Estimate Summary'!$C56</f>
        <v>Other</v>
      </c>
      <c r="DC23" s="215" t="str">
        <f>'Estimate Summary'!$C59</f>
        <v>Forward Points</v>
      </c>
      <c r="DD23" s="215" t="str">
        <f>'Estimate Detail'!$C60</f>
        <v>Water Cooling System</v>
      </c>
      <c r="DE23" s="215" t="str">
        <f>'Estimate Detail'!$C61</f>
        <v>Superheater internal surfaces</v>
      </c>
      <c r="DF23" s="215" t="str">
        <f>'Estimate Detail'!$C62</f>
        <v>Superheater backpass wall</v>
      </c>
      <c r="DG23" s="215" t="str">
        <f>'Estimate Detail'!$C63</f>
        <v>Reheater</v>
      </c>
      <c r="DH23" s="215" t="str">
        <f>'Estimate Detail'!$C64</f>
        <v>Economizer</v>
      </c>
      <c r="DI23" s="215" t="str">
        <f>'Estimate Detail'!$C65</f>
        <v>Boiler Internal Piping</v>
      </c>
      <c r="DJ23" s="215" t="str">
        <f>'Estimate Detail'!$C66</f>
        <v>Ancillaries</v>
      </c>
      <c r="DK23" s="215" t="str">
        <f>'Estimate Detail'!$C67</f>
        <v>Boiler External Piping</v>
      </c>
      <c r="DL23" s="215" t="str">
        <f>'Estimate Detail'!$C68</f>
        <v>Roof  Links</v>
      </c>
      <c r="DM23" s="215" t="str">
        <f>'Estimate Detail'!$C69</f>
        <v>Spare Parts</v>
      </c>
      <c r="DN23" s="215" t="str">
        <f>'Estimate Detail'!$C70</f>
        <v>Start Up System</v>
      </c>
      <c r="DO23" s="215" t="str">
        <f>'Estimate Detail'!$C71</f>
        <v>Drums</v>
      </c>
      <c r="DP23" s="215" t="str">
        <f>'Estimate Detail'!$C72</f>
        <v>Shotpeening</v>
      </c>
      <c r="DQ23" s="215" t="str">
        <f>'Estimate Detail'!$C75</f>
        <v>Factory Quality Inspection hours</v>
      </c>
      <c r="DR23" s="215" t="str">
        <f>'Estimate Detail'!$C256</f>
        <v>WBC - Engineering</v>
      </c>
      <c r="DS23" s="215" t="str">
        <f>'Estimate Detail'!$C294</f>
        <v>Project Manager off-shore</v>
      </c>
      <c r="DT23" s="215" t="str">
        <f>'Estimate Detail'!$C297</f>
        <v>Site Respresentation</v>
      </c>
      <c r="DU23" s="215" t="str">
        <f>'Estimate Detail'!$C300</f>
        <v>Factory Procurement</v>
      </c>
      <c r="DV23" s="215" t="str">
        <f>'Estimate Detail'!$C302</f>
        <v>Transport &amp; Logistics Management</v>
      </c>
      <c r="DW23" s="215" t="str">
        <f>'Estimate Detail'!$C303</f>
        <v>Miscellaneous Exp (Travel, Accomodation, Documentation)</v>
      </c>
      <c r="DX23" s="215" t="str">
        <f>'Estimate Detail'!$C341</f>
        <v>WBC - Site service</v>
      </c>
      <c r="DY23" s="215" t="str">
        <f>'Estimate Detail'!$C369</f>
        <v>Erection Execution</v>
      </c>
      <c r="DZ23" s="215" t="str">
        <f>'Estimate Detail'!$C372</f>
        <v>Civil Works</v>
      </c>
      <c r="EA23" s="215" t="str">
        <f>'Estimate Summary'!C53</f>
        <v>Inflation</v>
      </c>
      <c r="EB23" s="60"/>
      <c r="EC23" s="60" t="s">
        <v>102</v>
      </c>
      <c r="ED23" s="217" t="s">
        <v>103</v>
      </c>
      <c r="EE23" s="217" t="s">
        <v>103</v>
      </c>
      <c r="EF23" s="217" t="s">
        <v>104</v>
      </c>
      <c r="EG23" s="217" t="s">
        <v>105</v>
      </c>
      <c r="EH23" s="217" t="s">
        <v>106</v>
      </c>
      <c r="EI23" s="217" t="s">
        <v>107</v>
      </c>
      <c r="EJ23" s="217" t="s">
        <v>108</v>
      </c>
      <c r="EK23" s="218" t="s">
        <v>109</v>
      </c>
      <c r="EL23" s="219" t="s">
        <v>1207</v>
      </c>
      <c r="EM23" s="218" t="s">
        <v>111</v>
      </c>
    </row>
    <row r="24" spans="1:176">
      <c r="A24" s="220" t="s">
        <v>112</v>
      </c>
      <c r="B24" s="236">
        <v>1</v>
      </c>
      <c r="C24" s="221">
        <f>C25-30</f>
        <v>43471</v>
      </c>
      <c r="D24" s="222">
        <f ca="1">'Offshore INT'!R13</f>
        <v>-1E-3</v>
      </c>
      <c r="E24" s="223" t="e">
        <f t="shared" ref="E24:E55" ca="1" si="0">F24*I$4</f>
        <v>#N/A</v>
      </c>
      <c r="F24" s="224"/>
      <c r="G24" s="225">
        <f>IF(F24=0,0,SUM($F$24:F24))</f>
        <v>0</v>
      </c>
      <c r="H24" s="226" t="e">
        <f ca="1">IF(H23=0,0,SUM($I$24:I24))</f>
        <v>#N/A</v>
      </c>
      <c r="I24" s="227" t="e">
        <f t="shared" ref="I24:I55" ca="1" si="1">IF(I$3=0,0,J24/I$3)</f>
        <v>#N/A</v>
      </c>
      <c r="J24" s="222">
        <f ca="1">IF(ISERROR(SUM(EM24)),0,SUM(EM24))+0.001</f>
        <v>1E-3</v>
      </c>
      <c r="K24" s="60"/>
      <c r="L24" s="220" t="s">
        <v>112</v>
      </c>
      <c r="M24" s="228">
        <f t="shared" ref="M24:M55" si="2">B24</f>
        <v>1</v>
      </c>
      <c r="N24" s="221">
        <f t="shared" ref="N24:N55" si="3">C24</f>
        <v>43471</v>
      </c>
      <c r="O24" s="229">
        <f t="shared" ref="O24:BC33" si="4">IF($M24=O$13,O$22*O$3,IF($M24=O$14,O$22*O$4,IF($M24=O$15,O$22*O$5,IF($M24=O$16,O$22*O$6,IF($M24=O$17,O$22*O$7,IF($M24=O$18,O$22*O$8,IF($M24=O$19,O$22*O$9,IF($M24=O$20,O$22*O$10,0))))))))</f>
        <v>0</v>
      </c>
      <c r="P24" s="229">
        <f t="shared" si="4"/>
        <v>0</v>
      </c>
      <c r="Q24" s="229">
        <f t="shared" si="4"/>
        <v>0</v>
      </c>
      <c r="R24" s="229">
        <f t="shared" si="4"/>
        <v>0</v>
      </c>
      <c r="S24" s="229">
        <f t="shared" si="4"/>
        <v>0</v>
      </c>
      <c r="T24" s="229">
        <f t="shared" si="4"/>
        <v>0</v>
      </c>
      <c r="U24" s="229">
        <f t="shared" si="4"/>
        <v>0</v>
      </c>
      <c r="V24" s="229">
        <f t="shared" si="4"/>
        <v>0</v>
      </c>
      <c r="W24" s="229">
        <f t="shared" si="4"/>
        <v>0</v>
      </c>
      <c r="X24" s="229">
        <f t="shared" si="4"/>
        <v>0</v>
      </c>
      <c r="Y24" s="229">
        <f t="shared" si="4"/>
        <v>0</v>
      </c>
      <c r="Z24" s="229">
        <f t="shared" si="4"/>
        <v>0</v>
      </c>
      <c r="AA24" s="229">
        <f t="shared" si="4"/>
        <v>0</v>
      </c>
      <c r="AB24" s="229">
        <f t="shared" si="4"/>
        <v>0</v>
      </c>
      <c r="AC24" s="229">
        <f t="shared" si="4"/>
        <v>0</v>
      </c>
      <c r="AD24" s="229">
        <f t="shared" si="4"/>
        <v>0</v>
      </c>
      <c r="AE24" s="229">
        <f t="shared" si="4"/>
        <v>0</v>
      </c>
      <c r="AF24" s="229">
        <f t="shared" si="4"/>
        <v>0</v>
      </c>
      <c r="AG24" s="229">
        <f t="shared" si="4"/>
        <v>0</v>
      </c>
      <c r="AH24" s="229">
        <f t="shared" si="4"/>
        <v>0</v>
      </c>
      <c r="AI24" s="229">
        <f t="shared" si="4"/>
        <v>0</v>
      </c>
      <c r="AJ24" s="229">
        <f t="shared" si="4"/>
        <v>0</v>
      </c>
      <c r="AK24" s="229">
        <f t="shared" si="4"/>
        <v>0</v>
      </c>
      <c r="AL24" s="229">
        <f t="shared" si="4"/>
        <v>0</v>
      </c>
      <c r="AM24" s="229">
        <f t="shared" ref="AM24:AO26" si="5">IF($M24=AM$13,AM$22*AM$3,IF($M24=AM$14,AM$22*AM$4,IF($M24=AM$15,AM$22*AM$5,IF($M24=AM$16,AM$22*AM$6,IF($M24=AM$17,AM$22*AM$7,IF($M24=AM$18,AM$22*AM$8,IF($M24=AM$19,AM$22*AM$9,IF($M24=AM$20,AM$22*AM$10,0))))))))</f>
        <v>0</v>
      </c>
      <c r="AN24" s="229">
        <f t="shared" si="5"/>
        <v>0</v>
      </c>
      <c r="AO24" s="229">
        <f t="shared" si="5"/>
        <v>0</v>
      </c>
      <c r="AP24" s="229">
        <f t="shared" si="4"/>
        <v>0</v>
      </c>
      <c r="AQ24" s="229">
        <f t="shared" si="4"/>
        <v>0</v>
      </c>
      <c r="AR24" s="229">
        <f t="shared" si="4"/>
        <v>0</v>
      </c>
      <c r="AS24" s="229">
        <f t="shared" ref="AS24:AW26" si="6">IF($M24=AS$13,AS$22*AS$3,IF($M24=AS$14,AS$22*AS$4,IF($M24=AS$15,AS$22*AS$5,IF($M24=AS$16,AS$22*AS$6,IF($M24=AS$17,AS$22*AS$7,IF($M24=AS$18,AS$22*AS$8,IF($M24=AS$19,AS$22*AS$9,IF($M24=AS$20,AS$22*AS$10,0))))))))</f>
        <v>0</v>
      </c>
      <c r="AT24" s="229">
        <f t="shared" si="6"/>
        <v>0</v>
      </c>
      <c r="AU24" s="229">
        <f t="shared" si="6"/>
        <v>0</v>
      </c>
      <c r="AV24" s="229">
        <f t="shared" si="6"/>
        <v>0</v>
      </c>
      <c r="AW24" s="229">
        <f t="shared" si="6"/>
        <v>0</v>
      </c>
      <c r="AX24" s="229">
        <f t="shared" si="4"/>
        <v>0</v>
      </c>
      <c r="AY24" s="229">
        <f t="shared" si="4"/>
        <v>0</v>
      </c>
      <c r="AZ24" s="229">
        <f t="shared" si="4"/>
        <v>0</v>
      </c>
      <c r="BA24" s="229">
        <f t="shared" si="4"/>
        <v>0</v>
      </c>
      <c r="BB24" s="229">
        <f t="shared" si="4"/>
        <v>0</v>
      </c>
      <c r="BC24" s="229">
        <f t="shared" si="4"/>
        <v>0</v>
      </c>
      <c r="BD24" s="229">
        <f t="shared" ref="BD24:BP33" si="7">IF($M24=BD$13,BD$22*BD$3,IF($M24=BD$14,BD$22*BD$4,IF($M24=BD$15,BD$22*BD$5,IF($M24=BD$16,BD$22*BD$6,IF($M24=BD$17,BD$22*BD$7,IF($M24=BD$18,BD$22*BD$8,IF($M24=BD$19,BD$22*BD$9,IF($M24=BD$20,BD$22*BD$10,0))))))))</f>
        <v>0</v>
      </c>
      <c r="BE24" s="229">
        <f t="shared" si="7"/>
        <v>0</v>
      </c>
      <c r="BF24" s="229">
        <f t="shared" si="7"/>
        <v>0</v>
      </c>
      <c r="BG24" s="229">
        <f t="shared" si="7"/>
        <v>0</v>
      </c>
      <c r="BH24" s="229">
        <f t="shared" si="7"/>
        <v>0</v>
      </c>
      <c r="BI24" s="229">
        <f t="shared" si="7"/>
        <v>0</v>
      </c>
      <c r="BJ24" s="229">
        <f t="shared" si="7"/>
        <v>0</v>
      </c>
      <c r="BK24" s="229">
        <f t="shared" si="7"/>
        <v>0</v>
      </c>
      <c r="BL24" s="229">
        <f t="shared" si="7"/>
        <v>0</v>
      </c>
      <c r="BM24" s="229">
        <f t="shared" si="7"/>
        <v>0</v>
      </c>
      <c r="BN24" s="229">
        <f t="shared" si="7"/>
        <v>0</v>
      </c>
      <c r="BO24" s="229">
        <f t="shared" si="7"/>
        <v>0</v>
      </c>
      <c r="BP24" s="229">
        <f t="shared" si="7"/>
        <v>0</v>
      </c>
      <c r="BQ24" s="229">
        <f t="shared" ref="BQ24:CC33" si="8">IF($M24=BQ$13,BQ$22*BQ$3,IF($M24=BQ$14,BQ$22*BQ$4,IF($M24=BQ$15,BQ$22*BQ$5,IF($M24=BQ$16,BQ$22*BQ$6,IF($M24=BQ$17,BQ$22*BQ$7,IF($M24=BQ$18,BQ$22*BQ$8,IF($M24=BQ$19,BQ$22*BQ$9,IF($M24=BQ$20,BQ$22*BQ$10,0))))))))</f>
        <v>0</v>
      </c>
      <c r="BR24" s="229">
        <f t="shared" si="8"/>
        <v>0</v>
      </c>
      <c r="BS24" s="229">
        <f t="shared" si="8"/>
        <v>0</v>
      </c>
      <c r="BT24" s="229">
        <f t="shared" si="8"/>
        <v>0</v>
      </c>
      <c r="BU24" s="229">
        <f t="shared" si="8"/>
        <v>0</v>
      </c>
      <c r="BV24" s="229">
        <f t="shared" si="8"/>
        <v>0</v>
      </c>
      <c r="BW24" s="229">
        <f t="shared" si="8"/>
        <v>0</v>
      </c>
      <c r="BX24" s="229">
        <f t="shared" si="8"/>
        <v>0</v>
      </c>
      <c r="BY24" s="229">
        <f t="shared" si="8"/>
        <v>0</v>
      </c>
      <c r="BZ24" s="229">
        <f t="shared" si="8"/>
        <v>0</v>
      </c>
      <c r="CA24" s="229">
        <f t="shared" ref="CA24:CB43" si="9">IF($M24=CA$13,CA$22*CA$3,IF($M24=CA$14,CA$22*CA$4,IF($M24=CA$15,CA$22*CA$5,IF($M24=CA$16,CA$22*CA$6,IF($M24=CA$17,CA$22*CA$7,IF($M24=CA$18,CA$22*CA$8,IF($M24=CA$19,CA$22*CA$9,IF($M24=CA$20,CA$22*CA$10,0))))))))</f>
        <v>0</v>
      </c>
      <c r="CB24" s="229">
        <f t="shared" si="9"/>
        <v>0</v>
      </c>
      <c r="CC24" s="229">
        <f t="shared" si="8"/>
        <v>0</v>
      </c>
      <c r="CD24" s="229">
        <f t="shared" ref="CD24:CG53" si="10">IF($M24=CD$13,CD$22*CD$3,IF($M24=CD$14,CD$22*CD$4,IF($M24=CD$15,CD$22*CD$5,IF($M24=CD$16,CD$22*CD$6,IF($M24=CD$17,CD$22*CD$7,IF($M24=CD$18,CD$22*CD$8,IF($M24=CD$19,CD$22*CD$9,IF($M24=CD$20,CD$22*CD$10,0))))))))</f>
        <v>0</v>
      </c>
      <c r="CE24" s="229">
        <f t="shared" si="10"/>
        <v>0</v>
      </c>
      <c r="CF24" s="229">
        <f t="shared" si="10"/>
        <v>0</v>
      </c>
      <c r="CG24" s="229">
        <f t="shared" si="10"/>
        <v>0</v>
      </c>
      <c r="CH24" s="229">
        <f t="shared" ref="CH24:CQ55" si="11">IF($M24=CH$13,CH$22*CH$3,IF($M24=CH$14,CH$22*CH$4,IF($M24=CH$15,CH$22*CH$5,IF($M24=CH$16,CH$22*CH$6,IF($M24=CH$17,CH$22*CH$7,IF($M24=CH$18,CH$22*CH$8,IF($M24=CH$19,CH$22*CH$9,IF($M24=CH$20,CH$22*CH$10,0))))))))</f>
        <v>0</v>
      </c>
      <c r="CI24" s="229">
        <f t="shared" si="11"/>
        <v>0</v>
      </c>
      <c r="CJ24" s="229">
        <f t="shared" ref="CJ24:CJ55" si="12">IF($M24=CJ$13,CJ$22*CJ$3,IF($M24=CJ$14,CJ$22*CJ$4,IF($M24=CJ$15,CJ$22*CJ$5,IF($M24=CJ$16,CJ$22*CJ$6,IF($M24=CJ$17,CJ$22*CJ$7,IF($M24=CJ$18,CJ$22*CJ$8,IF($M24=CJ$19,CJ$22*CJ$9,IF($M24=CJ$20,CJ$22*CJ$10,0))))))))</f>
        <v>0</v>
      </c>
      <c r="CK24" s="229">
        <f t="shared" si="11"/>
        <v>0</v>
      </c>
      <c r="CL24" s="229">
        <f t="shared" si="11"/>
        <v>0</v>
      </c>
      <c r="CM24" s="229">
        <f t="shared" si="11"/>
        <v>0</v>
      </c>
      <c r="CN24" s="229">
        <f t="shared" si="11"/>
        <v>0</v>
      </c>
      <c r="CO24" s="229">
        <f t="shared" ref="CO24:CP39" si="13">IF($M24=CO$13,CO$22*CO$3,IF($M24=CO$14,CO$22*CO$4,IF($M24=CO$15,CO$22*CO$5,IF($M24=CO$16,CO$22*CO$6,IF($M24=CO$17,CO$22*CO$7,IF($M24=CO$18,CO$22*CO$8,IF($M24=CO$19,CO$22*CO$9,IF($M24=CO$20,CO$22*CO$10,0))))))))</f>
        <v>0</v>
      </c>
      <c r="CP24" s="229">
        <f t="shared" si="13"/>
        <v>0</v>
      </c>
      <c r="CQ24" s="229">
        <f t="shared" si="11"/>
        <v>0</v>
      </c>
      <c r="CR24" s="229">
        <f t="shared" ref="CR24:CT53" si="14">IF($M24=CR$13,CR$22*CR$3,IF($M24=CR$14,CR$22*CR$4,IF($M24=CR$15,CR$22*CR$5,IF($M24=CR$16,CR$22*CR$6,IF($M24=CR$17,CR$22*CR$7,IF($M24=CR$18,CR$22*CR$8,IF($M24=CR$19,CR$22*CR$9,IF($M24=CR$20,CR$22*CR$10,0))))))))</f>
        <v>0</v>
      </c>
      <c r="CS24" s="229">
        <f t="shared" si="14"/>
        <v>0</v>
      </c>
      <c r="CT24" s="229">
        <f t="shared" si="14"/>
        <v>0</v>
      </c>
      <c r="CU24" s="230"/>
      <c r="CV24" s="231"/>
      <c r="CW24" s="231"/>
      <c r="CX24" s="231"/>
      <c r="CY24" s="231"/>
      <c r="CZ24" s="231"/>
      <c r="DA24" s="231"/>
      <c r="DB24" s="231"/>
      <c r="DC24" s="232"/>
      <c r="DD24" s="233">
        <f t="shared" ref="DD24:DQ29" si="15">IF(AND($M24&gt;=DD$15,$M24&lt;(DD$16+1)),DD$22/(DD$16-DD$15+1),0)</f>
        <v>0</v>
      </c>
      <c r="DE24" s="233">
        <f t="shared" si="15"/>
        <v>0</v>
      </c>
      <c r="DF24" s="233">
        <f t="shared" si="15"/>
        <v>0</v>
      </c>
      <c r="DG24" s="233">
        <f t="shared" si="15"/>
        <v>0</v>
      </c>
      <c r="DH24" s="233">
        <f t="shared" si="15"/>
        <v>0</v>
      </c>
      <c r="DI24" s="233">
        <f t="shared" si="15"/>
        <v>0</v>
      </c>
      <c r="DJ24" s="233">
        <f t="shared" si="15"/>
        <v>0</v>
      </c>
      <c r="DK24" s="233">
        <f t="shared" si="15"/>
        <v>0</v>
      </c>
      <c r="DL24" s="233">
        <f t="shared" si="15"/>
        <v>0</v>
      </c>
      <c r="DM24" s="233">
        <f t="shared" si="15"/>
        <v>0</v>
      </c>
      <c r="DN24" s="233">
        <f t="shared" si="15"/>
        <v>0</v>
      </c>
      <c r="DO24" s="233">
        <f t="shared" si="15"/>
        <v>0</v>
      </c>
      <c r="DP24" s="233">
        <f t="shared" si="15"/>
        <v>0</v>
      </c>
      <c r="DQ24" s="233">
        <f t="shared" si="15"/>
        <v>0</v>
      </c>
      <c r="DR24" s="233">
        <f>DR5</f>
        <v>0</v>
      </c>
      <c r="DS24" s="233">
        <f>DR6</f>
        <v>0</v>
      </c>
      <c r="DT24" s="233">
        <f ca="1">IF(SUM(DT23:DT$24)=DT$22,0,IF(AND($M24&gt;=DT$15,$M24&lt;(DT$16+1)),DT$22/(DT$16-DT$15+1),0))</f>
        <v>0</v>
      </c>
      <c r="DU24" s="233">
        <f ca="1">IF(SUM(DU23:DU$24)=DU$22,0,IF(AND($M24&gt;=DU$15,$M24&lt;(DU$16+1)),DU$22/(DU$16-DU$15+1),0))</f>
        <v>0</v>
      </c>
      <c r="DV24" s="233">
        <f ca="1">IF(SUM(DV23:DV$24)=DV$22,0,IF(AND($M24&gt;=DV$15,$M24&lt;(DV$16+1)),DV$22/(DV$16-DV$15+1),0))</f>
        <v>0</v>
      </c>
      <c r="DW24" s="233" t="e">
        <f ca="1">IF(SUM(DW23:DW$24)=DW$22,0,IF(AND($M24&gt;=DW$15,$M24&lt;(DW$16+1)),DW$22/(DW$16-DW$15+1),0))</f>
        <v>#N/A</v>
      </c>
      <c r="DX24" s="233">
        <f ca="1">IF(SUM(DX23:DX$24)=DX$22,0,IF(AND($M24&gt;=DX$15,$M24&lt;(DX$16+1)),DX$22/(DX$16-DX$15+1),0))</f>
        <v>0</v>
      </c>
      <c r="DY24" s="233">
        <f ca="1">IF(SUM(DY23:DY$24)=DY$22,0,IF(AND($M24&gt;=DY$15,$M24&lt;(DY$16+1)),DY$22/(DY$16-DY$15+1),0))</f>
        <v>0</v>
      </c>
      <c r="DZ24" s="233">
        <f ca="1">IF(SUM(DZ23:DZ$24)=DZ$22,0,IF(AND($M24&gt;=DZ$15,$M24&lt;(DZ$16+1)),DZ$22/(DZ$16-DZ$15+1),0))</f>
        <v>0</v>
      </c>
      <c r="EA24" s="233" t="e">
        <f ca="1">IF(SUM(EA24:EA$24)=EA$22,0,IF(AND(M24&gt;=EA$15,M24&lt;(EA$16+1)),EA$22/(EA$16-EA$15+1),0))</f>
        <v>#N/A</v>
      </c>
      <c r="EB24" s="234"/>
      <c r="EC24" s="234">
        <f t="shared" ref="EC24:EC55" si="16">M24</f>
        <v>1</v>
      </c>
      <c r="ED24" s="234" t="e">
        <f t="shared" ref="ED24:ED55" ca="1" si="17">SUM(O24:EA24)</f>
        <v>#N/A</v>
      </c>
      <c r="EE24" s="235" t="e">
        <f t="shared" ref="EE24:EE55" ca="1" si="18">ED24/ED$22</f>
        <v>#N/A</v>
      </c>
      <c r="EF24" s="234" t="e">
        <f ca="1">$EE24*$EF$22</f>
        <v>#N/A</v>
      </c>
      <c r="EG24" s="234"/>
      <c r="EH24" s="234"/>
      <c r="EI24" s="234"/>
      <c r="EJ24" s="234"/>
      <c r="EK24" s="153" t="e">
        <f t="shared" ref="EK24:EK55" ca="1" si="19">SUM(ED24,EF24:EJ24)</f>
        <v>#N/A</v>
      </c>
      <c r="EL24" s="233" t="e">
        <f ca="1">IF(SUM(EL23:EL$24)=EL$22,0,IF(AND($M24&gt;=EL$15,$M24&lt;(EL$16+1)),EL$22/(EL$16-EL$15+1),0))</f>
        <v>#N/A</v>
      </c>
      <c r="EM24" s="153" t="e">
        <f ca="1">SUM(EK24:EL24)</f>
        <v>#N/A</v>
      </c>
      <c r="EO24" s="60"/>
      <c r="EP24" s="60"/>
    </row>
    <row r="25" spans="1:176">
      <c r="A25" s="220"/>
      <c r="B25" s="236">
        <f>B26-1</f>
        <v>-2</v>
      </c>
      <c r="C25" s="221">
        <f>C26-30</f>
        <v>43501</v>
      </c>
      <c r="D25" s="222" t="e">
        <f ca="1">'Offshore INT'!R14</f>
        <v>#N/A</v>
      </c>
      <c r="E25" s="223" t="e">
        <f t="shared" ca="1" si="0"/>
        <v>#N/A</v>
      </c>
      <c r="F25" s="224"/>
      <c r="G25" s="225">
        <f>IF(G24=1,1,SUM($F$24:F25))</f>
        <v>0</v>
      </c>
      <c r="H25" s="226" t="e">
        <f ca="1">IF(H24=0,0,SUM($I$24:I25))</f>
        <v>#N/A</v>
      </c>
      <c r="I25" s="227" t="e">
        <f t="shared" ca="1" si="1"/>
        <v>#N/A</v>
      </c>
      <c r="J25" s="222">
        <f t="shared" ref="J25:J88" ca="1" si="20">IF(ISERROR(SUM(EM25)),0,SUM(EM25))</f>
        <v>0</v>
      </c>
      <c r="K25" s="60"/>
      <c r="L25" s="228"/>
      <c r="M25" s="228">
        <f t="shared" si="2"/>
        <v>-2</v>
      </c>
      <c r="N25" s="221">
        <f t="shared" si="3"/>
        <v>43501</v>
      </c>
      <c r="O25" s="229">
        <f t="shared" si="4"/>
        <v>0</v>
      </c>
      <c r="P25" s="229">
        <f t="shared" si="4"/>
        <v>0</v>
      </c>
      <c r="Q25" s="229">
        <f t="shared" si="4"/>
        <v>0</v>
      </c>
      <c r="R25" s="229">
        <f t="shared" si="4"/>
        <v>0</v>
      </c>
      <c r="S25" s="229">
        <f t="shared" si="4"/>
        <v>0</v>
      </c>
      <c r="T25" s="229">
        <f t="shared" si="4"/>
        <v>0</v>
      </c>
      <c r="U25" s="229">
        <f t="shared" si="4"/>
        <v>0</v>
      </c>
      <c r="V25" s="229">
        <f t="shared" si="4"/>
        <v>0</v>
      </c>
      <c r="W25" s="229">
        <f t="shared" si="4"/>
        <v>0</v>
      </c>
      <c r="X25" s="229">
        <f t="shared" si="4"/>
        <v>0</v>
      </c>
      <c r="Y25" s="229">
        <f t="shared" si="4"/>
        <v>0</v>
      </c>
      <c r="Z25" s="229">
        <f t="shared" si="4"/>
        <v>0</v>
      </c>
      <c r="AA25" s="229">
        <f t="shared" si="4"/>
        <v>0</v>
      </c>
      <c r="AB25" s="229">
        <f t="shared" si="4"/>
        <v>0</v>
      </c>
      <c r="AC25" s="229">
        <f t="shared" si="4"/>
        <v>0</v>
      </c>
      <c r="AD25" s="229">
        <f t="shared" si="4"/>
        <v>0</v>
      </c>
      <c r="AE25" s="229">
        <f t="shared" si="4"/>
        <v>0</v>
      </c>
      <c r="AF25" s="229">
        <f t="shared" si="4"/>
        <v>0</v>
      </c>
      <c r="AG25" s="229">
        <f t="shared" si="4"/>
        <v>0</v>
      </c>
      <c r="AH25" s="229">
        <f t="shared" si="4"/>
        <v>0</v>
      </c>
      <c r="AI25" s="229">
        <f t="shared" si="4"/>
        <v>0</v>
      </c>
      <c r="AJ25" s="229">
        <f t="shared" si="4"/>
        <v>0</v>
      </c>
      <c r="AK25" s="229">
        <f t="shared" si="4"/>
        <v>0</v>
      </c>
      <c r="AL25" s="229">
        <f t="shared" si="4"/>
        <v>0</v>
      </c>
      <c r="AM25" s="229">
        <f t="shared" si="5"/>
        <v>0</v>
      </c>
      <c r="AN25" s="229">
        <f t="shared" si="5"/>
        <v>0</v>
      </c>
      <c r="AO25" s="229">
        <f t="shared" si="5"/>
        <v>0</v>
      </c>
      <c r="AP25" s="229">
        <f t="shared" si="4"/>
        <v>0</v>
      </c>
      <c r="AQ25" s="229">
        <f t="shared" si="4"/>
        <v>0</v>
      </c>
      <c r="AR25" s="229">
        <f t="shared" si="4"/>
        <v>0</v>
      </c>
      <c r="AS25" s="229">
        <f t="shared" si="6"/>
        <v>0</v>
      </c>
      <c r="AT25" s="229">
        <f t="shared" si="6"/>
        <v>0</v>
      </c>
      <c r="AU25" s="229">
        <f t="shared" si="6"/>
        <v>0</v>
      </c>
      <c r="AV25" s="229">
        <f t="shared" si="6"/>
        <v>0</v>
      </c>
      <c r="AW25" s="229">
        <f t="shared" si="6"/>
        <v>0</v>
      </c>
      <c r="AX25" s="229">
        <f t="shared" si="4"/>
        <v>0</v>
      </c>
      <c r="AY25" s="229">
        <f t="shared" si="4"/>
        <v>0</v>
      </c>
      <c r="AZ25" s="229">
        <f t="shared" si="4"/>
        <v>0</v>
      </c>
      <c r="BA25" s="229">
        <f t="shared" si="4"/>
        <v>0</v>
      </c>
      <c r="BB25" s="229">
        <f t="shared" si="4"/>
        <v>0</v>
      </c>
      <c r="BC25" s="229">
        <f t="shared" si="4"/>
        <v>0</v>
      </c>
      <c r="BD25" s="229">
        <f t="shared" si="7"/>
        <v>0</v>
      </c>
      <c r="BE25" s="229">
        <f t="shared" si="7"/>
        <v>0</v>
      </c>
      <c r="BF25" s="229">
        <f t="shared" si="7"/>
        <v>0</v>
      </c>
      <c r="BG25" s="229">
        <f t="shared" si="7"/>
        <v>0</v>
      </c>
      <c r="BH25" s="229">
        <f t="shared" si="7"/>
        <v>0</v>
      </c>
      <c r="BI25" s="229">
        <f t="shared" si="7"/>
        <v>0</v>
      </c>
      <c r="BJ25" s="229">
        <f t="shared" si="7"/>
        <v>0</v>
      </c>
      <c r="BK25" s="229">
        <f t="shared" si="7"/>
        <v>0</v>
      </c>
      <c r="BL25" s="229">
        <f t="shared" si="7"/>
        <v>0</v>
      </c>
      <c r="BM25" s="229">
        <f t="shared" si="7"/>
        <v>0</v>
      </c>
      <c r="BN25" s="229">
        <f t="shared" si="7"/>
        <v>0</v>
      </c>
      <c r="BO25" s="229">
        <f t="shared" si="7"/>
        <v>0</v>
      </c>
      <c r="BP25" s="229">
        <f t="shared" si="7"/>
        <v>0</v>
      </c>
      <c r="BQ25" s="229">
        <f t="shared" si="8"/>
        <v>0</v>
      </c>
      <c r="BR25" s="229">
        <f t="shared" si="8"/>
        <v>0</v>
      </c>
      <c r="BS25" s="229">
        <f t="shared" si="8"/>
        <v>0</v>
      </c>
      <c r="BT25" s="229">
        <f t="shared" si="8"/>
        <v>0</v>
      </c>
      <c r="BU25" s="229">
        <f t="shared" si="8"/>
        <v>0</v>
      </c>
      <c r="BV25" s="229">
        <f t="shared" si="8"/>
        <v>0</v>
      </c>
      <c r="BW25" s="229">
        <f t="shared" si="8"/>
        <v>0</v>
      </c>
      <c r="BX25" s="229">
        <f t="shared" si="8"/>
        <v>0</v>
      </c>
      <c r="BY25" s="229">
        <f t="shared" si="8"/>
        <v>0</v>
      </c>
      <c r="BZ25" s="229">
        <f t="shared" si="8"/>
        <v>0</v>
      </c>
      <c r="CA25" s="229">
        <f t="shared" si="9"/>
        <v>0</v>
      </c>
      <c r="CB25" s="229">
        <f t="shared" si="9"/>
        <v>0</v>
      </c>
      <c r="CC25" s="229">
        <f t="shared" si="8"/>
        <v>0</v>
      </c>
      <c r="CD25" s="229">
        <f t="shared" si="10"/>
        <v>0</v>
      </c>
      <c r="CE25" s="229">
        <f t="shared" si="10"/>
        <v>0</v>
      </c>
      <c r="CF25" s="229">
        <f t="shared" si="10"/>
        <v>0</v>
      </c>
      <c r="CG25" s="229">
        <f t="shared" si="10"/>
        <v>0</v>
      </c>
      <c r="CH25" s="229">
        <f t="shared" si="11"/>
        <v>0</v>
      </c>
      <c r="CI25" s="229">
        <f t="shared" si="11"/>
        <v>0</v>
      </c>
      <c r="CJ25" s="229">
        <f t="shared" si="12"/>
        <v>0</v>
      </c>
      <c r="CK25" s="229">
        <f t="shared" si="11"/>
        <v>0</v>
      </c>
      <c r="CL25" s="229">
        <f t="shared" si="11"/>
        <v>0</v>
      </c>
      <c r="CM25" s="229">
        <f t="shared" si="11"/>
        <v>0</v>
      </c>
      <c r="CN25" s="229">
        <f t="shared" si="11"/>
        <v>0</v>
      </c>
      <c r="CO25" s="229">
        <f t="shared" si="13"/>
        <v>0</v>
      </c>
      <c r="CP25" s="229">
        <f t="shared" si="13"/>
        <v>0</v>
      </c>
      <c r="CQ25" s="229">
        <f t="shared" si="11"/>
        <v>0</v>
      </c>
      <c r="CR25" s="229">
        <f t="shared" si="14"/>
        <v>0</v>
      </c>
      <c r="CS25" s="229">
        <f t="shared" si="14"/>
        <v>0</v>
      </c>
      <c r="CT25" s="229">
        <f t="shared" si="14"/>
        <v>0</v>
      </c>
      <c r="CU25" s="230"/>
      <c r="CV25" s="231"/>
      <c r="CW25" s="231"/>
      <c r="CX25" s="231"/>
      <c r="CY25" s="231"/>
      <c r="CZ25" s="231"/>
      <c r="DA25" s="231"/>
      <c r="DB25" s="231"/>
      <c r="DC25" s="231"/>
      <c r="DD25" s="233">
        <f t="shared" si="15"/>
        <v>0</v>
      </c>
      <c r="DE25" s="233">
        <f t="shared" si="15"/>
        <v>0</v>
      </c>
      <c r="DF25" s="233">
        <f t="shared" si="15"/>
        <v>0</v>
      </c>
      <c r="DG25" s="233">
        <f t="shared" si="15"/>
        <v>0</v>
      </c>
      <c r="DH25" s="233">
        <f t="shared" si="15"/>
        <v>0</v>
      </c>
      <c r="DI25" s="233">
        <f t="shared" si="15"/>
        <v>0</v>
      </c>
      <c r="DJ25" s="233">
        <f t="shared" si="15"/>
        <v>0</v>
      </c>
      <c r="DK25" s="233">
        <f t="shared" si="15"/>
        <v>0</v>
      </c>
      <c r="DL25" s="233">
        <f t="shared" si="15"/>
        <v>0</v>
      </c>
      <c r="DM25" s="233">
        <f t="shared" si="15"/>
        <v>0</v>
      </c>
      <c r="DN25" s="233">
        <f t="shared" si="15"/>
        <v>0</v>
      </c>
      <c r="DO25" s="233">
        <f t="shared" si="15"/>
        <v>0</v>
      </c>
      <c r="DP25" s="233">
        <f t="shared" si="15"/>
        <v>0</v>
      </c>
      <c r="DQ25" s="233">
        <f t="shared" si="15"/>
        <v>0</v>
      </c>
      <c r="DR25" s="233">
        <f>DQ5</f>
        <v>0</v>
      </c>
      <c r="DS25" s="233">
        <f>DQ6</f>
        <v>0</v>
      </c>
      <c r="DT25" s="233">
        <f ca="1">IF(SUM(DT24:DT$24)=DT$22,0,IF(AND($M25&gt;=DT$15,$M25&lt;(DT$16+1)),DT$22/(DT$16-DT$15+1),0))</f>
        <v>0</v>
      </c>
      <c r="DU25" s="233">
        <f ca="1">IF(SUM(DU24:DU$24)=DU$22,0,IF(AND($M25&gt;=DU$15,$M25&lt;(DU$16+1)),DU$22/(DU$16-DU$15+1),0))</f>
        <v>0</v>
      </c>
      <c r="DV25" s="233">
        <f ca="1">IF(SUM(DV24:DV$24)=DV$22,0,IF(AND($M25&gt;=DV$15,$M25&lt;(DV$16+1)),DV$22/(DV$16-DV$15+1),0))</f>
        <v>0</v>
      </c>
      <c r="DW25" s="233" t="e">
        <f ca="1">IF(SUM(DW24:DW$24)=DW$22,0,IF(AND($M25&gt;=DW$15,$M25&lt;(DW$16+1)),DW$22/(DW$16-DW$15+1),0))</f>
        <v>#N/A</v>
      </c>
      <c r="DX25" s="233">
        <f ca="1">IF(SUM(DX24:DX$24)=DX$22,0,IF(AND($M25&gt;=DX$15,$M25&lt;(DX$16+1)),DX$22/(DX$16-DX$15+1),0))</f>
        <v>0</v>
      </c>
      <c r="DY25" s="233">
        <f ca="1">IF(SUM(DY24:DY$24)=DY$22,0,IF(AND($M25&gt;=DY$15,$M25&lt;(DY$16+1)),DY$22/(DY$16-DY$15+1),0))</f>
        <v>0</v>
      </c>
      <c r="DZ25" s="233">
        <f ca="1">IF(SUM(DZ24:DZ$24)=DZ$22,0,IF(AND($M25&gt;=DZ$15,$M25&lt;(DZ$16+1)),DZ$22/(DZ$16-DZ$15+1),0))</f>
        <v>0</v>
      </c>
      <c r="EA25" s="233" t="e">
        <f ca="1">IF(SUM(EA24:EA$24)=EA$22,0,IF(AND(M25&gt;=EA$15,M25&lt;(EA$16+1)),EA$22/(EA$16-EA$15+1),0))</f>
        <v>#N/A</v>
      </c>
      <c r="EC25" s="234">
        <f t="shared" si="16"/>
        <v>-2</v>
      </c>
      <c r="ED25" s="234" t="e">
        <f t="shared" ca="1" si="17"/>
        <v>#N/A</v>
      </c>
      <c r="EE25" s="235" t="e">
        <f t="shared" ca="1" si="18"/>
        <v>#N/A</v>
      </c>
      <c r="EF25" s="234" t="e">
        <f ca="1">$EE25*$EF$22</f>
        <v>#N/A</v>
      </c>
      <c r="EG25" s="234"/>
      <c r="EH25" s="234"/>
      <c r="EI25" s="234"/>
      <c r="EJ25" s="234"/>
      <c r="EK25" s="153" t="e">
        <f t="shared" ca="1" si="19"/>
        <v>#N/A</v>
      </c>
      <c r="EL25" s="233" t="e">
        <f ca="1">IF(SUM(EL24:EL$24)=EL$22,0,IF(AND($M25&gt;=EL$15,$M25&lt;(EL$16+1)),EL$22/(EL$16-EL$15+1),0))</f>
        <v>#N/A</v>
      </c>
      <c r="EM25" s="153" t="e">
        <f t="shared" ref="EM25:EM55" ca="1" si="21">SUM(EK25:EL25)</f>
        <v>#N/A</v>
      </c>
      <c r="EO25" s="60"/>
      <c r="EP25" s="60"/>
    </row>
    <row r="26" spans="1:176">
      <c r="A26" s="220"/>
      <c r="B26" s="236">
        <f>B27-1</f>
        <v>-1</v>
      </c>
      <c r="C26" s="221">
        <f>C27-30</f>
        <v>43531</v>
      </c>
      <c r="D26" s="222" t="e">
        <f ca="1">'Offshore INT'!R15</f>
        <v>#N/A</v>
      </c>
      <c r="E26" s="223" t="e">
        <f t="shared" ca="1" si="0"/>
        <v>#N/A</v>
      </c>
      <c r="F26" s="224"/>
      <c r="G26" s="225">
        <f>IF(G25=1,1,SUM($F$24:F26))</f>
        <v>0</v>
      </c>
      <c r="H26" s="226" t="e">
        <f ca="1">IF(H25=0,0,SUM($I$24:I26))</f>
        <v>#N/A</v>
      </c>
      <c r="I26" s="227" t="e">
        <f t="shared" ca="1" si="1"/>
        <v>#N/A</v>
      </c>
      <c r="J26" s="222">
        <f t="shared" ca="1" si="20"/>
        <v>0</v>
      </c>
      <c r="K26" s="60"/>
      <c r="L26" s="228"/>
      <c r="M26" s="228">
        <f t="shared" si="2"/>
        <v>-1</v>
      </c>
      <c r="N26" s="221">
        <f t="shared" si="3"/>
        <v>43531</v>
      </c>
      <c r="O26" s="229">
        <f t="shared" si="4"/>
        <v>0</v>
      </c>
      <c r="P26" s="229">
        <f t="shared" si="4"/>
        <v>0</v>
      </c>
      <c r="Q26" s="229">
        <f t="shared" si="4"/>
        <v>0</v>
      </c>
      <c r="R26" s="229">
        <f t="shared" si="4"/>
        <v>0</v>
      </c>
      <c r="S26" s="229">
        <f t="shared" si="4"/>
        <v>0</v>
      </c>
      <c r="T26" s="229">
        <f t="shared" si="4"/>
        <v>0</v>
      </c>
      <c r="U26" s="229">
        <f t="shared" si="4"/>
        <v>0</v>
      </c>
      <c r="V26" s="229">
        <f t="shared" si="4"/>
        <v>0</v>
      </c>
      <c r="W26" s="229">
        <f t="shared" si="4"/>
        <v>0</v>
      </c>
      <c r="X26" s="229">
        <f t="shared" si="4"/>
        <v>0</v>
      </c>
      <c r="Y26" s="229">
        <f t="shared" si="4"/>
        <v>0</v>
      </c>
      <c r="Z26" s="229">
        <f t="shared" si="4"/>
        <v>0</v>
      </c>
      <c r="AA26" s="229">
        <f t="shared" si="4"/>
        <v>0</v>
      </c>
      <c r="AB26" s="229">
        <f t="shared" si="4"/>
        <v>0</v>
      </c>
      <c r="AC26" s="229">
        <f t="shared" si="4"/>
        <v>0</v>
      </c>
      <c r="AD26" s="229">
        <f t="shared" si="4"/>
        <v>0</v>
      </c>
      <c r="AE26" s="229">
        <f t="shared" si="4"/>
        <v>0</v>
      </c>
      <c r="AF26" s="229">
        <f t="shared" si="4"/>
        <v>0</v>
      </c>
      <c r="AG26" s="229">
        <f t="shared" si="4"/>
        <v>0</v>
      </c>
      <c r="AH26" s="229">
        <f t="shared" si="4"/>
        <v>0</v>
      </c>
      <c r="AI26" s="229">
        <f t="shared" si="4"/>
        <v>0</v>
      </c>
      <c r="AJ26" s="229">
        <f t="shared" si="4"/>
        <v>0</v>
      </c>
      <c r="AK26" s="229">
        <f t="shared" si="4"/>
        <v>0</v>
      </c>
      <c r="AL26" s="229">
        <f t="shared" si="4"/>
        <v>0</v>
      </c>
      <c r="AM26" s="229">
        <f t="shared" si="5"/>
        <v>0</v>
      </c>
      <c r="AN26" s="229">
        <f t="shared" si="5"/>
        <v>0</v>
      </c>
      <c r="AO26" s="229">
        <f t="shared" si="5"/>
        <v>0</v>
      </c>
      <c r="AP26" s="229">
        <f t="shared" si="4"/>
        <v>0</v>
      </c>
      <c r="AQ26" s="229">
        <f t="shared" si="4"/>
        <v>0</v>
      </c>
      <c r="AR26" s="229">
        <f t="shared" si="4"/>
        <v>0</v>
      </c>
      <c r="AS26" s="229">
        <f t="shared" si="6"/>
        <v>0</v>
      </c>
      <c r="AT26" s="229">
        <f t="shared" si="6"/>
        <v>0</v>
      </c>
      <c r="AU26" s="229">
        <f t="shared" si="6"/>
        <v>0</v>
      </c>
      <c r="AV26" s="229">
        <f t="shared" si="6"/>
        <v>0</v>
      </c>
      <c r="AW26" s="229">
        <f t="shared" si="6"/>
        <v>0</v>
      </c>
      <c r="AX26" s="229">
        <f t="shared" si="4"/>
        <v>0</v>
      </c>
      <c r="AY26" s="229">
        <f t="shared" si="4"/>
        <v>0</v>
      </c>
      <c r="AZ26" s="229">
        <f t="shared" si="4"/>
        <v>0</v>
      </c>
      <c r="BA26" s="229">
        <f t="shared" si="4"/>
        <v>0</v>
      </c>
      <c r="BB26" s="229">
        <f t="shared" si="4"/>
        <v>0</v>
      </c>
      <c r="BC26" s="229">
        <f t="shared" si="4"/>
        <v>0</v>
      </c>
      <c r="BD26" s="229">
        <f t="shared" si="7"/>
        <v>0</v>
      </c>
      <c r="BE26" s="229">
        <f t="shared" si="7"/>
        <v>0</v>
      </c>
      <c r="BF26" s="229">
        <f t="shared" si="7"/>
        <v>0</v>
      </c>
      <c r="BG26" s="229">
        <f t="shared" si="7"/>
        <v>0</v>
      </c>
      <c r="BH26" s="229">
        <f t="shared" si="7"/>
        <v>0</v>
      </c>
      <c r="BI26" s="229">
        <f t="shared" si="7"/>
        <v>0</v>
      </c>
      <c r="BJ26" s="229">
        <f t="shared" si="7"/>
        <v>0</v>
      </c>
      <c r="BK26" s="229">
        <f t="shared" si="7"/>
        <v>0</v>
      </c>
      <c r="BL26" s="229">
        <f t="shared" si="7"/>
        <v>0</v>
      </c>
      <c r="BM26" s="229">
        <f t="shared" si="7"/>
        <v>0</v>
      </c>
      <c r="BN26" s="229">
        <f t="shared" si="7"/>
        <v>0</v>
      </c>
      <c r="BO26" s="229">
        <f t="shared" si="7"/>
        <v>0</v>
      </c>
      <c r="BP26" s="229">
        <f t="shared" si="7"/>
        <v>0</v>
      </c>
      <c r="BQ26" s="229">
        <f t="shared" si="8"/>
        <v>0</v>
      </c>
      <c r="BR26" s="229">
        <f t="shared" si="8"/>
        <v>0</v>
      </c>
      <c r="BS26" s="229">
        <f t="shared" si="8"/>
        <v>0</v>
      </c>
      <c r="BT26" s="229">
        <f t="shared" si="8"/>
        <v>0</v>
      </c>
      <c r="BU26" s="229">
        <f t="shared" si="8"/>
        <v>0</v>
      </c>
      <c r="BV26" s="229">
        <f t="shared" si="8"/>
        <v>0</v>
      </c>
      <c r="BW26" s="229">
        <f t="shared" si="8"/>
        <v>0</v>
      </c>
      <c r="BX26" s="229">
        <f t="shared" si="8"/>
        <v>0</v>
      </c>
      <c r="BY26" s="229">
        <f t="shared" si="8"/>
        <v>0</v>
      </c>
      <c r="BZ26" s="229">
        <f t="shared" si="8"/>
        <v>0</v>
      </c>
      <c r="CA26" s="229">
        <f t="shared" si="9"/>
        <v>0</v>
      </c>
      <c r="CB26" s="229">
        <f t="shared" si="9"/>
        <v>0</v>
      </c>
      <c r="CC26" s="229">
        <f t="shared" si="8"/>
        <v>0</v>
      </c>
      <c r="CD26" s="229">
        <f t="shared" si="10"/>
        <v>0</v>
      </c>
      <c r="CE26" s="229">
        <f t="shared" si="10"/>
        <v>0</v>
      </c>
      <c r="CF26" s="229">
        <f t="shared" si="10"/>
        <v>0</v>
      </c>
      <c r="CG26" s="229">
        <f t="shared" si="10"/>
        <v>0</v>
      </c>
      <c r="CH26" s="229">
        <f t="shared" si="11"/>
        <v>0</v>
      </c>
      <c r="CI26" s="229">
        <f t="shared" si="11"/>
        <v>0</v>
      </c>
      <c r="CJ26" s="229">
        <f t="shared" si="12"/>
        <v>0</v>
      </c>
      <c r="CK26" s="229">
        <f t="shared" si="11"/>
        <v>0</v>
      </c>
      <c r="CL26" s="229">
        <f t="shared" si="11"/>
        <v>0</v>
      </c>
      <c r="CM26" s="229">
        <f t="shared" si="11"/>
        <v>0</v>
      </c>
      <c r="CN26" s="229">
        <f t="shared" si="11"/>
        <v>0</v>
      </c>
      <c r="CO26" s="229">
        <f t="shared" si="13"/>
        <v>0</v>
      </c>
      <c r="CP26" s="229">
        <f t="shared" si="13"/>
        <v>0</v>
      </c>
      <c r="CQ26" s="229">
        <f t="shared" si="11"/>
        <v>0</v>
      </c>
      <c r="CR26" s="229">
        <f t="shared" si="14"/>
        <v>0</v>
      </c>
      <c r="CS26" s="229">
        <f t="shared" si="14"/>
        <v>0</v>
      </c>
      <c r="CT26" s="229">
        <f t="shared" si="14"/>
        <v>0</v>
      </c>
      <c r="CU26" s="230"/>
      <c r="CV26" s="231"/>
      <c r="CW26" s="231"/>
      <c r="CX26" s="231"/>
      <c r="CY26" s="231"/>
      <c r="CZ26" s="231"/>
      <c r="DA26" s="231"/>
      <c r="DB26" s="231"/>
      <c r="DC26" s="231"/>
      <c r="DD26" s="231">
        <f t="shared" si="15"/>
        <v>0</v>
      </c>
      <c r="DE26" s="231">
        <f t="shared" si="15"/>
        <v>0</v>
      </c>
      <c r="DF26" s="231">
        <f t="shared" si="15"/>
        <v>0</v>
      </c>
      <c r="DG26" s="231">
        <f t="shared" si="15"/>
        <v>0</v>
      </c>
      <c r="DH26" s="231">
        <f t="shared" si="15"/>
        <v>0</v>
      </c>
      <c r="DI26" s="231">
        <f t="shared" si="15"/>
        <v>0</v>
      </c>
      <c r="DJ26" s="231">
        <f t="shared" si="15"/>
        <v>0</v>
      </c>
      <c r="DK26" s="231">
        <f t="shared" si="15"/>
        <v>0</v>
      </c>
      <c r="DL26" s="231">
        <f t="shared" si="15"/>
        <v>0</v>
      </c>
      <c r="DM26" s="231">
        <f t="shared" si="15"/>
        <v>0</v>
      </c>
      <c r="DN26" s="231">
        <f t="shared" si="15"/>
        <v>0</v>
      </c>
      <c r="DO26" s="231">
        <f t="shared" si="15"/>
        <v>0</v>
      </c>
      <c r="DP26" s="231">
        <f t="shared" si="15"/>
        <v>0</v>
      </c>
      <c r="DQ26" s="231">
        <f t="shared" si="15"/>
        <v>0</v>
      </c>
      <c r="DR26" s="231">
        <f>DP5</f>
        <v>0</v>
      </c>
      <c r="DS26" s="231">
        <f>DP6</f>
        <v>0</v>
      </c>
      <c r="DT26" s="231">
        <f ca="1">IF(SUM(DT$24:DT25)=DT$22,0,IF(AND($M26&gt;=DT$15,$M26&lt;(DT$16+1)),DT$22/(DT$16-DT$15+1),0))</f>
        <v>0</v>
      </c>
      <c r="DU26" s="231">
        <f ca="1">IF(SUM(DU$24:DU25)=DU$22,0,IF(AND($M26&gt;=DU$15,$M26&lt;(DU$16+1)),DU$22/(DU$16-DU$15+1),0))</f>
        <v>0</v>
      </c>
      <c r="DV26" s="231">
        <f ca="1">IF(SUM(DV$24:DV25)=DV$22,0,IF(AND($M26&gt;=DV$15,$M26&lt;(DV$16+1)),DV$22/(DV$16-DV$15+1),0))</f>
        <v>0</v>
      </c>
      <c r="DW26" s="231" t="e">
        <f ca="1">IF(SUM(DW$24:DW25)=DW$22,0,IF(AND($M26&gt;=DW$15,$M26&lt;(DW$16+1)),DW$22/(DW$16-DW$15+1),0))</f>
        <v>#N/A</v>
      </c>
      <c r="DX26" s="231">
        <f ca="1">IF(SUM(DX$24:DX25)=DX$22,0,IF(AND($M26&gt;=DX$15,$M26&lt;(DX$16+1)),DX$22/(DX$16-DX$15+1),0))</f>
        <v>0</v>
      </c>
      <c r="DY26" s="231">
        <f ca="1">IF(SUM(DY$24:DY25)=DY$22,0,IF(AND($M26&gt;=DY$15,$M26&lt;(DY$16+1)),DY$22/(DY$16-DY$15+1),0))</f>
        <v>0</v>
      </c>
      <c r="DZ26" s="231">
        <f ca="1">IF(SUM(DZ$24:DZ25)=DZ$22,0,IF(AND($M26&gt;=DZ$15,$M26&lt;(DZ$16+1)),DZ$22/(DZ$16-DZ$15+1),0))</f>
        <v>0</v>
      </c>
      <c r="EA26" s="231" t="e">
        <f ca="1">IF(SUM(EA$24:EA25)=EA$22,0,IF(AND(M26&gt;=EA$15,M26&lt;(EA$16+1)),EA$22/(EA$16-EA$15+1),0))</f>
        <v>#N/A</v>
      </c>
      <c r="EC26" s="234">
        <f t="shared" si="16"/>
        <v>-1</v>
      </c>
      <c r="ED26" s="234" t="e">
        <f t="shared" ca="1" si="17"/>
        <v>#N/A</v>
      </c>
      <c r="EE26" s="235" t="e">
        <f t="shared" ca="1" si="18"/>
        <v>#N/A</v>
      </c>
      <c r="EF26" s="234" t="e">
        <f ca="1">$EE26*$EF$22</f>
        <v>#N/A</v>
      </c>
      <c r="EG26" s="234"/>
      <c r="EH26" s="234"/>
      <c r="EI26" s="234"/>
      <c r="EJ26" s="234"/>
      <c r="EK26" s="153" t="e">
        <f ca="1">SUM(ED26,EF26:EJ26)</f>
        <v>#N/A</v>
      </c>
      <c r="EL26" s="231" t="e">
        <f ca="1">IF(SUM(EL$24:EL25)=EL$22,0,IF(AND($M26&gt;=EL$15,$M26&lt;(EL$16+1)),EL$22/(EL$16-EL$15+1),0))</f>
        <v>#N/A</v>
      </c>
      <c r="EM26" s="153" t="e">
        <f t="shared" ca="1" si="21"/>
        <v>#N/A</v>
      </c>
      <c r="EO26" s="60"/>
      <c r="EP26" s="60"/>
    </row>
    <row r="27" spans="1:176">
      <c r="A27" s="220"/>
      <c r="B27" s="236">
        <f>B28-1</f>
        <v>0</v>
      </c>
      <c r="C27" s="221">
        <f>C28-30</f>
        <v>43561</v>
      </c>
      <c r="D27" s="222" t="e">
        <f ca="1">'Offshore INT'!R16</f>
        <v>#N/A</v>
      </c>
      <c r="E27" s="223" t="e">
        <f t="shared" ca="1" si="0"/>
        <v>#N/A</v>
      </c>
      <c r="F27" s="224"/>
      <c r="G27" s="225">
        <f>IF(G26=1,1,SUM($F$24:F27))</f>
        <v>0</v>
      </c>
      <c r="H27" s="226" t="e">
        <f ca="1">IF(H26=0,0,SUM($I$24:I27))</f>
        <v>#N/A</v>
      </c>
      <c r="I27" s="227" t="e">
        <f t="shared" ca="1" si="1"/>
        <v>#N/A</v>
      </c>
      <c r="J27" s="222">
        <f t="shared" ca="1" si="20"/>
        <v>0</v>
      </c>
      <c r="K27" s="60"/>
      <c r="L27" s="228"/>
      <c r="M27" s="228">
        <f t="shared" si="2"/>
        <v>0</v>
      </c>
      <c r="N27" s="221">
        <f t="shared" si="3"/>
        <v>43561</v>
      </c>
      <c r="O27" s="229">
        <f t="shared" si="4"/>
        <v>0</v>
      </c>
      <c r="P27" s="229">
        <f t="shared" si="4"/>
        <v>0</v>
      </c>
      <c r="Q27" s="229">
        <f t="shared" si="4"/>
        <v>0</v>
      </c>
      <c r="R27" s="229">
        <f t="shared" si="4"/>
        <v>0</v>
      </c>
      <c r="S27" s="229">
        <f t="shared" si="4"/>
        <v>0</v>
      </c>
      <c r="T27" s="229">
        <f t="shared" si="4"/>
        <v>0</v>
      </c>
      <c r="U27" s="229">
        <f t="shared" si="4"/>
        <v>0</v>
      </c>
      <c r="V27" s="229">
        <f t="shared" si="4"/>
        <v>0</v>
      </c>
      <c r="W27" s="229">
        <f t="shared" si="4"/>
        <v>0</v>
      </c>
      <c r="X27" s="229">
        <f t="shared" si="4"/>
        <v>0</v>
      </c>
      <c r="Y27" s="229">
        <f t="shared" si="4"/>
        <v>0</v>
      </c>
      <c r="Z27" s="229">
        <f t="shared" si="4"/>
        <v>0</v>
      </c>
      <c r="AA27" s="229">
        <f t="shared" si="4"/>
        <v>0</v>
      </c>
      <c r="AB27" s="229">
        <f t="shared" si="4"/>
        <v>0</v>
      </c>
      <c r="AC27" s="229">
        <f t="shared" si="4"/>
        <v>0</v>
      </c>
      <c r="AD27" s="229">
        <f t="shared" si="4"/>
        <v>0</v>
      </c>
      <c r="AE27" s="229">
        <f t="shared" si="4"/>
        <v>0</v>
      </c>
      <c r="AF27" s="229">
        <f t="shared" si="4"/>
        <v>0</v>
      </c>
      <c r="AG27" s="229">
        <f t="shared" ref="AD27:AX42" si="22">IF($M27=AG$13,AG$22*AG$3,IF($M27=AG$14,AG$22*AG$4,IF($M27=AG$15,AG$22*AG$5,IF($M27=AG$16,AG$22*AG$6,IF($M27=AG$17,AG$22*AG$7,IF($M27=AG$18,AG$22*AG$8,IF($M27=AG$19,AG$22*AG$9,IF($M27=AG$20,AG$22*AG$10,0))))))))</f>
        <v>0</v>
      </c>
      <c r="AH27" s="229">
        <f t="shared" si="22"/>
        <v>0</v>
      </c>
      <c r="AI27" s="229">
        <f t="shared" si="22"/>
        <v>0</v>
      </c>
      <c r="AJ27" s="229">
        <f t="shared" si="22"/>
        <v>0</v>
      </c>
      <c r="AK27" s="229">
        <f t="shared" si="22"/>
        <v>0</v>
      </c>
      <c r="AL27" s="229">
        <f t="shared" si="22"/>
        <v>0</v>
      </c>
      <c r="AM27" s="229">
        <f t="shared" si="22"/>
        <v>0</v>
      </c>
      <c r="AN27" s="229">
        <f t="shared" si="22"/>
        <v>0</v>
      </c>
      <c r="AO27" s="229">
        <f t="shared" si="22"/>
        <v>0</v>
      </c>
      <c r="AP27" s="229">
        <f t="shared" si="22"/>
        <v>0</v>
      </c>
      <c r="AQ27" s="229">
        <f t="shared" si="22"/>
        <v>0</v>
      </c>
      <c r="AR27" s="229">
        <f t="shared" si="22"/>
        <v>0</v>
      </c>
      <c r="AS27" s="229">
        <f t="shared" si="22"/>
        <v>0</v>
      </c>
      <c r="AT27" s="229">
        <f t="shared" si="22"/>
        <v>0</v>
      </c>
      <c r="AU27" s="229">
        <f t="shared" si="22"/>
        <v>0</v>
      </c>
      <c r="AV27" s="229">
        <f t="shared" si="22"/>
        <v>0</v>
      </c>
      <c r="AW27" s="229">
        <f t="shared" si="22"/>
        <v>0</v>
      </c>
      <c r="AX27" s="229">
        <f t="shared" si="22"/>
        <v>0</v>
      </c>
      <c r="AY27" s="229">
        <f t="shared" si="4"/>
        <v>0</v>
      </c>
      <c r="AZ27" s="229">
        <f t="shared" si="4"/>
        <v>0</v>
      </c>
      <c r="BA27" s="229">
        <f t="shared" si="4"/>
        <v>0</v>
      </c>
      <c r="BB27" s="229">
        <f t="shared" si="4"/>
        <v>0</v>
      </c>
      <c r="BC27" s="229">
        <f t="shared" si="4"/>
        <v>0</v>
      </c>
      <c r="BD27" s="229">
        <f t="shared" si="7"/>
        <v>0</v>
      </c>
      <c r="BE27" s="229">
        <f t="shared" si="7"/>
        <v>0</v>
      </c>
      <c r="BF27" s="229">
        <f t="shared" si="7"/>
        <v>0</v>
      </c>
      <c r="BG27" s="229">
        <f t="shared" si="7"/>
        <v>0</v>
      </c>
      <c r="BH27" s="229">
        <f t="shared" si="7"/>
        <v>0</v>
      </c>
      <c r="BI27" s="229">
        <f t="shared" si="7"/>
        <v>0</v>
      </c>
      <c r="BJ27" s="229">
        <f t="shared" si="7"/>
        <v>0</v>
      </c>
      <c r="BK27" s="229">
        <f t="shared" si="7"/>
        <v>0</v>
      </c>
      <c r="BL27" s="229">
        <f t="shared" si="7"/>
        <v>0</v>
      </c>
      <c r="BM27" s="229">
        <f t="shared" si="7"/>
        <v>0</v>
      </c>
      <c r="BN27" s="229">
        <f t="shared" si="7"/>
        <v>0</v>
      </c>
      <c r="BO27" s="229">
        <f t="shared" si="7"/>
        <v>0</v>
      </c>
      <c r="BP27" s="229">
        <f t="shared" si="7"/>
        <v>0</v>
      </c>
      <c r="BQ27" s="229">
        <f t="shared" si="8"/>
        <v>0</v>
      </c>
      <c r="BR27" s="229">
        <f t="shared" si="8"/>
        <v>0</v>
      </c>
      <c r="BS27" s="229">
        <f t="shared" si="8"/>
        <v>0</v>
      </c>
      <c r="BT27" s="229">
        <f t="shared" si="8"/>
        <v>0</v>
      </c>
      <c r="BU27" s="229">
        <f t="shared" si="8"/>
        <v>0</v>
      </c>
      <c r="BV27" s="229">
        <f t="shared" si="8"/>
        <v>0</v>
      </c>
      <c r="BW27" s="229">
        <f t="shared" si="8"/>
        <v>0</v>
      </c>
      <c r="BX27" s="229">
        <f t="shared" si="8"/>
        <v>0</v>
      </c>
      <c r="BY27" s="229">
        <f t="shared" si="8"/>
        <v>0</v>
      </c>
      <c r="BZ27" s="229">
        <f t="shared" si="8"/>
        <v>0</v>
      </c>
      <c r="CA27" s="229">
        <f t="shared" si="9"/>
        <v>0</v>
      </c>
      <c r="CB27" s="229">
        <f t="shared" si="9"/>
        <v>0</v>
      </c>
      <c r="CC27" s="229">
        <f t="shared" si="8"/>
        <v>0</v>
      </c>
      <c r="CD27" s="229">
        <f t="shared" si="10"/>
        <v>0</v>
      </c>
      <c r="CE27" s="229">
        <f t="shared" si="10"/>
        <v>0</v>
      </c>
      <c r="CF27" s="229">
        <f t="shared" si="10"/>
        <v>0</v>
      </c>
      <c r="CG27" s="229">
        <f t="shared" si="10"/>
        <v>0</v>
      </c>
      <c r="CH27" s="229">
        <f t="shared" si="11"/>
        <v>0</v>
      </c>
      <c r="CI27" s="229">
        <f t="shared" si="11"/>
        <v>0</v>
      </c>
      <c r="CJ27" s="229">
        <f t="shared" si="12"/>
        <v>0</v>
      </c>
      <c r="CK27" s="229">
        <f t="shared" si="11"/>
        <v>0</v>
      </c>
      <c r="CL27" s="229">
        <f t="shared" si="11"/>
        <v>0</v>
      </c>
      <c r="CM27" s="229">
        <f t="shared" si="11"/>
        <v>0</v>
      </c>
      <c r="CN27" s="229">
        <f t="shared" si="11"/>
        <v>0</v>
      </c>
      <c r="CO27" s="229">
        <f t="shared" si="13"/>
        <v>0</v>
      </c>
      <c r="CP27" s="229">
        <f t="shared" si="13"/>
        <v>0</v>
      </c>
      <c r="CQ27" s="229">
        <f t="shared" si="11"/>
        <v>0</v>
      </c>
      <c r="CR27" s="229">
        <f t="shared" si="14"/>
        <v>0</v>
      </c>
      <c r="CS27" s="229">
        <f t="shared" si="14"/>
        <v>0</v>
      </c>
      <c r="CT27" s="229">
        <f t="shared" si="14"/>
        <v>0</v>
      </c>
      <c r="CU27" s="230"/>
      <c r="CV27" s="231"/>
      <c r="CW27" s="231"/>
      <c r="CX27" s="231"/>
      <c r="CY27" s="231"/>
      <c r="CZ27" s="231"/>
      <c r="DA27" s="231"/>
      <c r="DB27" s="231"/>
      <c r="DC27" s="231"/>
      <c r="DD27" s="231">
        <f t="shared" si="15"/>
        <v>0</v>
      </c>
      <c r="DE27" s="231">
        <f t="shared" si="15"/>
        <v>0</v>
      </c>
      <c r="DF27" s="231">
        <f t="shared" si="15"/>
        <v>0</v>
      </c>
      <c r="DG27" s="231">
        <f t="shared" si="15"/>
        <v>0</v>
      </c>
      <c r="DH27" s="231">
        <f t="shared" si="15"/>
        <v>0</v>
      </c>
      <c r="DI27" s="231">
        <f t="shared" si="15"/>
        <v>0</v>
      </c>
      <c r="DJ27" s="231">
        <f t="shared" si="15"/>
        <v>0</v>
      </c>
      <c r="DK27" s="231">
        <f t="shared" si="15"/>
        <v>0</v>
      </c>
      <c r="DL27" s="231">
        <f t="shared" si="15"/>
        <v>0</v>
      </c>
      <c r="DM27" s="231">
        <f t="shared" si="15"/>
        <v>0</v>
      </c>
      <c r="DN27" s="231">
        <f t="shared" si="15"/>
        <v>0</v>
      </c>
      <c r="DO27" s="231">
        <f t="shared" si="15"/>
        <v>0</v>
      </c>
      <c r="DP27" s="231">
        <f t="shared" si="15"/>
        <v>0</v>
      </c>
      <c r="DQ27" s="231">
        <f t="shared" si="15"/>
        <v>0</v>
      </c>
      <c r="DR27" s="231">
        <v>0</v>
      </c>
      <c r="DS27" s="231">
        <v>0</v>
      </c>
      <c r="DT27" s="231">
        <f ca="1">IF(SUM(DT$24:DT26)=DT$22,0,IF(AND($M27&gt;=DT$15,$M27&lt;(DT$16+1)),DT$22/(DT$16-DT$15+1),0))</f>
        <v>0</v>
      </c>
      <c r="DU27" s="231">
        <f ca="1">IF(SUM(DU$24:DU26)=DU$22,0,IF(AND($M27&gt;=DU$15,$M27&lt;(DU$16+1)),DU$22/(DU$16-DU$15+1),0))</f>
        <v>0</v>
      </c>
      <c r="DV27" s="231">
        <f ca="1">IF(SUM(DV$24:DV26)=DV$22,0,IF(AND($M27&gt;=DV$15,$M27&lt;(DV$16+1)),DV$22/(DV$16-DV$15+1),0))</f>
        <v>0</v>
      </c>
      <c r="DW27" s="231" t="e">
        <f ca="1">IF(SUM(DW$24:DW26)=DW$22,0,IF(AND($M27&gt;=DW$15,$M27&lt;(DW$16+1)),DW$22/(DW$16-DW$15+1),0))</f>
        <v>#N/A</v>
      </c>
      <c r="DX27" s="231">
        <f ca="1">IF(SUM(DX$24:DX26)=DX$22,0,IF(AND($M27&gt;=DX$15,$M27&lt;(DX$16+1)),DX$22/(DX$16-DX$15+1),0))</f>
        <v>0</v>
      </c>
      <c r="DY27" s="231">
        <f ca="1">IF(SUM(DY$24:DY26)=DY$22,0,IF(AND($M27&gt;=DY$15,$M27&lt;(DY$16+1)),DY$22/(DY$16-DY$15+1),0))</f>
        <v>0</v>
      </c>
      <c r="DZ27" s="231">
        <f ca="1">IF(SUM(DZ$24:DZ26)=DZ$22,0,IF(AND($M27&gt;=DZ$15,$M27&lt;(DZ$16+1)),DZ$22/(DZ$16-DZ$15+1),0))</f>
        <v>0</v>
      </c>
      <c r="EA27" s="231" t="e">
        <f ca="1">IF(SUM(EA$24:EA26)=EA$22,0,IF(AND(M27&gt;=EA$15,M27&lt;(EA$16+1)),EA$22/(EA$16-EA$15+1),0))</f>
        <v>#N/A</v>
      </c>
      <c r="EC27" s="234">
        <f t="shared" si="16"/>
        <v>0</v>
      </c>
      <c r="ED27" s="234" t="e">
        <f t="shared" ca="1" si="17"/>
        <v>#N/A</v>
      </c>
      <c r="EE27" s="235" t="e">
        <f t="shared" ca="1" si="18"/>
        <v>#N/A</v>
      </c>
      <c r="EF27" s="234" t="e">
        <f ca="1">$EE27*$EF$22</f>
        <v>#N/A</v>
      </c>
      <c r="EG27" s="234"/>
      <c r="EH27" s="234"/>
      <c r="EI27" s="234"/>
      <c r="EJ27" s="234"/>
      <c r="EK27" s="153" t="e">
        <f t="shared" ca="1" si="19"/>
        <v>#N/A</v>
      </c>
      <c r="EL27" s="231" t="e">
        <f ca="1">IF(SUM(EL$24:EL26)=EL$22,0,IF(AND($M27&gt;=EL$15,$M27&lt;(EL$16+1)),EL$22/(EL$16-EL$15+1),0))</f>
        <v>#N/A</v>
      </c>
      <c r="EM27" s="153" t="e">
        <f t="shared" ca="1" si="21"/>
        <v>#N/A</v>
      </c>
      <c r="EO27" s="60"/>
      <c r="EP27" s="60"/>
    </row>
    <row r="28" spans="1:176">
      <c r="A28" s="220"/>
      <c r="B28" s="236">
        <v>1</v>
      </c>
      <c r="C28" s="221">
        <f>'Estimate Summary'!D14</f>
        <v>43591</v>
      </c>
      <c r="D28" s="222" t="e">
        <f ca="1">'Offshore INT'!R17</f>
        <v>#N/A</v>
      </c>
      <c r="E28" s="223" t="e">
        <f t="shared" ca="1" si="0"/>
        <v>#N/A</v>
      </c>
      <c r="F28" s="224"/>
      <c r="G28" s="225">
        <f>IF(G27=1,1,SUM($F$24:F28))</f>
        <v>0</v>
      </c>
      <c r="H28" s="226" t="e">
        <f ca="1">IF(H27=0,0,SUM($I$24:I28))</f>
        <v>#N/A</v>
      </c>
      <c r="I28" s="227" t="e">
        <f t="shared" ca="1" si="1"/>
        <v>#N/A</v>
      </c>
      <c r="J28" s="222">
        <f t="shared" ca="1" si="20"/>
        <v>0</v>
      </c>
      <c r="K28" s="60"/>
      <c r="L28" s="228"/>
      <c r="M28" s="228">
        <f t="shared" si="2"/>
        <v>1</v>
      </c>
      <c r="N28" s="221">
        <f t="shared" si="3"/>
        <v>43591</v>
      </c>
      <c r="O28" s="229">
        <f t="shared" si="4"/>
        <v>0</v>
      </c>
      <c r="P28" s="229">
        <f t="shared" si="4"/>
        <v>0</v>
      </c>
      <c r="Q28" s="229">
        <f t="shared" si="4"/>
        <v>0</v>
      </c>
      <c r="R28" s="229">
        <f t="shared" si="4"/>
        <v>0</v>
      </c>
      <c r="S28" s="229">
        <f t="shared" si="4"/>
        <v>0</v>
      </c>
      <c r="T28" s="229">
        <f t="shared" si="4"/>
        <v>0</v>
      </c>
      <c r="U28" s="229">
        <f t="shared" si="4"/>
        <v>0</v>
      </c>
      <c r="V28" s="229">
        <f t="shared" si="4"/>
        <v>0</v>
      </c>
      <c r="W28" s="229">
        <f t="shared" si="4"/>
        <v>0</v>
      </c>
      <c r="X28" s="229">
        <f t="shared" si="4"/>
        <v>0</v>
      </c>
      <c r="Y28" s="229">
        <f t="shared" si="4"/>
        <v>0</v>
      </c>
      <c r="Z28" s="229">
        <f t="shared" si="4"/>
        <v>0</v>
      </c>
      <c r="AA28" s="229">
        <f t="shared" si="4"/>
        <v>0</v>
      </c>
      <c r="AB28" s="229">
        <f t="shared" si="4"/>
        <v>0</v>
      </c>
      <c r="AC28" s="229">
        <f t="shared" si="4"/>
        <v>0</v>
      </c>
      <c r="AD28" s="229">
        <f t="shared" si="22"/>
        <v>0</v>
      </c>
      <c r="AE28" s="229">
        <f t="shared" si="22"/>
        <v>0</v>
      </c>
      <c r="AF28" s="229">
        <f t="shared" si="22"/>
        <v>0</v>
      </c>
      <c r="AG28" s="229">
        <f t="shared" si="22"/>
        <v>0</v>
      </c>
      <c r="AH28" s="229">
        <f t="shared" si="22"/>
        <v>0</v>
      </c>
      <c r="AI28" s="229">
        <f t="shared" si="22"/>
        <v>0</v>
      </c>
      <c r="AJ28" s="229">
        <f t="shared" si="22"/>
        <v>0</v>
      </c>
      <c r="AK28" s="229">
        <f t="shared" si="22"/>
        <v>0</v>
      </c>
      <c r="AL28" s="229">
        <f t="shared" si="22"/>
        <v>0</v>
      </c>
      <c r="AM28" s="229">
        <f t="shared" si="22"/>
        <v>0</v>
      </c>
      <c r="AN28" s="229">
        <f t="shared" si="22"/>
        <v>0</v>
      </c>
      <c r="AO28" s="229">
        <f t="shared" si="22"/>
        <v>0</v>
      </c>
      <c r="AP28" s="229">
        <f t="shared" si="22"/>
        <v>0</v>
      </c>
      <c r="AQ28" s="229">
        <f t="shared" si="22"/>
        <v>0</v>
      </c>
      <c r="AR28" s="229">
        <f t="shared" si="22"/>
        <v>0</v>
      </c>
      <c r="AS28" s="229">
        <f t="shared" si="22"/>
        <v>0</v>
      </c>
      <c r="AT28" s="229">
        <f t="shared" si="22"/>
        <v>0</v>
      </c>
      <c r="AU28" s="229">
        <f t="shared" si="22"/>
        <v>0</v>
      </c>
      <c r="AV28" s="229">
        <f t="shared" si="22"/>
        <v>0</v>
      </c>
      <c r="AW28" s="229">
        <f t="shared" si="22"/>
        <v>0</v>
      </c>
      <c r="AX28" s="229">
        <f t="shared" si="22"/>
        <v>0</v>
      </c>
      <c r="AY28" s="229">
        <f t="shared" si="4"/>
        <v>0</v>
      </c>
      <c r="AZ28" s="229">
        <f t="shared" si="4"/>
        <v>0</v>
      </c>
      <c r="BA28" s="229">
        <f t="shared" si="4"/>
        <v>0</v>
      </c>
      <c r="BB28" s="229">
        <f t="shared" si="4"/>
        <v>0</v>
      </c>
      <c r="BC28" s="229">
        <f t="shared" si="4"/>
        <v>0</v>
      </c>
      <c r="BD28" s="229">
        <f t="shared" si="7"/>
        <v>0</v>
      </c>
      <c r="BE28" s="229">
        <f t="shared" si="7"/>
        <v>0</v>
      </c>
      <c r="BF28" s="229">
        <f t="shared" si="7"/>
        <v>0</v>
      </c>
      <c r="BG28" s="229">
        <f t="shared" si="7"/>
        <v>0</v>
      </c>
      <c r="BH28" s="229">
        <f t="shared" si="7"/>
        <v>0</v>
      </c>
      <c r="BI28" s="229">
        <f t="shared" si="7"/>
        <v>0</v>
      </c>
      <c r="BJ28" s="229">
        <f t="shared" si="7"/>
        <v>0</v>
      </c>
      <c r="BK28" s="229">
        <f t="shared" si="7"/>
        <v>0</v>
      </c>
      <c r="BL28" s="229">
        <f t="shared" si="7"/>
        <v>0</v>
      </c>
      <c r="BM28" s="229">
        <f t="shared" si="7"/>
        <v>0</v>
      </c>
      <c r="BN28" s="229">
        <f t="shared" si="7"/>
        <v>0</v>
      </c>
      <c r="BO28" s="229">
        <f t="shared" si="7"/>
        <v>0</v>
      </c>
      <c r="BP28" s="229">
        <f t="shared" si="7"/>
        <v>0</v>
      </c>
      <c r="BQ28" s="229">
        <f t="shared" si="8"/>
        <v>0</v>
      </c>
      <c r="BR28" s="229">
        <f t="shared" si="8"/>
        <v>0</v>
      </c>
      <c r="BS28" s="229">
        <f t="shared" si="8"/>
        <v>0</v>
      </c>
      <c r="BT28" s="229">
        <f t="shared" si="8"/>
        <v>0</v>
      </c>
      <c r="BU28" s="229">
        <f t="shared" si="8"/>
        <v>0</v>
      </c>
      <c r="BV28" s="229">
        <f t="shared" si="8"/>
        <v>0</v>
      </c>
      <c r="BW28" s="229">
        <f t="shared" si="8"/>
        <v>0</v>
      </c>
      <c r="BX28" s="229">
        <f t="shared" si="8"/>
        <v>0</v>
      </c>
      <c r="BY28" s="229">
        <f t="shared" si="8"/>
        <v>0</v>
      </c>
      <c r="BZ28" s="229">
        <f t="shared" si="8"/>
        <v>0</v>
      </c>
      <c r="CA28" s="229">
        <f t="shared" si="9"/>
        <v>0</v>
      </c>
      <c r="CB28" s="229">
        <f t="shared" si="9"/>
        <v>0</v>
      </c>
      <c r="CC28" s="229">
        <f t="shared" si="8"/>
        <v>0</v>
      </c>
      <c r="CD28" s="229">
        <f t="shared" si="10"/>
        <v>0</v>
      </c>
      <c r="CE28" s="229">
        <f t="shared" si="10"/>
        <v>0</v>
      </c>
      <c r="CF28" s="229">
        <f t="shared" si="10"/>
        <v>0</v>
      </c>
      <c r="CG28" s="229">
        <f t="shared" si="10"/>
        <v>0</v>
      </c>
      <c r="CH28" s="229">
        <f t="shared" si="11"/>
        <v>0</v>
      </c>
      <c r="CI28" s="229">
        <f t="shared" si="11"/>
        <v>0</v>
      </c>
      <c r="CJ28" s="229">
        <f t="shared" si="12"/>
        <v>0</v>
      </c>
      <c r="CK28" s="229">
        <f t="shared" si="11"/>
        <v>0</v>
      </c>
      <c r="CL28" s="229">
        <f t="shared" si="11"/>
        <v>0</v>
      </c>
      <c r="CM28" s="229">
        <f t="shared" si="11"/>
        <v>0</v>
      </c>
      <c r="CN28" s="229">
        <f t="shared" si="11"/>
        <v>0</v>
      </c>
      <c r="CO28" s="229">
        <f t="shared" si="13"/>
        <v>0</v>
      </c>
      <c r="CP28" s="229">
        <f t="shared" si="13"/>
        <v>0</v>
      </c>
      <c r="CQ28" s="229">
        <f t="shared" si="11"/>
        <v>0</v>
      </c>
      <c r="CR28" s="229">
        <f t="shared" si="14"/>
        <v>0</v>
      </c>
      <c r="CS28" s="229">
        <f t="shared" si="14"/>
        <v>0</v>
      </c>
      <c r="CT28" s="229">
        <f t="shared" si="14"/>
        <v>0</v>
      </c>
      <c r="CU28" s="230"/>
      <c r="CV28" s="231">
        <f>CV22/4</f>
        <v>0</v>
      </c>
      <c r="CW28" s="231">
        <f>CW22/4</f>
        <v>0</v>
      </c>
      <c r="CX28" s="231">
        <f>CX22/4</f>
        <v>0</v>
      </c>
      <c r="CY28" s="231" t="e">
        <f ca="1">CY22/4</f>
        <v>#N/A</v>
      </c>
      <c r="CZ28" s="231"/>
      <c r="DA28" s="231" t="e">
        <f ca="1">DA22/4</f>
        <v>#N/A</v>
      </c>
      <c r="DB28" s="231"/>
      <c r="DD28" s="231">
        <f t="shared" si="15"/>
        <v>0</v>
      </c>
      <c r="DE28" s="231">
        <f t="shared" si="15"/>
        <v>0</v>
      </c>
      <c r="DF28" s="231">
        <f t="shared" si="15"/>
        <v>0</v>
      </c>
      <c r="DG28" s="231">
        <f t="shared" si="15"/>
        <v>0</v>
      </c>
      <c r="DH28" s="231">
        <f t="shared" si="15"/>
        <v>0</v>
      </c>
      <c r="DI28" s="231">
        <f t="shared" si="15"/>
        <v>0</v>
      </c>
      <c r="DJ28" s="231">
        <f t="shared" si="15"/>
        <v>0</v>
      </c>
      <c r="DK28" s="231">
        <f t="shared" si="15"/>
        <v>0</v>
      </c>
      <c r="DL28" s="231">
        <f t="shared" si="15"/>
        <v>0</v>
      </c>
      <c r="DM28" s="231">
        <f t="shared" si="15"/>
        <v>0</v>
      </c>
      <c r="DN28" s="231">
        <f t="shared" si="15"/>
        <v>0</v>
      </c>
      <c r="DO28" s="231">
        <f t="shared" si="15"/>
        <v>0</v>
      </c>
      <c r="DP28" s="231">
        <f t="shared" si="15"/>
        <v>0</v>
      </c>
      <c r="DQ28" s="231">
        <f t="shared" si="15"/>
        <v>0</v>
      </c>
      <c r="DR28" s="231">
        <f>($DR$22-$DS$5)/10</f>
        <v>0.24</v>
      </c>
      <c r="DS28" s="231">
        <f>($DS$22-$DS$6)/60</f>
        <v>0.29866666666666669</v>
      </c>
      <c r="DT28" s="231">
        <f ca="1">IF(SUM(DT$24:DT27)=DT$22,0,IF(AND($M28&gt;=DT$15,$M28&lt;(DT$16+1)),DT$22/(DT$16-DT$15+1),0))</f>
        <v>0</v>
      </c>
      <c r="DU28" s="231">
        <f ca="1">IF(SUM(DU$24:DU27)=DU$22,0,IF(AND($M28&gt;=DU$15,$M28&lt;(DU$16+1)),DU$22/(DU$16-DU$15+1),0))</f>
        <v>0</v>
      </c>
      <c r="DV28" s="231">
        <f ca="1">IF(SUM(DV$24:DV27)=DV$22,0,IF(AND(M28&gt;=DV$15,M28&lt;(DV$16+1)),DV$22/(DV$16-DV$15+1),0))</f>
        <v>0</v>
      </c>
      <c r="DW28" s="231" t="e">
        <f ca="1">IF(SUM(DW$24:DW27)=DW$22,0,IF(AND($M28&gt;=DW$15,$M28&lt;(DW$16+1)),DW$22/(DW$16-DW$15+1),0))</f>
        <v>#N/A</v>
      </c>
      <c r="DX28" s="231">
        <f ca="1">IF(SUM(DX$24:DX27)=DX$22,0,IF(AND($M28&gt;=DX$15,$M28&lt;(DX$16+1)),DX$22/(DX$16-DX$15+1),0))</f>
        <v>0</v>
      </c>
      <c r="DY28" s="231">
        <f ca="1">IF(SUM(DY$24:DY27)=DY$22,0,IF(AND($M28&gt;=DY$15,$M28&lt;(DY$16+1)),DY$22/(DY$16-DY$15+1),0))</f>
        <v>0</v>
      </c>
      <c r="DZ28" s="231">
        <f ca="1">IF(SUM(DZ$24:DZ27)=DZ$22,0,IF(AND($M28&gt;=DZ$15,$M28&lt;(DZ$16+1)),DZ$22/(DZ$16-DZ$15+1),0))</f>
        <v>0</v>
      </c>
      <c r="EA28" s="231" t="e">
        <f ca="1">IF(SUM(EA$24:EA27)=EA$22,0,IF(AND(M28&gt;=EA$15,M28&lt;(EA$16+1)),EA$22/(EA$16-EA$15+1),0))</f>
        <v>#N/A</v>
      </c>
      <c r="EC28" s="234">
        <f t="shared" si="16"/>
        <v>1</v>
      </c>
      <c r="ED28" s="234" t="e">
        <f t="shared" ca="1" si="17"/>
        <v>#N/A</v>
      </c>
      <c r="EE28" s="235" t="e">
        <f t="shared" ca="1" si="18"/>
        <v>#N/A</v>
      </c>
      <c r="EF28" s="234"/>
      <c r="EG28" s="234" t="e">
        <f ca="1">$EE24*EG$22</f>
        <v>#N/A</v>
      </c>
      <c r="EH28" s="234"/>
      <c r="EI28" s="234"/>
      <c r="EJ28" s="234"/>
      <c r="EK28" s="153" t="e">
        <f t="shared" ca="1" si="19"/>
        <v>#N/A</v>
      </c>
      <c r="EL28" s="231" t="e">
        <f ca="1">IF(SUM(EL$24:EL27)=EL$22,0,IF(AND($M28&gt;=EL$15,$M28&lt;(EL$16+1)),EL$22/(EL$16-EL$15+1),0))</f>
        <v>#N/A</v>
      </c>
      <c r="EM28" s="153" t="e">
        <f t="shared" ca="1" si="21"/>
        <v>#N/A</v>
      </c>
      <c r="EO28" s="60"/>
      <c r="EP28" s="60"/>
    </row>
    <row r="29" spans="1:176">
      <c r="A29" s="220"/>
      <c r="B29" s="236">
        <f t="shared" ref="B29:B89" si="23">B28+1</f>
        <v>2</v>
      </c>
      <c r="C29" s="221">
        <f>C28+30.4167</f>
        <v>43621.416700000002</v>
      </c>
      <c r="D29" s="222" t="e">
        <f ca="1">'Offshore INT'!R18</f>
        <v>#N/A</v>
      </c>
      <c r="E29" s="223" t="e">
        <f t="shared" ca="1" si="0"/>
        <v>#N/A</v>
      </c>
      <c r="F29" s="224"/>
      <c r="G29" s="225">
        <f>IF(G28=1,1,SUM($F$24:F29))</f>
        <v>0</v>
      </c>
      <c r="H29" s="226" t="e">
        <f ca="1">IF(H28=0,0,SUM($I$24:I29))</f>
        <v>#N/A</v>
      </c>
      <c r="I29" s="227" t="e">
        <f t="shared" ca="1" si="1"/>
        <v>#N/A</v>
      </c>
      <c r="J29" s="222">
        <f t="shared" ca="1" si="20"/>
        <v>0</v>
      </c>
      <c r="K29" s="60"/>
      <c r="L29" s="228"/>
      <c r="M29" s="228">
        <f t="shared" si="2"/>
        <v>2</v>
      </c>
      <c r="N29" s="221">
        <f t="shared" si="3"/>
        <v>43621.416700000002</v>
      </c>
      <c r="O29" s="229">
        <f t="shared" si="4"/>
        <v>0</v>
      </c>
      <c r="P29" s="229">
        <f t="shared" si="4"/>
        <v>0</v>
      </c>
      <c r="Q29" s="229">
        <f t="shared" si="4"/>
        <v>0</v>
      </c>
      <c r="R29" s="229">
        <f t="shared" si="4"/>
        <v>0</v>
      </c>
      <c r="S29" s="229">
        <f t="shared" si="4"/>
        <v>0</v>
      </c>
      <c r="T29" s="229">
        <f t="shared" si="4"/>
        <v>0</v>
      </c>
      <c r="U29" s="229">
        <f t="shared" si="4"/>
        <v>0</v>
      </c>
      <c r="V29" s="229">
        <f t="shared" si="4"/>
        <v>0</v>
      </c>
      <c r="W29" s="229">
        <f t="shared" si="4"/>
        <v>0</v>
      </c>
      <c r="X29" s="229">
        <f t="shared" si="4"/>
        <v>0</v>
      </c>
      <c r="Y29" s="229">
        <f t="shared" si="4"/>
        <v>0</v>
      </c>
      <c r="Z29" s="229">
        <f t="shared" si="4"/>
        <v>0</v>
      </c>
      <c r="AA29" s="229">
        <f t="shared" si="4"/>
        <v>0</v>
      </c>
      <c r="AB29" s="229">
        <f t="shared" si="4"/>
        <v>0</v>
      </c>
      <c r="AC29" s="229">
        <f t="shared" si="4"/>
        <v>0</v>
      </c>
      <c r="AD29" s="229">
        <f t="shared" si="22"/>
        <v>0</v>
      </c>
      <c r="AE29" s="229">
        <f t="shared" si="22"/>
        <v>0</v>
      </c>
      <c r="AF29" s="229">
        <f t="shared" si="22"/>
        <v>0</v>
      </c>
      <c r="AG29" s="229">
        <f t="shared" si="22"/>
        <v>0</v>
      </c>
      <c r="AH29" s="229">
        <f t="shared" si="22"/>
        <v>0</v>
      </c>
      <c r="AI29" s="229">
        <f t="shared" si="22"/>
        <v>0</v>
      </c>
      <c r="AJ29" s="229">
        <f t="shared" si="22"/>
        <v>0</v>
      </c>
      <c r="AK29" s="229">
        <f t="shared" si="22"/>
        <v>0</v>
      </c>
      <c r="AL29" s="229">
        <f t="shared" si="22"/>
        <v>0</v>
      </c>
      <c r="AM29" s="229">
        <f t="shared" si="22"/>
        <v>0</v>
      </c>
      <c r="AN29" s="229">
        <f t="shared" si="22"/>
        <v>0</v>
      </c>
      <c r="AO29" s="229">
        <f t="shared" si="22"/>
        <v>0</v>
      </c>
      <c r="AP29" s="229">
        <f t="shared" si="22"/>
        <v>0</v>
      </c>
      <c r="AQ29" s="229">
        <f t="shared" si="22"/>
        <v>0</v>
      </c>
      <c r="AR29" s="229">
        <f t="shared" si="22"/>
        <v>0</v>
      </c>
      <c r="AS29" s="229">
        <f t="shared" si="22"/>
        <v>0</v>
      </c>
      <c r="AT29" s="229">
        <f t="shared" si="22"/>
        <v>0</v>
      </c>
      <c r="AU29" s="229">
        <f t="shared" si="22"/>
        <v>0</v>
      </c>
      <c r="AV29" s="229">
        <f t="shared" si="22"/>
        <v>0</v>
      </c>
      <c r="AW29" s="229">
        <f t="shared" si="22"/>
        <v>0</v>
      </c>
      <c r="AX29" s="229">
        <f t="shared" si="22"/>
        <v>0</v>
      </c>
      <c r="AY29" s="229">
        <f t="shared" si="4"/>
        <v>0</v>
      </c>
      <c r="AZ29" s="229">
        <f t="shared" si="4"/>
        <v>0</v>
      </c>
      <c r="BA29" s="229">
        <f t="shared" si="4"/>
        <v>0</v>
      </c>
      <c r="BB29" s="229">
        <f t="shared" si="4"/>
        <v>0</v>
      </c>
      <c r="BC29" s="229">
        <f t="shared" si="4"/>
        <v>0</v>
      </c>
      <c r="BD29" s="229">
        <f t="shared" si="7"/>
        <v>0</v>
      </c>
      <c r="BE29" s="229">
        <f t="shared" si="7"/>
        <v>0</v>
      </c>
      <c r="BF29" s="229">
        <f t="shared" si="7"/>
        <v>0</v>
      </c>
      <c r="BG29" s="229">
        <f t="shared" si="7"/>
        <v>0</v>
      </c>
      <c r="BH29" s="229">
        <f t="shared" si="7"/>
        <v>0</v>
      </c>
      <c r="BI29" s="229">
        <f t="shared" si="7"/>
        <v>0</v>
      </c>
      <c r="BJ29" s="229">
        <f t="shared" si="7"/>
        <v>0</v>
      </c>
      <c r="BK29" s="229">
        <f t="shared" si="7"/>
        <v>0</v>
      </c>
      <c r="BL29" s="229">
        <f t="shared" si="7"/>
        <v>0</v>
      </c>
      <c r="BM29" s="229">
        <f t="shared" si="7"/>
        <v>0</v>
      </c>
      <c r="BN29" s="229">
        <f t="shared" si="7"/>
        <v>0</v>
      </c>
      <c r="BO29" s="229">
        <f t="shared" si="7"/>
        <v>0</v>
      </c>
      <c r="BP29" s="229">
        <f t="shared" si="7"/>
        <v>0</v>
      </c>
      <c r="BQ29" s="229">
        <f t="shared" si="8"/>
        <v>0</v>
      </c>
      <c r="BR29" s="229">
        <f t="shared" si="8"/>
        <v>0</v>
      </c>
      <c r="BS29" s="229">
        <f t="shared" si="8"/>
        <v>0</v>
      </c>
      <c r="BT29" s="229">
        <f t="shared" si="8"/>
        <v>0</v>
      </c>
      <c r="BU29" s="229">
        <f t="shared" si="8"/>
        <v>0</v>
      </c>
      <c r="BV29" s="229">
        <f t="shared" si="8"/>
        <v>0</v>
      </c>
      <c r="BW29" s="229">
        <f t="shared" si="8"/>
        <v>0</v>
      </c>
      <c r="BX29" s="229">
        <f t="shared" si="8"/>
        <v>0</v>
      </c>
      <c r="BY29" s="229">
        <f t="shared" si="8"/>
        <v>0</v>
      </c>
      <c r="BZ29" s="229">
        <f t="shared" si="8"/>
        <v>0</v>
      </c>
      <c r="CA29" s="229">
        <f t="shared" si="9"/>
        <v>0</v>
      </c>
      <c r="CB29" s="229">
        <f t="shared" si="9"/>
        <v>0</v>
      </c>
      <c r="CC29" s="229">
        <f t="shared" si="8"/>
        <v>0</v>
      </c>
      <c r="CD29" s="229">
        <f t="shared" si="10"/>
        <v>0</v>
      </c>
      <c r="CE29" s="229">
        <f t="shared" si="10"/>
        <v>0</v>
      </c>
      <c r="CF29" s="229">
        <f t="shared" si="10"/>
        <v>0</v>
      </c>
      <c r="CG29" s="229">
        <f t="shared" si="10"/>
        <v>0</v>
      </c>
      <c r="CH29" s="229">
        <f t="shared" si="11"/>
        <v>0</v>
      </c>
      <c r="CI29" s="229">
        <f t="shared" si="11"/>
        <v>0</v>
      </c>
      <c r="CJ29" s="229">
        <f t="shared" si="12"/>
        <v>0</v>
      </c>
      <c r="CK29" s="229">
        <f t="shared" si="11"/>
        <v>0</v>
      </c>
      <c r="CL29" s="229">
        <f t="shared" si="11"/>
        <v>0</v>
      </c>
      <c r="CM29" s="229">
        <f t="shared" si="11"/>
        <v>0</v>
      </c>
      <c r="CN29" s="229">
        <f t="shared" si="11"/>
        <v>0</v>
      </c>
      <c r="CO29" s="229">
        <f t="shared" si="13"/>
        <v>0</v>
      </c>
      <c r="CP29" s="229">
        <f t="shared" si="13"/>
        <v>0</v>
      </c>
      <c r="CQ29" s="229">
        <f t="shared" si="11"/>
        <v>0</v>
      </c>
      <c r="CR29" s="229">
        <f t="shared" si="14"/>
        <v>0</v>
      </c>
      <c r="CS29" s="229">
        <f t="shared" si="14"/>
        <v>0</v>
      </c>
      <c r="CT29" s="229">
        <f t="shared" si="14"/>
        <v>0</v>
      </c>
      <c r="CU29" s="230"/>
      <c r="CV29" s="231"/>
      <c r="CW29" s="231"/>
      <c r="CX29" s="231"/>
      <c r="CY29" s="231"/>
      <c r="CZ29" s="231"/>
      <c r="DA29" s="231"/>
      <c r="DB29" s="231"/>
      <c r="DC29" s="231"/>
      <c r="DD29" s="231">
        <f t="shared" si="15"/>
        <v>0</v>
      </c>
      <c r="DE29" s="231">
        <f t="shared" si="15"/>
        <v>0</v>
      </c>
      <c r="DF29" s="231">
        <f t="shared" si="15"/>
        <v>0</v>
      </c>
      <c r="DG29" s="231">
        <f t="shared" si="15"/>
        <v>0</v>
      </c>
      <c r="DH29" s="231">
        <f t="shared" si="15"/>
        <v>0</v>
      </c>
      <c r="DI29" s="231">
        <f t="shared" si="15"/>
        <v>0</v>
      </c>
      <c r="DJ29" s="231">
        <f t="shared" si="15"/>
        <v>0</v>
      </c>
      <c r="DK29" s="231">
        <f t="shared" si="15"/>
        <v>0</v>
      </c>
      <c r="DL29" s="231">
        <f t="shared" si="15"/>
        <v>0</v>
      </c>
      <c r="DM29" s="231">
        <f t="shared" si="15"/>
        <v>0</v>
      </c>
      <c r="DN29" s="231">
        <f t="shared" si="15"/>
        <v>0</v>
      </c>
      <c r="DO29" s="231">
        <f t="shared" si="15"/>
        <v>0</v>
      </c>
      <c r="DP29" s="231">
        <f t="shared" si="15"/>
        <v>0</v>
      </c>
      <c r="DQ29" s="231">
        <f t="shared" si="15"/>
        <v>0</v>
      </c>
      <c r="DR29" s="231">
        <f t="shared" ref="DR29:DR37" si="24">($DR$22-$DS$5)/10</f>
        <v>0.24</v>
      </c>
      <c r="DS29" s="231">
        <f t="shared" ref="DS29:DS87" si="25">($DS$22-$DS$6)/60</f>
        <v>0.29866666666666669</v>
      </c>
      <c r="DT29" s="231">
        <f ca="1">IF(SUM(DT$24:DT28)=DT$22,0,IF(AND($M29&gt;=DT$15,$M29&lt;(DT$16+1)),DT$22/(DT$16-DT$15+1),0))</f>
        <v>0</v>
      </c>
      <c r="DU29" s="231">
        <f ca="1">IF(SUM(DU$24:DU28)=DU$22,0,IF(AND($M29&gt;=DU$15,$M29&lt;(DU$16+1)),DU$22/(DU$16-DU$15+1),0))</f>
        <v>0</v>
      </c>
      <c r="DV29" s="231">
        <f ca="1">IF(SUM(DV$24:DV28)=DV$22,0,IF(AND(M29&gt;=DV$15,M29&lt;(DV$16+1)),DV$22/(DV$16-DV$15+1),0))</f>
        <v>0</v>
      </c>
      <c r="DW29" s="231" t="e">
        <f ca="1">IF(SUM(DW$24:DW28)=DW$22,0,IF(AND($M29&gt;=DW$15,$M29&lt;(DW$16+1)),DW$22/(DW$16-DW$15+1),0))</f>
        <v>#N/A</v>
      </c>
      <c r="DX29" s="231">
        <f ca="1">IF(SUM(DX$24:DX28)=DX$22,0,IF(AND($M29&gt;=DX$15,$M29&lt;(DX$16+1)),DX$22/(DX$16-DX$15+1),0))</f>
        <v>0</v>
      </c>
      <c r="DY29" s="231">
        <f ca="1">IF(SUM(DY$24:DY28)=DY$22,0,IF(AND($M29&gt;=DY$15,$M29&lt;(DY$16+1)),DY$22/(DY$16-DY$15+1),0))</f>
        <v>0</v>
      </c>
      <c r="DZ29" s="231">
        <f ca="1">IF(SUM(DZ$24:DZ28)=DZ$22,0,IF(AND($M29&gt;=DZ$15,$M29&lt;(DZ$16+1)),DZ$22/(DZ$16-DZ$15+1),0))</f>
        <v>0</v>
      </c>
      <c r="EA29" s="231" t="e">
        <f ca="1">IF(SUM(EA$24:EA28)=EA$22,0,IF(AND(M29&gt;=EA$15,M29&lt;(EA$16+1)),EA$22/(EA$16-EA$15+1),0))</f>
        <v>#N/A</v>
      </c>
      <c r="EC29" s="234">
        <f t="shared" si="16"/>
        <v>2</v>
      </c>
      <c r="ED29" s="234" t="e">
        <f t="shared" ca="1" si="17"/>
        <v>#N/A</v>
      </c>
      <c r="EE29" s="235" t="e">
        <f t="shared" ca="1" si="18"/>
        <v>#N/A</v>
      </c>
      <c r="EF29" s="234"/>
      <c r="EG29" s="234" t="e">
        <f ca="1">$EE25*EG$22</f>
        <v>#N/A</v>
      </c>
      <c r="EH29" s="234"/>
      <c r="EI29" s="234"/>
      <c r="EJ29" s="234"/>
      <c r="EK29" s="153" t="e">
        <f t="shared" ca="1" si="19"/>
        <v>#N/A</v>
      </c>
      <c r="EL29" s="231" t="e">
        <f ca="1">IF(SUM(EL$24:EL28)=EL$22,0,IF(AND($M29&gt;=EL$15,$M29&lt;(EL$16+1)),EL$22/(EL$16-EL$15+1),0))</f>
        <v>#N/A</v>
      </c>
      <c r="EM29" s="153" t="e">
        <f t="shared" ca="1" si="21"/>
        <v>#N/A</v>
      </c>
      <c r="EO29" s="60"/>
      <c r="EP29" s="60"/>
    </row>
    <row r="30" spans="1:176">
      <c r="A30" s="220"/>
      <c r="B30" s="236">
        <f t="shared" si="23"/>
        <v>3</v>
      </c>
      <c r="C30" s="221">
        <f t="shared" ref="C30:C56" si="26">C29+30.4167</f>
        <v>43651.833400000003</v>
      </c>
      <c r="D30" s="222" t="e">
        <f ca="1">'Offshore INT'!R19</f>
        <v>#N/A</v>
      </c>
      <c r="E30" s="223" t="e">
        <f t="shared" ca="1" si="0"/>
        <v>#N/A</v>
      </c>
      <c r="F30" s="224"/>
      <c r="G30" s="225">
        <f>IF(G29=1,1,SUM($F$24:F30))</f>
        <v>0</v>
      </c>
      <c r="H30" s="226" t="e">
        <f ca="1">IF(H29=0,0,SUM($I$24:I30))</f>
        <v>#N/A</v>
      </c>
      <c r="I30" s="227" t="e">
        <f t="shared" ca="1" si="1"/>
        <v>#N/A</v>
      </c>
      <c r="J30" s="222">
        <f t="shared" ca="1" si="20"/>
        <v>0</v>
      </c>
      <c r="K30" s="60"/>
      <c r="L30" s="228"/>
      <c r="M30" s="228">
        <f t="shared" si="2"/>
        <v>3</v>
      </c>
      <c r="N30" s="221">
        <f t="shared" si="3"/>
        <v>43651.833400000003</v>
      </c>
      <c r="O30" s="229">
        <f t="shared" si="4"/>
        <v>0</v>
      </c>
      <c r="P30" s="229">
        <f t="shared" si="4"/>
        <v>0</v>
      </c>
      <c r="Q30" s="229">
        <f t="shared" si="4"/>
        <v>0</v>
      </c>
      <c r="R30" s="229">
        <f t="shared" si="4"/>
        <v>0</v>
      </c>
      <c r="S30" s="229">
        <f t="shared" si="4"/>
        <v>0</v>
      </c>
      <c r="T30" s="229">
        <f t="shared" si="4"/>
        <v>0</v>
      </c>
      <c r="U30" s="229">
        <f t="shared" si="4"/>
        <v>0</v>
      </c>
      <c r="V30" s="229">
        <f t="shared" si="4"/>
        <v>0</v>
      </c>
      <c r="W30" s="229">
        <f t="shared" si="4"/>
        <v>0</v>
      </c>
      <c r="X30" s="229">
        <f t="shared" si="4"/>
        <v>0</v>
      </c>
      <c r="Y30" s="229">
        <f t="shared" si="4"/>
        <v>0</v>
      </c>
      <c r="Z30" s="229">
        <f t="shared" si="4"/>
        <v>0</v>
      </c>
      <c r="AA30" s="229">
        <f t="shared" si="4"/>
        <v>0</v>
      </c>
      <c r="AB30" s="229">
        <f t="shared" si="4"/>
        <v>0</v>
      </c>
      <c r="AC30" s="229">
        <f t="shared" si="4"/>
        <v>0</v>
      </c>
      <c r="AD30" s="229">
        <f t="shared" si="22"/>
        <v>0</v>
      </c>
      <c r="AE30" s="229">
        <f t="shared" si="22"/>
        <v>0</v>
      </c>
      <c r="AF30" s="229">
        <f t="shared" si="22"/>
        <v>0</v>
      </c>
      <c r="AG30" s="229">
        <f t="shared" si="22"/>
        <v>0</v>
      </c>
      <c r="AH30" s="229">
        <f t="shared" si="22"/>
        <v>0</v>
      </c>
      <c r="AI30" s="229">
        <f t="shared" si="22"/>
        <v>0</v>
      </c>
      <c r="AJ30" s="229">
        <f t="shared" si="22"/>
        <v>0</v>
      </c>
      <c r="AK30" s="229">
        <f t="shared" si="22"/>
        <v>0</v>
      </c>
      <c r="AL30" s="229">
        <f t="shared" si="22"/>
        <v>0</v>
      </c>
      <c r="AM30" s="229">
        <f t="shared" si="22"/>
        <v>0</v>
      </c>
      <c r="AN30" s="229">
        <f t="shared" si="22"/>
        <v>0</v>
      </c>
      <c r="AO30" s="229">
        <f t="shared" si="22"/>
        <v>0</v>
      </c>
      <c r="AP30" s="229">
        <f t="shared" si="22"/>
        <v>0</v>
      </c>
      <c r="AQ30" s="229">
        <f t="shared" si="22"/>
        <v>0</v>
      </c>
      <c r="AR30" s="229">
        <f t="shared" si="22"/>
        <v>0</v>
      </c>
      <c r="AS30" s="229">
        <f t="shared" si="22"/>
        <v>0</v>
      </c>
      <c r="AT30" s="229">
        <f t="shared" si="22"/>
        <v>0</v>
      </c>
      <c r="AU30" s="229">
        <f t="shared" si="22"/>
        <v>0</v>
      </c>
      <c r="AV30" s="229">
        <f t="shared" si="22"/>
        <v>0</v>
      </c>
      <c r="AW30" s="229">
        <f t="shared" si="22"/>
        <v>0</v>
      </c>
      <c r="AX30" s="229">
        <f t="shared" si="22"/>
        <v>0</v>
      </c>
      <c r="AY30" s="229">
        <f t="shared" si="4"/>
        <v>0</v>
      </c>
      <c r="AZ30" s="229">
        <f t="shared" si="4"/>
        <v>0</v>
      </c>
      <c r="BA30" s="229">
        <f t="shared" si="4"/>
        <v>0</v>
      </c>
      <c r="BB30" s="229">
        <f t="shared" si="4"/>
        <v>0</v>
      </c>
      <c r="BC30" s="229">
        <f t="shared" si="4"/>
        <v>0</v>
      </c>
      <c r="BD30" s="229">
        <f t="shared" si="7"/>
        <v>0</v>
      </c>
      <c r="BE30" s="229">
        <f t="shared" si="7"/>
        <v>0</v>
      </c>
      <c r="BF30" s="229">
        <f t="shared" si="7"/>
        <v>0</v>
      </c>
      <c r="BG30" s="229">
        <f t="shared" si="7"/>
        <v>0</v>
      </c>
      <c r="BH30" s="229">
        <f t="shared" si="7"/>
        <v>0</v>
      </c>
      <c r="BI30" s="229">
        <f t="shared" si="7"/>
        <v>0</v>
      </c>
      <c r="BJ30" s="229">
        <f t="shared" si="7"/>
        <v>0</v>
      </c>
      <c r="BK30" s="229">
        <f t="shared" si="7"/>
        <v>0</v>
      </c>
      <c r="BL30" s="229">
        <f t="shared" si="7"/>
        <v>0</v>
      </c>
      <c r="BM30" s="229">
        <f t="shared" si="7"/>
        <v>0</v>
      </c>
      <c r="BN30" s="229">
        <f t="shared" si="7"/>
        <v>0</v>
      </c>
      <c r="BO30" s="229">
        <f t="shared" si="7"/>
        <v>0</v>
      </c>
      <c r="BP30" s="229">
        <f t="shared" si="7"/>
        <v>0</v>
      </c>
      <c r="BQ30" s="229">
        <f t="shared" si="8"/>
        <v>0</v>
      </c>
      <c r="BR30" s="229">
        <f t="shared" si="8"/>
        <v>0</v>
      </c>
      <c r="BS30" s="229">
        <f t="shared" si="8"/>
        <v>0</v>
      </c>
      <c r="BT30" s="229">
        <f t="shared" si="8"/>
        <v>0</v>
      </c>
      <c r="BU30" s="229">
        <f t="shared" si="8"/>
        <v>0</v>
      </c>
      <c r="BV30" s="229">
        <f t="shared" si="8"/>
        <v>0</v>
      </c>
      <c r="BW30" s="229">
        <f t="shared" si="8"/>
        <v>0</v>
      </c>
      <c r="BX30" s="229">
        <f t="shared" si="8"/>
        <v>0</v>
      </c>
      <c r="BY30" s="229">
        <f t="shared" si="8"/>
        <v>0</v>
      </c>
      <c r="BZ30" s="229">
        <f t="shared" si="8"/>
        <v>0</v>
      </c>
      <c r="CA30" s="229">
        <f t="shared" si="9"/>
        <v>0</v>
      </c>
      <c r="CB30" s="229">
        <f t="shared" si="9"/>
        <v>0</v>
      </c>
      <c r="CC30" s="229">
        <f t="shared" si="8"/>
        <v>0</v>
      </c>
      <c r="CD30" s="229">
        <f t="shared" si="10"/>
        <v>0</v>
      </c>
      <c r="CE30" s="229">
        <f t="shared" si="10"/>
        <v>0</v>
      </c>
      <c r="CF30" s="229">
        <f t="shared" si="10"/>
        <v>0</v>
      </c>
      <c r="CG30" s="229">
        <f t="shared" si="10"/>
        <v>0</v>
      </c>
      <c r="CH30" s="229">
        <f t="shared" si="11"/>
        <v>0</v>
      </c>
      <c r="CI30" s="229">
        <f t="shared" si="11"/>
        <v>0</v>
      </c>
      <c r="CJ30" s="229">
        <f t="shared" si="12"/>
        <v>0</v>
      </c>
      <c r="CK30" s="229">
        <f t="shared" si="11"/>
        <v>0</v>
      </c>
      <c r="CL30" s="229">
        <f t="shared" si="11"/>
        <v>0</v>
      </c>
      <c r="CM30" s="229">
        <f t="shared" si="11"/>
        <v>0</v>
      </c>
      <c r="CN30" s="229">
        <f t="shared" si="11"/>
        <v>0</v>
      </c>
      <c r="CO30" s="229">
        <f t="shared" si="13"/>
        <v>0</v>
      </c>
      <c r="CP30" s="229">
        <f t="shared" si="13"/>
        <v>0</v>
      </c>
      <c r="CQ30" s="229">
        <f t="shared" si="11"/>
        <v>0</v>
      </c>
      <c r="CR30" s="229">
        <f t="shared" si="14"/>
        <v>0</v>
      </c>
      <c r="CS30" s="229">
        <f t="shared" si="14"/>
        <v>0</v>
      </c>
      <c r="CT30" s="229">
        <f t="shared" si="14"/>
        <v>0</v>
      </c>
      <c r="CU30" s="230"/>
      <c r="CV30" s="231"/>
      <c r="CW30" s="231"/>
      <c r="CX30" s="231"/>
      <c r="CY30" s="231"/>
      <c r="CZ30" s="231"/>
      <c r="DA30" s="231"/>
      <c r="DB30" s="231"/>
      <c r="DC30" s="231"/>
      <c r="DD30" s="231">
        <f>IF(SUM(DD$24:DD29)=DD$22,0,IF(AND($M30&gt;=DD$15,$M30&lt;(DD$16+1)),DD$22/(DD$16-DD$15+1),0))</f>
        <v>0</v>
      </c>
      <c r="DE30" s="231">
        <f>IF(SUM(DE$24:DE29)=DE$22,0,IF(AND($M30&gt;=DE$15,$M30&lt;(DE$16+1)),DE$22/(DE$16-DE$15+1),0))</f>
        <v>0</v>
      </c>
      <c r="DF30" s="231">
        <f>IF(SUM(DF$24:DF29)=DF$22,0,IF(AND($M30&gt;=DF$15,$M30&lt;(DF$16+1)),DF$22/(DF$16-DF$15+1),0))</f>
        <v>0</v>
      </c>
      <c r="DG30" s="231">
        <f>IF(SUM(DG$24:DG29)=DG$22,0,IF(AND($M30&gt;=DG$15,$M30&lt;(DG$16+1)),DG$22/(DG$16-DG$15+1),0))</f>
        <v>0</v>
      </c>
      <c r="DH30" s="231">
        <f t="shared" ref="DH30:DR49" si="27">IF(AND($M30&gt;=DH$15,$M30&lt;(DH$16+1)),DH$22/(DH$16-DH$15+1),0)</f>
        <v>0</v>
      </c>
      <c r="DI30" s="231">
        <f t="shared" si="27"/>
        <v>0</v>
      </c>
      <c r="DJ30" s="231">
        <f t="shared" si="27"/>
        <v>0</v>
      </c>
      <c r="DK30" s="231">
        <f t="shared" si="27"/>
        <v>0</v>
      </c>
      <c r="DL30" s="231">
        <f t="shared" si="27"/>
        <v>0</v>
      </c>
      <c r="DM30" s="231">
        <f t="shared" si="27"/>
        <v>0</v>
      </c>
      <c r="DN30" s="231">
        <f t="shared" si="27"/>
        <v>0</v>
      </c>
      <c r="DO30" s="231">
        <f t="shared" si="27"/>
        <v>0</v>
      </c>
      <c r="DP30" s="231">
        <f t="shared" si="27"/>
        <v>0</v>
      </c>
      <c r="DQ30" s="231">
        <f t="shared" si="27"/>
        <v>0</v>
      </c>
      <c r="DR30" s="231">
        <f t="shared" si="24"/>
        <v>0.24</v>
      </c>
      <c r="DS30" s="231">
        <f t="shared" si="25"/>
        <v>0.29866666666666669</v>
      </c>
      <c r="DT30" s="231">
        <f ca="1">IF(SUM(DT$24:DT29)=DT$22,0,IF(AND($M30&gt;=DT$15,$M30&lt;(DT$16+1)),DT$22/(DT$16-DT$15+1),0))</f>
        <v>0</v>
      </c>
      <c r="DU30" s="231">
        <f ca="1">IF(SUM(DU$24:DU29)=DU$22,0,IF(AND($M30&gt;=DU$15,$M30&lt;(DU$16+1)),DU$22/(DU$16-DU$15+1),0))</f>
        <v>0</v>
      </c>
      <c r="DV30" s="231">
        <f ca="1">IF(SUM(DV$24:DV29)=DV$22,0,IF(AND(M30&gt;=DV$15,M30&lt;(DV$16+1)),DV$22/(DV$16-DV$15+1),0))</f>
        <v>0</v>
      </c>
      <c r="DW30" s="231" t="e">
        <f ca="1">IF(SUM(DW$24:DW29)=DW$22,0,IF(AND($M30&gt;=DW$15,$M30&lt;(DW$16+1)),DW$22/(DW$16-DW$15+1),0))</f>
        <v>#N/A</v>
      </c>
      <c r="DX30" s="231">
        <f ca="1">IF(SUM(DX$24:DX29)=DX$22,0,IF(AND($M30&gt;=DX$15,$M30&lt;(DX$16+1)),DX$22/(DX$16-DX$15+1),0))</f>
        <v>0</v>
      </c>
      <c r="DY30" s="231">
        <f ca="1">IF(SUM(DY$24:DY29)=DY$22,0,IF(AND($M30&gt;=DY$15,$M30&lt;(DY$16+1)),DY$22/(DY$16-DY$15+1),0))</f>
        <v>0</v>
      </c>
      <c r="DZ30" s="231">
        <f ca="1">IF(SUM(DZ$24:DZ29)=DZ$22,0,IF(AND($M30&gt;=DZ$15,$M30&lt;(DZ$16+1)),DZ$22/(DZ$16-DZ$15+1),0))</f>
        <v>0</v>
      </c>
      <c r="EA30" s="231" t="e">
        <f ca="1">IF(SUM(EA$24:EA29)=EA$22,0,IF(AND(M30&gt;=EA$15,M30&lt;(EA$16+1)),EA$22/(EA$16-EA$15+1),0))</f>
        <v>#N/A</v>
      </c>
      <c r="EC30" s="234">
        <f t="shared" si="16"/>
        <v>3</v>
      </c>
      <c r="ED30" s="234" t="e">
        <f t="shared" ca="1" si="17"/>
        <v>#N/A</v>
      </c>
      <c r="EE30" s="235" t="e">
        <f t="shared" ca="1" si="18"/>
        <v>#N/A</v>
      </c>
      <c r="EF30" s="234" t="e">
        <f t="shared" ref="EF30:EF90" ca="1" si="28">$EE28*$EF$22</f>
        <v>#N/A</v>
      </c>
      <c r="EG30" s="234" t="e">
        <f ca="1">$EE26*EG$22</f>
        <v>#N/A</v>
      </c>
      <c r="EH30" s="234" t="e">
        <f ca="1">$EE24*EH$22</f>
        <v>#N/A</v>
      </c>
      <c r="EI30" s="234"/>
      <c r="EJ30" s="234"/>
      <c r="EK30" s="153" t="e">
        <f t="shared" ca="1" si="19"/>
        <v>#N/A</v>
      </c>
      <c r="EL30" s="231" t="e">
        <f ca="1">IF(SUM(EL$24:EL29)=EL$22,0,IF(AND($M30&gt;=EL$15,$M30&lt;(EL$16+1)),EL$22/(EL$16-EL$15+1),0))</f>
        <v>#N/A</v>
      </c>
      <c r="EM30" s="153" t="e">
        <f t="shared" ca="1" si="21"/>
        <v>#N/A</v>
      </c>
      <c r="EO30" s="60"/>
      <c r="EP30" s="60"/>
    </row>
    <row r="31" spans="1:176">
      <c r="A31" s="220"/>
      <c r="B31" s="236">
        <f t="shared" si="23"/>
        <v>4</v>
      </c>
      <c r="C31" s="221">
        <f t="shared" si="26"/>
        <v>43682.250100000005</v>
      </c>
      <c r="D31" s="222" t="e">
        <f ca="1">'Offshore INT'!R20</f>
        <v>#N/A</v>
      </c>
      <c r="E31" s="223" t="e">
        <f t="shared" ca="1" si="0"/>
        <v>#N/A</v>
      </c>
      <c r="F31" s="224"/>
      <c r="G31" s="225">
        <f>IF(G30=1,1,SUM($F$24:F31))</f>
        <v>0</v>
      </c>
      <c r="H31" s="226" t="e">
        <f ca="1">IF(H30=0,0,SUM($I$24:I31))</f>
        <v>#N/A</v>
      </c>
      <c r="I31" s="227" t="e">
        <f t="shared" ca="1" si="1"/>
        <v>#N/A</v>
      </c>
      <c r="J31" s="222">
        <f t="shared" ca="1" si="20"/>
        <v>0</v>
      </c>
      <c r="K31" s="60"/>
      <c r="L31" s="228"/>
      <c r="M31" s="228">
        <f t="shared" si="2"/>
        <v>4</v>
      </c>
      <c r="N31" s="221">
        <f t="shared" si="3"/>
        <v>43682.250100000005</v>
      </c>
      <c r="O31" s="229">
        <f t="shared" si="4"/>
        <v>0</v>
      </c>
      <c r="P31" s="229">
        <f t="shared" si="4"/>
        <v>0</v>
      </c>
      <c r="Q31" s="229">
        <f t="shared" si="4"/>
        <v>0</v>
      </c>
      <c r="R31" s="229">
        <f t="shared" si="4"/>
        <v>0</v>
      </c>
      <c r="S31" s="229">
        <f t="shared" si="4"/>
        <v>0</v>
      </c>
      <c r="T31" s="229">
        <f t="shared" si="4"/>
        <v>0</v>
      </c>
      <c r="U31" s="229">
        <f t="shared" si="4"/>
        <v>0</v>
      </c>
      <c r="V31" s="229">
        <f t="shared" si="4"/>
        <v>0</v>
      </c>
      <c r="W31" s="229">
        <f t="shared" si="4"/>
        <v>0</v>
      </c>
      <c r="X31" s="229">
        <f t="shared" si="4"/>
        <v>0</v>
      </c>
      <c r="Y31" s="229">
        <f t="shared" si="4"/>
        <v>0</v>
      </c>
      <c r="Z31" s="229">
        <f t="shared" si="4"/>
        <v>0</v>
      </c>
      <c r="AA31" s="229">
        <f t="shared" si="4"/>
        <v>0</v>
      </c>
      <c r="AB31" s="229">
        <f t="shared" si="4"/>
        <v>0</v>
      </c>
      <c r="AC31" s="229">
        <f t="shared" si="4"/>
        <v>0</v>
      </c>
      <c r="AD31" s="229">
        <f t="shared" si="22"/>
        <v>0</v>
      </c>
      <c r="AE31" s="229">
        <f t="shared" si="22"/>
        <v>0</v>
      </c>
      <c r="AF31" s="229">
        <f t="shared" si="22"/>
        <v>0</v>
      </c>
      <c r="AG31" s="229">
        <f t="shared" si="22"/>
        <v>0</v>
      </c>
      <c r="AH31" s="229">
        <f t="shared" si="22"/>
        <v>0</v>
      </c>
      <c r="AI31" s="229">
        <f t="shared" si="22"/>
        <v>0</v>
      </c>
      <c r="AJ31" s="229">
        <f t="shared" si="22"/>
        <v>0</v>
      </c>
      <c r="AK31" s="229">
        <f t="shared" si="22"/>
        <v>0</v>
      </c>
      <c r="AL31" s="229">
        <f t="shared" si="22"/>
        <v>0</v>
      </c>
      <c r="AM31" s="229">
        <f t="shared" si="22"/>
        <v>0</v>
      </c>
      <c r="AN31" s="229">
        <f t="shared" si="22"/>
        <v>0</v>
      </c>
      <c r="AO31" s="229">
        <f t="shared" si="22"/>
        <v>0</v>
      </c>
      <c r="AP31" s="229">
        <f t="shared" si="22"/>
        <v>0</v>
      </c>
      <c r="AQ31" s="229">
        <f t="shared" si="22"/>
        <v>0</v>
      </c>
      <c r="AR31" s="229">
        <f t="shared" si="22"/>
        <v>0</v>
      </c>
      <c r="AS31" s="229">
        <f t="shared" si="22"/>
        <v>0</v>
      </c>
      <c r="AT31" s="229">
        <f t="shared" si="22"/>
        <v>0</v>
      </c>
      <c r="AU31" s="229">
        <f t="shared" si="22"/>
        <v>0</v>
      </c>
      <c r="AV31" s="229">
        <f t="shared" si="22"/>
        <v>0</v>
      </c>
      <c r="AW31" s="229">
        <f t="shared" si="22"/>
        <v>0</v>
      </c>
      <c r="AX31" s="229">
        <f t="shared" si="22"/>
        <v>0</v>
      </c>
      <c r="AY31" s="229">
        <f t="shared" si="4"/>
        <v>0</v>
      </c>
      <c r="AZ31" s="229">
        <f t="shared" si="4"/>
        <v>0</v>
      </c>
      <c r="BA31" s="229">
        <f t="shared" si="4"/>
        <v>0</v>
      </c>
      <c r="BB31" s="229">
        <f t="shared" si="4"/>
        <v>0</v>
      </c>
      <c r="BC31" s="229">
        <f t="shared" si="4"/>
        <v>0</v>
      </c>
      <c r="BD31" s="229">
        <f t="shared" si="7"/>
        <v>0</v>
      </c>
      <c r="BE31" s="229">
        <f t="shared" si="7"/>
        <v>0</v>
      </c>
      <c r="BF31" s="229">
        <f t="shared" si="7"/>
        <v>0</v>
      </c>
      <c r="BG31" s="229">
        <f t="shared" si="7"/>
        <v>0</v>
      </c>
      <c r="BH31" s="229">
        <f t="shared" si="7"/>
        <v>0</v>
      </c>
      <c r="BI31" s="229">
        <f t="shared" si="7"/>
        <v>0</v>
      </c>
      <c r="BJ31" s="229">
        <f t="shared" si="7"/>
        <v>0</v>
      </c>
      <c r="BK31" s="229">
        <f t="shared" si="7"/>
        <v>0</v>
      </c>
      <c r="BL31" s="229">
        <f t="shared" si="7"/>
        <v>0</v>
      </c>
      <c r="BM31" s="229">
        <f t="shared" si="7"/>
        <v>0</v>
      </c>
      <c r="BN31" s="229">
        <f t="shared" si="7"/>
        <v>0</v>
      </c>
      <c r="BO31" s="229">
        <f t="shared" si="7"/>
        <v>0</v>
      </c>
      <c r="BP31" s="229">
        <f t="shared" si="7"/>
        <v>0</v>
      </c>
      <c r="BQ31" s="229">
        <f t="shared" si="8"/>
        <v>0</v>
      </c>
      <c r="BR31" s="229">
        <f t="shared" si="8"/>
        <v>0</v>
      </c>
      <c r="BS31" s="229">
        <f t="shared" si="8"/>
        <v>0</v>
      </c>
      <c r="BT31" s="229">
        <f t="shared" si="8"/>
        <v>0</v>
      </c>
      <c r="BU31" s="229">
        <f t="shared" si="8"/>
        <v>0</v>
      </c>
      <c r="BV31" s="229">
        <f t="shared" si="8"/>
        <v>0</v>
      </c>
      <c r="BW31" s="229">
        <f t="shared" si="8"/>
        <v>0</v>
      </c>
      <c r="BX31" s="229">
        <f t="shared" si="8"/>
        <v>0</v>
      </c>
      <c r="BY31" s="229">
        <f t="shared" si="8"/>
        <v>0</v>
      </c>
      <c r="BZ31" s="229">
        <f t="shared" si="8"/>
        <v>0</v>
      </c>
      <c r="CA31" s="229">
        <f t="shared" si="9"/>
        <v>0</v>
      </c>
      <c r="CB31" s="229">
        <f t="shared" si="9"/>
        <v>0</v>
      </c>
      <c r="CC31" s="229">
        <f t="shared" si="8"/>
        <v>0</v>
      </c>
      <c r="CD31" s="229">
        <f t="shared" si="10"/>
        <v>0</v>
      </c>
      <c r="CE31" s="229">
        <f t="shared" si="10"/>
        <v>0</v>
      </c>
      <c r="CF31" s="229">
        <f t="shared" si="10"/>
        <v>0</v>
      </c>
      <c r="CG31" s="229">
        <f t="shared" si="10"/>
        <v>0</v>
      </c>
      <c r="CH31" s="229">
        <f t="shared" si="11"/>
        <v>0</v>
      </c>
      <c r="CI31" s="229">
        <f t="shared" si="11"/>
        <v>0</v>
      </c>
      <c r="CJ31" s="229">
        <f t="shared" si="12"/>
        <v>0</v>
      </c>
      <c r="CK31" s="229">
        <f t="shared" si="11"/>
        <v>0</v>
      </c>
      <c r="CL31" s="229">
        <f t="shared" si="11"/>
        <v>0</v>
      </c>
      <c r="CM31" s="229">
        <f t="shared" si="11"/>
        <v>0</v>
      </c>
      <c r="CN31" s="229">
        <f t="shared" si="11"/>
        <v>0</v>
      </c>
      <c r="CO31" s="229">
        <f t="shared" si="13"/>
        <v>0</v>
      </c>
      <c r="CP31" s="229">
        <f t="shared" si="13"/>
        <v>0</v>
      </c>
      <c r="CQ31" s="229">
        <f t="shared" si="11"/>
        <v>0</v>
      </c>
      <c r="CR31" s="229">
        <f t="shared" si="14"/>
        <v>0</v>
      </c>
      <c r="CS31" s="229">
        <f t="shared" si="14"/>
        <v>0</v>
      </c>
      <c r="CT31" s="229">
        <f t="shared" si="14"/>
        <v>0</v>
      </c>
      <c r="CU31" s="230"/>
      <c r="CV31" s="231"/>
      <c r="CW31" s="231"/>
      <c r="CX31" s="231"/>
      <c r="CY31" s="231"/>
      <c r="DA31" s="231"/>
      <c r="DB31" s="231"/>
      <c r="DC31" s="231" t="e">
        <f ca="1">DC22</f>
        <v>#N/A</v>
      </c>
      <c r="DD31" s="231">
        <f>IF(SUM(DD$24:DD30)=DD$22,0,IF(AND($M31&gt;=DD$15,$M31&lt;(DD$16+1)),DD$22/(DD$16-DD$15+1),0))</f>
        <v>0</v>
      </c>
      <c r="DE31" s="231">
        <f>IF(SUM(DE$24:DE30)=DE$22,0,IF(AND($M31&gt;=DE$15,$M31&lt;(DE$16+1)),DE$22/(DE$16-DE$15+1),0))</f>
        <v>0</v>
      </c>
      <c r="DF31" s="231">
        <f>IF(SUM(DF$24:DF30)=DF$22,0,IF(AND($M31&gt;=DF$15,$M31&lt;(DF$16+1)),DF$22/(DF$16-DF$15+1),0))</f>
        <v>0</v>
      </c>
      <c r="DG31" s="231">
        <f>IF(SUM(DG$24:DG30)=DG$22,0,IF(AND($M31&gt;=DG$15,$M31&lt;(DG$16+1)),DG$22/(DG$16-DG$15+1),0))</f>
        <v>0</v>
      </c>
      <c r="DH31" s="231">
        <f t="shared" si="27"/>
        <v>0</v>
      </c>
      <c r="DI31" s="231">
        <f t="shared" si="27"/>
        <v>0</v>
      </c>
      <c r="DJ31" s="231">
        <f t="shared" si="27"/>
        <v>0</v>
      </c>
      <c r="DK31" s="231">
        <f t="shared" si="27"/>
        <v>0</v>
      </c>
      <c r="DL31" s="231">
        <f t="shared" si="27"/>
        <v>0</v>
      </c>
      <c r="DM31" s="231">
        <f t="shared" si="27"/>
        <v>0</v>
      </c>
      <c r="DN31" s="231">
        <f t="shared" si="27"/>
        <v>0</v>
      </c>
      <c r="DO31" s="231">
        <f t="shared" si="27"/>
        <v>0</v>
      </c>
      <c r="DP31" s="231">
        <f t="shared" si="27"/>
        <v>0</v>
      </c>
      <c r="DQ31" s="231">
        <f t="shared" si="27"/>
        <v>0</v>
      </c>
      <c r="DR31" s="231">
        <f t="shared" si="24"/>
        <v>0.24</v>
      </c>
      <c r="DS31" s="231">
        <f t="shared" si="25"/>
        <v>0.29866666666666669</v>
      </c>
      <c r="DT31" s="231">
        <f ca="1">IF(SUM(DT$24:DT30)=DT$22,0,IF(AND($M31&gt;=DT$15,$M31&lt;(DT$16+1)),DT$22/(DT$16-DT$15+1),0))</f>
        <v>0</v>
      </c>
      <c r="DU31" s="231">
        <f ca="1">IF(SUM(DU$24:DU30)=DU$22,0,IF(AND($M31&gt;=DU$15,$M31&lt;(DU$16+1)),DU$22/(DU$16-DU$15+1),0))</f>
        <v>1.81125</v>
      </c>
      <c r="DV31" s="231">
        <f ca="1">IF(SUM(DV$24:DV30)=DV$22,0,IF(AND(M31&gt;=DV$15,M31&lt;(DV$16+1)),DV$22/(DV$16-DV$15+1),0))</f>
        <v>0</v>
      </c>
      <c r="DW31" s="231" t="e">
        <f ca="1">IF(SUM(DW$24:DW30)=DW$22,0,IF(AND($M31&gt;=DW$15,$M31&lt;(DW$16+1)),DW$22/(DW$16-DW$15+1),0))</f>
        <v>#N/A</v>
      </c>
      <c r="DX31" s="231">
        <f ca="1">IF(SUM(DX$24:DX30)=DX$22,0,IF(AND($M31&gt;=DX$15,$M31&lt;(DX$16+1)),DX$22/(DX$16-DX$15+1),0))</f>
        <v>0</v>
      </c>
      <c r="DY31" s="231">
        <f ca="1">IF(SUM(DY$24:DY30)=DY$22,0,IF(AND($M31&gt;=DY$15,$M31&lt;(DY$16+1)),DY$22/(DY$16-DY$15+1),0))</f>
        <v>0</v>
      </c>
      <c r="DZ31" s="231">
        <f ca="1">IF(SUM(DZ$24:DZ30)=DZ$22,0,IF(AND($M31&gt;=DZ$15,$M31&lt;(DZ$16+1)),DZ$22/(DZ$16-DZ$15+1),0))</f>
        <v>0</v>
      </c>
      <c r="EA31" s="231" t="e">
        <f ca="1">IF(SUM(EA$24:EA30)=EA$22,0,IF(AND(M31&gt;=EA$15,M31&lt;(EA$16+1)),EA$22/(EA$16-EA$15+1),0))</f>
        <v>#N/A</v>
      </c>
      <c r="EC31" s="234">
        <f t="shared" si="16"/>
        <v>4</v>
      </c>
      <c r="ED31" s="234" t="e">
        <f t="shared" ca="1" si="17"/>
        <v>#N/A</v>
      </c>
      <c r="EE31" s="235" t="e">
        <f t="shared" ca="1" si="18"/>
        <v>#N/A</v>
      </c>
      <c r="EF31" s="234" t="e">
        <f t="shared" ca="1" si="28"/>
        <v>#N/A</v>
      </c>
      <c r="EG31" s="234" t="e">
        <f ca="1">$EE27*EG$22</f>
        <v>#N/A</v>
      </c>
      <c r="EH31" s="234" t="e">
        <f ca="1">$EE25*EH$22</f>
        <v>#N/A</v>
      </c>
      <c r="EI31" s="234"/>
      <c r="EJ31" s="234"/>
      <c r="EK31" s="153" t="e">
        <f t="shared" ca="1" si="19"/>
        <v>#N/A</v>
      </c>
      <c r="EL31" s="231" t="e">
        <f ca="1">IF(SUM(EL$24:EL30)=EL$22,0,IF(AND($M31&gt;=EL$15,$M31&lt;(EL$16+1)),EL$22/(EL$16-EL$15+1),0))</f>
        <v>#N/A</v>
      </c>
      <c r="EM31" s="153" t="e">
        <f t="shared" ca="1" si="21"/>
        <v>#N/A</v>
      </c>
      <c r="EO31" s="60"/>
      <c r="EP31" s="60"/>
    </row>
    <row r="32" spans="1:176">
      <c r="A32" s="220"/>
      <c r="B32" s="236">
        <f t="shared" si="23"/>
        <v>5</v>
      </c>
      <c r="C32" s="221">
        <f t="shared" si="26"/>
        <v>43712.666800000006</v>
      </c>
      <c r="D32" s="222" t="e">
        <f ca="1">'Offshore INT'!R21</f>
        <v>#N/A</v>
      </c>
      <c r="E32" s="223" t="e">
        <f t="shared" ca="1" si="0"/>
        <v>#N/A</v>
      </c>
      <c r="F32" s="224"/>
      <c r="G32" s="225">
        <f>IF(G31=1,1,SUM($F$24:F32))</f>
        <v>0</v>
      </c>
      <c r="H32" s="226" t="e">
        <f ca="1">IF(H31=0,0,SUM($I$24:I32))</f>
        <v>#N/A</v>
      </c>
      <c r="I32" s="227" t="e">
        <f t="shared" ca="1" si="1"/>
        <v>#N/A</v>
      </c>
      <c r="J32" s="222">
        <f t="shared" ca="1" si="20"/>
        <v>0</v>
      </c>
      <c r="K32" s="60"/>
      <c r="L32" s="228"/>
      <c r="M32" s="228">
        <f t="shared" si="2"/>
        <v>5</v>
      </c>
      <c r="N32" s="221">
        <f t="shared" si="3"/>
        <v>43712.666800000006</v>
      </c>
      <c r="O32" s="229">
        <f t="shared" si="4"/>
        <v>0</v>
      </c>
      <c r="P32" s="229">
        <f t="shared" si="4"/>
        <v>0</v>
      </c>
      <c r="Q32" s="229">
        <f t="shared" si="4"/>
        <v>0</v>
      </c>
      <c r="R32" s="229">
        <f t="shared" si="4"/>
        <v>0</v>
      </c>
      <c r="S32" s="229">
        <f t="shared" si="4"/>
        <v>0</v>
      </c>
      <c r="T32" s="229">
        <f t="shared" si="4"/>
        <v>0</v>
      </c>
      <c r="U32" s="229">
        <f t="shared" si="4"/>
        <v>0</v>
      </c>
      <c r="V32" s="229">
        <f t="shared" si="4"/>
        <v>0</v>
      </c>
      <c r="W32" s="229">
        <f t="shared" si="4"/>
        <v>0</v>
      </c>
      <c r="X32" s="229">
        <f t="shared" si="4"/>
        <v>0</v>
      </c>
      <c r="Y32" s="229">
        <f t="shared" si="4"/>
        <v>0</v>
      </c>
      <c r="Z32" s="229">
        <f t="shared" si="4"/>
        <v>0</v>
      </c>
      <c r="AA32" s="229">
        <f t="shared" si="4"/>
        <v>0</v>
      </c>
      <c r="AB32" s="229">
        <f t="shared" si="4"/>
        <v>0</v>
      </c>
      <c r="AC32" s="229">
        <f t="shared" si="4"/>
        <v>0</v>
      </c>
      <c r="AD32" s="229">
        <f t="shared" si="22"/>
        <v>0</v>
      </c>
      <c r="AE32" s="229">
        <f t="shared" si="22"/>
        <v>0</v>
      </c>
      <c r="AF32" s="229">
        <f t="shared" si="22"/>
        <v>0</v>
      </c>
      <c r="AG32" s="229">
        <f t="shared" si="22"/>
        <v>0</v>
      </c>
      <c r="AH32" s="229">
        <f t="shared" si="22"/>
        <v>0</v>
      </c>
      <c r="AI32" s="229">
        <f t="shared" si="22"/>
        <v>0</v>
      </c>
      <c r="AJ32" s="229">
        <f t="shared" si="22"/>
        <v>0</v>
      </c>
      <c r="AK32" s="229">
        <f t="shared" si="22"/>
        <v>0</v>
      </c>
      <c r="AL32" s="229">
        <f t="shared" si="22"/>
        <v>0</v>
      </c>
      <c r="AM32" s="229">
        <f t="shared" si="22"/>
        <v>0</v>
      </c>
      <c r="AN32" s="229">
        <f t="shared" si="22"/>
        <v>0</v>
      </c>
      <c r="AO32" s="229">
        <f t="shared" si="22"/>
        <v>0</v>
      </c>
      <c r="AP32" s="229">
        <f t="shared" si="22"/>
        <v>0</v>
      </c>
      <c r="AQ32" s="229">
        <f t="shared" si="22"/>
        <v>0</v>
      </c>
      <c r="AR32" s="229">
        <f t="shared" si="22"/>
        <v>0</v>
      </c>
      <c r="AS32" s="229">
        <f t="shared" si="22"/>
        <v>0</v>
      </c>
      <c r="AT32" s="229">
        <f t="shared" si="22"/>
        <v>0</v>
      </c>
      <c r="AU32" s="229">
        <f t="shared" si="22"/>
        <v>0</v>
      </c>
      <c r="AV32" s="229">
        <f t="shared" si="22"/>
        <v>0</v>
      </c>
      <c r="AW32" s="229">
        <f t="shared" si="22"/>
        <v>0</v>
      </c>
      <c r="AX32" s="229">
        <f t="shared" si="22"/>
        <v>0</v>
      </c>
      <c r="AY32" s="229">
        <f t="shared" si="4"/>
        <v>0</v>
      </c>
      <c r="AZ32" s="229">
        <f t="shared" si="4"/>
        <v>0</v>
      </c>
      <c r="BA32" s="229">
        <f t="shared" si="4"/>
        <v>0</v>
      </c>
      <c r="BB32" s="229">
        <f t="shared" si="4"/>
        <v>0</v>
      </c>
      <c r="BC32" s="229">
        <f t="shared" si="4"/>
        <v>0</v>
      </c>
      <c r="BD32" s="229">
        <f t="shared" si="7"/>
        <v>0</v>
      </c>
      <c r="BE32" s="229">
        <f t="shared" si="7"/>
        <v>0</v>
      </c>
      <c r="BF32" s="229">
        <f t="shared" si="7"/>
        <v>0</v>
      </c>
      <c r="BG32" s="229">
        <f t="shared" si="7"/>
        <v>0</v>
      </c>
      <c r="BH32" s="229">
        <f t="shared" si="7"/>
        <v>0</v>
      </c>
      <c r="BI32" s="229">
        <f t="shared" si="7"/>
        <v>0</v>
      </c>
      <c r="BJ32" s="229">
        <f t="shared" si="7"/>
        <v>0</v>
      </c>
      <c r="BK32" s="229">
        <f t="shared" si="7"/>
        <v>0</v>
      </c>
      <c r="BL32" s="229">
        <f t="shared" si="7"/>
        <v>0</v>
      </c>
      <c r="BM32" s="229">
        <f t="shared" si="7"/>
        <v>0</v>
      </c>
      <c r="BN32" s="229">
        <f t="shared" si="7"/>
        <v>0</v>
      </c>
      <c r="BO32" s="229">
        <f t="shared" si="7"/>
        <v>0</v>
      </c>
      <c r="BP32" s="229">
        <f t="shared" si="7"/>
        <v>0</v>
      </c>
      <c r="BQ32" s="229">
        <f t="shared" si="8"/>
        <v>0</v>
      </c>
      <c r="BR32" s="229">
        <f t="shared" si="8"/>
        <v>0</v>
      </c>
      <c r="BS32" s="229">
        <f t="shared" si="8"/>
        <v>0</v>
      </c>
      <c r="BT32" s="229">
        <f t="shared" si="8"/>
        <v>0</v>
      </c>
      <c r="BU32" s="229">
        <f t="shared" si="8"/>
        <v>0</v>
      </c>
      <c r="BV32" s="229">
        <f t="shared" si="8"/>
        <v>0</v>
      </c>
      <c r="BW32" s="229">
        <f t="shared" si="8"/>
        <v>0</v>
      </c>
      <c r="BX32" s="229">
        <f t="shared" si="8"/>
        <v>0</v>
      </c>
      <c r="BY32" s="229">
        <f t="shared" si="8"/>
        <v>0</v>
      </c>
      <c r="BZ32" s="229">
        <f t="shared" si="8"/>
        <v>0</v>
      </c>
      <c r="CA32" s="229">
        <f t="shared" si="9"/>
        <v>0</v>
      </c>
      <c r="CB32" s="229">
        <f t="shared" si="9"/>
        <v>0</v>
      </c>
      <c r="CC32" s="229">
        <f t="shared" si="8"/>
        <v>0</v>
      </c>
      <c r="CD32" s="229">
        <f t="shared" si="10"/>
        <v>0</v>
      </c>
      <c r="CE32" s="229">
        <f t="shared" si="10"/>
        <v>0</v>
      </c>
      <c r="CF32" s="229">
        <f t="shared" si="10"/>
        <v>0</v>
      </c>
      <c r="CG32" s="229">
        <f t="shared" si="10"/>
        <v>0</v>
      </c>
      <c r="CH32" s="229">
        <f t="shared" si="11"/>
        <v>0</v>
      </c>
      <c r="CI32" s="229">
        <f t="shared" si="11"/>
        <v>0</v>
      </c>
      <c r="CJ32" s="229">
        <f t="shared" si="12"/>
        <v>0</v>
      </c>
      <c r="CK32" s="229">
        <f t="shared" si="11"/>
        <v>0</v>
      </c>
      <c r="CL32" s="229">
        <f t="shared" si="11"/>
        <v>0</v>
      </c>
      <c r="CM32" s="229">
        <f t="shared" si="11"/>
        <v>0</v>
      </c>
      <c r="CN32" s="229">
        <f t="shared" si="11"/>
        <v>0</v>
      </c>
      <c r="CO32" s="229">
        <f t="shared" si="13"/>
        <v>0</v>
      </c>
      <c r="CP32" s="229">
        <f t="shared" si="13"/>
        <v>0</v>
      </c>
      <c r="CQ32" s="229">
        <f t="shared" si="11"/>
        <v>0</v>
      </c>
      <c r="CR32" s="229">
        <f t="shared" si="14"/>
        <v>0</v>
      </c>
      <c r="CS32" s="229">
        <f t="shared" si="14"/>
        <v>0</v>
      </c>
      <c r="CT32" s="229">
        <f t="shared" si="14"/>
        <v>0</v>
      </c>
      <c r="CU32" s="230"/>
      <c r="CV32" s="231"/>
      <c r="CW32" s="231"/>
      <c r="CX32" s="231"/>
      <c r="CY32" s="231"/>
      <c r="CZ32" s="243" t="e">
        <f ca="1">IF(SUM(CZ$24:CZ30)&gt;=CZ$22,0,CZ$22/CZ$13)*0</f>
        <v>#N/A</v>
      </c>
      <c r="DA32" s="231"/>
      <c r="DB32" s="231"/>
      <c r="DC32" s="231"/>
      <c r="DD32" s="231">
        <f>IF(SUM(DD$24:DD31)=DD$22,0,IF(AND($M32&gt;=DD$15,$M32&lt;(DD$16+1)),DD$22/(DD$16-DD$15+1),0))</f>
        <v>0</v>
      </c>
      <c r="DE32" s="231">
        <f>IF(SUM(DE$24:DE31)=DE$22,0,IF(AND($M32&gt;=DE$15,$M32&lt;(DE$16+1)),DE$22/(DE$16-DE$15+1),0))</f>
        <v>0</v>
      </c>
      <c r="DF32" s="231">
        <f>IF(SUM(DF$24:DF31)=DF$22,0,IF(AND($M32&gt;=DF$15,$M32&lt;(DF$16+1)),DF$22/(DF$16-DF$15+1),0))</f>
        <v>0</v>
      </c>
      <c r="DG32" s="231">
        <f>IF(SUM(DG$24:DG31)=DG$22,0,IF(AND($M32&gt;=DG$15,$M32&lt;(DG$16+1)),DG$22/(DG$16-DG$15+1),0))</f>
        <v>0</v>
      </c>
      <c r="DH32" s="231">
        <f t="shared" si="27"/>
        <v>0</v>
      </c>
      <c r="DI32" s="231">
        <f t="shared" si="27"/>
        <v>0</v>
      </c>
      <c r="DJ32" s="231">
        <f t="shared" si="27"/>
        <v>0</v>
      </c>
      <c r="DK32" s="231">
        <f t="shared" si="27"/>
        <v>0</v>
      </c>
      <c r="DL32" s="231">
        <f t="shared" si="27"/>
        <v>0</v>
      </c>
      <c r="DM32" s="231">
        <f t="shared" si="27"/>
        <v>0</v>
      </c>
      <c r="DN32" s="231">
        <f t="shared" si="27"/>
        <v>0</v>
      </c>
      <c r="DO32" s="231">
        <f t="shared" si="27"/>
        <v>0</v>
      </c>
      <c r="DP32" s="231">
        <f t="shared" si="27"/>
        <v>0</v>
      </c>
      <c r="DQ32" s="231">
        <f t="shared" si="27"/>
        <v>0</v>
      </c>
      <c r="DR32" s="231">
        <f t="shared" si="24"/>
        <v>0.24</v>
      </c>
      <c r="DS32" s="231">
        <f t="shared" si="25"/>
        <v>0.29866666666666669</v>
      </c>
      <c r="DT32" s="231">
        <f ca="1">IF(SUM(DT$24:DT31)=DT$22,0,IF(AND($M32&gt;=DT$15,$M32&lt;(DT$16+1)),DT$22/(DT$16-DT$15+1),0))</f>
        <v>0</v>
      </c>
      <c r="DU32" s="231">
        <f ca="1">IF(SUM(DU$24:DU31)=DU$22,0,IF(AND($M32&gt;=DU$15,$M32&lt;(DU$16+1)),DU$22/(DU$16-DU$15+1),0))</f>
        <v>1.81125</v>
      </c>
      <c r="DV32" s="231">
        <f ca="1">IF(SUM(DV$24:DV31)=DV$22,0,IF(AND(M32&gt;=DV$15,M32&lt;(DV$16+1)),DV$22/(DV$16-DV$15+1),0))</f>
        <v>0</v>
      </c>
      <c r="DW32" s="231" t="e">
        <f ca="1">IF(SUM(DW$24:DW31)=DW$22,0,IF(AND($M32&gt;=DW$15,$M32&lt;(DW$16+1)),DW$22/(DW$16-DW$15+1),0))</f>
        <v>#N/A</v>
      </c>
      <c r="DX32" s="231">
        <f ca="1">IF(SUM(DX$24:DX31)=DX$22,0,IF(AND($M32&gt;=DX$15,$M32&lt;(DX$16+1)),DX$22/(DX$16-DX$15+1),0))</f>
        <v>0</v>
      </c>
      <c r="DY32" s="231">
        <f ca="1">IF(SUM(DY$24:DY31)=DY$22,0,IF(AND($M32&gt;=DY$15,$M32&lt;(DY$16+1)),DY$22/(DY$16-DY$15+1),0))</f>
        <v>0</v>
      </c>
      <c r="DZ32" s="231">
        <f ca="1">IF(SUM(DZ$24:DZ31)=DZ$22,0,IF(AND($M32&gt;=DZ$15,$M32&lt;(DZ$16+1)),DZ$22/(DZ$16-DZ$15+1),0))</f>
        <v>0</v>
      </c>
      <c r="EA32" s="231" t="e">
        <f ca="1">IF(SUM(EA$24:EA31)=EA$22,0,IF(AND(M32&gt;=EA$15,M32&lt;(EA$16+1)),EA$22/(EA$16-EA$15+1),0))</f>
        <v>#N/A</v>
      </c>
      <c r="EC32" s="234">
        <f t="shared" si="16"/>
        <v>5</v>
      </c>
      <c r="ED32" s="234" t="e">
        <f t="shared" ca="1" si="17"/>
        <v>#N/A</v>
      </c>
      <c r="EE32" s="235" t="e">
        <f t="shared" ca="1" si="18"/>
        <v>#N/A</v>
      </c>
      <c r="EF32" s="234" t="e">
        <f t="shared" ca="1" si="28"/>
        <v>#N/A</v>
      </c>
      <c r="EG32" s="234" t="e">
        <f t="shared" ref="EG32:EG92" ca="1" si="29">$EE28*EG$22</f>
        <v>#N/A</v>
      </c>
      <c r="EH32" s="234" t="e">
        <f ca="1">$EE26*EH$22</f>
        <v>#N/A</v>
      </c>
      <c r="EI32" s="234"/>
      <c r="EJ32" s="234"/>
      <c r="EK32" s="153" t="e">
        <f t="shared" ca="1" si="19"/>
        <v>#N/A</v>
      </c>
      <c r="EL32" s="231" t="e">
        <f ca="1">IF(SUM(EL$24:EL31)=EL$22,0,IF(AND($M32&gt;=EL$15,$M32&lt;(EL$16+1)),EL$22/(EL$16-EL$15+1),0))</f>
        <v>#N/A</v>
      </c>
      <c r="EM32" s="153" t="e">
        <f t="shared" ca="1" si="21"/>
        <v>#N/A</v>
      </c>
      <c r="EO32" s="60"/>
      <c r="EP32" s="60"/>
    </row>
    <row r="33" spans="1:146">
      <c r="A33" s="220"/>
      <c r="B33" s="236">
        <f t="shared" si="23"/>
        <v>6</v>
      </c>
      <c r="C33" s="221">
        <f t="shared" si="26"/>
        <v>43743.083500000008</v>
      </c>
      <c r="D33" s="222" t="e">
        <f ca="1">'Offshore INT'!R22</f>
        <v>#N/A</v>
      </c>
      <c r="E33" s="223" t="e">
        <f t="shared" ca="1" si="0"/>
        <v>#N/A</v>
      </c>
      <c r="F33" s="224"/>
      <c r="G33" s="225">
        <f>IF(G32=1,1,SUM($F$24:F33))</f>
        <v>0</v>
      </c>
      <c r="H33" s="226" t="e">
        <f ca="1">IF(H32=0,0,SUM($I$24:I33))</f>
        <v>#N/A</v>
      </c>
      <c r="I33" s="227" t="e">
        <f t="shared" ca="1" si="1"/>
        <v>#N/A</v>
      </c>
      <c r="J33" s="222">
        <f t="shared" ca="1" si="20"/>
        <v>0</v>
      </c>
      <c r="K33" s="60"/>
      <c r="L33" s="228"/>
      <c r="M33" s="228">
        <f t="shared" si="2"/>
        <v>6</v>
      </c>
      <c r="N33" s="221">
        <f t="shared" si="3"/>
        <v>43743.083500000008</v>
      </c>
      <c r="O33" s="229">
        <f t="shared" ref="O33:Z52" si="30">IF($M33=O$13,O$22*O$3,IF($M33=O$14,O$22*O$4,IF($M33=O$15,O$22*O$5,IF($M33=O$16,O$22*O$6,IF($M33=O$17,O$22*O$7,IF($M33=O$18,O$22*O$8,IF($M33=O$19,O$22*O$9,IF($M33=O$20,O$22*O$10,0))))))))</f>
        <v>0</v>
      </c>
      <c r="P33" s="229">
        <f t="shared" si="30"/>
        <v>0</v>
      </c>
      <c r="Q33" s="229">
        <f t="shared" si="30"/>
        <v>0</v>
      </c>
      <c r="R33" s="229">
        <f t="shared" si="30"/>
        <v>0</v>
      </c>
      <c r="S33" s="229">
        <f t="shared" si="30"/>
        <v>0</v>
      </c>
      <c r="T33" s="229">
        <f t="shared" si="30"/>
        <v>0</v>
      </c>
      <c r="U33" s="229">
        <f t="shared" si="30"/>
        <v>0</v>
      </c>
      <c r="V33" s="229">
        <f t="shared" si="30"/>
        <v>0</v>
      </c>
      <c r="W33" s="229">
        <f t="shared" si="30"/>
        <v>0</v>
      </c>
      <c r="X33" s="229">
        <f t="shared" si="30"/>
        <v>0</v>
      </c>
      <c r="Y33" s="229">
        <f t="shared" si="30"/>
        <v>0</v>
      </c>
      <c r="Z33" s="229">
        <f t="shared" si="30"/>
        <v>0</v>
      </c>
      <c r="AA33" s="229">
        <f>IF($M33=AA$13,AA$22*AA$3,IF($M33=AA$14,AA$22*AA$4,IF($M33=AA$15,AA$22*AA$5,IF($M33=AA$16,AA$22*AA$6,IF($M33=AA$17,AA$22*AA$7,IF($M33=AA$18,AA$22*AA$8,IF($M33=AA$19,AA$22*AA$9,IF($M33=AA$20,AA$22*AA$10,0))))))))</f>
        <v>0</v>
      </c>
      <c r="AB33" s="229">
        <f t="shared" si="4"/>
        <v>0</v>
      </c>
      <c r="AC33" s="229">
        <f t="shared" si="4"/>
        <v>0</v>
      </c>
      <c r="AD33" s="229">
        <f t="shared" si="22"/>
        <v>0</v>
      </c>
      <c r="AE33" s="229">
        <f t="shared" si="22"/>
        <v>0</v>
      </c>
      <c r="AF33" s="229">
        <f t="shared" si="22"/>
        <v>0</v>
      </c>
      <c r="AG33" s="229">
        <f t="shared" si="22"/>
        <v>0</v>
      </c>
      <c r="AH33" s="229">
        <f t="shared" si="22"/>
        <v>0</v>
      </c>
      <c r="AI33" s="229">
        <f t="shared" si="22"/>
        <v>0</v>
      </c>
      <c r="AJ33" s="229">
        <f t="shared" si="22"/>
        <v>0</v>
      </c>
      <c r="AK33" s="229">
        <f t="shared" si="22"/>
        <v>0</v>
      </c>
      <c r="AL33" s="229">
        <f t="shared" si="22"/>
        <v>0</v>
      </c>
      <c r="AM33" s="229">
        <f t="shared" si="22"/>
        <v>0</v>
      </c>
      <c r="AN33" s="229">
        <f t="shared" si="22"/>
        <v>0</v>
      </c>
      <c r="AO33" s="229">
        <f t="shared" si="22"/>
        <v>0</v>
      </c>
      <c r="AP33" s="229">
        <f t="shared" si="22"/>
        <v>0</v>
      </c>
      <c r="AQ33" s="229">
        <f t="shared" si="22"/>
        <v>0</v>
      </c>
      <c r="AR33" s="229">
        <f t="shared" si="22"/>
        <v>0</v>
      </c>
      <c r="AS33" s="229">
        <f t="shared" si="22"/>
        <v>0</v>
      </c>
      <c r="AT33" s="229">
        <f t="shared" si="22"/>
        <v>0</v>
      </c>
      <c r="AU33" s="229">
        <f t="shared" si="22"/>
        <v>0</v>
      </c>
      <c r="AV33" s="229">
        <f t="shared" si="22"/>
        <v>0</v>
      </c>
      <c r="AW33" s="229">
        <f t="shared" si="22"/>
        <v>0</v>
      </c>
      <c r="AX33" s="229">
        <f t="shared" si="22"/>
        <v>0</v>
      </c>
      <c r="AY33" s="229">
        <f t="shared" si="4"/>
        <v>0</v>
      </c>
      <c r="AZ33" s="229">
        <f>IF($M33=AZ$13,AZ$22*AZ$3,IF($M33=AZ$14,AZ$22*AZ$4,IF($M33=AZ$15,AZ$22*AZ$5,IF($M33=AZ$16,AZ$22*AZ$6,IF($M33=AZ$17,AZ$22*AZ$7,IF($M33=AZ$18,AZ$22*AZ$8,IF($M33=AZ$19,AZ$22*AZ$9,IF($M33=AZ$20,AZ$22*AZ$10,0))))))))</f>
        <v>0</v>
      </c>
      <c r="BA33" s="229">
        <f t="shared" si="4"/>
        <v>0</v>
      </c>
      <c r="BB33" s="229">
        <f>IF($M33=BB$13,BB$22*BB$3,IF($M33=BB$14,BB$22*BB$4,IF($M33=BB$15,BB$22*BB$5,IF($M33=BB$16,BB$22*BB$6,IF($M33=BB$17,BB$22*BB$7,IF($M33=BB$18,BB$22*BB$8,IF($M33=BB$19,BB$22*BB$9,IF($M33=BB$20,BB$22*BB$10,0))))))))</f>
        <v>0</v>
      </c>
      <c r="BC33" s="229">
        <f>IF($M33=BC$13,BC$22*BC$3,IF($M33=BC$14,BC$22*BC$4,IF($M33=BC$15,BC$22*BC$5,IF($M33=BC$16,BC$22*BC$6,IF($M33=BC$17,BC$22*BC$7,IF($M33=BC$18,BC$22*BC$8,IF($M33=BC$19,BC$22*BC$9,IF($M33=BC$20,BC$22*BC$10,0))))))))</f>
        <v>0</v>
      </c>
      <c r="BD33" s="229">
        <f t="shared" si="7"/>
        <v>0</v>
      </c>
      <c r="BE33" s="229">
        <f t="shared" si="7"/>
        <v>0</v>
      </c>
      <c r="BF33" s="229">
        <f t="shared" si="7"/>
        <v>0</v>
      </c>
      <c r="BG33" s="229">
        <f t="shared" si="7"/>
        <v>0</v>
      </c>
      <c r="BH33" s="229">
        <f t="shared" si="7"/>
        <v>0</v>
      </c>
      <c r="BI33" s="229">
        <f t="shared" si="7"/>
        <v>0</v>
      </c>
      <c r="BJ33" s="229">
        <f t="shared" si="7"/>
        <v>0</v>
      </c>
      <c r="BK33" s="229">
        <f t="shared" si="7"/>
        <v>0</v>
      </c>
      <c r="BL33" s="229">
        <f t="shared" si="7"/>
        <v>0</v>
      </c>
      <c r="BM33" s="229">
        <f t="shared" si="7"/>
        <v>0</v>
      </c>
      <c r="BN33" s="229">
        <f t="shared" si="7"/>
        <v>0</v>
      </c>
      <c r="BO33" s="229">
        <f t="shared" si="7"/>
        <v>0</v>
      </c>
      <c r="BP33" s="229">
        <f t="shared" si="7"/>
        <v>0</v>
      </c>
      <c r="BQ33" s="229">
        <f t="shared" si="8"/>
        <v>0</v>
      </c>
      <c r="BR33" s="229">
        <f t="shared" si="8"/>
        <v>0</v>
      </c>
      <c r="BS33" s="229">
        <f t="shared" si="8"/>
        <v>0</v>
      </c>
      <c r="BT33" s="229">
        <f t="shared" si="8"/>
        <v>0</v>
      </c>
      <c r="BU33" s="229">
        <f t="shared" si="8"/>
        <v>0</v>
      </c>
      <c r="BV33" s="229">
        <f t="shared" si="8"/>
        <v>0</v>
      </c>
      <c r="BW33" s="229">
        <f t="shared" si="8"/>
        <v>0</v>
      </c>
      <c r="BX33" s="229">
        <f t="shared" si="8"/>
        <v>0</v>
      </c>
      <c r="BY33" s="229">
        <f t="shared" si="8"/>
        <v>0</v>
      </c>
      <c r="BZ33" s="229">
        <f t="shared" si="8"/>
        <v>0</v>
      </c>
      <c r="CA33" s="229">
        <f t="shared" si="9"/>
        <v>0</v>
      </c>
      <c r="CB33" s="229">
        <f t="shared" si="9"/>
        <v>0</v>
      </c>
      <c r="CC33" s="229">
        <f t="shared" si="8"/>
        <v>0</v>
      </c>
      <c r="CD33" s="229">
        <f t="shared" si="10"/>
        <v>0</v>
      </c>
      <c r="CE33" s="229">
        <f t="shared" si="10"/>
        <v>0</v>
      </c>
      <c r="CF33" s="229">
        <f t="shared" si="10"/>
        <v>0</v>
      </c>
      <c r="CG33" s="229">
        <f t="shared" si="10"/>
        <v>0</v>
      </c>
      <c r="CH33" s="229">
        <f t="shared" si="11"/>
        <v>0</v>
      </c>
      <c r="CI33" s="229">
        <f t="shared" si="11"/>
        <v>0</v>
      </c>
      <c r="CJ33" s="229">
        <f t="shared" si="12"/>
        <v>0</v>
      </c>
      <c r="CK33" s="229">
        <f t="shared" si="11"/>
        <v>0</v>
      </c>
      <c r="CL33" s="229">
        <f t="shared" si="11"/>
        <v>0</v>
      </c>
      <c r="CM33" s="229">
        <f t="shared" si="11"/>
        <v>0</v>
      </c>
      <c r="CN33" s="229">
        <f t="shared" si="11"/>
        <v>0</v>
      </c>
      <c r="CO33" s="229">
        <f t="shared" si="13"/>
        <v>0</v>
      </c>
      <c r="CP33" s="229">
        <f t="shared" si="13"/>
        <v>0</v>
      </c>
      <c r="CQ33" s="229">
        <f t="shared" si="11"/>
        <v>0</v>
      </c>
      <c r="CR33" s="229">
        <f t="shared" si="14"/>
        <v>0</v>
      </c>
      <c r="CS33" s="229">
        <f t="shared" si="14"/>
        <v>0</v>
      </c>
      <c r="CT33" s="229">
        <f t="shared" si="14"/>
        <v>0</v>
      </c>
      <c r="CU33" s="230"/>
      <c r="CV33" s="231"/>
      <c r="CW33" s="231"/>
      <c r="CX33" s="231"/>
      <c r="CY33" s="231"/>
      <c r="CZ33" s="231"/>
      <c r="DA33" s="231"/>
      <c r="DB33" s="231"/>
      <c r="DC33" s="231"/>
      <c r="DD33" s="231">
        <f>IF(SUM(DD$24:DD32)=DD$22,0,IF(AND($M33&gt;=DD$15,$M33&lt;(DD$16+1)),DD$22/(DD$16-DD$15+1),0))</f>
        <v>0</v>
      </c>
      <c r="DE33" s="231">
        <f>IF(SUM(DE$24:DE32)=DE$22,0,IF(AND($M33&gt;=DE$15,$M33&lt;(DE$16+1)),DE$22/(DE$16-DE$15+1),0))</f>
        <v>0</v>
      </c>
      <c r="DF33" s="231">
        <f>IF(SUM(DF$24:DF32)=DF$22,0,IF(AND($M33&gt;=DF$15,$M33&lt;(DF$16+1)),DF$22/(DF$16-DF$15+1),0))</f>
        <v>0</v>
      </c>
      <c r="DG33" s="231">
        <f>IF(SUM(DG$24:DG32)=DG$22,0,IF(AND($M33&gt;=DG$15,$M33&lt;(DG$16+1)),DG$22/(DG$16-DG$15+1),0))</f>
        <v>0</v>
      </c>
      <c r="DH33" s="231">
        <f t="shared" si="27"/>
        <v>0</v>
      </c>
      <c r="DI33" s="231">
        <f t="shared" si="27"/>
        <v>0</v>
      </c>
      <c r="DJ33" s="231">
        <f t="shared" si="27"/>
        <v>0</v>
      </c>
      <c r="DK33" s="231">
        <f t="shared" si="27"/>
        <v>0</v>
      </c>
      <c r="DL33" s="231">
        <f t="shared" si="27"/>
        <v>0</v>
      </c>
      <c r="DM33" s="231">
        <f t="shared" si="27"/>
        <v>0</v>
      </c>
      <c r="DN33" s="231">
        <f t="shared" si="27"/>
        <v>0</v>
      </c>
      <c r="DO33" s="231">
        <f t="shared" si="27"/>
        <v>0</v>
      </c>
      <c r="DP33" s="231">
        <f t="shared" si="27"/>
        <v>0</v>
      </c>
      <c r="DQ33" s="231">
        <f t="shared" si="27"/>
        <v>0</v>
      </c>
      <c r="DR33" s="231">
        <f t="shared" si="24"/>
        <v>0.24</v>
      </c>
      <c r="DS33" s="231">
        <f t="shared" si="25"/>
        <v>0.29866666666666669</v>
      </c>
      <c r="DT33" s="231">
        <f ca="1">IF(SUM(DT$24:DT32)=DT$22,0,IF(AND($M33&gt;=DT$15,$M33&lt;(DT$16+1)),DT$22/(DT$16-DT$15+1),0))</f>
        <v>0</v>
      </c>
      <c r="DU33" s="231">
        <f ca="1">IF(SUM(DU$24:DU32)=DU$22,0,IF(AND($M33&gt;=DU$15,$M33&lt;(DU$16+1)),DU$22/(DU$16-DU$15+1),0))</f>
        <v>1.81125</v>
      </c>
      <c r="DV33" s="231">
        <f ca="1">IF(SUM(DV$24:DV32)=DV$22,0,IF(AND(M33&gt;=DV$15,M33&lt;(DV$16+1)),DV$22/(DV$16-DV$15+1),0))</f>
        <v>0</v>
      </c>
      <c r="DW33" s="231" t="e">
        <f ca="1">IF(SUM(DW$24:DW32)=DW$22,0,IF(AND($M33&gt;=DW$15,$M33&lt;(DW$16+1)),DW$22/(DW$16-DW$15+1),0))</f>
        <v>#N/A</v>
      </c>
      <c r="DX33" s="231">
        <f ca="1">IF(SUM(DX$24:DX32)=DX$22,0,IF(AND($M33&gt;=DX$15,$M33&lt;(DX$16+1)),DX$22/(DX$16-DX$15+1),0))</f>
        <v>0</v>
      </c>
      <c r="DY33" s="231">
        <f ca="1">IF(SUM(DY$24:DY32)=DY$22,0,IF(AND($M33&gt;=DY$15,$M33&lt;(DY$16+1)),DY$22/(DY$16-DY$15+1),0))</f>
        <v>0</v>
      </c>
      <c r="DZ33" s="231">
        <f ca="1">IF(SUM(DZ$24:DZ32)=DZ$22,0,IF(AND($M33&gt;=DZ$15,$M33&lt;(DZ$16+1)),DZ$22/(DZ$16-DZ$15+1),0))</f>
        <v>0</v>
      </c>
      <c r="EA33" s="231" t="e">
        <f ca="1">IF(SUM(EA$24:EA32)=EA$22,0,IF(AND(M33&gt;=EA$15,M33&lt;(EA$16+1)),EA$22/(EA$16-EA$15+1),0))</f>
        <v>#N/A</v>
      </c>
      <c r="EC33" s="234">
        <f t="shared" si="16"/>
        <v>6</v>
      </c>
      <c r="ED33" s="234" t="e">
        <f t="shared" ca="1" si="17"/>
        <v>#N/A</v>
      </c>
      <c r="EE33" s="235" t="e">
        <f t="shared" ca="1" si="18"/>
        <v>#N/A</v>
      </c>
      <c r="EF33" s="234" t="e">
        <f t="shared" ca="1" si="28"/>
        <v>#N/A</v>
      </c>
      <c r="EG33" s="234" t="e">
        <f t="shared" ca="1" si="29"/>
        <v>#N/A</v>
      </c>
      <c r="EH33" s="234" t="e">
        <f ca="1">$EE27*EH$22</f>
        <v>#N/A</v>
      </c>
      <c r="EI33" s="234"/>
      <c r="EJ33" s="234"/>
      <c r="EK33" s="153" t="e">
        <f t="shared" ca="1" si="19"/>
        <v>#N/A</v>
      </c>
      <c r="EL33" s="231" t="e">
        <f ca="1">IF(SUM(EL$24:EL32)=EL$22,0,IF(AND($M33&gt;=EL$15,$M33&lt;(EL$16+1)),EL$22/(EL$16-EL$15+1),0))</f>
        <v>#N/A</v>
      </c>
      <c r="EM33" s="153" t="e">
        <f t="shared" ca="1" si="21"/>
        <v>#N/A</v>
      </c>
      <c r="EO33" s="60"/>
      <c r="EP33" s="60"/>
    </row>
    <row r="34" spans="1:146">
      <c r="A34" s="220"/>
      <c r="B34" s="236">
        <f t="shared" si="23"/>
        <v>7</v>
      </c>
      <c r="C34" s="221">
        <f t="shared" si="26"/>
        <v>43773.500200000009</v>
      </c>
      <c r="D34" s="222" t="e">
        <f ca="1">'Offshore INT'!R23</f>
        <v>#N/A</v>
      </c>
      <c r="E34" s="223" t="e">
        <f t="shared" ca="1" si="0"/>
        <v>#N/A</v>
      </c>
      <c r="F34" s="224"/>
      <c r="G34" s="225">
        <f>IF(G33=1,1,SUM($F$24:F34))</f>
        <v>0</v>
      </c>
      <c r="H34" s="226" t="e">
        <f ca="1">IF(H33=0,0,SUM($I$24:I34))</f>
        <v>#N/A</v>
      </c>
      <c r="I34" s="227" t="e">
        <f t="shared" ca="1" si="1"/>
        <v>#N/A</v>
      </c>
      <c r="J34" s="222">
        <f t="shared" ca="1" si="20"/>
        <v>0</v>
      </c>
      <c r="K34" s="60"/>
      <c r="L34" s="228"/>
      <c r="M34" s="228">
        <f t="shared" si="2"/>
        <v>7</v>
      </c>
      <c r="N34" s="221">
        <f t="shared" si="3"/>
        <v>43773.500200000009</v>
      </c>
      <c r="O34" s="229">
        <f t="shared" si="30"/>
        <v>0</v>
      </c>
      <c r="P34" s="229">
        <f t="shared" si="30"/>
        <v>0</v>
      </c>
      <c r="Q34" s="229">
        <f t="shared" si="30"/>
        <v>0</v>
      </c>
      <c r="R34" s="229">
        <f t="shared" si="30"/>
        <v>0</v>
      </c>
      <c r="S34" s="229">
        <f t="shared" si="30"/>
        <v>0</v>
      </c>
      <c r="T34" s="229">
        <f t="shared" si="30"/>
        <v>0</v>
      </c>
      <c r="U34" s="229">
        <f t="shared" si="30"/>
        <v>0</v>
      </c>
      <c r="V34" s="229">
        <f t="shared" si="30"/>
        <v>0</v>
      </c>
      <c r="W34" s="229">
        <f t="shared" si="30"/>
        <v>0</v>
      </c>
      <c r="X34" s="229">
        <f t="shared" si="30"/>
        <v>0</v>
      </c>
      <c r="Y34" s="229">
        <f t="shared" si="30"/>
        <v>0</v>
      </c>
      <c r="Z34" s="229">
        <f t="shared" si="30"/>
        <v>0</v>
      </c>
      <c r="AA34" s="229">
        <f t="shared" ref="AA34:BC43" si="31">IF($M34=AA$13,AA$22*AA$3,IF($M34=AA$14,AA$22*AA$4,IF($M34=AA$15,AA$22*AA$5,IF($M34=AA$16,AA$22*AA$6,IF($M34=AA$17,AA$22*AA$7,IF($M34=AA$18,AA$22*AA$8,IF($M34=AA$19,AA$22*AA$9,IF($M34=AA$20,AA$22*AA$10,0))))))))</f>
        <v>0</v>
      </c>
      <c r="AB34" s="229">
        <f t="shared" si="31"/>
        <v>0</v>
      </c>
      <c r="AC34" s="229">
        <f t="shared" si="31"/>
        <v>0</v>
      </c>
      <c r="AD34" s="229">
        <f t="shared" si="31"/>
        <v>0</v>
      </c>
      <c r="AE34" s="229">
        <f t="shared" si="31"/>
        <v>0</v>
      </c>
      <c r="AF34" s="229">
        <f t="shared" si="31"/>
        <v>0</v>
      </c>
      <c r="AG34" s="229">
        <f t="shared" si="31"/>
        <v>0</v>
      </c>
      <c r="AH34" s="229">
        <f t="shared" si="31"/>
        <v>0</v>
      </c>
      <c r="AI34" s="229">
        <f t="shared" si="31"/>
        <v>0</v>
      </c>
      <c r="AJ34" s="229">
        <f t="shared" si="31"/>
        <v>0</v>
      </c>
      <c r="AK34" s="229">
        <f t="shared" si="31"/>
        <v>0</v>
      </c>
      <c r="AL34" s="229">
        <f t="shared" si="31"/>
        <v>0</v>
      </c>
      <c r="AM34" s="229">
        <f t="shared" si="31"/>
        <v>0</v>
      </c>
      <c r="AN34" s="229">
        <f t="shared" si="31"/>
        <v>0</v>
      </c>
      <c r="AO34" s="229">
        <f t="shared" si="31"/>
        <v>0</v>
      </c>
      <c r="AP34" s="229">
        <f t="shared" si="31"/>
        <v>0</v>
      </c>
      <c r="AQ34" s="229">
        <f t="shared" si="31"/>
        <v>0</v>
      </c>
      <c r="AR34" s="229">
        <f t="shared" si="31"/>
        <v>0</v>
      </c>
      <c r="AS34" s="229">
        <f t="shared" si="22"/>
        <v>0</v>
      </c>
      <c r="AT34" s="229">
        <f t="shared" si="22"/>
        <v>0</v>
      </c>
      <c r="AU34" s="229">
        <f t="shared" si="22"/>
        <v>0</v>
      </c>
      <c r="AV34" s="229">
        <f t="shared" si="22"/>
        <v>0</v>
      </c>
      <c r="AW34" s="229">
        <f t="shared" si="22"/>
        <v>0</v>
      </c>
      <c r="AX34" s="229">
        <f t="shared" si="31"/>
        <v>0</v>
      </c>
      <c r="AY34" s="229">
        <f t="shared" si="31"/>
        <v>0</v>
      </c>
      <c r="AZ34" s="229">
        <f t="shared" si="31"/>
        <v>0</v>
      </c>
      <c r="BA34" s="229">
        <f t="shared" si="31"/>
        <v>0</v>
      </c>
      <c r="BB34" s="229">
        <f t="shared" si="31"/>
        <v>0</v>
      </c>
      <c r="BC34" s="229">
        <f t="shared" si="31"/>
        <v>0</v>
      </c>
      <c r="BD34" s="229">
        <f t="shared" ref="BD34:BP43" si="32">IF($M34=BD$13,BD$22*BD$3,IF($M34=BD$14,BD$22*BD$4,IF($M34=BD$15,BD$22*BD$5,IF($M34=BD$16,BD$22*BD$6,IF($M34=BD$17,BD$22*BD$7,IF($M34=BD$18,BD$22*BD$8,IF($M34=BD$19,BD$22*BD$9,IF($M34=BD$20,BD$22*BD$10,0))))))))</f>
        <v>0</v>
      </c>
      <c r="BE34" s="229">
        <f t="shared" si="32"/>
        <v>0</v>
      </c>
      <c r="BF34" s="229">
        <f t="shared" si="32"/>
        <v>0</v>
      </c>
      <c r="BG34" s="229">
        <f t="shared" si="32"/>
        <v>0</v>
      </c>
      <c r="BH34" s="229">
        <f t="shared" si="32"/>
        <v>0</v>
      </c>
      <c r="BI34" s="229">
        <f t="shared" si="32"/>
        <v>0</v>
      </c>
      <c r="BJ34" s="229">
        <f t="shared" si="32"/>
        <v>0</v>
      </c>
      <c r="BK34" s="229">
        <f t="shared" si="32"/>
        <v>0</v>
      </c>
      <c r="BL34" s="229">
        <f t="shared" si="32"/>
        <v>0</v>
      </c>
      <c r="BM34" s="229">
        <f t="shared" si="32"/>
        <v>0</v>
      </c>
      <c r="BN34" s="229">
        <f t="shared" si="32"/>
        <v>0</v>
      </c>
      <c r="BO34" s="229">
        <f t="shared" si="32"/>
        <v>0</v>
      </c>
      <c r="BP34" s="229">
        <f t="shared" si="32"/>
        <v>0</v>
      </c>
      <c r="BQ34" s="229">
        <f t="shared" ref="BQ34:CC43" si="33">IF($M34=BQ$13,BQ$22*BQ$3,IF($M34=BQ$14,BQ$22*BQ$4,IF($M34=BQ$15,BQ$22*BQ$5,IF($M34=BQ$16,BQ$22*BQ$6,IF($M34=BQ$17,BQ$22*BQ$7,IF($M34=BQ$18,BQ$22*BQ$8,IF($M34=BQ$19,BQ$22*BQ$9,IF($M34=BQ$20,BQ$22*BQ$10,0))))))))</f>
        <v>0</v>
      </c>
      <c r="BR34" s="229">
        <f t="shared" si="33"/>
        <v>0</v>
      </c>
      <c r="BS34" s="229">
        <f t="shared" si="33"/>
        <v>0</v>
      </c>
      <c r="BT34" s="229">
        <f t="shared" si="33"/>
        <v>0</v>
      </c>
      <c r="BU34" s="229">
        <f t="shared" si="33"/>
        <v>0</v>
      </c>
      <c r="BV34" s="229">
        <f t="shared" si="33"/>
        <v>0</v>
      </c>
      <c r="BW34" s="229">
        <f t="shared" si="33"/>
        <v>0</v>
      </c>
      <c r="BX34" s="229">
        <f t="shared" si="33"/>
        <v>0</v>
      </c>
      <c r="BY34" s="229">
        <f t="shared" si="33"/>
        <v>0</v>
      </c>
      <c r="BZ34" s="229">
        <f t="shared" si="33"/>
        <v>0</v>
      </c>
      <c r="CA34" s="229">
        <f t="shared" si="9"/>
        <v>0</v>
      </c>
      <c r="CB34" s="229">
        <f t="shared" si="9"/>
        <v>0</v>
      </c>
      <c r="CC34" s="229">
        <f t="shared" si="33"/>
        <v>0</v>
      </c>
      <c r="CD34" s="229">
        <f t="shared" si="10"/>
        <v>0</v>
      </c>
      <c r="CE34" s="229">
        <f t="shared" si="10"/>
        <v>0</v>
      </c>
      <c r="CF34" s="229">
        <f t="shared" si="10"/>
        <v>0</v>
      </c>
      <c r="CG34" s="229">
        <f t="shared" si="10"/>
        <v>0</v>
      </c>
      <c r="CH34" s="229">
        <f t="shared" si="11"/>
        <v>0</v>
      </c>
      <c r="CI34" s="229">
        <f t="shared" si="11"/>
        <v>0</v>
      </c>
      <c r="CJ34" s="229">
        <f t="shared" si="12"/>
        <v>0</v>
      </c>
      <c r="CK34" s="229">
        <f t="shared" si="11"/>
        <v>0</v>
      </c>
      <c r="CL34" s="229">
        <f t="shared" si="11"/>
        <v>0</v>
      </c>
      <c r="CM34" s="229">
        <f t="shared" si="11"/>
        <v>0</v>
      </c>
      <c r="CN34" s="229">
        <f t="shared" si="11"/>
        <v>0</v>
      </c>
      <c r="CO34" s="229">
        <f t="shared" si="13"/>
        <v>0</v>
      </c>
      <c r="CP34" s="229">
        <f t="shared" si="13"/>
        <v>0</v>
      </c>
      <c r="CQ34" s="229">
        <f t="shared" si="11"/>
        <v>0</v>
      </c>
      <c r="CR34" s="229">
        <f t="shared" si="14"/>
        <v>0</v>
      </c>
      <c r="CS34" s="229">
        <f t="shared" si="14"/>
        <v>0</v>
      </c>
      <c r="CT34" s="229">
        <f t="shared" si="14"/>
        <v>0</v>
      </c>
      <c r="CU34" s="230"/>
      <c r="CV34" s="231"/>
      <c r="CW34" s="231"/>
      <c r="CX34" s="231"/>
      <c r="CY34" s="231"/>
      <c r="CZ34" s="231"/>
      <c r="DA34" s="231"/>
      <c r="DB34" s="231"/>
      <c r="DC34" s="231"/>
      <c r="DD34" s="231">
        <f>IF(SUM(DD$24:DD33)=DD$22,0,IF(AND($M34&gt;=DD$15,$M34&lt;(DD$16+1)),DD$22/(DD$16-DD$15+1),0))</f>
        <v>0</v>
      </c>
      <c r="DE34" s="231">
        <f>IF(SUM(DE$24:DE33)=DE$22,0,IF(AND($M34&gt;=DE$15,$M34&lt;(DE$16+1)),DE$22/(DE$16-DE$15+1),0))</f>
        <v>0</v>
      </c>
      <c r="DF34" s="231">
        <f>IF(SUM(DF$24:DF33)=DF$22,0,IF(AND($M34&gt;=DF$15,$M34&lt;(DF$16+1)),DF$22/(DF$16-DF$15+1),0))</f>
        <v>0</v>
      </c>
      <c r="DG34" s="231">
        <f>IF(SUM(DG$24:DG33)=DG$22,0,IF(AND($M34&gt;=DG$15,$M34&lt;(DG$16+1)),DG$22/(DG$16-DG$15+1),0))</f>
        <v>0</v>
      </c>
      <c r="DH34" s="231">
        <f t="shared" si="27"/>
        <v>0</v>
      </c>
      <c r="DI34" s="231">
        <f t="shared" si="27"/>
        <v>0</v>
      </c>
      <c r="DJ34" s="231">
        <f t="shared" si="27"/>
        <v>0</v>
      </c>
      <c r="DK34" s="231">
        <f t="shared" si="27"/>
        <v>0</v>
      </c>
      <c r="DL34" s="231">
        <f t="shared" si="27"/>
        <v>0</v>
      </c>
      <c r="DM34" s="231">
        <f t="shared" si="27"/>
        <v>0</v>
      </c>
      <c r="DN34" s="231">
        <f t="shared" si="27"/>
        <v>0</v>
      </c>
      <c r="DO34" s="231">
        <f t="shared" si="27"/>
        <v>0</v>
      </c>
      <c r="DP34" s="231">
        <f t="shared" si="27"/>
        <v>0</v>
      </c>
      <c r="DQ34" s="231">
        <f t="shared" si="27"/>
        <v>0</v>
      </c>
      <c r="DR34" s="231">
        <f t="shared" si="24"/>
        <v>0.24</v>
      </c>
      <c r="DS34" s="231">
        <f t="shared" si="25"/>
        <v>0.29866666666666669</v>
      </c>
      <c r="DT34" s="231">
        <f ca="1">IF(SUM(DT$24:DT33)=DT$22,0,IF(AND($M34&gt;=DT$15,$M34&lt;(DT$16+1)),DT$22/(DT$16-DT$15+1),0))</f>
        <v>0</v>
      </c>
      <c r="DU34" s="231">
        <f ca="1">IF(SUM(DU$24:DU33)=DU$22,0,IF(AND($M34&gt;=DU$15,$M34&lt;(DU$16+1)),DU$22/(DU$16-DU$15+1),0))</f>
        <v>1.81125</v>
      </c>
      <c r="DV34" s="231">
        <f ca="1">IF(SUM(DV$24:DV33)=DV$22,0,IF(AND(M34&gt;=DV$15,M34&lt;(DV$16+1)),DV$22/(DV$16-DV$15+1),0))</f>
        <v>0</v>
      </c>
      <c r="DW34" s="231" t="e">
        <f ca="1">IF(SUM(DW$24:DW33)=DW$22,0,IF(AND($M34&gt;=DW$15,$M34&lt;(DW$16+1)),DW$22/(DW$16-DW$15+1),0))</f>
        <v>#N/A</v>
      </c>
      <c r="DX34" s="231">
        <f ca="1">IF(SUM(DX$24:DX33)=DX$22,0,IF(AND($M34&gt;=DX$15,$M34&lt;(DX$16+1)),DX$22/(DX$16-DX$15+1),0))</f>
        <v>0</v>
      </c>
      <c r="DY34" s="231">
        <f ca="1">IF(SUM(DY$24:DY33)=DY$22,0,IF(AND($M34&gt;=DY$15,$M34&lt;(DY$16+1)),DY$22/(DY$16-DY$15+1),0))</f>
        <v>0</v>
      </c>
      <c r="DZ34" s="231">
        <f ca="1">IF(SUM(DZ$24:DZ33)=DZ$22,0,IF(AND($M34&gt;=DZ$15,$M34&lt;(DZ$16+1)),DZ$22/(DZ$16-DZ$15+1),0))</f>
        <v>0</v>
      </c>
      <c r="EA34" s="231" t="e">
        <f ca="1">IF(SUM(EA$24:EA33)=EA$22,0,IF(AND(M34&gt;=EA$15,M34&lt;(EA$16+1)),EA$22/(EA$16-EA$15+1),0))</f>
        <v>#N/A</v>
      </c>
      <c r="EC34" s="234">
        <f t="shared" si="16"/>
        <v>7</v>
      </c>
      <c r="ED34" s="234" t="e">
        <f t="shared" ca="1" si="17"/>
        <v>#N/A</v>
      </c>
      <c r="EE34" s="235" t="e">
        <f t="shared" ca="1" si="18"/>
        <v>#N/A</v>
      </c>
      <c r="EF34" s="234" t="e">
        <f t="shared" ca="1" si="28"/>
        <v>#N/A</v>
      </c>
      <c r="EG34" s="234" t="e">
        <f t="shared" ca="1" si="29"/>
        <v>#N/A</v>
      </c>
      <c r="EH34" s="234" t="e">
        <f t="shared" ref="EH34:EH94" ca="1" si="34">$EE28*EH$22</f>
        <v>#N/A</v>
      </c>
      <c r="EI34" s="234"/>
      <c r="EJ34" s="234"/>
      <c r="EK34" s="153" t="e">
        <f t="shared" ca="1" si="19"/>
        <v>#N/A</v>
      </c>
      <c r="EL34" s="231" t="e">
        <f ca="1">IF(SUM(EL$24:EL33)=EL$22,0,IF(AND($M34&gt;=EL$15,$M34&lt;(EL$16+1)),EL$22/(EL$16-EL$15+1),0))</f>
        <v>#N/A</v>
      </c>
      <c r="EM34" s="153" t="e">
        <f t="shared" ca="1" si="21"/>
        <v>#N/A</v>
      </c>
      <c r="EO34" s="60"/>
      <c r="EP34" s="60"/>
    </row>
    <row r="35" spans="1:146">
      <c r="A35" s="237"/>
      <c r="B35" s="236">
        <f t="shared" si="23"/>
        <v>8</v>
      </c>
      <c r="C35" s="239">
        <f t="shared" si="26"/>
        <v>43803.916900000011</v>
      </c>
      <c r="D35" s="222" t="e">
        <f ca="1">'Offshore INT'!R24</f>
        <v>#N/A</v>
      </c>
      <c r="E35" s="223" t="e">
        <f t="shared" ca="1" si="0"/>
        <v>#N/A</v>
      </c>
      <c r="F35" s="224"/>
      <c r="G35" s="240">
        <f>IF(G34=1,1,SUM($F$24:F35))</f>
        <v>0</v>
      </c>
      <c r="H35" s="226" t="e">
        <f ca="1">IF(H34=0,0,SUM($I$24:I35))</f>
        <v>#N/A</v>
      </c>
      <c r="I35" s="227" t="e">
        <f t="shared" ca="1" si="1"/>
        <v>#N/A</v>
      </c>
      <c r="J35" s="222">
        <f t="shared" ca="1" si="20"/>
        <v>0</v>
      </c>
      <c r="K35" s="60"/>
      <c r="L35" s="241"/>
      <c r="M35" s="241">
        <f t="shared" si="2"/>
        <v>8</v>
      </c>
      <c r="N35" s="239">
        <f t="shared" si="3"/>
        <v>43803.916900000011</v>
      </c>
      <c r="O35" s="229">
        <f t="shared" si="30"/>
        <v>0</v>
      </c>
      <c r="P35" s="229">
        <f t="shared" si="30"/>
        <v>0</v>
      </c>
      <c r="Q35" s="229">
        <f t="shared" si="30"/>
        <v>0</v>
      </c>
      <c r="R35" s="229">
        <f t="shared" si="30"/>
        <v>0</v>
      </c>
      <c r="S35" s="229">
        <f t="shared" si="30"/>
        <v>0</v>
      </c>
      <c r="T35" s="229">
        <f t="shared" si="30"/>
        <v>0</v>
      </c>
      <c r="U35" s="229">
        <f t="shared" si="30"/>
        <v>0</v>
      </c>
      <c r="V35" s="229">
        <f t="shared" si="30"/>
        <v>0</v>
      </c>
      <c r="W35" s="229">
        <f t="shared" si="30"/>
        <v>0</v>
      </c>
      <c r="X35" s="229">
        <f t="shared" si="30"/>
        <v>0</v>
      </c>
      <c r="Y35" s="229">
        <f t="shared" si="30"/>
        <v>0</v>
      </c>
      <c r="Z35" s="229">
        <f t="shared" si="30"/>
        <v>0</v>
      </c>
      <c r="AA35" s="229">
        <f t="shared" si="31"/>
        <v>0</v>
      </c>
      <c r="AB35" s="229">
        <f t="shared" si="31"/>
        <v>0</v>
      </c>
      <c r="AC35" s="229">
        <f t="shared" si="31"/>
        <v>0</v>
      </c>
      <c r="AD35" s="229">
        <f t="shared" si="31"/>
        <v>0</v>
      </c>
      <c r="AE35" s="229">
        <f t="shared" si="31"/>
        <v>0</v>
      </c>
      <c r="AF35" s="229">
        <f t="shared" si="31"/>
        <v>0</v>
      </c>
      <c r="AG35" s="229">
        <f t="shared" si="31"/>
        <v>0</v>
      </c>
      <c r="AH35" s="229">
        <f t="shared" si="31"/>
        <v>0</v>
      </c>
      <c r="AI35" s="229">
        <f t="shared" si="31"/>
        <v>0</v>
      </c>
      <c r="AJ35" s="229">
        <f t="shared" si="31"/>
        <v>0</v>
      </c>
      <c r="AK35" s="229">
        <f t="shared" si="31"/>
        <v>0</v>
      </c>
      <c r="AL35" s="229">
        <f t="shared" si="31"/>
        <v>0</v>
      </c>
      <c r="AM35" s="229">
        <f t="shared" si="31"/>
        <v>0</v>
      </c>
      <c r="AN35" s="229">
        <f t="shared" si="31"/>
        <v>0</v>
      </c>
      <c r="AO35" s="229">
        <f t="shared" si="31"/>
        <v>0</v>
      </c>
      <c r="AP35" s="229">
        <f t="shared" si="31"/>
        <v>0</v>
      </c>
      <c r="AQ35" s="229">
        <f t="shared" si="31"/>
        <v>0</v>
      </c>
      <c r="AR35" s="229">
        <f t="shared" si="31"/>
        <v>0</v>
      </c>
      <c r="AS35" s="229">
        <f t="shared" si="22"/>
        <v>0</v>
      </c>
      <c r="AT35" s="229">
        <f t="shared" si="22"/>
        <v>0</v>
      </c>
      <c r="AU35" s="229">
        <f t="shared" si="22"/>
        <v>0</v>
      </c>
      <c r="AV35" s="229">
        <f t="shared" si="22"/>
        <v>0</v>
      </c>
      <c r="AW35" s="229">
        <f t="shared" si="22"/>
        <v>0</v>
      </c>
      <c r="AX35" s="229">
        <f t="shared" si="31"/>
        <v>0</v>
      </c>
      <c r="AY35" s="229">
        <f t="shared" si="31"/>
        <v>0</v>
      </c>
      <c r="AZ35" s="229">
        <f t="shared" si="31"/>
        <v>0</v>
      </c>
      <c r="BA35" s="229">
        <f t="shared" si="31"/>
        <v>0</v>
      </c>
      <c r="BB35" s="229">
        <f t="shared" si="31"/>
        <v>0</v>
      </c>
      <c r="BC35" s="229">
        <f t="shared" si="31"/>
        <v>0</v>
      </c>
      <c r="BD35" s="229">
        <f t="shared" si="32"/>
        <v>0</v>
      </c>
      <c r="BE35" s="229">
        <f t="shared" si="32"/>
        <v>0</v>
      </c>
      <c r="BF35" s="229">
        <f t="shared" si="32"/>
        <v>0</v>
      </c>
      <c r="BG35" s="229">
        <f t="shared" si="32"/>
        <v>0</v>
      </c>
      <c r="BH35" s="229">
        <f t="shared" si="32"/>
        <v>0</v>
      </c>
      <c r="BI35" s="229">
        <f t="shared" si="32"/>
        <v>0</v>
      </c>
      <c r="BJ35" s="229">
        <f t="shared" si="32"/>
        <v>0</v>
      </c>
      <c r="BK35" s="229">
        <f t="shared" si="32"/>
        <v>0</v>
      </c>
      <c r="BL35" s="229">
        <f t="shared" si="32"/>
        <v>0</v>
      </c>
      <c r="BM35" s="229">
        <f t="shared" si="32"/>
        <v>0</v>
      </c>
      <c r="BN35" s="229">
        <f t="shared" si="32"/>
        <v>0</v>
      </c>
      <c r="BO35" s="229">
        <f t="shared" si="32"/>
        <v>0</v>
      </c>
      <c r="BP35" s="229">
        <f t="shared" si="32"/>
        <v>0</v>
      </c>
      <c r="BQ35" s="229">
        <f t="shared" si="33"/>
        <v>0</v>
      </c>
      <c r="BR35" s="229">
        <f t="shared" si="33"/>
        <v>0</v>
      </c>
      <c r="BS35" s="229">
        <f t="shared" si="33"/>
        <v>0</v>
      </c>
      <c r="BT35" s="229">
        <f t="shared" si="33"/>
        <v>0</v>
      </c>
      <c r="BU35" s="229">
        <f t="shared" si="33"/>
        <v>0</v>
      </c>
      <c r="BV35" s="229">
        <f t="shared" si="33"/>
        <v>0</v>
      </c>
      <c r="BW35" s="229">
        <f t="shared" si="33"/>
        <v>0</v>
      </c>
      <c r="BX35" s="229">
        <f t="shared" si="33"/>
        <v>0</v>
      </c>
      <c r="BY35" s="229">
        <f t="shared" si="33"/>
        <v>0</v>
      </c>
      <c r="BZ35" s="229">
        <f t="shared" si="33"/>
        <v>0</v>
      </c>
      <c r="CA35" s="229">
        <f t="shared" si="9"/>
        <v>0</v>
      </c>
      <c r="CB35" s="229">
        <f t="shared" si="9"/>
        <v>0</v>
      </c>
      <c r="CC35" s="229">
        <f t="shared" si="33"/>
        <v>0</v>
      </c>
      <c r="CD35" s="229">
        <f t="shared" si="10"/>
        <v>0</v>
      </c>
      <c r="CE35" s="229">
        <f t="shared" si="10"/>
        <v>0</v>
      </c>
      <c r="CF35" s="229">
        <f t="shared" si="10"/>
        <v>0</v>
      </c>
      <c r="CG35" s="229">
        <f t="shared" si="10"/>
        <v>0</v>
      </c>
      <c r="CH35" s="229">
        <f t="shared" si="11"/>
        <v>0</v>
      </c>
      <c r="CI35" s="229">
        <f t="shared" si="11"/>
        <v>0</v>
      </c>
      <c r="CJ35" s="229">
        <f t="shared" si="12"/>
        <v>0</v>
      </c>
      <c r="CK35" s="229">
        <f t="shared" si="11"/>
        <v>0</v>
      </c>
      <c r="CL35" s="229">
        <f t="shared" si="11"/>
        <v>0</v>
      </c>
      <c r="CM35" s="229">
        <f t="shared" si="11"/>
        <v>0</v>
      </c>
      <c r="CN35" s="229">
        <f t="shared" si="11"/>
        <v>0</v>
      </c>
      <c r="CO35" s="229">
        <f t="shared" si="13"/>
        <v>0</v>
      </c>
      <c r="CP35" s="229">
        <f t="shared" si="13"/>
        <v>0</v>
      </c>
      <c r="CQ35" s="229">
        <f t="shared" si="11"/>
        <v>0</v>
      </c>
      <c r="CR35" s="229">
        <f t="shared" si="14"/>
        <v>0</v>
      </c>
      <c r="CS35" s="229">
        <f t="shared" si="14"/>
        <v>0</v>
      </c>
      <c r="CT35" s="229">
        <f t="shared" si="14"/>
        <v>0</v>
      </c>
      <c r="CU35" s="230"/>
      <c r="CV35" s="231"/>
      <c r="CW35" s="231"/>
      <c r="CX35" s="231"/>
      <c r="CY35" s="231"/>
      <c r="CZ35" s="231"/>
      <c r="DA35" s="231"/>
      <c r="DB35" s="231"/>
      <c r="DC35" s="231"/>
      <c r="DD35" s="231">
        <f>IF(SUM(DD$24:DD34)=DD$22,0,IF(AND($M35&gt;=DD$15,$M35&lt;(DD$16+1)),DD$22/(DD$16-DD$15+1),0))</f>
        <v>0</v>
      </c>
      <c r="DE35" s="231">
        <f>IF(SUM(DE$24:DE34)=DE$22,0,IF(AND($M35&gt;=DE$15,$M35&lt;(DE$16+1)),DE$22/(DE$16-DE$15+1),0))</f>
        <v>0</v>
      </c>
      <c r="DF35" s="231">
        <f>IF(SUM(DF$24:DF34)=DF$22,0,IF(AND($M35&gt;=DF$15,$M35&lt;(DF$16+1)),DF$22/(DF$16-DF$15+1),0))</f>
        <v>0</v>
      </c>
      <c r="DG35" s="231">
        <f>IF(SUM(DG$24:DG34)=DG$22,0,IF(AND($M35&gt;=DG$15,$M35&lt;(DG$16+1)),DG$22/(DG$16-DG$15+1),0))</f>
        <v>0</v>
      </c>
      <c r="DH35" s="231">
        <f t="shared" si="27"/>
        <v>0</v>
      </c>
      <c r="DI35" s="231">
        <f t="shared" si="27"/>
        <v>0</v>
      </c>
      <c r="DJ35" s="231">
        <f t="shared" si="27"/>
        <v>0</v>
      </c>
      <c r="DK35" s="231">
        <f t="shared" si="27"/>
        <v>0</v>
      </c>
      <c r="DL35" s="231">
        <f t="shared" si="27"/>
        <v>0</v>
      </c>
      <c r="DM35" s="231">
        <f t="shared" si="27"/>
        <v>0</v>
      </c>
      <c r="DN35" s="231">
        <f t="shared" si="27"/>
        <v>0</v>
      </c>
      <c r="DO35" s="231">
        <f t="shared" si="27"/>
        <v>0</v>
      </c>
      <c r="DP35" s="231">
        <f t="shared" si="27"/>
        <v>0</v>
      </c>
      <c r="DQ35" s="231">
        <f t="shared" si="27"/>
        <v>0</v>
      </c>
      <c r="DR35" s="231">
        <f t="shared" si="24"/>
        <v>0.24</v>
      </c>
      <c r="DS35" s="231">
        <f t="shared" si="25"/>
        <v>0.29866666666666669</v>
      </c>
      <c r="DT35" s="231">
        <f ca="1">IF(SUM(DT$24:DT34)=DT$22,0,IF(AND($M35&gt;=DT$15,$M35&lt;(DT$16+1)),DT$22/(DT$16-DT$15+1),0))</f>
        <v>0</v>
      </c>
      <c r="DU35" s="231">
        <f ca="1">IF(SUM(DU$24:DU34)=DU$22,0,IF(AND($M35&gt;=DU$15,$M35&lt;(DU$16+1)),DU$22/(DU$16-DU$15+1),0))</f>
        <v>1.81125</v>
      </c>
      <c r="DV35" s="231">
        <f ca="1">IF(SUM(DV$24:DV34)=DV$22,0,IF(AND(M35&gt;=DV$15,M35&lt;(DV$16+1)),DV$22/(DV$16-DV$15+1),0))</f>
        <v>0</v>
      </c>
      <c r="DW35" s="231" t="e">
        <f ca="1">IF(SUM(DW$24:DW34)=DW$22,0,IF(AND($M35&gt;=DW$15,$M35&lt;(DW$16+1)),DW$22/(DW$16-DW$15+1),0))</f>
        <v>#N/A</v>
      </c>
      <c r="DX35" s="231">
        <f ca="1">IF(SUM(DX$24:DX34)=DX$22,0,IF(AND($M35&gt;=DX$15,$M35&lt;(DX$16+1)),DX$22/(DX$16-DX$15+1),0))</f>
        <v>0</v>
      </c>
      <c r="DY35" s="231">
        <f ca="1">IF(SUM(DY$24:DY34)=DY$22,0,IF(AND($M35&gt;=DY$15,$M35&lt;(DY$16+1)),DY$22/(DY$16-DY$15+1),0))</f>
        <v>0</v>
      </c>
      <c r="DZ35" s="231">
        <f ca="1">IF(SUM(DZ$24:DZ34)=DZ$22,0,IF(AND($M35&gt;=DZ$15,$M35&lt;(DZ$16+1)),DZ$22/(DZ$16-DZ$15+1),0))</f>
        <v>0</v>
      </c>
      <c r="EA35" s="231" t="e">
        <f ca="1">IF(SUM(EA$24:EA34)=EA$22,0,IF(AND(M35&gt;=EA$15,M35&lt;(EA$16+1)),EA$22/(EA$16-EA$15+1),0))</f>
        <v>#N/A</v>
      </c>
      <c r="EC35" s="234">
        <f t="shared" si="16"/>
        <v>8</v>
      </c>
      <c r="ED35" s="234" t="e">
        <f t="shared" ca="1" si="17"/>
        <v>#N/A</v>
      </c>
      <c r="EE35" s="235" t="e">
        <f t="shared" ca="1" si="18"/>
        <v>#N/A</v>
      </c>
      <c r="EF35" s="234" t="e">
        <f t="shared" ca="1" si="28"/>
        <v>#N/A</v>
      </c>
      <c r="EG35" s="234" t="e">
        <f t="shared" ca="1" si="29"/>
        <v>#N/A</v>
      </c>
      <c r="EH35" s="234" t="e">
        <f t="shared" ca="1" si="34"/>
        <v>#N/A</v>
      </c>
      <c r="EI35" s="234"/>
      <c r="EJ35" s="234"/>
      <c r="EK35" s="153" t="e">
        <f t="shared" ca="1" si="19"/>
        <v>#N/A</v>
      </c>
      <c r="EL35" s="231" t="e">
        <f ca="1">IF(SUM(EL$24:EL34)=EL$22,0,IF(AND($M35&gt;=EL$15,$M35&lt;(EL$16+1)),EL$22/(EL$16-EL$15+1),0))</f>
        <v>#N/A</v>
      </c>
      <c r="EM35" s="153" t="e">
        <f t="shared" ca="1" si="21"/>
        <v>#N/A</v>
      </c>
      <c r="EO35" s="60"/>
      <c r="EP35" s="60"/>
    </row>
    <row r="36" spans="1:146">
      <c r="A36" s="220" t="s">
        <v>113</v>
      </c>
      <c r="B36" s="236">
        <f t="shared" si="23"/>
        <v>9</v>
      </c>
      <c r="C36" s="221">
        <f t="shared" si="26"/>
        <v>43834.333600000013</v>
      </c>
      <c r="D36" s="222" t="e">
        <f ca="1">'Offshore INT'!R25</f>
        <v>#N/A</v>
      </c>
      <c r="E36" s="223" t="e">
        <f t="shared" ca="1" si="0"/>
        <v>#N/A</v>
      </c>
      <c r="F36" s="224"/>
      <c r="G36" s="225">
        <f>IF(G35=1,1,SUM($F$24:F36))</f>
        <v>0</v>
      </c>
      <c r="H36" s="226" t="e">
        <f ca="1">IF(H35=0,0,SUM($I$24:I36))</f>
        <v>#N/A</v>
      </c>
      <c r="I36" s="227" t="e">
        <f t="shared" ca="1" si="1"/>
        <v>#N/A</v>
      </c>
      <c r="J36" s="222">
        <f t="shared" ca="1" si="20"/>
        <v>0</v>
      </c>
      <c r="K36" s="60"/>
      <c r="L36" s="242" t="str">
        <f>A36</f>
        <v>Yr 2</v>
      </c>
      <c r="M36" s="228">
        <f t="shared" si="2"/>
        <v>9</v>
      </c>
      <c r="N36" s="221">
        <f t="shared" si="3"/>
        <v>43834.333600000013</v>
      </c>
      <c r="O36" s="229">
        <f t="shared" si="30"/>
        <v>0</v>
      </c>
      <c r="P36" s="229">
        <f t="shared" si="30"/>
        <v>0</v>
      </c>
      <c r="Q36" s="229">
        <f t="shared" si="30"/>
        <v>0</v>
      </c>
      <c r="R36" s="229">
        <f t="shared" si="30"/>
        <v>0</v>
      </c>
      <c r="S36" s="229">
        <f t="shared" si="30"/>
        <v>0</v>
      </c>
      <c r="T36" s="229">
        <f t="shared" si="30"/>
        <v>0</v>
      </c>
      <c r="U36" s="229">
        <f t="shared" si="30"/>
        <v>0</v>
      </c>
      <c r="V36" s="229">
        <f t="shared" si="30"/>
        <v>0</v>
      </c>
      <c r="W36" s="229">
        <f t="shared" si="30"/>
        <v>0</v>
      </c>
      <c r="X36" s="229">
        <f t="shared" si="30"/>
        <v>0</v>
      </c>
      <c r="Y36" s="229">
        <f t="shared" si="30"/>
        <v>0</v>
      </c>
      <c r="Z36" s="229">
        <f t="shared" si="30"/>
        <v>0</v>
      </c>
      <c r="AA36" s="229">
        <f t="shared" si="31"/>
        <v>0</v>
      </c>
      <c r="AB36" s="229">
        <f t="shared" si="31"/>
        <v>0</v>
      </c>
      <c r="AC36" s="229">
        <f t="shared" si="31"/>
        <v>0</v>
      </c>
      <c r="AD36" s="229">
        <f t="shared" si="31"/>
        <v>0</v>
      </c>
      <c r="AE36" s="229">
        <f t="shared" si="31"/>
        <v>0</v>
      </c>
      <c r="AF36" s="229">
        <f t="shared" si="31"/>
        <v>0</v>
      </c>
      <c r="AG36" s="229">
        <f t="shared" si="31"/>
        <v>0</v>
      </c>
      <c r="AH36" s="229">
        <f t="shared" si="31"/>
        <v>0</v>
      </c>
      <c r="AI36" s="229">
        <f t="shared" si="31"/>
        <v>0</v>
      </c>
      <c r="AJ36" s="229">
        <f t="shared" si="31"/>
        <v>0</v>
      </c>
      <c r="AK36" s="229">
        <f t="shared" si="31"/>
        <v>0</v>
      </c>
      <c r="AL36" s="229">
        <f t="shared" si="31"/>
        <v>0</v>
      </c>
      <c r="AM36" s="229">
        <f t="shared" si="31"/>
        <v>0</v>
      </c>
      <c r="AN36" s="229">
        <f t="shared" si="31"/>
        <v>0</v>
      </c>
      <c r="AO36" s="229">
        <f t="shared" si="31"/>
        <v>0</v>
      </c>
      <c r="AP36" s="229">
        <f t="shared" si="31"/>
        <v>0</v>
      </c>
      <c r="AQ36" s="229">
        <f t="shared" si="31"/>
        <v>0</v>
      </c>
      <c r="AR36" s="229">
        <f t="shared" si="31"/>
        <v>0</v>
      </c>
      <c r="AS36" s="229">
        <f t="shared" si="22"/>
        <v>0</v>
      </c>
      <c r="AT36" s="229">
        <f t="shared" si="22"/>
        <v>0</v>
      </c>
      <c r="AU36" s="229">
        <f t="shared" si="22"/>
        <v>0</v>
      </c>
      <c r="AV36" s="229">
        <f t="shared" si="22"/>
        <v>0</v>
      </c>
      <c r="AW36" s="229">
        <f t="shared" si="22"/>
        <v>0</v>
      </c>
      <c r="AX36" s="229">
        <f t="shared" si="31"/>
        <v>0</v>
      </c>
      <c r="AY36" s="229">
        <f t="shared" si="31"/>
        <v>0</v>
      </c>
      <c r="AZ36" s="229">
        <f t="shared" si="31"/>
        <v>0</v>
      </c>
      <c r="BA36" s="229">
        <f t="shared" si="31"/>
        <v>0</v>
      </c>
      <c r="BB36" s="229">
        <f t="shared" si="31"/>
        <v>0</v>
      </c>
      <c r="BC36" s="229">
        <f t="shared" si="31"/>
        <v>0</v>
      </c>
      <c r="BD36" s="229">
        <f t="shared" si="32"/>
        <v>0</v>
      </c>
      <c r="BE36" s="229">
        <f t="shared" si="32"/>
        <v>0</v>
      </c>
      <c r="BF36" s="229">
        <f t="shared" si="32"/>
        <v>0</v>
      </c>
      <c r="BG36" s="229">
        <f t="shared" si="32"/>
        <v>0</v>
      </c>
      <c r="BH36" s="229">
        <f t="shared" si="32"/>
        <v>0</v>
      </c>
      <c r="BI36" s="229">
        <f t="shared" si="32"/>
        <v>0</v>
      </c>
      <c r="BJ36" s="229">
        <f t="shared" si="32"/>
        <v>0</v>
      </c>
      <c r="BK36" s="229">
        <f t="shared" si="32"/>
        <v>0</v>
      </c>
      <c r="BL36" s="229">
        <f t="shared" si="32"/>
        <v>0</v>
      </c>
      <c r="BM36" s="229">
        <f t="shared" si="32"/>
        <v>0</v>
      </c>
      <c r="BN36" s="229">
        <f t="shared" si="32"/>
        <v>0</v>
      </c>
      <c r="BO36" s="229">
        <f t="shared" si="32"/>
        <v>0</v>
      </c>
      <c r="BP36" s="229">
        <f t="shared" si="32"/>
        <v>0</v>
      </c>
      <c r="BQ36" s="229">
        <f t="shared" si="33"/>
        <v>0</v>
      </c>
      <c r="BR36" s="229">
        <f t="shared" si="33"/>
        <v>0</v>
      </c>
      <c r="BS36" s="229">
        <f t="shared" si="33"/>
        <v>0</v>
      </c>
      <c r="BT36" s="229">
        <f t="shared" si="33"/>
        <v>0</v>
      </c>
      <c r="BU36" s="229">
        <f t="shared" si="33"/>
        <v>0</v>
      </c>
      <c r="BV36" s="229">
        <f t="shared" si="33"/>
        <v>0</v>
      </c>
      <c r="BW36" s="229">
        <f t="shared" si="33"/>
        <v>0</v>
      </c>
      <c r="BX36" s="229">
        <f t="shared" si="33"/>
        <v>0</v>
      </c>
      <c r="BY36" s="229">
        <f t="shared" si="33"/>
        <v>0</v>
      </c>
      <c r="BZ36" s="229">
        <f t="shared" si="33"/>
        <v>0</v>
      </c>
      <c r="CA36" s="229">
        <f t="shared" si="9"/>
        <v>0</v>
      </c>
      <c r="CB36" s="229">
        <f t="shared" si="9"/>
        <v>0</v>
      </c>
      <c r="CC36" s="229">
        <f t="shared" si="33"/>
        <v>0</v>
      </c>
      <c r="CD36" s="229">
        <f t="shared" si="10"/>
        <v>0</v>
      </c>
      <c r="CE36" s="229">
        <f t="shared" si="10"/>
        <v>0</v>
      </c>
      <c r="CF36" s="229">
        <f t="shared" si="10"/>
        <v>0</v>
      </c>
      <c r="CG36" s="229">
        <f t="shared" si="10"/>
        <v>0</v>
      </c>
      <c r="CH36" s="229">
        <f t="shared" si="11"/>
        <v>0</v>
      </c>
      <c r="CI36" s="229">
        <f t="shared" si="11"/>
        <v>0</v>
      </c>
      <c r="CJ36" s="229">
        <f t="shared" si="12"/>
        <v>0</v>
      </c>
      <c r="CK36" s="229">
        <f t="shared" si="11"/>
        <v>0</v>
      </c>
      <c r="CL36" s="229">
        <f t="shared" si="11"/>
        <v>0</v>
      </c>
      <c r="CM36" s="229">
        <f t="shared" si="11"/>
        <v>0</v>
      </c>
      <c r="CN36" s="229">
        <f t="shared" si="11"/>
        <v>0</v>
      </c>
      <c r="CO36" s="229">
        <f t="shared" si="13"/>
        <v>0</v>
      </c>
      <c r="CP36" s="229">
        <f t="shared" si="13"/>
        <v>0</v>
      </c>
      <c r="CQ36" s="229">
        <f t="shared" si="11"/>
        <v>0</v>
      </c>
      <c r="CR36" s="229">
        <f t="shared" si="14"/>
        <v>2.8000000000000003</v>
      </c>
      <c r="CS36" s="229">
        <f t="shared" si="14"/>
        <v>0</v>
      </c>
      <c r="CT36" s="229">
        <f t="shared" si="14"/>
        <v>0</v>
      </c>
      <c r="CU36" s="230"/>
      <c r="CV36" s="243">
        <f>CV22/4</f>
        <v>0</v>
      </c>
      <c r="CW36" s="243">
        <f>CW22/4</f>
        <v>0</v>
      </c>
      <c r="CX36" s="243">
        <f>CX22/4</f>
        <v>0</v>
      </c>
      <c r="CY36" s="243" t="e">
        <f ca="1">CY22/4</f>
        <v>#N/A</v>
      </c>
      <c r="CZ36" s="231"/>
      <c r="DA36" s="243" t="e">
        <f ca="1">DA22/4</f>
        <v>#N/A</v>
      </c>
      <c r="DB36" s="243"/>
      <c r="DC36" s="231"/>
      <c r="DD36" s="231">
        <f>IF(SUM(DD$24:DD35)=DD$22,0,IF(AND($M36&gt;=DD$15,$M36&lt;(DD$16+1)),DD$22/(DD$16-DD$15+1),0))</f>
        <v>0</v>
      </c>
      <c r="DE36" s="231">
        <f>IF(SUM(DE$24:DE35)=DE$22,0,IF(AND($M36&gt;=DE$15,$M36&lt;(DE$16+1)),DE$22/(DE$16-DE$15+1),0))</f>
        <v>0</v>
      </c>
      <c r="DF36" s="231">
        <f>IF(SUM(DF$24:DF35)=DF$22,0,IF(AND($M36&gt;=DF$15,$M36&lt;(DF$16+1)),DF$22/(DF$16-DF$15+1),0))</f>
        <v>0</v>
      </c>
      <c r="DG36" s="231">
        <f>IF(SUM(DG$24:DG35)=DG$22,0,IF(AND($M36&gt;=DG$15,$M36&lt;(DG$16+1)),DG$22/(DG$16-DG$15+1),0))</f>
        <v>0</v>
      </c>
      <c r="DH36" s="231">
        <f t="shared" si="27"/>
        <v>0</v>
      </c>
      <c r="DI36" s="231">
        <f t="shared" si="27"/>
        <v>0</v>
      </c>
      <c r="DJ36" s="231">
        <f t="shared" si="27"/>
        <v>0</v>
      </c>
      <c r="DK36" s="231">
        <f t="shared" si="27"/>
        <v>0</v>
      </c>
      <c r="DL36" s="231">
        <f t="shared" si="27"/>
        <v>0</v>
      </c>
      <c r="DM36" s="231">
        <f t="shared" si="27"/>
        <v>0</v>
      </c>
      <c r="DN36" s="231">
        <f t="shared" si="27"/>
        <v>0</v>
      </c>
      <c r="DO36" s="231">
        <f t="shared" si="27"/>
        <v>0</v>
      </c>
      <c r="DP36" s="231">
        <f t="shared" si="27"/>
        <v>0</v>
      </c>
      <c r="DQ36" s="231">
        <f t="shared" si="27"/>
        <v>0</v>
      </c>
      <c r="DR36" s="231">
        <f t="shared" si="24"/>
        <v>0.24</v>
      </c>
      <c r="DS36" s="231">
        <f t="shared" si="25"/>
        <v>0.29866666666666669</v>
      </c>
      <c r="DT36" s="231">
        <f ca="1">IF(SUM(DT$24:DT35)=DT$22,0,IF(AND($M36&gt;=DT$15,$M36&lt;(DT$16+1)),DT$22/(DT$16-DT$15+1),0))</f>
        <v>0</v>
      </c>
      <c r="DU36" s="231">
        <f ca="1">IF(SUM(DU$24:DU35)=DU$22,0,IF(AND($M36&gt;=DU$15,$M36&lt;(DU$16+1)),DU$22/(DU$16-DU$15+1),0))</f>
        <v>1.81125</v>
      </c>
      <c r="DV36" s="231">
        <f ca="1">IF(SUM(DV$24:DV35)=DV$22,0,IF(AND(M36&gt;=DV$15,M36&lt;(DV$16+1)),DV$22/(DV$16-DV$15+1),0))</f>
        <v>0</v>
      </c>
      <c r="DW36" s="231" t="e">
        <f ca="1">IF(SUM(DW$24:DW35)=DW$22,0,IF(AND($M36&gt;=DW$15,$M36&lt;(DW$16+1)),DW$22/(DW$16-DW$15+1),0))</f>
        <v>#N/A</v>
      </c>
      <c r="DX36" s="231">
        <f ca="1">IF(SUM(DX$24:DX35)=DX$22,0,IF(AND($M36&gt;=DX$15,$M36&lt;(DX$16+1)),DX$22/(DX$16-DX$15+1),0))</f>
        <v>0</v>
      </c>
      <c r="DY36" s="231">
        <f ca="1">IF(SUM(DY$24:DY35)=DY$22,0,IF(AND($M36&gt;=DY$15,$M36&lt;(DY$16+1)),DY$22/(DY$16-DY$15+1),0))</f>
        <v>0</v>
      </c>
      <c r="DZ36" s="231">
        <f ca="1">IF(SUM(DZ$24:DZ35)=DZ$22,0,IF(AND($M36&gt;=DZ$15,$M36&lt;(DZ$16+1)),DZ$22/(DZ$16-DZ$15+1),0))</f>
        <v>0</v>
      </c>
      <c r="EA36" s="231" t="e">
        <f ca="1">IF(SUM(EA$24:EA35)=EA$22,0,IF(AND(M36&gt;=EA$15,M36&lt;(EA$16+1)),EA$22/(EA$16-EA$15+1),0))</f>
        <v>#N/A</v>
      </c>
      <c r="EC36" s="234">
        <f t="shared" si="16"/>
        <v>9</v>
      </c>
      <c r="ED36" s="234" t="e">
        <f t="shared" ca="1" si="17"/>
        <v>#N/A</v>
      </c>
      <c r="EE36" s="235" t="e">
        <f t="shared" ca="1" si="18"/>
        <v>#N/A</v>
      </c>
      <c r="EF36" s="234" t="e">
        <f t="shared" ca="1" si="28"/>
        <v>#N/A</v>
      </c>
      <c r="EG36" s="234" t="e">
        <f t="shared" ca="1" si="29"/>
        <v>#N/A</v>
      </c>
      <c r="EH36" s="234" t="e">
        <f t="shared" ca="1" si="34"/>
        <v>#N/A</v>
      </c>
      <c r="EI36" s="234"/>
      <c r="EJ36" s="234"/>
      <c r="EK36" s="153" t="e">
        <f t="shared" ca="1" si="19"/>
        <v>#N/A</v>
      </c>
      <c r="EL36" s="231" t="e">
        <f ca="1">IF(SUM(EL$24:EL35)=EL$22,0,IF(AND($M36&gt;=EL$15,$M36&lt;(EL$16+1)),EL$22/(EL$16-EL$15+1),0))</f>
        <v>#N/A</v>
      </c>
      <c r="EM36" s="153" t="e">
        <f t="shared" ca="1" si="21"/>
        <v>#N/A</v>
      </c>
      <c r="EO36" s="60"/>
      <c r="EP36" s="60"/>
    </row>
    <row r="37" spans="1:146">
      <c r="A37" s="220"/>
      <c r="B37" s="236">
        <f t="shared" si="23"/>
        <v>10</v>
      </c>
      <c r="C37" s="221">
        <f t="shared" si="26"/>
        <v>43864.750300000014</v>
      </c>
      <c r="D37" s="222" t="e">
        <f ca="1">'Offshore INT'!R26</f>
        <v>#N/A</v>
      </c>
      <c r="E37" s="223" t="e">
        <f t="shared" ca="1" si="0"/>
        <v>#N/A</v>
      </c>
      <c r="F37" s="224"/>
      <c r="G37" s="225">
        <f>IF(G36=1,1,SUM($F$24:F37))</f>
        <v>0</v>
      </c>
      <c r="H37" s="226" t="e">
        <f ca="1">IF(H36=0,0,SUM($I$24:I37))</f>
        <v>#N/A</v>
      </c>
      <c r="I37" s="227" t="e">
        <f t="shared" ca="1" si="1"/>
        <v>#N/A</v>
      </c>
      <c r="J37" s="222">
        <f t="shared" ca="1" si="20"/>
        <v>0</v>
      </c>
      <c r="K37" s="60"/>
      <c r="L37" s="228"/>
      <c r="M37" s="228">
        <f t="shared" si="2"/>
        <v>10</v>
      </c>
      <c r="N37" s="221">
        <f t="shared" si="3"/>
        <v>43864.750300000014</v>
      </c>
      <c r="O37" s="229">
        <f t="shared" si="30"/>
        <v>0</v>
      </c>
      <c r="P37" s="229">
        <f t="shared" si="30"/>
        <v>0</v>
      </c>
      <c r="Q37" s="229">
        <f t="shared" si="30"/>
        <v>0</v>
      </c>
      <c r="R37" s="229">
        <f t="shared" si="30"/>
        <v>0</v>
      </c>
      <c r="S37" s="229">
        <f t="shared" si="30"/>
        <v>0</v>
      </c>
      <c r="T37" s="229">
        <f t="shared" si="30"/>
        <v>0</v>
      </c>
      <c r="U37" s="229">
        <f t="shared" si="30"/>
        <v>0</v>
      </c>
      <c r="V37" s="229">
        <f t="shared" si="30"/>
        <v>0</v>
      </c>
      <c r="W37" s="229">
        <f t="shared" si="30"/>
        <v>0</v>
      </c>
      <c r="X37" s="229">
        <f t="shared" si="30"/>
        <v>0</v>
      </c>
      <c r="Y37" s="229">
        <f t="shared" si="30"/>
        <v>0</v>
      </c>
      <c r="Z37" s="229">
        <f t="shared" si="30"/>
        <v>0</v>
      </c>
      <c r="AA37" s="229">
        <f t="shared" si="31"/>
        <v>0</v>
      </c>
      <c r="AB37" s="229">
        <f t="shared" si="31"/>
        <v>0</v>
      </c>
      <c r="AC37" s="229">
        <f t="shared" si="31"/>
        <v>0</v>
      </c>
      <c r="AD37" s="229">
        <f t="shared" si="31"/>
        <v>0</v>
      </c>
      <c r="AE37" s="229">
        <f t="shared" si="31"/>
        <v>0</v>
      </c>
      <c r="AF37" s="229">
        <f t="shared" si="31"/>
        <v>0</v>
      </c>
      <c r="AG37" s="229">
        <f t="shared" si="31"/>
        <v>0</v>
      </c>
      <c r="AH37" s="229">
        <f t="shared" si="31"/>
        <v>0</v>
      </c>
      <c r="AI37" s="229">
        <f t="shared" si="31"/>
        <v>0</v>
      </c>
      <c r="AJ37" s="229">
        <f t="shared" si="31"/>
        <v>0</v>
      </c>
      <c r="AK37" s="229">
        <f t="shared" si="31"/>
        <v>0</v>
      </c>
      <c r="AL37" s="229">
        <f t="shared" si="31"/>
        <v>0</v>
      </c>
      <c r="AM37" s="229">
        <f t="shared" si="31"/>
        <v>0</v>
      </c>
      <c r="AN37" s="229">
        <f t="shared" si="31"/>
        <v>0</v>
      </c>
      <c r="AO37" s="229">
        <f t="shared" si="31"/>
        <v>0</v>
      </c>
      <c r="AP37" s="229">
        <f t="shared" si="31"/>
        <v>0</v>
      </c>
      <c r="AQ37" s="229">
        <f t="shared" si="31"/>
        <v>0</v>
      </c>
      <c r="AR37" s="229">
        <f t="shared" si="31"/>
        <v>0</v>
      </c>
      <c r="AS37" s="229">
        <f t="shared" si="22"/>
        <v>0</v>
      </c>
      <c r="AT37" s="229">
        <f t="shared" si="22"/>
        <v>0</v>
      </c>
      <c r="AU37" s="229">
        <f t="shared" si="22"/>
        <v>0</v>
      </c>
      <c r="AV37" s="229">
        <f t="shared" si="22"/>
        <v>0</v>
      </c>
      <c r="AW37" s="229">
        <f t="shared" si="22"/>
        <v>0</v>
      </c>
      <c r="AX37" s="229">
        <f t="shared" si="31"/>
        <v>0</v>
      </c>
      <c r="AY37" s="229">
        <f t="shared" si="31"/>
        <v>0</v>
      </c>
      <c r="AZ37" s="229">
        <f t="shared" si="31"/>
        <v>0</v>
      </c>
      <c r="BA37" s="229">
        <f t="shared" si="31"/>
        <v>0</v>
      </c>
      <c r="BB37" s="229">
        <f t="shared" si="31"/>
        <v>0</v>
      </c>
      <c r="BC37" s="229">
        <f t="shared" si="31"/>
        <v>0</v>
      </c>
      <c r="BD37" s="229">
        <f t="shared" si="32"/>
        <v>0</v>
      </c>
      <c r="BE37" s="229">
        <f t="shared" si="32"/>
        <v>0</v>
      </c>
      <c r="BF37" s="229">
        <f t="shared" si="32"/>
        <v>0</v>
      </c>
      <c r="BG37" s="229">
        <f t="shared" si="32"/>
        <v>0</v>
      </c>
      <c r="BH37" s="229">
        <f t="shared" si="32"/>
        <v>0</v>
      </c>
      <c r="BI37" s="229">
        <f t="shared" si="32"/>
        <v>0</v>
      </c>
      <c r="BJ37" s="229">
        <f t="shared" si="32"/>
        <v>0</v>
      </c>
      <c r="BK37" s="229">
        <f t="shared" si="32"/>
        <v>0</v>
      </c>
      <c r="BL37" s="229">
        <f t="shared" si="32"/>
        <v>0</v>
      </c>
      <c r="BM37" s="229">
        <f t="shared" si="32"/>
        <v>0</v>
      </c>
      <c r="BN37" s="229">
        <f t="shared" si="32"/>
        <v>0</v>
      </c>
      <c r="BO37" s="229">
        <f t="shared" si="32"/>
        <v>0</v>
      </c>
      <c r="BP37" s="229">
        <f t="shared" si="32"/>
        <v>0</v>
      </c>
      <c r="BQ37" s="229">
        <f t="shared" si="33"/>
        <v>0</v>
      </c>
      <c r="BR37" s="229">
        <f t="shared" si="33"/>
        <v>0</v>
      </c>
      <c r="BS37" s="229">
        <f t="shared" si="33"/>
        <v>0</v>
      </c>
      <c r="BT37" s="229">
        <f t="shared" si="33"/>
        <v>0</v>
      </c>
      <c r="BU37" s="229">
        <f t="shared" si="33"/>
        <v>0</v>
      </c>
      <c r="BV37" s="229">
        <f t="shared" si="33"/>
        <v>0</v>
      </c>
      <c r="BW37" s="229">
        <f t="shared" si="33"/>
        <v>0</v>
      </c>
      <c r="BX37" s="229">
        <f t="shared" si="33"/>
        <v>0</v>
      </c>
      <c r="BY37" s="229">
        <f t="shared" si="33"/>
        <v>0</v>
      </c>
      <c r="BZ37" s="229">
        <f t="shared" si="33"/>
        <v>0</v>
      </c>
      <c r="CA37" s="229">
        <f t="shared" si="9"/>
        <v>0</v>
      </c>
      <c r="CB37" s="229">
        <f t="shared" si="9"/>
        <v>0</v>
      </c>
      <c r="CC37" s="229">
        <f t="shared" si="33"/>
        <v>0</v>
      </c>
      <c r="CD37" s="229">
        <f t="shared" si="10"/>
        <v>0</v>
      </c>
      <c r="CE37" s="229">
        <f t="shared" si="10"/>
        <v>0</v>
      </c>
      <c r="CF37" s="229">
        <f t="shared" si="10"/>
        <v>0</v>
      </c>
      <c r="CG37" s="229">
        <f t="shared" si="10"/>
        <v>0</v>
      </c>
      <c r="CH37" s="229">
        <f t="shared" si="11"/>
        <v>0</v>
      </c>
      <c r="CI37" s="229">
        <f t="shared" si="11"/>
        <v>0</v>
      </c>
      <c r="CJ37" s="229">
        <f t="shared" si="12"/>
        <v>0</v>
      </c>
      <c r="CK37" s="229">
        <f t="shared" si="11"/>
        <v>0</v>
      </c>
      <c r="CL37" s="229">
        <f t="shared" si="11"/>
        <v>0</v>
      </c>
      <c r="CM37" s="229">
        <f t="shared" si="11"/>
        <v>0</v>
      </c>
      <c r="CN37" s="229">
        <f t="shared" si="11"/>
        <v>0</v>
      </c>
      <c r="CO37" s="229">
        <f t="shared" si="13"/>
        <v>0</v>
      </c>
      <c r="CP37" s="229">
        <f t="shared" si="13"/>
        <v>0</v>
      </c>
      <c r="CQ37" s="229">
        <f t="shared" si="11"/>
        <v>0</v>
      </c>
      <c r="CR37" s="229">
        <f t="shared" si="14"/>
        <v>0</v>
      </c>
      <c r="CS37" s="229">
        <f t="shared" si="14"/>
        <v>0</v>
      </c>
      <c r="CT37" s="229">
        <f t="shared" si="14"/>
        <v>0</v>
      </c>
      <c r="CU37" s="230"/>
      <c r="CV37" s="231"/>
      <c r="CW37" s="231"/>
      <c r="CX37" s="231"/>
      <c r="CY37" s="231"/>
      <c r="CZ37" s="231"/>
      <c r="DA37" s="231"/>
      <c r="DB37" s="231"/>
      <c r="DC37" s="231"/>
      <c r="DD37" s="231">
        <f>IF(SUM(DD$24:DD36)=DD$22,0,IF(AND($M37&gt;=DD$15,$M37&lt;(DD$16+1)),DD$22/(DD$16-DD$15+1),0))</f>
        <v>0</v>
      </c>
      <c r="DE37" s="231">
        <f>IF(SUM(DE$24:DE36)=DE$22,0,IF(AND($M37&gt;=DE$15,$M37&lt;(DE$16+1)),DE$22/(DE$16-DE$15+1),0))</f>
        <v>0</v>
      </c>
      <c r="DF37" s="231">
        <f>IF(SUM(DF$24:DF36)=DF$22,0,IF(AND($M37&gt;=DF$15,$M37&lt;(DF$16+1)),DF$22/(DF$16-DF$15+1),0))</f>
        <v>0</v>
      </c>
      <c r="DG37" s="231">
        <f>IF(SUM(DG$24:DG36)=DG$22,0,IF(AND($M37&gt;=DG$15,$M37&lt;(DG$16+1)),DG$22/(DG$16-DG$15+1),0))</f>
        <v>0</v>
      </c>
      <c r="DH37" s="231">
        <f t="shared" si="27"/>
        <v>0</v>
      </c>
      <c r="DI37" s="231">
        <f t="shared" si="27"/>
        <v>0</v>
      </c>
      <c r="DJ37" s="231">
        <f t="shared" si="27"/>
        <v>0</v>
      </c>
      <c r="DK37" s="231">
        <f t="shared" si="27"/>
        <v>0</v>
      </c>
      <c r="DL37" s="231">
        <f t="shared" si="27"/>
        <v>0</v>
      </c>
      <c r="DM37" s="231">
        <f t="shared" si="27"/>
        <v>0</v>
      </c>
      <c r="DN37" s="231">
        <f t="shared" si="27"/>
        <v>0</v>
      </c>
      <c r="DO37" s="231">
        <f t="shared" si="27"/>
        <v>0</v>
      </c>
      <c r="DP37" s="231">
        <f t="shared" si="27"/>
        <v>0</v>
      </c>
      <c r="DQ37" s="231">
        <f t="shared" si="27"/>
        <v>1.0920000000000003E-2</v>
      </c>
      <c r="DR37" s="231">
        <f t="shared" si="24"/>
        <v>0.24</v>
      </c>
      <c r="DS37" s="231">
        <f t="shared" si="25"/>
        <v>0.29866666666666669</v>
      </c>
      <c r="DT37" s="231">
        <f ca="1">IF(SUM(DT$24:DT36)=DT$22,0,IF(AND($M37&gt;=DT$15,$M37&lt;(DT$16+1)),DT$22/(DT$16-DT$15+1),0))</f>
        <v>0</v>
      </c>
      <c r="DU37" s="231">
        <f ca="1">IF(SUM(DU$24:DU36)=DU$22,0,IF(AND($M37&gt;=DU$15,$M37&lt;(DU$16+1)),DU$22/(DU$16-DU$15+1),0))</f>
        <v>1.81125</v>
      </c>
      <c r="DV37" s="231">
        <f ca="1">IF(SUM(DV$24:DV36)=DV$22,0,IF(AND(M37&gt;=DV$15,M37&lt;(DV$16+1)),DV$22/(DV$16-DV$15+1),0))</f>
        <v>0</v>
      </c>
      <c r="DW37" s="231" t="e">
        <f ca="1">IF(SUM(DW$24:DW36)=DW$22,0,IF(AND($M37&gt;=DW$15,$M37&lt;(DW$16+1)),DW$22/(DW$16-DW$15+1),0))</f>
        <v>#N/A</v>
      </c>
      <c r="DX37" s="231">
        <f ca="1">IF(SUM(DX$24:DX36)=DX$22,0,IF(AND($M37&gt;=DX$15,$M37&lt;(DX$16+1)),DX$22/(DX$16-DX$15+1),0))</f>
        <v>0</v>
      </c>
      <c r="DY37" s="231">
        <f ca="1">IF(SUM(DY$24:DY36)=DY$22,0,IF(AND($M37&gt;=DY$15,$M37&lt;(DY$16+1)),DY$22/(DY$16-DY$15+1),0))</f>
        <v>0</v>
      </c>
      <c r="DZ37" s="231">
        <f ca="1">IF(SUM(DZ$24:DZ36)=DZ$22,0,IF(AND($M37&gt;=DZ$15,$M37&lt;(DZ$16+1)),DZ$22/(DZ$16-DZ$15+1),0))</f>
        <v>0</v>
      </c>
      <c r="EA37" s="231" t="e">
        <f ca="1">IF(SUM(EA$24:EA36)=EA$22,0,IF(AND(M37&gt;=EA$15,M37&lt;(EA$16+1)),EA$22/(EA$16-EA$15+1),0))</f>
        <v>#N/A</v>
      </c>
      <c r="EC37" s="234">
        <f t="shared" si="16"/>
        <v>10</v>
      </c>
      <c r="ED37" s="234" t="e">
        <f t="shared" ca="1" si="17"/>
        <v>#N/A</v>
      </c>
      <c r="EE37" s="235" t="e">
        <f t="shared" ca="1" si="18"/>
        <v>#N/A</v>
      </c>
      <c r="EF37" s="234" t="e">
        <f t="shared" ca="1" si="28"/>
        <v>#N/A</v>
      </c>
      <c r="EG37" s="234" t="e">
        <f t="shared" ca="1" si="29"/>
        <v>#N/A</v>
      </c>
      <c r="EH37" s="234" t="e">
        <f t="shared" ca="1" si="34"/>
        <v>#N/A</v>
      </c>
      <c r="EI37" s="234"/>
      <c r="EJ37" s="234"/>
      <c r="EK37" s="153" t="e">
        <f t="shared" ca="1" si="19"/>
        <v>#N/A</v>
      </c>
      <c r="EL37" s="231" t="e">
        <f ca="1">IF(SUM(EL$24:EL36)=EL$22,0,IF(AND($M37&gt;=EL$15,$M37&lt;(EL$16+1)),EL$22/(EL$16-EL$15+1),0))</f>
        <v>#N/A</v>
      </c>
      <c r="EM37" s="153" t="e">
        <f t="shared" ca="1" si="21"/>
        <v>#N/A</v>
      </c>
      <c r="EO37" s="60"/>
      <c r="EP37" s="60"/>
    </row>
    <row r="38" spans="1:146">
      <c r="A38" s="220"/>
      <c r="B38" s="236">
        <f t="shared" si="23"/>
        <v>11</v>
      </c>
      <c r="C38" s="221">
        <f t="shared" si="26"/>
        <v>43895.167000000016</v>
      </c>
      <c r="D38" s="222" t="e">
        <f ca="1">'Offshore INT'!R27</f>
        <v>#N/A</v>
      </c>
      <c r="E38" s="223" t="e">
        <f t="shared" ca="1" si="0"/>
        <v>#N/A</v>
      </c>
      <c r="F38" s="224"/>
      <c r="G38" s="225">
        <f>IF(G37=1,1,SUM($F$24:F38))</f>
        <v>0</v>
      </c>
      <c r="H38" s="226" t="e">
        <f ca="1">IF(H37=0,0,SUM($I$24:I38))</f>
        <v>#N/A</v>
      </c>
      <c r="I38" s="227" t="e">
        <f t="shared" ca="1" si="1"/>
        <v>#N/A</v>
      </c>
      <c r="J38" s="222">
        <f t="shared" ca="1" si="20"/>
        <v>0</v>
      </c>
      <c r="K38" s="60"/>
      <c r="L38" s="228"/>
      <c r="M38" s="228">
        <f t="shared" si="2"/>
        <v>11</v>
      </c>
      <c r="N38" s="221">
        <f t="shared" si="3"/>
        <v>43895.167000000016</v>
      </c>
      <c r="O38" s="229">
        <f t="shared" si="30"/>
        <v>0</v>
      </c>
      <c r="P38" s="229">
        <f t="shared" si="30"/>
        <v>0</v>
      </c>
      <c r="Q38" s="229">
        <f t="shared" si="30"/>
        <v>0</v>
      </c>
      <c r="R38" s="229">
        <f t="shared" si="30"/>
        <v>0</v>
      </c>
      <c r="S38" s="229">
        <f t="shared" si="30"/>
        <v>0</v>
      </c>
      <c r="T38" s="229">
        <f t="shared" si="30"/>
        <v>0</v>
      </c>
      <c r="U38" s="229">
        <f t="shared" si="30"/>
        <v>0</v>
      </c>
      <c r="V38" s="229">
        <f t="shared" si="30"/>
        <v>0</v>
      </c>
      <c r="W38" s="229">
        <f t="shared" si="30"/>
        <v>0</v>
      </c>
      <c r="X38" s="229">
        <f t="shared" si="30"/>
        <v>0</v>
      </c>
      <c r="Y38" s="229">
        <f t="shared" si="30"/>
        <v>0</v>
      </c>
      <c r="Z38" s="229">
        <f t="shared" si="30"/>
        <v>0</v>
      </c>
      <c r="AA38" s="229">
        <f t="shared" si="31"/>
        <v>0</v>
      </c>
      <c r="AB38" s="229">
        <f t="shared" si="31"/>
        <v>0</v>
      </c>
      <c r="AC38" s="229">
        <f t="shared" si="31"/>
        <v>0</v>
      </c>
      <c r="AD38" s="229">
        <f t="shared" si="31"/>
        <v>0</v>
      </c>
      <c r="AE38" s="229">
        <f t="shared" si="31"/>
        <v>0</v>
      </c>
      <c r="AF38" s="229">
        <f t="shared" si="31"/>
        <v>0</v>
      </c>
      <c r="AG38" s="229">
        <f t="shared" si="31"/>
        <v>0</v>
      </c>
      <c r="AH38" s="229">
        <f t="shared" si="31"/>
        <v>0</v>
      </c>
      <c r="AI38" s="229">
        <f t="shared" si="31"/>
        <v>0</v>
      </c>
      <c r="AJ38" s="229">
        <f t="shared" si="31"/>
        <v>0</v>
      </c>
      <c r="AK38" s="229">
        <f t="shared" si="31"/>
        <v>0</v>
      </c>
      <c r="AL38" s="229">
        <f t="shared" si="31"/>
        <v>0</v>
      </c>
      <c r="AM38" s="229">
        <f t="shared" si="31"/>
        <v>0</v>
      </c>
      <c r="AN38" s="229">
        <f t="shared" si="31"/>
        <v>0</v>
      </c>
      <c r="AO38" s="229">
        <f t="shared" si="31"/>
        <v>0</v>
      </c>
      <c r="AP38" s="229">
        <f t="shared" si="31"/>
        <v>0</v>
      </c>
      <c r="AQ38" s="229">
        <f t="shared" si="31"/>
        <v>0</v>
      </c>
      <c r="AR38" s="229">
        <f t="shared" si="31"/>
        <v>0</v>
      </c>
      <c r="AS38" s="229">
        <f t="shared" si="22"/>
        <v>0</v>
      </c>
      <c r="AT38" s="229">
        <f t="shared" si="22"/>
        <v>0</v>
      </c>
      <c r="AU38" s="229">
        <f t="shared" si="22"/>
        <v>0</v>
      </c>
      <c r="AV38" s="229">
        <f t="shared" si="22"/>
        <v>0</v>
      </c>
      <c r="AW38" s="229">
        <f t="shared" si="22"/>
        <v>0</v>
      </c>
      <c r="AX38" s="229">
        <f t="shared" si="31"/>
        <v>0</v>
      </c>
      <c r="AY38" s="229">
        <f t="shared" si="31"/>
        <v>0</v>
      </c>
      <c r="AZ38" s="229">
        <f t="shared" si="31"/>
        <v>0</v>
      </c>
      <c r="BA38" s="229">
        <f t="shared" si="31"/>
        <v>0</v>
      </c>
      <c r="BB38" s="229">
        <f t="shared" si="31"/>
        <v>0</v>
      </c>
      <c r="BC38" s="229">
        <f t="shared" si="31"/>
        <v>0</v>
      </c>
      <c r="BD38" s="229">
        <f t="shared" si="32"/>
        <v>0</v>
      </c>
      <c r="BE38" s="229">
        <f t="shared" si="32"/>
        <v>0</v>
      </c>
      <c r="BF38" s="229">
        <f t="shared" si="32"/>
        <v>0</v>
      </c>
      <c r="BG38" s="229">
        <f t="shared" si="32"/>
        <v>0</v>
      </c>
      <c r="BH38" s="229">
        <f t="shared" si="32"/>
        <v>0</v>
      </c>
      <c r="BI38" s="229">
        <f t="shared" si="32"/>
        <v>0</v>
      </c>
      <c r="BJ38" s="229">
        <f t="shared" si="32"/>
        <v>0</v>
      </c>
      <c r="BK38" s="229">
        <f t="shared" si="32"/>
        <v>0</v>
      </c>
      <c r="BL38" s="229">
        <f t="shared" si="32"/>
        <v>0</v>
      </c>
      <c r="BM38" s="229">
        <f t="shared" si="32"/>
        <v>0</v>
      </c>
      <c r="BN38" s="229">
        <f t="shared" si="32"/>
        <v>0</v>
      </c>
      <c r="BO38" s="229">
        <f t="shared" si="32"/>
        <v>0</v>
      </c>
      <c r="BP38" s="229">
        <f t="shared" si="32"/>
        <v>0</v>
      </c>
      <c r="BQ38" s="229">
        <f t="shared" si="33"/>
        <v>0</v>
      </c>
      <c r="BR38" s="229">
        <f t="shared" si="33"/>
        <v>0</v>
      </c>
      <c r="BS38" s="229">
        <f t="shared" si="33"/>
        <v>0</v>
      </c>
      <c r="BT38" s="229">
        <f t="shared" si="33"/>
        <v>0</v>
      </c>
      <c r="BU38" s="229">
        <f t="shared" si="33"/>
        <v>0</v>
      </c>
      <c r="BV38" s="229">
        <f t="shared" si="33"/>
        <v>0</v>
      </c>
      <c r="BW38" s="229">
        <f t="shared" si="33"/>
        <v>0</v>
      </c>
      <c r="BX38" s="229">
        <f t="shared" si="33"/>
        <v>0</v>
      </c>
      <c r="BY38" s="229">
        <f t="shared" si="33"/>
        <v>0</v>
      </c>
      <c r="BZ38" s="229">
        <f t="shared" si="33"/>
        <v>0</v>
      </c>
      <c r="CA38" s="229">
        <f t="shared" si="9"/>
        <v>0</v>
      </c>
      <c r="CB38" s="229">
        <f t="shared" si="9"/>
        <v>0</v>
      </c>
      <c r="CC38" s="229">
        <f t="shared" si="33"/>
        <v>0</v>
      </c>
      <c r="CD38" s="229">
        <f t="shared" si="10"/>
        <v>0</v>
      </c>
      <c r="CE38" s="229">
        <f t="shared" si="10"/>
        <v>0</v>
      </c>
      <c r="CF38" s="229">
        <f t="shared" si="10"/>
        <v>0</v>
      </c>
      <c r="CG38" s="229">
        <f t="shared" si="10"/>
        <v>0</v>
      </c>
      <c r="CH38" s="229">
        <f t="shared" si="11"/>
        <v>0</v>
      </c>
      <c r="CI38" s="229">
        <f t="shared" si="11"/>
        <v>0</v>
      </c>
      <c r="CJ38" s="229">
        <f t="shared" si="12"/>
        <v>0</v>
      </c>
      <c r="CK38" s="229">
        <f t="shared" si="11"/>
        <v>0</v>
      </c>
      <c r="CL38" s="229">
        <f t="shared" si="11"/>
        <v>0</v>
      </c>
      <c r="CM38" s="229">
        <f t="shared" si="11"/>
        <v>0</v>
      </c>
      <c r="CN38" s="229">
        <f t="shared" si="11"/>
        <v>0</v>
      </c>
      <c r="CO38" s="229">
        <f t="shared" si="13"/>
        <v>0</v>
      </c>
      <c r="CP38" s="229">
        <f t="shared" si="13"/>
        <v>0</v>
      </c>
      <c r="CQ38" s="229">
        <f t="shared" si="11"/>
        <v>0</v>
      </c>
      <c r="CR38" s="229">
        <f t="shared" si="14"/>
        <v>0</v>
      </c>
      <c r="CS38" s="229">
        <f t="shared" si="14"/>
        <v>0</v>
      </c>
      <c r="CT38" s="229">
        <f t="shared" si="14"/>
        <v>0</v>
      </c>
      <c r="CU38" s="230"/>
      <c r="CV38" s="231"/>
      <c r="CW38" s="231"/>
      <c r="CX38" s="231"/>
      <c r="CY38" s="231"/>
      <c r="CZ38" s="231"/>
      <c r="DA38" s="231"/>
      <c r="DB38" s="231"/>
      <c r="DC38" s="231"/>
      <c r="DD38" s="231">
        <f>IF(SUM(DD$24:DD37)=DD$22,0,IF(AND($M38&gt;=DD$15,$M38&lt;(DD$16+1)),DD$22/(DD$16-DD$15+1),0))</f>
        <v>0</v>
      </c>
      <c r="DE38" s="231">
        <f>IF(SUM(DE$24:DE37)=DE$22,0,IF(AND($M38&gt;=DE$15,$M38&lt;(DE$16+1)),DE$22/(DE$16-DE$15+1),0))</f>
        <v>0</v>
      </c>
      <c r="DF38" s="231">
        <f>IF(SUM(DF$24:DF37)=DF$22,0,IF(AND($M38&gt;=DF$15,$M38&lt;(DF$16+1)),DF$22/(DF$16-DF$15+1),0))</f>
        <v>0</v>
      </c>
      <c r="DG38" s="231">
        <f>IF(SUM(DG$24:DG37)=DG$22,0,IF(AND($M38&gt;=DG$15,$M38&lt;(DG$16+1)),DG$22/(DG$16-DG$15+1),0))</f>
        <v>0</v>
      </c>
      <c r="DH38" s="231">
        <f t="shared" si="27"/>
        <v>0</v>
      </c>
      <c r="DI38" s="231">
        <f t="shared" si="27"/>
        <v>0</v>
      </c>
      <c r="DJ38" s="231">
        <f t="shared" si="27"/>
        <v>0</v>
      </c>
      <c r="DK38" s="231">
        <f t="shared" si="27"/>
        <v>0</v>
      </c>
      <c r="DL38" s="231">
        <f t="shared" si="27"/>
        <v>0</v>
      </c>
      <c r="DM38" s="231">
        <f t="shared" si="27"/>
        <v>0</v>
      </c>
      <c r="DN38" s="231">
        <f t="shared" si="27"/>
        <v>0</v>
      </c>
      <c r="DO38" s="231">
        <f t="shared" si="27"/>
        <v>0</v>
      </c>
      <c r="DP38" s="231">
        <f t="shared" si="27"/>
        <v>0</v>
      </c>
      <c r="DQ38" s="231">
        <f t="shared" si="27"/>
        <v>1.0920000000000003E-2</v>
      </c>
      <c r="DR38" s="231">
        <v>0</v>
      </c>
      <c r="DS38" s="231">
        <f t="shared" si="25"/>
        <v>0.29866666666666669</v>
      </c>
      <c r="DT38" s="231">
        <f ca="1">IF(SUM(DT$24:DT37)=DT$22,0,IF(AND($M38&gt;=DT$15,$M38&lt;(DT$16+1)),DT$22/(DT$16-DT$15+1),0))</f>
        <v>0</v>
      </c>
      <c r="DU38" s="231">
        <f ca="1">IF(SUM(DU$24:DU37)=DU$22,0,IF(AND($M38&gt;=DU$15,$M38&lt;(DU$16+1)),DU$22/(DU$16-DU$15+1),0))</f>
        <v>1.81125</v>
      </c>
      <c r="DV38" s="231">
        <f ca="1">IF(SUM(DV$24:DV37)=DV$22,0,IF(AND(M38&gt;=DV$15,M38&lt;(DV$16+1)),DV$22/(DV$16-DV$15+1),0))</f>
        <v>0</v>
      </c>
      <c r="DW38" s="231" t="e">
        <f ca="1">IF(SUM(DW$24:DW37)=DW$22,0,IF(AND($M38&gt;=DW$15,$M38&lt;(DW$16+1)),DW$22/(DW$16-DW$15+1),0))</f>
        <v>#N/A</v>
      </c>
      <c r="DX38" s="231">
        <f ca="1">IF(SUM(DX$24:DX37)=DX$22,0,IF(AND($M38&gt;=DX$15,$M38&lt;(DX$16+1)),DX$22/(DX$16-DX$15+1),0))</f>
        <v>0</v>
      </c>
      <c r="DY38" s="231">
        <f ca="1">IF(SUM(DY$24:DY37)=DY$22,0,IF(AND($M38&gt;=DY$15,$M38&lt;(DY$16+1)),DY$22/(DY$16-DY$15+1),0))</f>
        <v>0</v>
      </c>
      <c r="DZ38" s="231">
        <f ca="1">IF(SUM(DZ$24:DZ37)=DZ$22,0,IF(AND($M38&gt;=DZ$15,$M38&lt;(DZ$16+1)),DZ$22/(DZ$16-DZ$15+1),0))</f>
        <v>0</v>
      </c>
      <c r="EA38" s="231" t="e">
        <f ca="1">IF(SUM(EA$24:EA37)=EA$22,0,IF(AND(M38&gt;=EA$15,M38&lt;(EA$16+1)),EA$22/(EA$16-EA$15+1),0))</f>
        <v>#N/A</v>
      </c>
      <c r="EC38" s="234">
        <f t="shared" si="16"/>
        <v>11</v>
      </c>
      <c r="ED38" s="234" t="e">
        <f t="shared" ca="1" si="17"/>
        <v>#N/A</v>
      </c>
      <c r="EE38" s="235" t="e">
        <f t="shared" ca="1" si="18"/>
        <v>#N/A</v>
      </c>
      <c r="EF38" s="234" t="e">
        <f t="shared" ca="1" si="28"/>
        <v>#N/A</v>
      </c>
      <c r="EG38" s="234" t="e">
        <f t="shared" ca="1" si="29"/>
        <v>#N/A</v>
      </c>
      <c r="EH38" s="234" t="e">
        <f t="shared" ca="1" si="34"/>
        <v>#N/A</v>
      </c>
      <c r="EI38" s="234"/>
      <c r="EJ38" s="234"/>
      <c r="EK38" s="153" t="e">
        <f t="shared" ca="1" si="19"/>
        <v>#N/A</v>
      </c>
      <c r="EL38" s="231" t="e">
        <f ca="1">IF(SUM(EL$24:EL37)=EL$22,0,IF(AND($M38&gt;=EL$15,$M38&lt;(EL$16+1)),EL$22/(EL$16-EL$15+1),0))</f>
        <v>#N/A</v>
      </c>
      <c r="EM38" s="153" t="e">
        <f t="shared" ca="1" si="21"/>
        <v>#N/A</v>
      </c>
      <c r="EO38" s="60"/>
      <c r="EP38" s="60"/>
    </row>
    <row r="39" spans="1:146">
      <c r="A39" s="220"/>
      <c r="B39" s="236">
        <f t="shared" si="23"/>
        <v>12</v>
      </c>
      <c r="C39" s="221">
        <f t="shared" si="26"/>
        <v>43925.583700000017</v>
      </c>
      <c r="D39" s="222" t="e">
        <f ca="1">'Offshore INT'!R28</f>
        <v>#N/A</v>
      </c>
      <c r="E39" s="223" t="e">
        <f t="shared" ca="1" si="0"/>
        <v>#N/A</v>
      </c>
      <c r="F39" s="224"/>
      <c r="G39" s="225">
        <f>IF(G38=1,1,SUM($F$24:F39))</f>
        <v>0</v>
      </c>
      <c r="H39" s="226" t="e">
        <f ca="1">IF(H38=0,0,SUM($I$24:I39))</f>
        <v>#N/A</v>
      </c>
      <c r="I39" s="227" t="e">
        <f t="shared" ca="1" si="1"/>
        <v>#N/A</v>
      </c>
      <c r="J39" s="222">
        <f t="shared" ca="1" si="20"/>
        <v>0</v>
      </c>
      <c r="K39" s="60"/>
      <c r="L39" s="228"/>
      <c r="M39" s="228">
        <f t="shared" si="2"/>
        <v>12</v>
      </c>
      <c r="N39" s="221">
        <f t="shared" si="3"/>
        <v>43925.583700000017</v>
      </c>
      <c r="O39" s="229">
        <f t="shared" si="30"/>
        <v>0</v>
      </c>
      <c r="P39" s="229">
        <f t="shared" si="30"/>
        <v>0</v>
      </c>
      <c r="Q39" s="229">
        <f t="shared" si="30"/>
        <v>0</v>
      </c>
      <c r="R39" s="229">
        <f t="shared" si="30"/>
        <v>0</v>
      </c>
      <c r="S39" s="229">
        <f t="shared" si="30"/>
        <v>0</v>
      </c>
      <c r="T39" s="229">
        <f t="shared" si="30"/>
        <v>0</v>
      </c>
      <c r="U39" s="229">
        <f t="shared" si="30"/>
        <v>0</v>
      </c>
      <c r="V39" s="229">
        <f t="shared" si="30"/>
        <v>0</v>
      </c>
      <c r="W39" s="229">
        <f t="shared" si="30"/>
        <v>0</v>
      </c>
      <c r="X39" s="229">
        <f t="shared" si="30"/>
        <v>0</v>
      </c>
      <c r="Y39" s="229">
        <f t="shared" si="30"/>
        <v>0</v>
      </c>
      <c r="Z39" s="229">
        <f t="shared" si="30"/>
        <v>0</v>
      </c>
      <c r="AA39" s="229">
        <f t="shared" si="31"/>
        <v>0</v>
      </c>
      <c r="AB39" s="229">
        <f t="shared" si="31"/>
        <v>0</v>
      </c>
      <c r="AC39" s="229">
        <f t="shared" si="31"/>
        <v>0</v>
      </c>
      <c r="AD39" s="229">
        <f t="shared" si="31"/>
        <v>0</v>
      </c>
      <c r="AE39" s="229">
        <f t="shared" si="31"/>
        <v>0</v>
      </c>
      <c r="AF39" s="229">
        <f t="shared" si="31"/>
        <v>0</v>
      </c>
      <c r="AG39" s="229">
        <f t="shared" si="31"/>
        <v>0</v>
      </c>
      <c r="AH39" s="229">
        <f t="shared" si="31"/>
        <v>0</v>
      </c>
      <c r="AI39" s="229">
        <f t="shared" si="31"/>
        <v>0</v>
      </c>
      <c r="AJ39" s="229">
        <f t="shared" si="31"/>
        <v>0</v>
      </c>
      <c r="AK39" s="229">
        <f t="shared" si="31"/>
        <v>0</v>
      </c>
      <c r="AL39" s="229">
        <f t="shared" si="31"/>
        <v>0</v>
      </c>
      <c r="AM39" s="229">
        <f t="shared" si="31"/>
        <v>0</v>
      </c>
      <c r="AN39" s="229">
        <f t="shared" si="31"/>
        <v>0</v>
      </c>
      <c r="AO39" s="229">
        <f t="shared" si="31"/>
        <v>0</v>
      </c>
      <c r="AP39" s="229">
        <f t="shared" si="31"/>
        <v>0</v>
      </c>
      <c r="AQ39" s="229">
        <f t="shared" si="31"/>
        <v>0</v>
      </c>
      <c r="AR39" s="229">
        <f t="shared" si="31"/>
        <v>0</v>
      </c>
      <c r="AS39" s="229">
        <f t="shared" si="22"/>
        <v>0</v>
      </c>
      <c r="AT39" s="229">
        <f t="shared" si="22"/>
        <v>0</v>
      </c>
      <c r="AU39" s="229">
        <f t="shared" si="22"/>
        <v>0</v>
      </c>
      <c r="AV39" s="229">
        <f t="shared" si="22"/>
        <v>0</v>
      </c>
      <c r="AW39" s="229">
        <f t="shared" si="22"/>
        <v>0</v>
      </c>
      <c r="AX39" s="229">
        <f t="shared" si="31"/>
        <v>0</v>
      </c>
      <c r="AY39" s="229">
        <f t="shared" si="31"/>
        <v>0</v>
      </c>
      <c r="AZ39" s="229">
        <f t="shared" si="31"/>
        <v>0</v>
      </c>
      <c r="BA39" s="229">
        <f t="shared" si="31"/>
        <v>0</v>
      </c>
      <c r="BB39" s="229">
        <f t="shared" si="31"/>
        <v>0</v>
      </c>
      <c r="BC39" s="229">
        <f t="shared" si="31"/>
        <v>0</v>
      </c>
      <c r="BD39" s="229">
        <f t="shared" si="32"/>
        <v>0</v>
      </c>
      <c r="BE39" s="229">
        <f t="shared" si="32"/>
        <v>0</v>
      </c>
      <c r="BF39" s="229">
        <f t="shared" si="32"/>
        <v>0</v>
      </c>
      <c r="BG39" s="229">
        <f t="shared" si="32"/>
        <v>0</v>
      </c>
      <c r="BH39" s="229">
        <f t="shared" si="32"/>
        <v>0</v>
      </c>
      <c r="BI39" s="229">
        <f t="shared" si="32"/>
        <v>0</v>
      </c>
      <c r="BJ39" s="229">
        <f t="shared" si="32"/>
        <v>0</v>
      </c>
      <c r="BK39" s="229">
        <f t="shared" si="32"/>
        <v>0</v>
      </c>
      <c r="BL39" s="229">
        <f t="shared" si="32"/>
        <v>0</v>
      </c>
      <c r="BM39" s="229">
        <f t="shared" si="32"/>
        <v>0</v>
      </c>
      <c r="BN39" s="229">
        <f t="shared" si="32"/>
        <v>0</v>
      </c>
      <c r="BO39" s="229">
        <f t="shared" si="32"/>
        <v>0</v>
      </c>
      <c r="BP39" s="229">
        <f t="shared" si="32"/>
        <v>0</v>
      </c>
      <c r="BQ39" s="229">
        <f t="shared" si="33"/>
        <v>0</v>
      </c>
      <c r="BR39" s="229">
        <f t="shared" si="33"/>
        <v>0</v>
      </c>
      <c r="BS39" s="229">
        <f t="shared" si="33"/>
        <v>0</v>
      </c>
      <c r="BT39" s="229">
        <f t="shared" si="33"/>
        <v>0</v>
      </c>
      <c r="BU39" s="229">
        <f t="shared" si="33"/>
        <v>0</v>
      </c>
      <c r="BV39" s="229">
        <f t="shared" si="33"/>
        <v>0</v>
      </c>
      <c r="BW39" s="229">
        <f t="shared" si="33"/>
        <v>0</v>
      </c>
      <c r="BX39" s="229">
        <f t="shared" si="33"/>
        <v>0</v>
      </c>
      <c r="BY39" s="229">
        <f t="shared" si="33"/>
        <v>0</v>
      </c>
      <c r="BZ39" s="229">
        <f t="shared" si="33"/>
        <v>0</v>
      </c>
      <c r="CA39" s="229">
        <f t="shared" si="9"/>
        <v>0</v>
      </c>
      <c r="CB39" s="229">
        <f t="shared" si="9"/>
        <v>0</v>
      </c>
      <c r="CC39" s="229">
        <f t="shared" si="33"/>
        <v>0</v>
      </c>
      <c r="CD39" s="229">
        <f t="shared" si="10"/>
        <v>0</v>
      </c>
      <c r="CE39" s="229">
        <f t="shared" si="10"/>
        <v>0</v>
      </c>
      <c r="CF39" s="229">
        <f t="shared" si="10"/>
        <v>0</v>
      </c>
      <c r="CG39" s="229">
        <f t="shared" si="10"/>
        <v>0</v>
      </c>
      <c r="CH39" s="229">
        <f t="shared" si="11"/>
        <v>0</v>
      </c>
      <c r="CI39" s="229">
        <f t="shared" si="11"/>
        <v>0</v>
      </c>
      <c r="CJ39" s="229">
        <f t="shared" si="12"/>
        <v>0</v>
      </c>
      <c r="CK39" s="229">
        <f t="shared" si="11"/>
        <v>0</v>
      </c>
      <c r="CL39" s="229">
        <f t="shared" si="11"/>
        <v>0</v>
      </c>
      <c r="CM39" s="229">
        <f t="shared" si="11"/>
        <v>0</v>
      </c>
      <c r="CN39" s="229">
        <f t="shared" si="11"/>
        <v>0</v>
      </c>
      <c r="CO39" s="229">
        <f t="shared" si="13"/>
        <v>0</v>
      </c>
      <c r="CP39" s="229">
        <f t="shared" si="13"/>
        <v>0</v>
      </c>
      <c r="CQ39" s="229">
        <f t="shared" si="11"/>
        <v>0</v>
      </c>
      <c r="CR39" s="229">
        <f t="shared" si="14"/>
        <v>0</v>
      </c>
      <c r="CS39" s="229">
        <f t="shared" si="14"/>
        <v>0</v>
      </c>
      <c r="CT39" s="229">
        <f t="shared" si="14"/>
        <v>0</v>
      </c>
      <c r="CU39" s="230"/>
      <c r="CV39" s="231"/>
      <c r="CW39" s="231"/>
      <c r="CX39" s="231"/>
      <c r="CY39" s="231"/>
      <c r="CZ39" s="231"/>
      <c r="DA39" s="231"/>
      <c r="DB39" s="231"/>
      <c r="DC39" s="231"/>
      <c r="DD39" s="231">
        <f>IF(SUM(DD$24:DD38)=DD$22,0,IF(AND($M39&gt;=DD$15,$M39&lt;(DD$16+1)),DD$22/(DD$16-DD$15+1),0))</f>
        <v>0</v>
      </c>
      <c r="DE39" s="231">
        <f>IF(SUM(DE$24:DE38)=DE$22,0,IF(AND($M39&gt;=DE$15,$M39&lt;(DE$16+1)),DE$22/(DE$16-DE$15+1),0))</f>
        <v>0</v>
      </c>
      <c r="DF39" s="231">
        <f>IF(SUM(DF$24:DF38)=DF$22,0,IF(AND($M39&gt;=DF$15,$M39&lt;(DF$16+1)),DF$22/(DF$16-DF$15+1),0))</f>
        <v>0</v>
      </c>
      <c r="DG39" s="231">
        <f>IF(SUM(DG$24:DG38)=DG$22,0,IF(AND($M39&gt;=DG$15,$M39&lt;(DG$16+1)),DG$22/(DG$16-DG$15+1),0))</f>
        <v>0</v>
      </c>
      <c r="DH39" s="231">
        <f t="shared" si="27"/>
        <v>0</v>
      </c>
      <c r="DI39" s="231">
        <f t="shared" si="27"/>
        <v>0</v>
      </c>
      <c r="DJ39" s="231">
        <f t="shared" si="27"/>
        <v>0</v>
      </c>
      <c r="DK39" s="231">
        <f t="shared" si="27"/>
        <v>0</v>
      </c>
      <c r="DL39" s="231">
        <f t="shared" si="27"/>
        <v>0</v>
      </c>
      <c r="DM39" s="231">
        <f t="shared" si="27"/>
        <v>0.28599999999999998</v>
      </c>
      <c r="DN39" s="231">
        <f t="shared" si="27"/>
        <v>0</v>
      </c>
      <c r="DO39" s="231">
        <f t="shared" si="27"/>
        <v>0</v>
      </c>
      <c r="DP39" s="231">
        <f t="shared" si="27"/>
        <v>0</v>
      </c>
      <c r="DQ39" s="231">
        <f t="shared" si="27"/>
        <v>1.0920000000000003E-2</v>
      </c>
      <c r="DR39" s="231">
        <f t="shared" si="27"/>
        <v>0</v>
      </c>
      <c r="DS39" s="231">
        <f t="shared" si="25"/>
        <v>0.29866666666666669</v>
      </c>
      <c r="DT39" s="231">
        <f ca="1">IF(SUM(DT$24:DT38)=DT$22,0,IF(AND($M39&gt;=DT$15,$M39&lt;(DT$16+1)),DT$22/(DT$16-DT$15+1),0))</f>
        <v>0</v>
      </c>
      <c r="DU39" s="231">
        <f ca="1">IF(SUM(DU$24:DU38)=DU$22,0,IF(AND($M39&gt;=DU$15,$M39&lt;(DU$16+1)),DU$22/(DU$16-DU$15+1),0))</f>
        <v>1.81125</v>
      </c>
      <c r="DV39" s="231">
        <f ca="1">IF(SUM(DV$24:DV38)=DV$22,0,IF(AND(M39&gt;=DV$15,M39&lt;(DV$16+1)),DV$22/(DV$16-DV$15+1),0))</f>
        <v>0</v>
      </c>
      <c r="DW39" s="231" t="e">
        <f ca="1">IF(SUM(DW$24:DW38)=DW$22,0,IF(AND($M39&gt;=DW$15,$M39&lt;(DW$16+1)),DW$22/(DW$16-DW$15+1),0))</f>
        <v>#N/A</v>
      </c>
      <c r="DX39" s="231">
        <f ca="1">IF(SUM(DX$24:DX38)=DX$22,0,IF(AND($M39&gt;=DX$15,$M39&lt;(DX$16+1)),DX$22/(DX$16-DX$15+1),0))</f>
        <v>0</v>
      </c>
      <c r="DY39" s="231">
        <f ca="1">IF(SUM(DY$24:DY38)=DY$22,0,IF(AND($M39&gt;=DY$15,$M39&lt;(DY$16+1)),DY$22/(DY$16-DY$15+1),0))</f>
        <v>0</v>
      </c>
      <c r="DZ39" s="231">
        <f ca="1">IF(SUM(DZ$24:DZ38)=DZ$22,0,IF(AND($M39&gt;=DZ$15,$M39&lt;(DZ$16+1)),DZ$22/(DZ$16-DZ$15+1),0))</f>
        <v>0</v>
      </c>
      <c r="EA39" s="231" t="e">
        <f ca="1">IF(SUM(EA$24:EA38)=EA$22,0,IF(AND(M39&gt;=EA$15,M39&lt;(EA$16+1)),EA$22/(EA$16-EA$15+1),0))</f>
        <v>#N/A</v>
      </c>
      <c r="EC39" s="234">
        <f t="shared" si="16"/>
        <v>12</v>
      </c>
      <c r="ED39" s="234" t="e">
        <f t="shared" ca="1" si="17"/>
        <v>#N/A</v>
      </c>
      <c r="EE39" s="235" t="e">
        <f t="shared" ca="1" si="18"/>
        <v>#N/A</v>
      </c>
      <c r="EF39" s="234" t="e">
        <f t="shared" ca="1" si="28"/>
        <v>#N/A</v>
      </c>
      <c r="EG39" s="234" t="e">
        <f t="shared" ca="1" si="29"/>
        <v>#N/A</v>
      </c>
      <c r="EH39" s="234" t="e">
        <f t="shared" ca="1" si="34"/>
        <v>#N/A</v>
      </c>
      <c r="EI39" s="234"/>
      <c r="EJ39" s="234"/>
      <c r="EK39" s="153" t="e">
        <f t="shared" ca="1" si="19"/>
        <v>#N/A</v>
      </c>
      <c r="EL39" s="231" t="e">
        <f ca="1">IF(SUM(EL$24:EL38)=EL$22,0,IF(AND($M39&gt;=EL$15,$M39&lt;(EL$16+1)),EL$22/(EL$16-EL$15+1),0))</f>
        <v>#N/A</v>
      </c>
      <c r="EM39" s="153" t="e">
        <f t="shared" ca="1" si="21"/>
        <v>#N/A</v>
      </c>
      <c r="EO39" s="60"/>
      <c r="EP39" s="60"/>
    </row>
    <row r="40" spans="1:146">
      <c r="A40" s="220"/>
      <c r="B40" s="236">
        <f t="shared" si="23"/>
        <v>13</v>
      </c>
      <c r="C40" s="221">
        <f t="shared" si="26"/>
        <v>43956.000400000019</v>
      </c>
      <c r="D40" s="222" t="e">
        <f ca="1">'Offshore INT'!R29</f>
        <v>#N/A</v>
      </c>
      <c r="E40" s="223" t="e">
        <f t="shared" ca="1" si="0"/>
        <v>#N/A</v>
      </c>
      <c r="F40" s="224"/>
      <c r="G40" s="225">
        <f>IF(G39=1,1,SUM($F$24:F40))</f>
        <v>0</v>
      </c>
      <c r="H40" s="226" t="e">
        <f ca="1">IF(H39=0,0,SUM($I$24:I40))</f>
        <v>#N/A</v>
      </c>
      <c r="I40" s="227" t="e">
        <f t="shared" ca="1" si="1"/>
        <v>#N/A</v>
      </c>
      <c r="J40" s="222">
        <f t="shared" ca="1" si="20"/>
        <v>0</v>
      </c>
      <c r="K40" s="60"/>
      <c r="L40" s="228"/>
      <c r="M40" s="228">
        <f t="shared" si="2"/>
        <v>13</v>
      </c>
      <c r="N40" s="221">
        <f t="shared" si="3"/>
        <v>43956.000400000019</v>
      </c>
      <c r="O40" s="229">
        <f t="shared" si="30"/>
        <v>0</v>
      </c>
      <c r="P40" s="229">
        <f t="shared" si="30"/>
        <v>0</v>
      </c>
      <c r="Q40" s="229">
        <f t="shared" si="30"/>
        <v>0</v>
      </c>
      <c r="R40" s="229">
        <f t="shared" si="30"/>
        <v>0</v>
      </c>
      <c r="S40" s="229">
        <f t="shared" si="30"/>
        <v>0</v>
      </c>
      <c r="T40" s="229">
        <f t="shared" si="30"/>
        <v>0</v>
      </c>
      <c r="U40" s="229">
        <f t="shared" si="30"/>
        <v>0</v>
      </c>
      <c r="V40" s="229">
        <f t="shared" si="30"/>
        <v>0</v>
      </c>
      <c r="W40" s="229">
        <f t="shared" si="30"/>
        <v>0</v>
      </c>
      <c r="X40" s="229">
        <f t="shared" si="30"/>
        <v>0</v>
      </c>
      <c r="Y40" s="229">
        <f t="shared" si="30"/>
        <v>0</v>
      </c>
      <c r="Z40" s="229">
        <f t="shared" si="30"/>
        <v>0</v>
      </c>
      <c r="AA40" s="229">
        <f t="shared" si="31"/>
        <v>0</v>
      </c>
      <c r="AB40" s="229">
        <f t="shared" si="31"/>
        <v>0</v>
      </c>
      <c r="AC40" s="229">
        <f t="shared" si="31"/>
        <v>0</v>
      </c>
      <c r="AD40" s="229">
        <f t="shared" si="31"/>
        <v>0</v>
      </c>
      <c r="AE40" s="229">
        <f t="shared" si="31"/>
        <v>0</v>
      </c>
      <c r="AF40" s="229">
        <f t="shared" si="31"/>
        <v>0</v>
      </c>
      <c r="AG40" s="229">
        <f t="shared" si="31"/>
        <v>0</v>
      </c>
      <c r="AH40" s="229">
        <f t="shared" si="31"/>
        <v>0</v>
      </c>
      <c r="AI40" s="229">
        <f t="shared" si="31"/>
        <v>0</v>
      </c>
      <c r="AJ40" s="229">
        <f t="shared" si="31"/>
        <v>0</v>
      </c>
      <c r="AK40" s="229">
        <f t="shared" si="31"/>
        <v>0</v>
      </c>
      <c r="AL40" s="229">
        <f t="shared" si="31"/>
        <v>0</v>
      </c>
      <c r="AM40" s="229">
        <f t="shared" si="31"/>
        <v>0</v>
      </c>
      <c r="AN40" s="229">
        <f t="shared" si="31"/>
        <v>0</v>
      </c>
      <c r="AO40" s="229">
        <f t="shared" ref="AM40:AO43" si="35">IF($M40=AO$13,AO$22*AO$3,IF($M40=AO$14,AO$22*AO$4,IF($M40=AO$15,AO$22*AO$5,IF($M40=AO$16,AO$22*AO$6,IF($M40=AO$17,AO$22*AO$7,IF($M40=AO$18,AO$22*AO$8,IF($M40=AO$19,AO$22*AO$9,IF($M40=AO$20,AO$22*AO$10,0))))))))</f>
        <v>0</v>
      </c>
      <c r="AP40" s="229">
        <f t="shared" si="31"/>
        <v>0</v>
      </c>
      <c r="AQ40" s="229">
        <f t="shared" si="31"/>
        <v>0</v>
      </c>
      <c r="AR40" s="229">
        <f t="shared" si="31"/>
        <v>0</v>
      </c>
      <c r="AS40" s="229">
        <f t="shared" si="22"/>
        <v>0</v>
      </c>
      <c r="AT40" s="229">
        <f t="shared" si="22"/>
        <v>0</v>
      </c>
      <c r="AU40" s="229">
        <f t="shared" si="22"/>
        <v>0</v>
      </c>
      <c r="AV40" s="229">
        <f t="shared" si="22"/>
        <v>0</v>
      </c>
      <c r="AW40" s="229">
        <f t="shared" si="22"/>
        <v>0</v>
      </c>
      <c r="AX40" s="229">
        <f t="shared" si="31"/>
        <v>0</v>
      </c>
      <c r="AY40" s="229">
        <f t="shared" si="31"/>
        <v>0</v>
      </c>
      <c r="AZ40" s="229">
        <f t="shared" si="31"/>
        <v>0</v>
      </c>
      <c r="BA40" s="229">
        <f t="shared" si="31"/>
        <v>0</v>
      </c>
      <c r="BB40" s="229">
        <f t="shared" si="31"/>
        <v>0</v>
      </c>
      <c r="BC40" s="229">
        <f t="shared" si="31"/>
        <v>0</v>
      </c>
      <c r="BD40" s="229">
        <f t="shared" si="32"/>
        <v>0</v>
      </c>
      <c r="BE40" s="229">
        <f t="shared" si="32"/>
        <v>0</v>
      </c>
      <c r="BF40" s="229">
        <f t="shared" si="32"/>
        <v>0</v>
      </c>
      <c r="BG40" s="229">
        <f t="shared" si="32"/>
        <v>0</v>
      </c>
      <c r="BH40" s="229">
        <f t="shared" si="32"/>
        <v>0</v>
      </c>
      <c r="BI40" s="229">
        <f t="shared" si="32"/>
        <v>0</v>
      </c>
      <c r="BJ40" s="229">
        <f t="shared" si="32"/>
        <v>0</v>
      </c>
      <c r="BK40" s="229">
        <f t="shared" si="32"/>
        <v>0</v>
      </c>
      <c r="BL40" s="229">
        <f t="shared" si="32"/>
        <v>0</v>
      </c>
      <c r="BM40" s="229">
        <f t="shared" si="32"/>
        <v>0</v>
      </c>
      <c r="BN40" s="229">
        <f t="shared" si="32"/>
        <v>0</v>
      </c>
      <c r="BO40" s="229">
        <f t="shared" si="32"/>
        <v>0</v>
      </c>
      <c r="BP40" s="229">
        <f t="shared" si="32"/>
        <v>0</v>
      </c>
      <c r="BQ40" s="229">
        <f t="shared" si="33"/>
        <v>0</v>
      </c>
      <c r="BR40" s="229">
        <f t="shared" si="33"/>
        <v>0</v>
      </c>
      <c r="BS40" s="229">
        <f t="shared" si="33"/>
        <v>0</v>
      </c>
      <c r="BT40" s="229">
        <f t="shared" si="33"/>
        <v>0</v>
      </c>
      <c r="BU40" s="229">
        <f t="shared" si="33"/>
        <v>0</v>
      </c>
      <c r="BV40" s="229">
        <f t="shared" si="33"/>
        <v>0</v>
      </c>
      <c r="BW40" s="229">
        <f t="shared" si="33"/>
        <v>0</v>
      </c>
      <c r="BX40" s="229">
        <f t="shared" si="33"/>
        <v>0</v>
      </c>
      <c r="BY40" s="229">
        <f t="shared" si="33"/>
        <v>0</v>
      </c>
      <c r="BZ40" s="229">
        <f t="shared" si="33"/>
        <v>0</v>
      </c>
      <c r="CA40" s="229">
        <f t="shared" si="9"/>
        <v>0</v>
      </c>
      <c r="CB40" s="229">
        <f t="shared" si="9"/>
        <v>0</v>
      </c>
      <c r="CC40" s="229">
        <f t="shared" si="33"/>
        <v>0</v>
      </c>
      <c r="CD40" s="229">
        <f t="shared" si="10"/>
        <v>0</v>
      </c>
      <c r="CE40" s="229">
        <f t="shared" si="10"/>
        <v>0</v>
      </c>
      <c r="CF40" s="229">
        <f t="shared" si="10"/>
        <v>0</v>
      </c>
      <c r="CG40" s="229">
        <f t="shared" si="10"/>
        <v>0</v>
      </c>
      <c r="CH40" s="229">
        <f t="shared" si="11"/>
        <v>0</v>
      </c>
      <c r="CI40" s="229">
        <f t="shared" si="11"/>
        <v>0</v>
      </c>
      <c r="CJ40" s="229">
        <f t="shared" si="12"/>
        <v>0</v>
      </c>
      <c r="CK40" s="229">
        <f t="shared" si="11"/>
        <v>0</v>
      </c>
      <c r="CL40" s="229">
        <f t="shared" si="11"/>
        <v>0</v>
      </c>
      <c r="CM40" s="229">
        <f t="shared" si="11"/>
        <v>0</v>
      </c>
      <c r="CN40" s="229">
        <f t="shared" si="11"/>
        <v>0</v>
      </c>
      <c r="CO40" s="229">
        <f t="shared" ref="CO40:CP47" si="36">IF($M40=CO$13,CO$22*CO$3,IF($M40=CO$14,CO$22*CO$4,IF($M40=CO$15,CO$22*CO$5,IF($M40=CO$16,CO$22*CO$6,IF($M40=CO$17,CO$22*CO$7,IF($M40=CO$18,CO$22*CO$8,IF($M40=CO$19,CO$22*CO$9,IF($M40=CO$20,CO$22*CO$10,0))))))))</f>
        <v>0</v>
      </c>
      <c r="CP40" s="229">
        <f t="shared" si="36"/>
        <v>0</v>
      </c>
      <c r="CQ40" s="229">
        <f t="shared" si="11"/>
        <v>0</v>
      </c>
      <c r="CR40" s="229">
        <f t="shared" si="14"/>
        <v>0</v>
      </c>
      <c r="CS40" s="229">
        <f t="shared" si="14"/>
        <v>0</v>
      </c>
      <c r="CT40" s="229">
        <f t="shared" si="14"/>
        <v>0</v>
      </c>
      <c r="CU40" s="230"/>
      <c r="CV40" s="231"/>
      <c r="CW40" s="231"/>
      <c r="CX40" s="231"/>
      <c r="CY40" s="231"/>
      <c r="CZ40" s="231"/>
      <c r="DA40" s="231"/>
      <c r="DC40" s="231"/>
      <c r="DD40" s="231">
        <f>IF(SUM(DD$24:DD39)=DD$22,0,IF(AND($M40&gt;=DD$15,$M40&lt;(DD$16+1)),DD$22/(DD$16-DD$15+1),0))</f>
        <v>0</v>
      </c>
      <c r="DE40" s="231">
        <f>IF(SUM(DE$24:DE39)=DE$22,0,IF(AND($M40&gt;=DE$15,$M40&lt;(DE$16+1)),DE$22/(DE$16-DE$15+1),0))</f>
        <v>0</v>
      </c>
      <c r="DF40" s="231">
        <f>IF(SUM(DF$24:DF39)=DF$22,0,IF(AND($M40&gt;=DF$15,$M40&lt;(DF$16+1)),DF$22/(DF$16-DF$15+1),0))</f>
        <v>0</v>
      </c>
      <c r="DG40" s="231">
        <f>IF(SUM(DG$24:DG39)=DG$22,0,IF(AND($M40&gt;=DG$15,$M40&lt;(DG$16+1)),DG$22/(DG$16-DG$15+1),0))</f>
        <v>0</v>
      </c>
      <c r="DH40" s="231">
        <f t="shared" si="27"/>
        <v>0</v>
      </c>
      <c r="DI40" s="231">
        <f t="shared" si="27"/>
        <v>0</v>
      </c>
      <c r="DJ40" s="231">
        <f t="shared" si="27"/>
        <v>0</v>
      </c>
      <c r="DK40" s="231">
        <f t="shared" si="27"/>
        <v>0</v>
      </c>
      <c r="DL40" s="231">
        <f t="shared" si="27"/>
        <v>0</v>
      </c>
      <c r="DM40" s="231">
        <f t="shared" si="27"/>
        <v>0.28599999999999998</v>
      </c>
      <c r="DN40" s="231">
        <f t="shared" si="27"/>
        <v>0</v>
      </c>
      <c r="DO40" s="231">
        <f t="shared" si="27"/>
        <v>0</v>
      </c>
      <c r="DP40" s="231">
        <f t="shared" si="27"/>
        <v>0</v>
      </c>
      <c r="DQ40" s="231">
        <f t="shared" si="27"/>
        <v>1.0920000000000003E-2</v>
      </c>
      <c r="DR40" s="231">
        <f t="shared" si="27"/>
        <v>0</v>
      </c>
      <c r="DS40" s="231">
        <f t="shared" si="25"/>
        <v>0.29866666666666669</v>
      </c>
      <c r="DT40" s="231">
        <f ca="1">IF(SUM(DT$24:DT39)=DT$22,0,IF(AND($M40&gt;=DT$15,$M40&lt;(DT$16+1)),DT$22/(DT$16-DT$15+1),0))</f>
        <v>0</v>
      </c>
      <c r="DU40" s="231">
        <f ca="1">IF(SUM(DU$24:DU39)=DU$22,0,IF(AND($M40&gt;=DU$15,$M40&lt;(DU$16+1)),DU$22/(DU$16-DU$15+1),0))</f>
        <v>1.81125</v>
      </c>
      <c r="DV40" s="231">
        <f ca="1">IF(SUM(DV$24:DV39)=DV$22,0,IF(AND(M40&gt;=DV$15,M40&lt;(DV$16+1)),DV$22/(DV$16-DV$15+1),0))</f>
        <v>0</v>
      </c>
      <c r="DW40" s="231" t="e">
        <f ca="1">IF(SUM(DW$24:DW39)=DW$22,0,IF(AND($M40&gt;=DW$15,$M40&lt;(DW$16+1)),DW$22/(DW$16-DW$15+1),0))</f>
        <v>#N/A</v>
      </c>
      <c r="DX40" s="231">
        <f ca="1">IF(SUM(DX$24:DX39)=DX$22,0,IF(AND($M40&gt;=DX$15,$M40&lt;(DX$16+1)),DX$22/(DX$16-DX$15+1),0))</f>
        <v>0</v>
      </c>
      <c r="DY40" s="231">
        <f ca="1">IF(SUM(DY$24:DY39)=DY$22,0,IF(AND($M40&gt;=DY$15,$M40&lt;(DY$16+1)),DY$22/(DY$16-DY$15+1),0))</f>
        <v>0</v>
      </c>
      <c r="DZ40" s="231">
        <f ca="1">IF(SUM(DZ$24:DZ39)=DZ$22,0,IF(AND($M40&gt;=DZ$15,$M40&lt;(DZ$16+1)),DZ$22/(DZ$16-DZ$15+1),0))</f>
        <v>0</v>
      </c>
      <c r="EA40" s="231" t="e">
        <f ca="1">IF(SUM(EA$24:EA39)=EA$22,0,IF(AND(M40&gt;=EA$15,M40&lt;(EA$16+1)),EA$22/(EA$16-EA$15+1),0))</f>
        <v>#N/A</v>
      </c>
      <c r="EB40" s="234"/>
      <c r="EC40" s="234">
        <f t="shared" si="16"/>
        <v>13</v>
      </c>
      <c r="ED40" s="234" t="e">
        <f t="shared" ca="1" si="17"/>
        <v>#N/A</v>
      </c>
      <c r="EE40" s="235" t="e">
        <f t="shared" ca="1" si="18"/>
        <v>#N/A</v>
      </c>
      <c r="EF40" s="234" t="e">
        <f t="shared" ca="1" si="28"/>
        <v>#N/A</v>
      </c>
      <c r="EG40" s="234" t="e">
        <f t="shared" ca="1" si="29"/>
        <v>#N/A</v>
      </c>
      <c r="EH40" s="234" t="e">
        <f t="shared" ca="1" si="34"/>
        <v>#N/A</v>
      </c>
      <c r="EI40" s="234"/>
      <c r="EJ40" s="234"/>
      <c r="EK40" s="153" t="e">
        <f t="shared" ca="1" si="19"/>
        <v>#N/A</v>
      </c>
      <c r="EL40" s="231" t="e">
        <f ca="1">IF(SUM(EL$24:EL39)=EL$22,0,IF(AND($M40&gt;=EL$15,$M40&lt;(EL$16+1)),EL$22/(EL$16-EL$15+1),0))</f>
        <v>#N/A</v>
      </c>
      <c r="EM40" s="153" t="e">
        <f t="shared" ca="1" si="21"/>
        <v>#N/A</v>
      </c>
      <c r="EO40" s="60"/>
      <c r="EP40" s="60"/>
    </row>
    <row r="41" spans="1:146">
      <c r="A41" s="220"/>
      <c r="B41" s="236">
        <f t="shared" si="23"/>
        <v>14</v>
      </c>
      <c r="C41" s="221">
        <f t="shared" si="26"/>
        <v>43986.417100000021</v>
      </c>
      <c r="D41" s="222" t="e">
        <f ca="1">'Offshore INT'!R30</f>
        <v>#N/A</v>
      </c>
      <c r="E41" s="223" t="e">
        <f t="shared" ca="1" si="0"/>
        <v>#N/A</v>
      </c>
      <c r="F41" s="224"/>
      <c r="G41" s="225">
        <f>IF(G40=1,1,SUM($F$24:F41))</f>
        <v>0</v>
      </c>
      <c r="H41" s="226" t="e">
        <f ca="1">IF(H40=0,0,SUM($I$24:I41))</f>
        <v>#N/A</v>
      </c>
      <c r="I41" s="227" t="e">
        <f t="shared" ca="1" si="1"/>
        <v>#N/A</v>
      </c>
      <c r="J41" s="222">
        <f t="shared" ca="1" si="20"/>
        <v>0</v>
      </c>
      <c r="K41" s="60"/>
      <c r="L41" s="228"/>
      <c r="M41" s="228">
        <f t="shared" si="2"/>
        <v>14</v>
      </c>
      <c r="N41" s="221">
        <f t="shared" si="3"/>
        <v>43986.417100000021</v>
      </c>
      <c r="O41" s="229">
        <f t="shared" si="30"/>
        <v>0</v>
      </c>
      <c r="P41" s="229">
        <f t="shared" si="30"/>
        <v>0</v>
      </c>
      <c r="Q41" s="229">
        <f t="shared" si="30"/>
        <v>0</v>
      </c>
      <c r="R41" s="229">
        <f t="shared" si="30"/>
        <v>0</v>
      </c>
      <c r="S41" s="229">
        <f t="shared" si="30"/>
        <v>0</v>
      </c>
      <c r="T41" s="229">
        <f t="shared" si="30"/>
        <v>0</v>
      </c>
      <c r="U41" s="229">
        <f t="shared" si="30"/>
        <v>0</v>
      </c>
      <c r="V41" s="229">
        <f t="shared" si="30"/>
        <v>0</v>
      </c>
      <c r="W41" s="229">
        <f t="shared" si="30"/>
        <v>0</v>
      </c>
      <c r="X41" s="229">
        <f t="shared" si="30"/>
        <v>0</v>
      </c>
      <c r="Y41" s="229">
        <f t="shared" si="30"/>
        <v>0</v>
      </c>
      <c r="Z41" s="229">
        <f t="shared" si="30"/>
        <v>0</v>
      </c>
      <c r="AA41" s="229">
        <f t="shared" si="31"/>
        <v>0</v>
      </c>
      <c r="AB41" s="229">
        <f t="shared" si="31"/>
        <v>0</v>
      </c>
      <c r="AC41" s="229">
        <f t="shared" si="31"/>
        <v>0</v>
      </c>
      <c r="AD41" s="229">
        <f t="shared" si="31"/>
        <v>0</v>
      </c>
      <c r="AE41" s="229">
        <f t="shared" si="31"/>
        <v>0</v>
      </c>
      <c r="AF41" s="229">
        <f t="shared" si="31"/>
        <v>0</v>
      </c>
      <c r="AG41" s="229">
        <f t="shared" si="31"/>
        <v>0</v>
      </c>
      <c r="AH41" s="229">
        <f t="shared" si="31"/>
        <v>0</v>
      </c>
      <c r="AI41" s="229">
        <f t="shared" si="31"/>
        <v>0</v>
      </c>
      <c r="AJ41" s="229">
        <f t="shared" si="31"/>
        <v>0</v>
      </c>
      <c r="AK41" s="229">
        <f t="shared" si="31"/>
        <v>0</v>
      </c>
      <c r="AL41" s="229">
        <f t="shared" si="31"/>
        <v>0</v>
      </c>
      <c r="AM41" s="229">
        <f t="shared" si="35"/>
        <v>0</v>
      </c>
      <c r="AN41" s="229">
        <f t="shared" si="35"/>
        <v>0</v>
      </c>
      <c r="AO41" s="229">
        <f t="shared" si="35"/>
        <v>0</v>
      </c>
      <c r="AP41" s="229">
        <f t="shared" si="31"/>
        <v>0</v>
      </c>
      <c r="AQ41" s="229">
        <f t="shared" si="31"/>
        <v>0</v>
      </c>
      <c r="AR41" s="229">
        <f t="shared" si="31"/>
        <v>0</v>
      </c>
      <c r="AS41" s="229">
        <f t="shared" si="22"/>
        <v>0</v>
      </c>
      <c r="AT41" s="229">
        <f t="shared" si="22"/>
        <v>0</v>
      </c>
      <c r="AU41" s="229">
        <f t="shared" si="22"/>
        <v>0</v>
      </c>
      <c r="AV41" s="229">
        <f t="shared" si="22"/>
        <v>0</v>
      </c>
      <c r="AW41" s="229">
        <f t="shared" si="22"/>
        <v>0</v>
      </c>
      <c r="AX41" s="229">
        <f t="shared" si="31"/>
        <v>0</v>
      </c>
      <c r="AY41" s="229">
        <f t="shared" si="31"/>
        <v>0</v>
      </c>
      <c r="AZ41" s="229">
        <f t="shared" si="31"/>
        <v>0</v>
      </c>
      <c r="BA41" s="229">
        <f t="shared" si="31"/>
        <v>0</v>
      </c>
      <c r="BB41" s="229">
        <f t="shared" si="31"/>
        <v>0</v>
      </c>
      <c r="BC41" s="229">
        <f t="shared" si="31"/>
        <v>0</v>
      </c>
      <c r="BD41" s="229">
        <f t="shared" si="32"/>
        <v>0</v>
      </c>
      <c r="BE41" s="229">
        <f t="shared" si="32"/>
        <v>0</v>
      </c>
      <c r="BF41" s="229">
        <f t="shared" si="32"/>
        <v>0</v>
      </c>
      <c r="BG41" s="229">
        <f t="shared" si="32"/>
        <v>0</v>
      </c>
      <c r="BH41" s="229">
        <f t="shared" si="32"/>
        <v>0</v>
      </c>
      <c r="BI41" s="229">
        <f t="shared" si="32"/>
        <v>0</v>
      </c>
      <c r="BJ41" s="229">
        <f t="shared" si="32"/>
        <v>0</v>
      </c>
      <c r="BK41" s="229">
        <f t="shared" si="32"/>
        <v>0</v>
      </c>
      <c r="BL41" s="229">
        <f t="shared" si="32"/>
        <v>0</v>
      </c>
      <c r="BM41" s="229">
        <f t="shared" si="32"/>
        <v>0</v>
      </c>
      <c r="BN41" s="229">
        <f t="shared" si="32"/>
        <v>0</v>
      </c>
      <c r="BO41" s="229">
        <f t="shared" si="32"/>
        <v>0</v>
      </c>
      <c r="BP41" s="229">
        <f t="shared" si="32"/>
        <v>0</v>
      </c>
      <c r="BQ41" s="229">
        <f t="shared" si="33"/>
        <v>0</v>
      </c>
      <c r="BR41" s="229">
        <f t="shared" si="33"/>
        <v>0</v>
      </c>
      <c r="BS41" s="229">
        <f t="shared" si="33"/>
        <v>0</v>
      </c>
      <c r="BT41" s="229">
        <f t="shared" si="33"/>
        <v>0</v>
      </c>
      <c r="BU41" s="229">
        <f t="shared" si="33"/>
        <v>0</v>
      </c>
      <c r="BV41" s="229">
        <f t="shared" si="33"/>
        <v>0</v>
      </c>
      <c r="BW41" s="229">
        <f t="shared" si="33"/>
        <v>0</v>
      </c>
      <c r="BX41" s="229">
        <f t="shared" si="33"/>
        <v>0</v>
      </c>
      <c r="BY41" s="229">
        <f t="shared" si="33"/>
        <v>0</v>
      </c>
      <c r="BZ41" s="229">
        <f t="shared" si="33"/>
        <v>0</v>
      </c>
      <c r="CA41" s="229">
        <f t="shared" si="9"/>
        <v>0</v>
      </c>
      <c r="CB41" s="229">
        <f t="shared" si="9"/>
        <v>0</v>
      </c>
      <c r="CC41" s="229">
        <f t="shared" si="33"/>
        <v>0</v>
      </c>
      <c r="CD41" s="229">
        <f t="shared" si="10"/>
        <v>0</v>
      </c>
      <c r="CE41" s="229">
        <f t="shared" si="10"/>
        <v>0</v>
      </c>
      <c r="CF41" s="229">
        <f t="shared" si="10"/>
        <v>0</v>
      </c>
      <c r="CG41" s="229">
        <f t="shared" si="10"/>
        <v>0</v>
      </c>
      <c r="CH41" s="229">
        <f t="shared" si="11"/>
        <v>0</v>
      </c>
      <c r="CI41" s="229">
        <f t="shared" si="11"/>
        <v>0</v>
      </c>
      <c r="CJ41" s="229">
        <f t="shared" si="12"/>
        <v>0</v>
      </c>
      <c r="CK41" s="229">
        <f t="shared" si="11"/>
        <v>0</v>
      </c>
      <c r="CL41" s="229">
        <f t="shared" si="11"/>
        <v>0</v>
      </c>
      <c r="CM41" s="229">
        <f t="shared" si="11"/>
        <v>0</v>
      </c>
      <c r="CN41" s="229">
        <f t="shared" si="11"/>
        <v>0</v>
      </c>
      <c r="CO41" s="229">
        <f t="shared" si="36"/>
        <v>0</v>
      </c>
      <c r="CP41" s="229">
        <f t="shared" si="36"/>
        <v>0</v>
      </c>
      <c r="CQ41" s="229">
        <f t="shared" si="11"/>
        <v>0</v>
      </c>
      <c r="CR41" s="229">
        <f t="shared" si="14"/>
        <v>0</v>
      </c>
      <c r="CS41" s="229">
        <f t="shared" si="14"/>
        <v>0</v>
      </c>
      <c r="CT41" s="229">
        <f t="shared" si="14"/>
        <v>0</v>
      </c>
      <c r="CU41" s="230"/>
      <c r="CV41" s="231"/>
      <c r="CW41" s="231"/>
      <c r="CX41" s="231"/>
      <c r="CY41" s="231"/>
      <c r="CZ41" s="231"/>
      <c r="DA41" s="231"/>
      <c r="DB41" s="231"/>
      <c r="DC41" s="231"/>
      <c r="DD41" s="231">
        <f>IF(SUM(DD$24:DD40)=DD$22,0,IF(AND($M41&gt;=DD$15,$M41&lt;(DD$16+1)),DD$22/(DD$16-DD$15+1),0))</f>
        <v>0</v>
      </c>
      <c r="DE41" s="231">
        <f>IF(SUM(DE$24:DE40)=DE$22,0,IF(AND($M41&gt;=DE$15,$M41&lt;(DE$16+1)),DE$22/(DE$16-DE$15+1),0))</f>
        <v>0</v>
      </c>
      <c r="DF41" s="231">
        <f>IF(SUM(DF$24:DF40)=DF$22,0,IF(AND($M41&gt;=DF$15,$M41&lt;(DF$16+1)),DF$22/(DF$16-DF$15+1),0))</f>
        <v>0</v>
      </c>
      <c r="DG41" s="231">
        <f>IF(SUM(DG$24:DG40)=DG$22,0,IF(AND($M41&gt;=DG$15,$M41&lt;(DG$16+1)),DG$22/(DG$16-DG$15+1),0))</f>
        <v>0</v>
      </c>
      <c r="DH41" s="231">
        <f t="shared" si="27"/>
        <v>0</v>
      </c>
      <c r="DI41" s="231">
        <f t="shared" si="27"/>
        <v>0</v>
      </c>
      <c r="DJ41" s="231">
        <f t="shared" si="27"/>
        <v>0</v>
      </c>
      <c r="DK41" s="231">
        <f t="shared" si="27"/>
        <v>0</v>
      </c>
      <c r="DL41" s="231">
        <f t="shared" si="27"/>
        <v>0</v>
      </c>
      <c r="DM41" s="231">
        <f t="shared" si="27"/>
        <v>0.28599999999999998</v>
      </c>
      <c r="DN41" s="231">
        <f t="shared" si="27"/>
        <v>0</v>
      </c>
      <c r="DO41" s="231">
        <f t="shared" si="27"/>
        <v>0</v>
      </c>
      <c r="DP41" s="231">
        <f t="shared" si="27"/>
        <v>0</v>
      </c>
      <c r="DQ41" s="231">
        <f t="shared" si="27"/>
        <v>1.0920000000000003E-2</v>
      </c>
      <c r="DR41" s="231">
        <f t="shared" si="27"/>
        <v>0</v>
      </c>
      <c r="DS41" s="231">
        <f t="shared" si="25"/>
        <v>0.29866666666666669</v>
      </c>
      <c r="DT41" s="231">
        <f ca="1">IF(SUM(DT$24:DT40)=DT$22,0,IF(AND($M41&gt;=DT$15,$M41&lt;(DT$16+1)),DT$22/(DT$16-DT$15+1),0))</f>
        <v>0</v>
      </c>
      <c r="DU41" s="231">
        <f ca="1">IF(SUM(DU$24:DU40)=DU$22,0,IF(AND($M41&gt;=DU$15,$M41&lt;(DU$16+1)),DU$22/(DU$16-DU$15+1),0))</f>
        <v>1.81125</v>
      </c>
      <c r="DV41" s="231">
        <f ca="1">IF(SUM(DV$24:DV40)=DV$22,0,IF(AND(M41&gt;=DV$15,M41&lt;(DV$16+1)),DV$22/(DV$16-DV$15+1),0))</f>
        <v>0</v>
      </c>
      <c r="DW41" s="231" t="e">
        <f ca="1">IF(SUM(DW$24:DW40)=DW$22,0,IF(AND($M41&gt;=DW$15,$M41&lt;(DW$16+1)),DW$22/(DW$16-DW$15+1),0))</f>
        <v>#N/A</v>
      </c>
      <c r="DX41" s="231">
        <f ca="1">IF(SUM(DX$24:DX40)=DX$22,0,IF(AND($M41&gt;=DX$15,$M41&lt;(DX$16+1)),DX$22/(DX$16-DX$15+1),0))</f>
        <v>0</v>
      </c>
      <c r="DY41" s="231">
        <f ca="1">IF(SUM(DY$24:DY40)=DY$22,0,IF(AND($M41&gt;=DY$15,$M41&lt;(DY$16+1)),DY$22/(DY$16-DY$15+1),0))</f>
        <v>0</v>
      </c>
      <c r="DZ41" s="231">
        <f ca="1">IF(SUM(DZ$24:DZ40)=DZ$22,0,IF(AND($M41&gt;=DZ$15,$M41&lt;(DZ$16+1)),DZ$22/(DZ$16-DZ$15+1),0))</f>
        <v>0</v>
      </c>
      <c r="EA41" s="231" t="e">
        <f ca="1">IF(SUM(EA$24:EA40)=EA$22,0,IF(AND(M41&gt;=EA$15,M41&lt;(EA$16+1)),EA$22/(EA$16-EA$15+1),0))</f>
        <v>#N/A</v>
      </c>
      <c r="EC41" s="234">
        <f t="shared" si="16"/>
        <v>14</v>
      </c>
      <c r="ED41" s="234" t="e">
        <f t="shared" ca="1" si="17"/>
        <v>#N/A</v>
      </c>
      <c r="EE41" s="235" t="e">
        <f t="shared" ca="1" si="18"/>
        <v>#N/A</v>
      </c>
      <c r="EF41" s="234" t="e">
        <f t="shared" ca="1" si="28"/>
        <v>#N/A</v>
      </c>
      <c r="EG41" s="234" t="e">
        <f t="shared" ca="1" si="29"/>
        <v>#N/A</v>
      </c>
      <c r="EH41" s="234" t="e">
        <f t="shared" ca="1" si="34"/>
        <v>#N/A</v>
      </c>
      <c r="EI41" s="234"/>
      <c r="EJ41" s="234"/>
      <c r="EK41" s="153" t="e">
        <f t="shared" ca="1" si="19"/>
        <v>#N/A</v>
      </c>
      <c r="EL41" s="231" t="e">
        <f ca="1">IF(SUM(EL$24:EL40)=EL$22,0,IF(AND($M41&gt;=EL$15,$M41&lt;(EL$16+1)),EL$22/(EL$16-EL$15+1),0))</f>
        <v>#N/A</v>
      </c>
      <c r="EM41" s="153" t="e">
        <f t="shared" ca="1" si="21"/>
        <v>#N/A</v>
      </c>
      <c r="EO41" s="60"/>
      <c r="EP41" s="60"/>
    </row>
    <row r="42" spans="1:146">
      <c r="A42" s="220"/>
      <c r="B42" s="236">
        <f t="shared" si="23"/>
        <v>15</v>
      </c>
      <c r="C42" s="221">
        <f t="shared" si="26"/>
        <v>44016.833800000022</v>
      </c>
      <c r="D42" s="222" t="e">
        <f ca="1">'Offshore INT'!R31</f>
        <v>#N/A</v>
      </c>
      <c r="E42" s="223" t="e">
        <f t="shared" ca="1" si="0"/>
        <v>#N/A</v>
      </c>
      <c r="F42" s="224"/>
      <c r="G42" s="225">
        <f>IF(G41=1,1,SUM($F$24:F42))</f>
        <v>0</v>
      </c>
      <c r="H42" s="226" t="e">
        <f ca="1">IF(H41=0,0,SUM($I$24:I42))</f>
        <v>#N/A</v>
      </c>
      <c r="I42" s="227" t="e">
        <f t="shared" ca="1" si="1"/>
        <v>#N/A</v>
      </c>
      <c r="J42" s="222">
        <f t="shared" ca="1" si="20"/>
        <v>0</v>
      </c>
      <c r="K42" s="60"/>
      <c r="L42" s="228"/>
      <c r="M42" s="228">
        <f t="shared" si="2"/>
        <v>15</v>
      </c>
      <c r="N42" s="221">
        <f t="shared" si="3"/>
        <v>44016.833800000022</v>
      </c>
      <c r="O42" s="229">
        <f t="shared" si="30"/>
        <v>0</v>
      </c>
      <c r="P42" s="229">
        <f t="shared" si="30"/>
        <v>0</v>
      </c>
      <c r="Q42" s="229">
        <f t="shared" si="30"/>
        <v>0</v>
      </c>
      <c r="R42" s="229">
        <f t="shared" si="30"/>
        <v>0</v>
      </c>
      <c r="S42" s="229">
        <f t="shared" si="30"/>
        <v>0</v>
      </c>
      <c r="T42" s="229">
        <f t="shared" si="30"/>
        <v>0</v>
      </c>
      <c r="U42" s="229">
        <f t="shared" si="30"/>
        <v>0</v>
      </c>
      <c r="V42" s="229">
        <f t="shared" si="30"/>
        <v>0</v>
      </c>
      <c r="W42" s="229">
        <f t="shared" si="30"/>
        <v>0</v>
      </c>
      <c r="X42" s="229">
        <f t="shared" si="30"/>
        <v>0</v>
      </c>
      <c r="Y42" s="229">
        <f t="shared" si="30"/>
        <v>0</v>
      </c>
      <c r="Z42" s="229">
        <f t="shared" si="30"/>
        <v>0</v>
      </c>
      <c r="AA42" s="229">
        <f t="shared" si="31"/>
        <v>0</v>
      </c>
      <c r="AB42" s="229">
        <f t="shared" si="31"/>
        <v>0</v>
      </c>
      <c r="AC42" s="229">
        <f t="shared" si="31"/>
        <v>0</v>
      </c>
      <c r="AD42" s="229">
        <f t="shared" si="31"/>
        <v>0</v>
      </c>
      <c r="AE42" s="229">
        <f t="shared" si="31"/>
        <v>0</v>
      </c>
      <c r="AF42" s="229">
        <f t="shared" si="31"/>
        <v>0</v>
      </c>
      <c r="AG42" s="229">
        <f t="shared" si="31"/>
        <v>0</v>
      </c>
      <c r="AH42" s="229">
        <f t="shared" si="31"/>
        <v>0</v>
      </c>
      <c r="AI42" s="229">
        <f t="shared" si="31"/>
        <v>0</v>
      </c>
      <c r="AJ42" s="229">
        <f t="shared" si="31"/>
        <v>0</v>
      </c>
      <c r="AK42" s="229">
        <f t="shared" si="31"/>
        <v>0</v>
      </c>
      <c r="AL42" s="229">
        <f t="shared" si="31"/>
        <v>0</v>
      </c>
      <c r="AM42" s="229">
        <f t="shared" si="35"/>
        <v>0</v>
      </c>
      <c r="AN42" s="229">
        <f t="shared" si="35"/>
        <v>0</v>
      </c>
      <c r="AO42" s="229">
        <f t="shared" si="35"/>
        <v>0</v>
      </c>
      <c r="AP42" s="229">
        <f t="shared" si="31"/>
        <v>0</v>
      </c>
      <c r="AQ42" s="229">
        <f t="shared" si="31"/>
        <v>0</v>
      </c>
      <c r="AR42" s="229">
        <f t="shared" si="31"/>
        <v>0</v>
      </c>
      <c r="AS42" s="229">
        <f t="shared" si="22"/>
        <v>0</v>
      </c>
      <c r="AT42" s="229">
        <f t="shared" si="22"/>
        <v>0</v>
      </c>
      <c r="AU42" s="229">
        <f t="shared" si="22"/>
        <v>0</v>
      </c>
      <c r="AV42" s="229">
        <f t="shared" si="22"/>
        <v>0</v>
      </c>
      <c r="AW42" s="229">
        <f t="shared" si="22"/>
        <v>0</v>
      </c>
      <c r="AX42" s="229">
        <f t="shared" si="31"/>
        <v>0</v>
      </c>
      <c r="AY42" s="229">
        <f t="shared" si="31"/>
        <v>0</v>
      </c>
      <c r="AZ42" s="229">
        <f t="shared" si="31"/>
        <v>0</v>
      </c>
      <c r="BA42" s="229">
        <f t="shared" si="31"/>
        <v>0</v>
      </c>
      <c r="BB42" s="229">
        <f t="shared" si="31"/>
        <v>0</v>
      </c>
      <c r="BC42" s="229">
        <f t="shared" si="31"/>
        <v>0</v>
      </c>
      <c r="BD42" s="229">
        <f t="shared" si="32"/>
        <v>0</v>
      </c>
      <c r="BE42" s="229">
        <f t="shared" si="32"/>
        <v>0</v>
      </c>
      <c r="BF42" s="229">
        <f t="shared" si="32"/>
        <v>0</v>
      </c>
      <c r="BG42" s="229">
        <f t="shared" si="32"/>
        <v>0</v>
      </c>
      <c r="BH42" s="229">
        <f t="shared" si="32"/>
        <v>0</v>
      </c>
      <c r="BI42" s="229">
        <f t="shared" si="32"/>
        <v>0</v>
      </c>
      <c r="BJ42" s="229">
        <f t="shared" si="32"/>
        <v>0</v>
      </c>
      <c r="BK42" s="229">
        <f t="shared" si="32"/>
        <v>0</v>
      </c>
      <c r="BL42" s="229">
        <f t="shared" si="32"/>
        <v>0</v>
      </c>
      <c r="BM42" s="229">
        <f t="shared" si="32"/>
        <v>0</v>
      </c>
      <c r="BN42" s="229">
        <f t="shared" si="32"/>
        <v>0</v>
      </c>
      <c r="BO42" s="229">
        <f t="shared" si="32"/>
        <v>0</v>
      </c>
      <c r="BP42" s="229">
        <f t="shared" si="32"/>
        <v>0</v>
      </c>
      <c r="BQ42" s="229">
        <f t="shared" si="33"/>
        <v>0</v>
      </c>
      <c r="BR42" s="229">
        <f t="shared" si="33"/>
        <v>0</v>
      </c>
      <c r="BS42" s="229">
        <f t="shared" si="33"/>
        <v>0</v>
      </c>
      <c r="BT42" s="229">
        <f t="shared" si="33"/>
        <v>0</v>
      </c>
      <c r="BU42" s="229">
        <f t="shared" si="33"/>
        <v>0</v>
      </c>
      <c r="BV42" s="229">
        <f t="shared" si="33"/>
        <v>0</v>
      </c>
      <c r="BW42" s="229">
        <f t="shared" si="33"/>
        <v>0</v>
      </c>
      <c r="BX42" s="229">
        <f t="shared" si="33"/>
        <v>0</v>
      </c>
      <c r="BY42" s="229">
        <f t="shared" si="33"/>
        <v>0</v>
      </c>
      <c r="BZ42" s="229">
        <f t="shared" si="33"/>
        <v>0</v>
      </c>
      <c r="CA42" s="229">
        <f t="shared" si="9"/>
        <v>0</v>
      </c>
      <c r="CB42" s="229">
        <f t="shared" si="9"/>
        <v>0</v>
      </c>
      <c r="CC42" s="229">
        <f t="shared" si="33"/>
        <v>0</v>
      </c>
      <c r="CD42" s="229">
        <f t="shared" si="10"/>
        <v>0</v>
      </c>
      <c r="CE42" s="229">
        <f t="shared" si="10"/>
        <v>0</v>
      </c>
      <c r="CF42" s="229">
        <f t="shared" si="10"/>
        <v>0</v>
      </c>
      <c r="CG42" s="229">
        <f t="shared" si="10"/>
        <v>0</v>
      </c>
      <c r="CH42" s="229">
        <f t="shared" si="11"/>
        <v>0</v>
      </c>
      <c r="CI42" s="229">
        <f t="shared" si="11"/>
        <v>0</v>
      </c>
      <c r="CJ42" s="229">
        <f t="shared" si="12"/>
        <v>0</v>
      </c>
      <c r="CK42" s="229">
        <f t="shared" si="11"/>
        <v>0</v>
      </c>
      <c r="CL42" s="229">
        <f t="shared" si="11"/>
        <v>0</v>
      </c>
      <c r="CM42" s="229">
        <f t="shared" si="11"/>
        <v>0</v>
      </c>
      <c r="CN42" s="229">
        <f t="shared" si="11"/>
        <v>0</v>
      </c>
      <c r="CO42" s="229">
        <f t="shared" si="36"/>
        <v>0</v>
      </c>
      <c r="CP42" s="229">
        <f t="shared" si="36"/>
        <v>0</v>
      </c>
      <c r="CQ42" s="229">
        <f t="shared" si="11"/>
        <v>0</v>
      </c>
      <c r="CR42" s="229">
        <f t="shared" si="14"/>
        <v>0</v>
      </c>
      <c r="CS42" s="229">
        <f t="shared" si="14"/>
        <v>0</v>
      </c>
      <c r="CT42" s="229">
        <f t="shared" si="14"/>
        <v>0</v>
      </c>
      <c r="CU42" s="230"/>
      <c r="CV42" s="231"/>
      <c r="CW42" s="231"/>
      <c r="CX42" s="231"/>
      <c r="CY42" s="231"/>
      <c r="CZ42" s="231"/>
      <c r="DA42" s="231"/>
      <c r="DB42" s="231"/>
      <c r="DC42" s="231"/>
      <c r="DD42" s="231">
        <f>IF(SUM(DD$24:DD41)=DD$22,0,IF(AND($M42&gt;=DD$15,$M42&lt;(DD$16+1)),DD$22/(DD$16-DD$15+1),0))</f>
        <v>0</v>
      </c>
      <c r="DE42" s="231">
        <f>IF(SUM(DE$24:DE41)=DE$22,0,IF(AND($M42&gt;=DE$15,$M42&lt;(DE$16+1)),DE$22/(DE$16-DE$15+1),0))</f>
        <v>0</v>
      </c>
      <c r="DF42" s="231">
        <f>IF(SUM(DF$24:DF41)=DF$22,0,IF(AND($M42&gt;=DF$15,$M42&lt;(DF$16+1)),DF$22/(DF$16-DF$15+1),0))</f>
        <v>0</v>
      </c>
      <c r="DG42" s="231">
        <f>IF(SUM(DG$24:DG41)=DG$22,0,IF(AND($M42&gt;=DG$15,$M42&lt;(DG$16+1)),DG$22/(DG$16-DG$15+1),0))</f>
        <v>0</v>
      </c>
      <c r="DH42" s="231">
        <f t="shared" si="27"/>
        <v>0</v>
      </c>
      <c r="DI42" s="231">
        <f t="shared" si="27"/>
        <v>0</v>
      </c>
      <c r="DJ42" s="231">
        <f t="shared" si="27"/>
        <v>0</v>
      </c>
      <c r="DK42" s="231">
        <f t="shared" si="27"/>
        <v>0</v>
      </c>
      <c r="DL42" s="231">
        <f t="shared" si="27"/>
        <v>0</v>
      </c>
      <c r="DM42" s="231">
        <f t="shared" si="27"/>
        <v>0.28599999999999998</v>
      </c>
      <c r="DN42" s="231">
        <f t="shared" si="27"/>
        <v>0</v>
      </c>
      <c r="DO42" s="231">
        <f t="shared" si="27"/>
        <v>0</v>
      </c>
      <c r="DP42" s="231">
        <f t="shared" si="27"/>
        <v>0</v>
      </c>
      <c r="DQ42" s="231">
        <f t="shared" si="27"/>
        <v>1.0920000000000003E-2</v>
      </c>
      <c r="DR42" s="231">
        <f t="shared" si="27"/>
        <v>0</v>
      </c>
      <c r="DS42" s="231">
        <f t="shared" si="25"/>
        <v>0.29866666666666669</v>
      </c>
      <c r="DT42" s="231">
        <f ca="1">IF(SUM(DT$24:DT41)=DT$22,0,IF(AND($M42&gt;=DT$15,$M42&lt;(DT$16+1)),DT$22/(DT$16-DT$15+1),0))</f>
        <v>0</v>
      </c>
      <c r="DU42" s="231">
        <f ca="1">IF(SUM(DU$24:DU41)=DU$22,0,IF(AND($M42&gt;=DU$15,$M42&lt;(DU$16+1)),DU$22/(DU$16-DU$15+1),0))</f>
        <v>1.81125</v>
      </c>
      <c r="DV42" s="231">
        <f ca="1">IF(SUM(DV$24:DV41)=DV$22,0,IF(AND(M42&gt;=DV$15,M42&lt;(DV$16+1)),DV$22/(DV$16-DV$15+1),0))</f>
        <v>0</v>
      </c>
      <c r="DW42" s="231" t="e">
        <f ca="1">IF(SUM(DW$24:DW41)=DW$22,0,IF(AND($M42&gt;=DW$15,$M42&lt;(DW$16+1)),DW$22/(DW$16-DW$15+1),0))</f>
        <v>#N/A</v>
      </c>
      <c r="DX42" s="231">
        <f ca="1">IF(SUM(DX$24:DX41)=DX$22,0,IF(AND($M42&gt;=DX$15,$M42&lt;(DX$16+1)),DX$22/(DX$16-DX$15+1),0))</f>
        <v>0</v>
      </c>
      <c r="DY42" s="231">
        <f ca="1">IF(SUM(DY$24:DY41)=DY$22,0,IF(AND($M42&gt;=DY$15,$M42&lt;(DY$16+1)),DY$22/(DY$16-DY$15+1),0))</f>
        <v>0</v>
      </c>
      <c r="DZ42" s="231">
        <f ca="1">IF(SUM(DZ$24:DZ41)=DZ$22,0,IF(AND($M42&gt;=DZ$15,$M42&lt;(DZ$16+1)),DZ$22/(DZ$16-DZ$15+1),0))</f>
        <v>0</v>
      </c>
      <c r="EA42" s="231" t="e">
        <f ca="1">IF(SUM(EA$24:EA41)=EA$22,0,IF(AND(M42&gt;=EA$15,M42&lt;(EA$16+1)),EA$22/(EA$16-EA$15+1),0))</f>
        <v>#N/A</v>
      </c>
      <c r="EC42" s="234">
        <f t="shared" si="16"/>
        <v>15</v>
      </c>
      <c r="ED42" s="234" t="e">
        <f t="shared" ca="1" si="17"/>
        <v>#N/A</v>
      </c>
      <c r="EE42" s="235" t="e">
        <f t="shared" ca="1" si="18"/>
        <v>#N/A</v>
      </c>
      <c r="EF42" s="234" t="e">
        <f t="shared" ca="1" si="28"/>
        <v>#N/A</v>
      </c>
      <c r="EG42" s="234" t="e">
        <f t="shared" ca="1" si="29"/>
        <v>#N/A</v>
      </c>
      <c r="EH42" s="234" t="e">
        <f t="shared" ca="1" si="34"/>
        <v>#N/A</v>
      </c>
      <c r="EI42" s="234"/>
      <c r="EJ42" s="234"/>
      <c r="EK42" s="153" t="e">
        <f t="shared" ca="1" si="19"/>
        <v>#N/A</v>
      </c>
      <c r="EL42" s="231" t="e">
        <f ca="1">IF(SUM(EL$24:EL41)=EL$22,0,IF(AND($M42&gt;=EL$15,$M42&lt;(EL$16+1)),EL$22/(EL$16-EL$15+1),0))</f>
        <v>#N/A</v>
      </c>
      <c r="EM42" s="153" t="e">
        <f t="shared" ca="1" si="21"/>
        <v>#N/A</v>
      </c>
      <c r="EO42" s="60"/>
      <c r="EP42" s="60"/>
    </row>
    <row r="43" spans="1:146">
      <c r="A43" s="220"/>
      <c r="B43" s="236">
        <f t="shared" si="23"/>
        <v>16</v>
      </c>
      <c r="C43" s="221">
        <f t="shared" si="26"/>
        <v>44047.250500000024</v>
      </c>
      <c r="D43" s="222" t="e">
        <f ca="1">'Offshore INT'!R32</f>
        <v>#N/A</v>
      </c>
      <c r="E43" s="223" t="e">
        <f t="shared" ca="1" si="0"/>
        <v>#N/A</v>
      </c>
      <c r="F43" s="224"/>
      <c r="G43" s="225">
        <f>IF(G42=1,1,SUM($F$24:F43))</f>
        <v>0</v>
      </c>
      <c r="H43" s="226" t="e">
        <f ca="1">IF(H42=0,0,SUM($I$24:I43))</f>
        <v>#N/A</v>
      </c>
      <c r="I43" s="227" t="e">
        <f t="shared" ca="1" si="1"/>
        <v>#N/A</v>
      </c>
      <c r="J43" s="222">
        <f t="shared" ca="1" si="20"/>
        <v>0</v>
      </c>
      <c r="K43" s="60"/>
      <c r="L43" s="228"/>
      <c r="M43" s="228">
        <f t="shared" si="2"/>
        <v>16</v>
      </c>
      <c r="N43" s="221">
        <f t="shared" si="3"/>
        <v>44047.250500000024</v>
      </c>
      <c r="O43" s="229">
        <f t="shared" si="30"/>
        <v>0</v>
      </c>
      <c r="P43" s="229">
        <f t="shared" si="30"/>
        <v>0</v>
      </c>
      <c r="Q43" s="229">
        <f t="shared" si="30"/>
        <v>0</v>
      </c>
      <c r="R43" s="229">
        <f t="shared" si="30"/>
        <v>0</v>
      </c>
      <c r="S43" s="229">
        <f t="shared" si="30"/>
        <v>0</v>
      </c>
      <c r="T43" s="229">
        <f t="shared" si="30"/>
        <v>0</v>
      </c>
      <c r="U43" s="229">
        <f t="shared" si="30"/>
        <v>0</v>
      </c>
      <c r="V43" s="229">
        <f t="shared" si="30"/>
        <v>0</v>
      </c>
      <c r="W43" s="229">
        <f t="shared" si="30"/>
        <v>0</v>
      </c>
      <c r="X43" s="229">
        <f t="shared" si="30"/>
        <v>0</v>
      </c>
      <c r="Y43" s="229">
        <f t="shared" si="30"/>
        <v>0</v>
      </c>
      <c r="Z43" s="229">
        <f t="shared" si="30"/>
        <v>0</v>
      </c>
      <c r="AA43" s="229">
        <f>IF($M43=AA$13,AA$22*AA$3,IF($M43=AA$14,AA$22*AA$4,IF($M43=AA$15,AA$22*AA$5,IF($M43=AA$16,AA$22*AA$6,IF($M43=AA$17,AA$22*AA$7,IF($M43=AA$18,AA$22*AA$8,IF($M43=AA$19,AA$22*AA$9,IF($M43=AA$20,AA$22*AA$10,0))))))))</f>
        <v>0</v>
      </c>
      <c r="AB43" s="229">
        <f t="shared" si="31"/>
        <v>0</v>
      </c>
      <c r="AC43" s="229">
        <f t="shared" si="31"/>
        <v>0</v>
      </c>
      <c r="AD43" s="229">
        <f t="shared" si="31"/>
        <v>0</v>
      </c>
      <c r="AE43" s="229">
        <f t="shared" si="31"/>
        <v>0</v>
      </c>
      <c r="AF43" s="229">
        <f t="shared" si="31"/>
        <v>0</v>
      </c>
      <c r="AG43" s="229">
        <f t="shared" si="31"/>
        <v>0</v>
      </c>
      <c r="AH43" s="229">
        <f t="shared" si="31"/>
        <v>0</v>
      </c>
      <c r="AI43" s="229">
        <f t="shared" si="31"/>
        <v>0</v>
      </c>
      <c r="AJ43" s="229">
        <f t="shared" si="31"/>
        <v>0</v>
      </c>
      <c r="AK43" s="229">
        <f t="shared" si="31"/>
        <v>0</v>
      </c>
      <c r="AL43" s="229">
        <f t="shared" si="31"/>
        <v>0</v>
      </c>
      <c r="AM43" s="229">
        <f t="shared" si="35"/>
        <v>0</v>
      </c>
      <c r="AN43" s="229">
        <f t="shared" si="35"/>
        <v>0</v>
      </c>
      <c r="AO43" s="229">
        <f t="shared" si="35"/>
        <v>0</v>
      </c>
      <c r="AP43" s="229">
        <f t="shared" si="31"/>
        <v>93.6268400850239</v>
      </c>
      <c r="AQ43" s="229">
        <f t="shared" si="31"/>
        <v>0</v>
      </c>
      <c r="AR43" s="229">
        <f t="shared" si="31"/>
        <v>0</v>
      </c>
      <c r="AS43" s="229">
        <f t="shared" ref="AS43:AW58" si="37">IF($M43=AS$13,AS$22*AS$3,IF($M43=AS$14,AS$22*AS$4,IF($M43=AS$15,AS$22*AS$5,IF($M43=AS$16,AS$22*AS$6,IF($M43=AS$17,AS$22*AS$7,IF($M43=AS$18,AS$22*AS$8,IF($M43=AS$19,AS$22*AS$9,IF($M43=AS$20,AS$22*AS$10,0))))))))</f>
        <v>0</v>
      </c>
      <c r="AT43" s="229">
        <f t="shared" si="37"/>
        <v>0</v>
      </c>
      <c r="AU43" s="229">
        <f t="shared" si="37"/>
        <v>0</v>
      </c>
      <c r="AV43" s="229">
        <f t="shared" si="37"/>
        <v>0</v>
      </c>
      <c r="AW43" s="229">
        <f t="shared" si="37"/>
        <v>0</v>
      </c>
      <c r="AX43" s="229">
        <f t="shared" si="31"/>
        <v>0</v>
      </c>
      <c r="AY43" s="229">
        <f t="shared" si="31"/>
        <v>0</v>
      </c>
      <c r="AZ43" s="229">
        <f>IF($M43=AZ$13,AZ$22*AZ$3,IF($M43=AZ$14,AZ$22*AZ$4,IF($M43=AZ$15,AZ$22*AZ$5,IF($M43=AZ$16,AZ$22*AZ$6,IF($M43=AZ$17,AZ$22*AZ$7,IF($M43=AZ$18,AZ$22*AZ$8,IF($M43=AZ$19,AZ$22*AZ$9,IF($M43=AZ$20,AZ$22*AZ$10,0))))))))</f>
        <v>0</v>
      </c>
      <c r="BA43" s="229">
        <f t="shared" si="31"/>
        <v>3.589467835601261</v>
      </c>
      <c r="BB43" s="229">
        <f>IF($M43=BB$13,BB$22*BB$3,IF($M43=BB$14,BB$22*BB$4,IF($M43=BB$15,BB$22*BB$5,IF($M43=BB$16,BB$22*BB$6,IF($M43=BB$17,BB$22*BB$7,IF($M43=BB$18,BB$22*BB$8,IF($M43=BB$19,BB$22*BB$9,IF($M43=BB$20,BB$22*BB$10,0))))))))</f>
        <v>0</v>
      </c>
      <c r="BC43" s="229">
        <f>IF($M43=BC$13,BC$22*BC$3,IF($M43=BC$14,BC$22*BC$4,IF($M43=BC$15,BC$22*BC$5,IF($M43=BC$16,BC$22*BC$6,IF($M43=BC$17,BC$22*BC$7,IF($M43=BC$18,BC$22*BC$8,IF($M43=BC$19,BC$22*BC$9,IF($M43=BC$20,BC$22*BC$10,0))))))))</f>
        <v>0</v>
      </c>
      <c r="BD43" s="229">
        <f t="shared" si="32"/>
        <v>0</v>
      </c>
      <c r="BE43" s="229">
        <f t="shared" si="32"/>
        <v>0</v>
      </c>
      <c r="BF43" s="229">
        <f t="shared" si="32"/>
        <v>0</v>
      </c>
      <c r="BG43" s="229">
        <f t="shared" si="32"/>
        <v>0</v>
      </c>
      <c r="BH43" s="229">
        <f t="shared" si="32"/>
        <v>0</v>
      </c>
      <c r="BI43" s="229">
        <f t="shared" si="32"/>
        <v>0</v>
      </c>
      <c r="BJ43" s="229">
        <f t="shared" si="32"/>
        <v>0</v>
      </c>
      <c r="BK43" s="229">
        <f t="shared" si="32"/>
        <v>0</v>
      </c>
      <c r="BL43" s="229">
        <f t="shared" si="32"/>
        <v>0</v>
      </c>
      <c r="BM43" s="229">
        <f t="shared" si="32"/>
        <v>0</v>
      </c>
      <c r="BN43" s="229">
        <f t="shared" si="32"/>
        <v>0</v>
      </c>
      <c r="BO43" s="229">
        <f t="shared" si="32"/>
        <v>0</v>
      </c>
      <c r="BP43" s="229">
        <f t="shared" si="32"/>
        <v>0</v>
      </c>
      <c r="BQ43" s="229">
        <f t="shared" si="33"/>
        <v>0</v>
      </c>
      <c r="BR43" s="229">
        <f t="shared" si="33"/>
        <v>0</v>
      </c>
      <c r="BS43" s="229">
        <f t="shared" si="33"/>
        <v>0</v>
      </c>
      <c r="BT43" s="229">
        <f t="shared" si="33"/>
        <v>0</v>
      </c>
      <c r="BU43" s="229">
        <f t="shared" si="33"/>
        <v>0</v>
      </c>
      <c r="BV43" s="229">
        <f t="shared" si="33"/>
        <v>0</v>
      </c>
      <c r="BW43" s="229">
        <f t="shared" si="33"/>
        <v>0</v>
      </c>
      <c r="BX43" s="229">
        <f t="shared" si="33"/>
        <v>0</v>
      </c>
      <c r="BY43" s="229">
        <f t="shared" si="33"/>
        <v>0</v>
      </c>
      <c r="BZ43" s="229">
        <f t="shared" si="33"/>
        <v>0</v>
      </c>
      <c r="CA43" s="229">
        <f t="shared" si="9"/>
        <v>0</v>
      </c>
      <c r="CB43" s="229">
        <f t="shared" si="9"/>
        <v>0</v>
      </c>
      <c r="CC43" s="229">
        <f t="shared" si="33"/>
        <v>0</v>
      </c>
      <c r="CD43" s="229">
        <f t="shared" si="10"/>
        <v>0</v>
      </c>
      <c r="CE43" s="229">
        <f t="shared" si="10"/>
        <v>0</v>
      </c>
      <c r="CF43" s="229">
        <f t="shared" si="10"/>
        <v>0</v>
      </c>
      <c r="CG43" s="229">
        <f t="shared" si="10"/>
        <v>0</v>
      </c>
      <c r="CH43" s="229">
        <f t="shared" si="11"/>
        <v>0</v>
      </c>
      <c r="CI43" s="229">
        <f t="shared" si="11"/>
        <v>0</v>
      </c>
      <c r="CJ43" s="229">
        <f t="shared" si="12"/>
        <v>0</v>
      </c>
      <c r="CK43" s="229">
        <f t="shared" si="11"/>
        <v>0</v>
      </c>
      <c r="CL43" s="229">
        <f t="shared" si="11"/>
        <v>0</v>
      </c>
      <c r="CM43" s="229">
        <f t="shared" si="11"/>
        <v>0</v>
      </c>
      <c r="CN43" s="229">
        <f t="shared" si="11"/>
        <v>0</v>
      </c>
      <c r="CO43" s="229">
        <f t="shared" si="36"/>
        <v>0</v>
      </c>
      <c r="CP43" s="229">
        <f t="shared" si="36"/>
        <v>0</v>
      </c>
      <c r="CQ43" s="229">
        <f t="shared" si="11"/>
        <v>0</v>
      </c>
      <c r="CR43" s="229">
        <f t="shared" si="14"/>
        <v>5.6000000000000005</v>
      </c>
      <c r="CS43" s="229">
        <f t="shared" si="14"/>
        <v>0</v>
      </c>
      <c r="CT43" s="229">
        <f t="shared" si="14"/>
        <v>0</v>
      </c>
      <c r="CU43" s="230"/>
      <c r="CV43" s="231"/>
      <c r="CW43" s="231"/>
      <c r="CX43" s="231"/>
      <c r="CY43" s="231"/>
      <c r="CZ43" s="231"/>
      <c r="DA43" s="231"/>
      <c r="DB43" s="231"/>
      <c r="DC43" s="231"/>
      <c r="DD43" s="231">
        <f>IF(SUM(DD$24:DD42)=DD$22,0,IF(AND($M43&gt;=DD$15,$M43&lt;(DD$16+1)),DD$22/(DD$16-DD$15+1),0))</f>
        <v>0</v>
      </c>
      <c r="DE43" s="231">
        <f>IF(SUM(DE$24:DE42)=DE$22,0,IF(AND($M43&gt;=DE$15,$M43&lt;(DE$16+1)),DE$22/(DE$16-DE$15+1),0))</f>
        <v>0</v>
      </c>
      <c r="DF43" s="231">
        <f>IF(SUM(DF$24:DF42)=DF$22,0,IF(AND($M43&gt;=DF$15,$M43&lt;(DF$16+1)),DF$22/(DF$16-DF$15+1),0))</f>
        <v>0</v>
      </c>
      <c r="DG43" s="231">
        <f>IF(SUM(DG$24:DG42)=DG$22,0,IF(AND($M43&gt;=DG$15,$M43&lt;(DG$16+1)),DG$22/(DG$16-DG$15+1),0))</f>
        <v>0</v>
      </c>
      <c r="DH43" s="231">
        <f t="shared" si="27"/>
        <v>0</v>
      </c>
      <c r="DI43" s="231">
        <f t="shared" si="27"/>
        <v>0</v>
      </c>
      <c r="DJ43" s="231">
        <f t="shared" si="27"/>
        <v>0</v>
      </c>
      <c r="DK43" s="231">
        <f t="shared" si="27"/>
        <v>0</v>
      </c>
      <c r="DL43" s="231">
        <f t="shared" si="27"/>
        <v>0</v>
      </c>
      <c r="DM43" s="231">
        <f t="shared" si="27"/>
        <v>0.28599999999999998</v>
      </c>
      <c r="DN43" s="231">
        <f t="shared" si="27"/>
        <v>0</v>
      </c>
      <c r="DO43" s="231">
        <f t="shared" si="27"/>
        <v>0</v>
      </c>
      <c r="DP43" s="231">
        <f t="shared" si="27"/>
        <v>0</v>
      </c>
      <c r="DQ43" s="231">
        <f t="shared" si="27"/>
        <v>1.0920000000000003E-2</v>
      </c>
      <c r="DR43" s="231">
        <f t="shared" si="27"/>
        <v>0</v>
      </c>
      <c r="DS43" s="231">
        <f t="shared" si="25"/>
        <v>0.29866666666666669</v>
      </c>
      <c r="DT43" s="231">
        <f ca="1">IF(SUM(DT$24:DT42)=DT$22,0,IF(AND($M43&gt;=DT$15,$M43&lt;(DT$16+1)),DT$22/(DT$16-DT$15+1),0))</f>
        <v>0</v>
      </c>
      <c r="DU43" s="231">
        <f ca="1">IF(SUM(DU$24:DU42)=DU$22,0,IF(AND($M43&gt;=DU$15,$M43&lt;(DU$16+1)),DU$22/(DU$16-DU$15+1),0))</f>
        <v>0</v>
      </c>
      <c r="DV43" s="231">
        <f ca="1">IF(SUM(DV$24:DV42)=DV$22,0,IF(AND(M43&gt;=DV$15,M43&lt;(DV$16+1)),DV$22/(DV$16-DV$15+1),0))</f>
        <v>0</v>
      </c>
      <c r="DW43" s="231" t="e">
        <f ca="1">IF(SUM(DW$24:DW42)=DW$22,0,IF(AND($M43&gt;=DW$15,$M43&lt;(DW$16+1)),DW$22/(DW$16-DW$15+1),0))</f>
        <v>#N/A</v>
      </c>
      <c r="DX43" s="231">
        <f ca="1">IF(SUM(DX$24:DX42)=DX$22,0,IF(AND($M43&gt;=DX$15,$M43&lt;(DX$16+1)),DX$22/(DX$16-DX$15+1),0))</f>
        <v>0</v>
      </c>
      <c r="DY43" s="231">
        <f ca="1">IF(SUM(DY$24:DY42)=DY$22,0,IF(AND($M43&gt;=DY$15,$M43&lt;(DY$16+1)),DY$22/(DY$16-DY$15+1),0))</f>
        <v>0</v>
      </c>
      <c r="DZ43" s="231">
        <f ca="1">IF(SUM(DZ$24:DZ42)=DZ$22,0,IF(AND($M43&gt;=DZ$15,$M43&lt;(DZ$16+1)),DZ$22/(DZ$16-DZ$15+1),0))</f>
        <v>0</v>
      </c>
      <c r="EA43" s="231" t="e">
        <f ca="1">IF(SUM(EA$24:EA42)=EA$22,0,IF(AND(M43&gt;=EA$15,M43&lt;(EA$16+1)),EA$22/(EA$16-EA$15+1),0))</f>
        <v>#N/A</v>
      </c>
      <c r="EC43" s="234">
        <f t="shared" si="16"/>
        <v>16</v>
      </c>
      <c r="ED43" s="234" t="e">
        <f t="shared" ca="1" si="17"/>
        <v>#N/A</v>
      </c>
      <c r="EE43" s="235" t="e">
        <f t="shared" ca="1" si="18"/>
        <v>#N/A</v>
      </c>
      <c r="EF43" s="234" t="e">
        <f t="shared" ca="1" si="28"/>
        <v>#N/A</v>
      </c>
      <c r="EG43" s="234" t="e">
        <f t="shared" ca="1" si="29"/>
        <v>#N/A</v>
      </c>
      <c r="EH43" s="234" t="e">
        <f t="shared" ca="1" si="34"/>
        <v>#N/A</v>
      </c>
      <c r="EI43" s="234"/>
      <c r="EJ43" s="234"/>
      <c r="EK43" s="153" t="e">
        <f t="shared" ca="1" si="19"/>
        <v>#N/A</v>
      </c>
      <c r="EL43" s="231" t="e">
        <f ca="1">IF(SUM(EL$24:EL42)=EL$22,0,IF(AND($M43&gt;=EL$15,$M43&lt;(EL$16+1)),EL$22/(EL$16-EL$15+1),0))</f>
        <v>#N/A</v>
      </c>
      <c r="EM43" s="153" t="e">
        <f t="shared" ca="1" si="21"/>
        <v>#N/A</v>
      </c>
      <c r="EO43" s="60"/>
      <c r="EP43" s="60"/>
    </row>
    <row r="44" spans="1:146">
      <c r="A44" s="220"/>
      <c r="B44" s="236">
        <f t="shared" si="23"/>
        <v>17</v>
      </c>
      <c r="C44" s="221">
        <f t="shared" si="26"/>
        <v>44077.667200000025</v>
      </c>
      <c r="D44" s="222" t="e">
        <f ca="1">'Offshore INT'!R33</f>
        <v>#N/A</v>
      </c>
      <c r="E44" s="223" t="e">
        <f t="shared" ca="1" si="0"/>
        <v>#N/A</v>
      </c>
      <c r="F44" s="224"/>
      <c r="G44" s="225">
        <f>IF(G43=1,1,SUM($F$24:F44))</f>
        <v>0</v>
      </c>
      <c r="H44" s="226" t="e">
        <f ca="1">IF(H43=0,0,SUM($I$24:I44))</f>
        <v>#N/A</v>
      </c>
      <c r="I44" s="227" t="e">
        <f t="shared" ca="1" si="1"/>
        <v>#N/A</v>
      </c>
      <c r="J44" s="222">
        <f t="shared" ca="1" si="20"/>
        <v>0</v>
      </c>
      <c r="K44" s="60"/>
      <c r="L44" s="228"/>
      <c r="M44" s="228">
        <f t="shared" si="2"/>
        <v>17</v>
      </c>
      <c r="N44" s="221">
        <f t="shared" si="3"/>
        <v>44077.667200000025</v>
      </c>
      <c r="O44" s="229">
        <f t="shared" si="30"/>
        <v>0</v>
      </c>
      <c r="P44" s="229">
        <f t="shared" si="30"/>
        <v>0</v>
      </c>
      <c r="Q44" s="229">
        <f t="shared" si="30"/>
        <v>0</v>
      </c>
      <c r="R44" s="229">
        <f t="shared" si="30"/>
        <v>0</v>
      </c>
      <c r="S44" s="229">
        <f t="shared" si="30"/>
        <v>0</v>
      </c>
      <c r="T44" s="229">
        <f t="shared" si="30"/>
        <v>0</v>
      </c>
      <c r="U44" s="229">
        <f t="shared" si="30"/>
        <v>0</v>
      </c>
      <c r="V44" s="229">
        <f t="shared" si="30"/>
        <v>0</v>
      </c>
      <c r="W44" s="229">
        <f t="shared" si="30"/>
        <v>0</v>
      </c>
      <c r="X44" s="229">
        <f t="shared" si="30"/>
        <v>0</v>
      </c>
      <c r="Y44" s="229">
        <f t="shared" si="30"/>
        <v>0</v>
      </c>
      <c r="Z44" s="229">
        <f t="shared" si="30"/>
        <v>0</v>
      </c>
      <c r="AA44" s="229">
        <f t="shared" ref="AA44:BC53" si="38">IF($M44=AA$13,AA$22*AA$3,IF($M44=AA$14,AA$22*AA$4,IF($M44=AA$15,AA$22*AA$5,IF($M44=AA$16,AA$22*AA$6,IF($M44=AA$17,AA$22*AA$7,IF($M44=AA$18,AA$22*AA$8,IF($M44=AA$19,AA$22*AA$9,IF($M44=AA$20,AA$22*AA$10,0))))))))</f>
        <v>0</v>
      </c>
      <c r="AB44" s="229">
        <f t="shared" si="38"/>
        <v>0</v>
      </c>
      <c r="AC44" s="229">
        <f t="shared" si="38"/>
        <v>0</v>
      </c>
      <c r="AD44" s="229">
        <f t="shared" si="38"/>
        <v>0</v>
      </c>
      <c r="AE44" s="229">
        <f t="shared" si="38"/>
        <v>0</v>
      </c>
      <c r="AF44" s="229">
        <f t="shared" si="38"/>
        <v>0</v>
      </c>
      <c r="AG44" s="229">
        <f t="shared" si="38"/>
        <v>0</v>
      </c>
      <c r="AH44" s="229">
        <f t="shared" si="38"/>
        <v>0</v>
      </c>
      <c r="AI44" s="229">
        <f t="shared" si="38"/>
        <v>0</v>
      </c>
      <c r="AJ44" s="229">
        <f t="shared" si="38"/>
        <v>0</v>
      </c>
      <c r="AK44" s="229">
        <f t="shared" si="38"/>
        <v>0</v>
      </c>
      <c r="AL44" s="229">
        <f t="shared" si="38"/>
        <v>0</v>
      </c>
      <c r="AM44" s="229">
        <f t="shared" si="38"/>
        <v>0</v>
      </c>
      <c r="AN44" s="229">
        <f t="shared" si="38"/>
        <v>0</v>
      </c>
      <c r="AO44" s="229">
        <f t="shared" si="38"/>
        <v>0</v>
      </c>
      <c r="AP44" s="229">
        <f t="shared" si="38"/>
        <v>0</v>
      </c>
      <c r="AQ44" s="229">
        <f t="shared" si="38"/>
        <v>0</v>
      </c>
      <c r="AR44" s="229">
        <f t="shared" si="38"/>
        <v>0</v>
      </c>
      <c r="AS44" s="229">
        <f t="shared" si="37"/>
        <v>0</v>
      </c>
      <c r="AT44" s="229">
        <f t="shared" si="37"/>
        <v>0</v>
      </c>
      <c r="AU44" s="229">
        <f t="shared" si="37"/>
        <v>0</v>
      </c>
      <c r="AV44" s="229">
        <f t="shared" si="37"/>
        <v>0</v>
      </c>
      <c r="AW44" s="229">
        <f t="shared" si="37"/>
        <v>0</v>
      </c>
      <c r="AX44" s="229">
        <f t="shared" si="38"/>
        <v>0</v>
      </c>
      <c r="AY44" s="229">
        <f t="shared" si="38"/>
        <v>0</v>
      </c>
      <c r="AZ44" s="229">
        <f t="shared" si="38"/>
        <v>0</v>
      </c>
      <c r="BA44" s="229">
        <f t="shared" si="38"/>
        <v>0</v>
      </c>
      <c r="BB44" s="229">
        <f t="shared" si="38"/>
        <v>0</v>
      </c>
      <c r="BC44" s="229">
        <f t="shared" si="38"/>
        <v>0</v>
      </c>
      <c r="BD44" s="229">
        <f t="shared" ref="BD44:BP53" si="39">IF($M44=BD$13,BD$22*BD$3,IF($M44=BD$14,BD$22*BD$4,IF($M44=BD$15,BD$22*BD$5,IF($M44=BD$16,BD$22*BD$6,IF($M44=BD$17,BD$22*BD$7,IF($M44=BD$18,BD$22*BD$8,IF($M44=BD$19,BD$22*BD$9,IF($M44=BD$20,BD$22*BD$10,0))))))))</f>
        <v>0</v>
      </c>
      <c r="BE44" s="229">
        <f t="shared" si="39"/>
        <v>0</v>
      </c>
      <c r="BF44" s="229">
        <f t="shared" si="39"/>
        <v>0</v>
      </c>
      <c r="BG44" s="229">
        <f t="shared" si="39"/>
        <v>0</v>
      </c>
      <c r="BH44" s="229">
        <f t="shared" si="39"/>
        <v>0</v>
      </c>
      <c r="BI44" s="229">
        <f t="shared" si="39"/>
        <v>0</v>
      </c>
      <c r="BJ44" s="229">
        <f t="shared" si="39"/>
        <v>0</v>
      </c>
      <c r="BK44" s="229">
        <f t="shared" si="39"/>
        <v>0</v>
      </c>
      <c r="BL44" s="229">
        <f t="shared" si="39"/>
        <v>0</v>
      </c>
      <c r="BM44" s="229">
        <f t="shared" si="39"/>
        <v>0</v>
      </c>
      <c r="BN44" s="229">
        <f t="shared" si="39"/>
        <v>0</v>
      </c>
      <c r="BO44" s="229">
        <f t="shared" si="39"/>
        <v>0</v>
      </c>
      <c r="BP44" s="229">
        <f t="shared" si="39"/>
        <v>0</v>
      </c>
      <c r="BQ44" s="229">
        <f t="shared" ref="BQ44:CC53" si="40">IF($M44=BQ$13,BQ$22*BQ$3,IF($M44=BQ$14,BQ$22*BQ$4,IF($M44=BQ$15,BQ$22*BQ$5,IF($M44=BQ$16,BQ$22*BQ$6,IF($M44=BQ$17,BQ$22*BQ$7,IF($M44=BQ$18,BQ$22*BQ$8,IF($M44=BQ$19,BQ$22*BQ$9,IF($M44=BQ$20,BQ$22*BQ$10,0))))))))</f>
        <v>0</v>
      </c>
      <c r="BR44" s="229">
        <f t="shared" si="40"/>
        <v>0</v>
      </c>
      <c r="BS44" s="229">
        <f t="shared" si="40"/>
        <v>0</v>
      </c>
      <c r="BT44" s="229">
        <f t="shared" si="40"/>
        <v>0</v>
      </c>
      <c r="BU44" s="229">
        <f t="shared" si="40"/>
        <v>0</v>
      </c>
      <c r="BV44" s="229">
        <f t="shared" si="40"/>
        <v>0</v>
      </c>
      <c r="BW44" s="229">
        <f t="shared" si="40"/>
        <v>0</v>
      </c>
      <c r="BX44" s="229">
        <f t="shared" si="40"/>
        <v>0</v>
      </c>
      <c r="BY44" s="229">
        <f t="shared" si="40"/>
        <v>0</v>
      </c>
      <c r="BZ44" s="229">
        <f t="shared" si="40"/>
        <v>0</v>
      </c>
      <c r="CA44" s="229">
        <f t="shared" si="40"/>
        <v>0</v>
      </c>
      <c r="CB44" s="229">
        <f t="shared" si="40"/>
        <v>0</v>
      </c>
      <c r="CC44" s="229">
        <f t="shared" si="40"/>
        <v>0</v>
      </c>
      <c r="CD44" s="229">
        <f t="shared" si="10"/>
        <v>0</v>
      </c>
      <c r="CE44" s="229">
        <f t="shared" si="10"/>
        <v>0</v>
      </c>
      <c r="CF44" s="229">
        <f t="shared" si="10"/>
        <v>0</v>
      </c>
      <c r="CG44" s="229">
        <f t="shared" si="10"/>
        <v>0</v>
      </c>
      <c r="CH44" s="229">
        <f t="shared" si="11"/>
        <v>0</v>
      </c>
      <c r="CI44" s="229">
        <f t="shared" si="11"/>
        <v>0</v>
      </c>
      <c r="CJ44" s="229">
        <f t="shared" si="12"/>
        <v>0</v>
      </c>
      <c r="CK44" s="229">
        <f t="shared" si="11"/>
        <v>0</v>
      </c>
      <c r="CL44" s="229">
        <f t="shared" si="11"/>
        <v>0</v>
      </c>
      <c r="CM44" s="229">
        <f t="shared" si="11"/>
        <v>0</v>
      </c>
      <c r="CN44" s="229">
        <f t="shared" si="11"/>
        <v>0</v>
      </c>
      <c r="CO44" s="229">
        <f t="shared" si="36"/>
        <v>0</v>
      </c>
      <c r="CP44" s="229">
        <f t="shared" si="36"/>
        <v>0</v>
      </c>
      <c r="CQ44" s="229">
        <f t="shared" si="11"/>
        <v>0</v>
      </c>
      <c r="CR44" s="229">
        <f t="shared" si="14"/>
        <v>5.6000000000000005</v>
      </c>
      <c r="CS44" s="229">
        <f t="shared" si="14"/>
        <v>0</v>
      </c>
      <c r="CT44" s="229">
        <f t="shared" si="14"/>
        <v>0</v>
      </c>
      <c r="CU44" s="230"/>
      <c r="CV44" s="231"/>
      <c r="CW44" s="231"/>
      <c r="CX44" s="231"/>
      <c r="CY44" s="231"/>
      <c r="CZ44" s="243" t="e">
        <f ca="1">IF(SUM(CZ$24:CZ43)&gt;=CZ$22,0,CZ$22/CZ$13)*0</f>
        <v>#N/A</v>
      </c>
      <c r="DA44" s="231"/>
      <c r="DB44" s="231"/>
      <c r="DC44" s="231"/>
      <c r="DD44" s="231">
        <f>IF(SUM(DD$24:DD43)=DD$22,0,IF(AND($M44&gt;=DD$15,$M44&lt;(DD$16+1)),DD$22/(DD$16-DD$15+1),0))</f>
        <v>0</v>
      </c>
      <c r="DE44" s="231">
        <f>IF(SUM(DE$24:DE43)=DE$22,0,IF(AND($M44&gt;=DE$15,$M44&lt;(DE$16+1)),DE$22/(DE$16-DE$15+1),0))</f>
        <v>0</v>
      </c>
      <c r="DF44" s="231">
        <f>IF(SUM(DF$24:DF43)=DF$22,0,IF(AND($M44&gt;=DF$15,$M44&lt;(DF$16+1)),DF$22/(DF$16-DF$15+1),0))</f>
        <v>0</v>
      </c>
      <c r="DG44" s="231">
        <f>IF(SUM(DG$24:DG43)=DG$22,0,IF(AND($M44&gt;=DG$15,$M44&lt;(DG$16+1)),DG$22/(DG$16-DG$15+1),0))</f>
        <v>0</v>
      </c>
      <c r="DH44" s="231">
        <f t="shared" si="27"/>
        <v>0</v>
      </c>
      <c r="DI44" s="231">
        <f t="shared" si="27"/>
        <v>0</v>
      </c>
      <c r="DJ44" s="231">
        <f t="shared" si="27"/>
        <v>0</v>
      </c>
      <c r="DK44" s="231">
        <f t="shared" si="27"/>
        <v>0</v>
      </c>
      <c r="DL44" s="231">
        <f t="shared" si="27"/>
        <v>0</v>
      </c>
      <c r="DM44" s="231">
        <f t="shared" si="27"/>
        <v>0.28599999999999998</v>
      </c>
      <c r="DN44" s="231">
        <f t="shared" si="27"/>
        <v>0</v>
      </c>
      <c r="DO44" s="231">
        <f t="shared" si="27"/>
        <v>0</v>
      </c>
      <c r="DP44" s="231">
        <f t="shared" si="27"/>
        <v>0</v>
      </c>
      <c r="DQ44" s="231">
        <f t="shared" si="27"/>
        <v>1.0920000000000003E-2</v>
      </c>
      <c r="DR44" s="231">
        <f t="shared" si="27"/>
        <v>0</v>
      </c>
      <c r="DS44" s="231">
        <f t="shared" si="25"/>
        <v>0.29866666666666669</v>
      </c>
      <c r="DT44" s="231">
        <f ca="1">IF(SUM(DT$24:DT43)=DT$22,0,IF(AND($M44&gt;=DT$15,$M44&lt;(DT$16+1)),DT$22/(DT$16-DT$15+1),0))</f>
        <v>0</v>
      </c>
      <c r="DU44" s="231">
        <f ca="1">IF(SUM(DU$24:DU43)=DU$22,0,IF(AND($M44&gt;=DU$15,$M44&lt;(DU$16+1)),DU$22/(DU$16-DU$15+1),0))</f>
        <v>0</v>
      </c>
      <c r="DV44" s="231">
        <f ca="1">IF(SUM(DV$24:DV43)=DV$22,0,IF(AND(M44&gt;=DV$15,M44&lt;(DV$16+1)),DV$22/(DV$16-DV$15+1),0))</f>
        <v>0</v>
      </c>
      <c r="DW44" s="231" t="e">
        <f ca="1">IF(SUM(DW$24:DW43)=DW$22,0,IF(AND($M44&gt;=DW$15,$M44&lt;(DW$16+1)),DW$22/(DW$16-DW$15+1),0))</f>
        <v>#N/A</v>
      </c>
      <c r="DX44" s="231">
        <f ca="1">IF(SUM(DX$24:DX43)=DX$22,0,IF(AND($M44&gt;=DX$15,$M44&lt;(DX$16+1)),DX$22/(DX$16-DX$15+1),0))</f>
        <v>0</v>
      </c>
      <c r="DY44" s="231">
        <f ca="1">IF(SUM(DY$24:DY43)=DY$22,0,IF(AND($M44&gt;=DY$15,$M44&lt;(DY$16+1)),DY$22/(DY$16-DY$15+1),0))</f>
        <v>0</v>
      </c>
      <c r="DZ44" s="231">
        <f ca="1">IF(SUM(DZ$24:DZ43)=DZ$22,0,IF(AND($M44&gt;=DZ$15,$M44&lt;(DZ$16+1)),DZ$22/(DZ$16-DZ$15+1),0))</f>
        <v>0</v>
      </c>
      <c r="EA44" s="231" t="e">
        <f ca="1">IF(SUM(EA$24:EA43)=EA$22,0,IF(AND(M44&gt;=EA$15,M44&lt;(EA$16+1)),EA$22/(EA$16-EA$15+1),0))</f>
        <v>#N/A</v>
      </c>
      <c r="EC44" s="234">
        <f t="shared" si="16"/>
        <v>17</v>
      </c>
      <c r="ED44" s="234" t="e">
        <f t="shared" ca="1" si="17"/>
        <v>#N/A</v>
      </c>
      <c r="EE44" s="235" t="e">
        <f t="shared" ca="1" si="18"/>
        <v>#N/A</v>
      </c>
      <c r="EF44" s="234" t="e">
        <f t="shared" ca="1" si="28"/>
        <v>#N/A</v>
      </c>
      <c r="EG44" s="234" t="e">
        <f t="shared" ca="1" si="29"/>
        <v>#N/A</v>
      </c>
      <c r="EH44" s="234" t="e">
        <f t="shared" ca="1" si="34"/>
        <v>#N/A</v>
      </c>
      <c r="EI44" s="234"/>
      <c r="EJ44" s="234"/>
      <c r="EK44" s="153" t="e">
        <f t="shared" ca="1" si="19"/>
        <v>#N/A</v>
      </c>
      <c r="EL44" s="231" t="e">
        <f ca="1">IF(SUM(EL$24:EL43)=EL$22,0,IF(AND($M44&gt;=EL$15,$M44&lt;(EL$16+1)),EL$22/(EL$16-EL$15+1),0))</f>
        <v>#N/A</v>
      </c>
      <c r="EM44" s="153" t="e">
        <f t="shared" ca="1" si="21"/>
        <v>#N/A</v>
      </c>
      <c r="EO44" s="60"/>
      <c r="EP44" s="60"/>
    </row>
    <row r="45" spans="1:146">
      <c r="A45" s="220"/>
      <c r="B45" s="236">
        <f t="shared" si="23"/>
        <v>18</v>
      </c>
      <c r="C45" s="221">
        <f t="shared" si="26"/>
        <v>44108.083900000027</v>
      </c>
      <c r="D45" s="222" t="e">
        <f ca="1">'Offshore INT'!R34</f>
        <v>#N/A</v>
      </c>
      <c r="E45" s="223" t="e">
        <f t="shared" ca="1" si="0"/>
        <v>#N/A</v>
      </c>
      <c r="F45" s="224"/>
      <c r="G45" s="225">
        <f>IF(G44=1,1,SUM($F$24:F45))</f>
        <v>0</v>
      </c>
      <c r="H45" s="226" t="e">
        <f ca="1">IF(H44=0,0,SUM($I$24:I45))</f>
        <v>#N/A</v>
      </c>
      <c r="I45" s="227" t="e">
        <f t="shared" ca="1" si="1"/>
        <v>#N/A</v>
      </c>
      <c r="J45" s="222">
        <f t="shared" ca="1" si="20"/>
        <v>0</v>
      </c>
      <c r="K45" s="60"/>
      <c r="L45" s="228"/>
      <c r="M45" s="228">
        <f t="shared" si="2"/>
        <v>18</v>
      </c>
      <c r="N45" s="221">
        <f t="shared" si="3"/>
        <v>44108.083900000027</v>
      </c>
      <c r="O45" s="229">
        <f t="shared" si="30"/>
        <v>0</v>
      </c>
      <c r="P45" s="229">
        <f t="shared" si="30"/>
        <v>0</v>
      </c>
      <c r="Q45" s="229">
        <f t="shared" si="30"/>
        <v>0</v>
      </c>
      <c r="R45" s="229">
        <f t="shared" si="30"/>
        <v>0</v>
      </c>
      <c r="S45" s="229">
        <f t="shared" si="30"/>
        <v>0</v>
      </c>
      <c r="T45" s="229">
        <f t="shared" si="30"/>
        <v>0</v>
      </c>
      <c r="U45" s="229">
        <f t="shared" si="30"/>
        <v>0</v>
      </c>
      <c r="V45" s="229">
        <f t="shared" si="30"/>
        <v>0</v>
      </c>
      <c r="W45" s="229">
        <f t="shared" si="30"/>
        <v>0</v>
      </c>
      <c r="X45" s="229">
        <f t="shared" si="30"/>
        <v>0</v>
      </c>
      <c r="Y45" s="229">
        <f t="shared" si="30"/>
        <v>0</v>
      </c>
      <c r="Z45" s="229">
        <f t="shared" si="30"/>
        <v>0</v>
      </c>
      <c r="AA45" s="229">
        <f t="shared" si="38"/>
        <v>0</v>
      </c>
      <c r="AB45" s="229">
        <f t="shared" si="38"/>
        <v>0</v>
      </c>
      <c r="AC45" s="229">
        <f t="shared" si="38"/>
        <v>0</v>
      </c>
      <c r="AD45" s="229">
        <f t="shared" si="38"/>
        <v>0</v>
      </c>
      <c r="AE45" s="229">
        <f t="shared" si="38"/>
        <v>0</v>
      </c>
      <c r="AF45" s="229">
        <f t="shared" si="38"/>
        <v>0</v>
      </c>
      <c r="AG45" s="229">
        <f t="shared" si="38"/>
        <v>0</v>
      </c>
      <c r="AH45" s="229">
        <f t="shared" si="38"/>
        <v>0</v>
      </c>
      <c r="AI45" s="229">
        <f t="shared" si="38"/>
        <v>0</v>
      </c>
      <c r="AJ45" s="229">
        <f t="shared" si="38"/>
        <v>0</v>
      </c>
      <c r="AK45" s="229">
        <f t="shared" si="38"/>
        <v>0</v>
      </c>
      <c r="AL45" s="229">
        <f t="shared" si="38"/>
        <v>0</v>
      </c>
      <c r="AM45" s="229">
        <f t="shared" si="38"/>
        <v>0</v>
      </c>
      <c r="AN45" s="229">
        <f t="shared" si="38"/>
        <v>0</v>
      </c>
      <c r="AO45" s="229">
        <f t="shared" si="38"/>
        <v>0</v>
      </c>
      <c r="AP45" s="229">
        <f t="shared" si="38"/>
        <v>0</v>
      </c>
      <c r="AQ45" s="229">
        <f t="shared" si="38"/>
        <v>0</v>
      </c>
      <c r="AR45" s="229">
        <f t="shared" si="38"/>
        <v>0</v>
      </c>
      <c r="AS45" s="229">
        <f t="shared" si="37"/>
        <v>0</v>
      </c>
      <c r="AT45" s="229">
        <f t="shared" si="37"/>
        <v>0</v>
      </c>
      <c r="AU45" s="229">
        <f t="shared" si="37"/>
        <v>0</v>
      </c>
      <c r="AV45" s="229">
        <f t="shared" si="37"/>
        <v>0</v>
      </c>
      <c r="AW45" s="229">
        <f t="shared" si="37"/>
        <v>0</v>
      </c>
      <c r="AX45" s="229">
        <f t="shared" si="38"/>
        <v>0</v>
      </c>
      <c r="AY45" s="229">
        <f t="shared" si="38"/>
        <v>0</v>
      </c>
      <c r="AZ45" s="229">
        <f t="shared" si="38"/>
        <v>0</v>
      </c>
      <c r="BA45" s="229">
        <f t="shared" si="38"/>
        <v>0</v>
      </c>
      <c r="BB45" s="229">
        <f t="shared" si="38"/>
        <v>0</v>
      </c>
      <c r="BC45" s="229">
        <f t="shared" si="38"/>
        <v>0</v>
      </c>
      <c r="BD45" s="229">
        <f t="shared" si="39"/>
        <v>0</v>
      </c>
      <c r="BE45" s="229">
        <f t="shared" si="39"/>
        <v>0</v>
      </c>
      <c r="BF45" s="229">
        <f t="shared" si="39"/>
        <v>0</v>
      </c>
      <c r="BG45" s="229">
        <f t="shared" si="39"/>
        <v>0</v>
      </c>
      <c r="BH45" s="229">
        <f t="shared" si="39"/>
        <v>0</v>
      </c>
      <c r="BI45" s="229">
        <f t="shared" si="39"/>
        <v>0</v>
      </c>
      <c r="BJ45" s="229">
        <f t="shared" si="39"/>
        <v>0</v>
      </c>
      <c r="BK45" s="229">
        <f t="shared" si="39"/>
        <v>0</v>
      </c>
      <c r="BL45" s="229">
        <f t="shared" si="39"/>
        <v>0</v>
      </c>
      <c r="BM45" s="229">
        <f t="shared" si="39"/>
        <v>0</v>
      </c>
      <c r="BN45" s="229">
        <f t="shared" si="39"/>
        <v>0</v>
      </c>
      <c r="BO45" s="229">
        <f t="shared" si="39"/>
        <v>0</v>
      </c>
      <c r="BP45" s="229">
        <f t="shared" si="39"/>
        <v>0</v>
      </c>
      <c r="BQ45" s="229">
        <f t="shared" si="40"/>
        <v>0</v>
      </c>
      <c r="BR45" s="229">
        <f t="shared" si="40"/>
        <v>0</v>
      </c>
      <c r="BS45" s="229">
        <f t="shared" si="40"/>
        <v>0</v>
      </c>
      <c r="BT45" s="229">
        <f t="shared" si="40"/>
        <v>0</v>
      </c>
      <c r="BU45" s="229">
        <f t="shared" si="40"/>
        <v>0</v>
      </c>
      <c r="BV45" s="229">
        <f t="shared" si="40"/>
        <v>0</v>
      </c>
      <c r="BW45" s="229">
        <f t="shared" si="40"/>
        <v>0</v>
      </c>
      <c r="BX45" s="229">
        <f t="shared" si="40"/>
        <v>0</v>
      </c>
      <c r="BY45" s="229">
        <f t="shared" si="40"/>
        <v>0</v>
      </c>
      <c r="BZ45" s="229">
        <f t="shared" si="40"/>
        <v>0</v>
      </c>
      <c r="CA45" s="229">
        <f t="shared" si="40"/>
        <v>0</v>
      </c>
      <c r="CB45" s="229">
        <f t="shared" si="40"/>
        <v>0</v>
      </c>
      <c r="CC45" s="229">
        <f t="shared" si="40"/>
        <v>0</v>
      </c>
      <c r="CD45" s="229">
        <f t="shared" si="10"/>
        <v>0</v>
      </c>
      <c r="CE45" s="229">
        <f t="shared" si="10"/>
        <v>0</v>
      </c>
      <c r="CF45" s="229">
        <f t="shared" si="10"/>
        <v>0</v>
      </c>
      <c r="CG45" s="229">
        <f t="shared" si="10"/>
        <v>0</v>
      </c>
      <c r="CH45" s="229">
        <f t="shared" si="11"/>
        <v>0</v>
      </c>
      <c r="CI45" s="229">
        <f t="shared" si="11"/>
        <v>0</v>
      </c>
      <c r="CJ45" s="229">
        <f t="shared" si="12"/>
        <v>0</v>
      </c>
      <c r="CK45" s="229">
        <f t="shared" si="11"/>
        <v>0</v>
      </c>
      <c r="CL45" s="229">
        <f t="shared" si="11"/>
        <v>0</v>
      </c>
      <c r="CM45" s="229">
        <f t="shared" si="11"/>
        <v>0</v>
      </c>
      <c r="CN45" s="229">
        <f t="shared" si="11"/>
        <v>0</v>
      </c>
      <c r="CO45" s="229">
        <f t="shared" si="36"/>
        <v>0</v>
      </c>
      <c r="CP45" s="229">
        <f t="shared" si="36"/>
        <v>0</v>
      </c>
      <c r="CQ45" s="229">
        <f t="shared" si="11"/>
        <v>0</v>
      </c>
      <c r="CR45" s="229">
        <f t="shared" si="14"/>
        <v>8.4</v>
      </c>
      <c r="CS45" s="229">
        <f t="shared" si="14"/>
        <v>0</v>
      </c>
      <c r="CT45" s="229">
        <f t="shared" si="14"/>
        <v>0</v>
      </c>
      <c r="CU45" s="230"/>
      <c r="CV45" s="231"/>
      <c r="CW45" s="231"/>
      <c r="CX45" s="231"/>
      <c r="CY45" s="231"/>
      <c r="DA45" s="231"/>
      <c r="DB45" s="231"/>
      <c r="DC45" s="231"/>
      <c r="DD45" s="231">
        <f>IF(SUM(DD$24:DD44)=DD$22,0,IF(AND($M45&gt;=DD$15,$M45&lt;(DD$16+1)),DD$22/(DD$16-DD$15+1),0))</f>
        <v>0</v>
      </c>
      <c r="DE45" s="231">
        <f>IF(SUM(DE$24:DE44)=DE$22,0,IF(AND($M45&gt;=DE$15,$M45&lt;(DE$16+1)),DE$22/(DE$16-DE$15+1),0))</f>
        <v>0</v>
      </c>
      <c r="DF45" s="231">
        <f>IF(SUM(DF$24:DF44)=DF$22,0,IF(AND($M45&gt;=DF$15,$M45&lt;(DF$16+1)),DF$22/(DF$16-DF$15+1),0))</f>
        <v>0</v>
      </c>
      <c r="DG45" s="231">
        <f>IF(SUM(DG$24:DG44)=DG$22,0,IF(AND($M45&gt;=DG$15,$M45&lt;(DG$16+1)),DG$22/(DG$16-DG$15+1),0))</f>
        <v>0</v>
      </c>
      <c r="DH45" s="231">
        <f t="shared" si="27"/>
        <v>0</v>
      </c>
      <c r="DI45" s="231">
        <f t="shared" si="27"/>
        <v>0</v>
      </c>
      <c r="DJ45" s="231">
        <f t="shared" si="27"/>
        <v>0</v>
      </c>
      <c r="DK45" s="231">
        <f t="shared" si="27"/>
        <v>0</v>
      </c>
      <c r="DL45" s="231">
        <f t="shared" si="27"/>
        <v>0</v>
      </c>
      <c r="DM45" s="231">
        <f t="shared" si="27"/>
        <v>0</v>
      </c>
      <c r="DN45" s="231">
        <f t="shared" si="27"/>
        <v>0</v>
      </c>
      <c r="DO45" s="231">
        <f t="shared" si="27"/>
        <v>0</v>
      </c>
      <c r="DP45" s="231">
        <f t="shared" si="27"/>
        <v>0</v>
      </c>
      <c r="DQ45" s="231">
        <f t="shared" si="27"/>
        <v>1.0920000000000003E-2</v>
      </c>
      <c r="DR45" s="231">
        <f t="shared" si="27"/>
        <v>0</v>
      </c>
      <c r="DS45" s="231">
        <f t="shared" si="25"/>
        <v>0.29866666666666669</v>
      </c>
      <c r="DT45" s="231">
        <f ca="1">IF(SUM(DT$24:DT44)=DT$22,0,IF(AND($M45&gt;=DT$15,$M45&lt;(DT$16+1)),DT$22/(DT$16-DT$15+1),0))</f>
        <v>0</v>
      </c>
      <c r="DU45" s="231">
        <f ca="1">IF(SUM(DU$24:DU44)=DU$22,0,IF(AND($M45&gt;=DU$15,$M45&lt;(DU$16+1)),DU$22/(DU$16-DU$15+1),0))</f>
        <v>0</v>
      </c>
      <c r="DV45" s="231">
        <f ca="1">IF(SUM(DV$24:DV44)=DV$22,0,IF(AND(M45&gt;=DV$15,M45&lt;(DV$16+1)),DV$22/(DV$16-DV$15+1),0))</f>
        <v>0</v>
      </c>
      <c r="DW45" s="231" t="e">
        <f ca="1">IF(SUM(DW$24:DW44)=DW$22,0,IF(AND($M45&gt;=DW$15,$M45&lt;(DW$16+1)),DW$22/(DW$16-DW$15+1),0))</f>
        <v>#N/A</v>
      </c>
      <c r="DX45" s="231">
        <f ca="1">IF(SUM(DX$24:DX44)=DX$22,0,IF(AND($M45&gt;=DX$15,$M45&lt;(DX$16+1)),DX$22/(DX$16-DX$15+1),0))</f>
        <v>0</v>
      </c>
      <c r="DY45" s="231">
        <f ca="1">IF(SUM(DY$24:DY44)=DY$22,0,IF(AND($M45&gt;=DY$15,$M45&lt;(DY$16+1)),DY$22/(DY$16-DY$15+1),0))</f>
        <v>0</v>
      </c>
      <c r="DZ45" s="231">
        <f ca="1">IF(SUM(DZ$24:DZ44)=DZ$22,0,IF(AND($M45&gt;=DZ$15,$M45&lt;(DZ$16+1)),DZ$22/(DZ$16-DZ$15+1),0))</f>
        <v>0</v>
      </c>
      <c r="EA45" s="231" t="e">
        <f ca="1">IF(SUM(EA$24:EA44)=EA$22,0,IF(AND(M45&gt;=EA$15,M45&lt;(EA$16+1)),EA$22/(EA$16-EA$15+1),0))</f>
        <v>#N/A</v>
      </c>
      <c r="EC45" s="234">
        <f t="shared" si="16"/>
        <v>18</v>
      </c>
      <c r="ED45" s="234" t="e">
        <f t="shared" ca="1" si="17"/>
        <v>#N/A</v>
      </c>
      <c r="EE45" s="235" t="e">
        <f t="shared" ca="1" si="18"/>
        <v>#N/A</v>
      </c>
      <c r="EF45" s="234" t="e">
        <f t="shared" ca="1" si="28"/>
        <v>#N/A</v>
      </c>
      <c r="EG45" s="234" t="e">
        <f t="shared" ca="1" si="29"/>
        <v>#N/A</v>
      </c>
      <c r="EH45" s="234" t="e">
        <f t="shared" ca="1" si="34"/>
        <v>#N/A</v>
      </c>
      <c r="EI45" s="234"/>
      <c r="EJ45" s="234"/>
      <c r="EK45" s="153" t="e">
        <f t="shared" ca="1" si="19"/>
        <v>#N/A</v>
      </c>
      <c r="EL45" s="231" t="e">
        <f ca="1">IF(SUM(EL$24:EL44)=EL$22,0,IF(AND($M45&gt;=EL$15,$M45&lt;(EL$16+1)),EL$22/(EL$16-EL$15+1),0))</f>
        <v>#N/A</v>
      </c>
      <c r="EM45" s="153" t="e">
        <f t="shared" ca="1" si="21"/>
        <v>#N/A</v>
      </c>
      <c r="EO45" s="60"/>
      <c r="EP45" s="60"/>
    </row>
    <row r="46" spans="1:146">
      <c r="A46" s="220"/>
      <c r="B46" s="236">
        <f t="shared" si="23"/>
        <v>19</v>
      </c>
      <c r="C46" s="221">
        <f t="shared" si="26"/>
        <v>44138.500600000028</v>
      </c>
      <c r="D46" s="222" t="e">
        <f ca="1">'Offshore INT'!R35</f>
        <v>#N/A</v>
      </c>
      <c r="E46" s="223" t="e">
        <f t="shared" ca="1" si="0"/>
        <v>#N/A</v>
      </c>
      <c r="F46" s="224"/>
      <c r="G46" s="225">
        <f>IF(G45=1,1,SUM($F$24:F46))</f>
        <v>0</v>
      </c>
      <c r="H46" s="226" t="e">
        <f ca="1">IF(H45=0,0,SUM($I$24:I46))</f>
        <v>#N/A</v>
      </c>
      <c r="I46" s="227" t="e">
        <f t="shared" ca="1" si="1"/>
        <v>#N/A</v>
      </c>
      <c r="J46" s="222">
        <f t="shared" ca="1" si="20"/>
        <v>0</v>
      </c>
      <c r="K46" s="60"/>
      <c r="L46" s="228"/>
      <c r="M46" s="228">
        <f t="shared" si="2"/>
        <v>19</v>
      </c>
      <c r="N46" s="221">
        <f t="shared" si="3"/>
        <v>44138.500600000028</v>
      </c>
      <c r="O46" s="229">
        <f t="shared" si="30"/>
        <v>0</v>
      </c>
      <c r="P46" s="229">
        <f t="shared" si="30"/>
        <v>0</v>
      </c>
      <c r="Q46" s="229">
        <f t="shared" si="30"/>
        <v>0</v>
      </c>
      <c r="R46" s="229">
        <f t="shared" si="30"/>
        <v>0</v>
      </c>
      <c r="S46" s="229">
        <f t="shared" si="30"/>
        <v>0</v>
      </c>
      <c r="T46" s="229">
        <f t="shared" si="30"/>
        <v>0</v>
      </c>
      <c r="U46" s="229">
        <f t="shared" si="30"/>
        <v>0</v>
      </c>
      <c r="V46" s="229">
        <f t="shared" si="30"/>
        <v>0</v>
      </c>
      <c r="W46" s="229">
        <f t="shared" si="30"/>
        <v>0</v>
      </c>
      <c r="X46" s="229">
        <f t="shared" si="30"/>
        <v>0</v>
      </c>
      <c r="Y46" s="229">
        <f t="shared" si="30"/>
        <v>0</v>
      </c>
      <c r="Z46" s="229">
        <f t="shared" si="30"/>
        <v>0</v>
      </c>
      <c r="AA46" s="229">
        <f t="shared" si="38"/>
        <v>0</v>
      </c>
      <c r="AB46" s="229">
        <f t="shared" si="38"/>
        <v>0</v>
      </c>
      <c r="AC46" s="229">
        <f t="shared" si="38"/>
        <v>0</v>
      </c>
      <c r="AD46" s="229">
        <f t="shared" si="38"/>
        <v>0</v>
      </c>
      <c r="AE46" s="229">
        <f t="shared" si="38"/>
        <v>0</v>
      </c>
      <c r="AF46" s="229">
        <f t="shared" si="38"/>
        <v>0</v>
      </c>
      <c r="AG46" s="229">
        <f t="shared" si="38"/>
        <v>0</v>
      </c>
      <c r="AH46" s="229">
        <f t="shared" si="38"/>
        <v>0</v>
      </c>
      <c r="AI46" s="229">
        <f t="shared" si="38"/>
        <v>0</v>
      </c>
      <c r="AJ46" s="229">
        <f t="shared" si="38"/>
        <v>0</v>
      </c>
      <c r="AK46" s="229">
        <f t="shared" si="38"/>
        <v>0</v>
      </c>
      <c r="AL46" s="229">
        <f t="shared" si="38"/>
        <v>0</v>
      </c>
      <c r="AM46" s="229">
        <f t="shared" si="38"/>
        <v>0</v>
      </c>
      <c r="AN46" s="229">
        <f t="shared" si="38"/>
        <v>0</v>
      </c>
      <c r="AO46" s="229">
        <f t="shared" si="38"/>
        <v>0</v>
      </c>
      <c r="AP46" s="229">
        <f t="shared" si="38"/>
        <v>0</v>
      </c>
      <c r="AQ46" s="229">
        <f t="shared" si="38"/>
        <v>0</v>
      </c>
      <c r="AR46" s="229">
        <f t="shared" si="38"/>
        <v>0</v>
      </c>
      <c r="AS46" s="229">
        <f t="shared" si="37"/>
        <v>0</v>
      </c>
      <c r="AT46" s="229">
        <f t="shared" si="37"/>
        <v>0</v>
      </c>
      <c r="AU46" s="229">
        <f t="shared" si="37"/>
        <v>0</v>
      </c>
      <c r="AV46" s="229">
        <f t="shared" si="37"/>
        <v>0</v>
      </c>
      <c r="AW46" s="229">
        <f t="shared" si="37"/>
        <v>0</v>
      </c>
      <c r="AX46" s="229">
        <f t="shared" si="38"/>
        <v>0</v>
      </c>
      <c r="AY46" s="229">
        <f t="shared" si="38"/>
        <v>0</v>
      </c>
      <c r="AZ46" s="229">
        <f t="shared" si="38"/>
        <v>0</v>
      </c>
      <c r="BA46" s="229">
        <f t="shared" si="38"/>
        <v>0</v>
      </c>
      <c r="BB46" s="229">
        <f t="shared" si="38"/>
        <v>0</v>
      </c>
      <c r="BC46" s="229">
        <f t="shared" si="38"/>
        <v>0</v>
      </c>
      <c r="BD46" s="229">
        <f t="shared" si="39"/>
        <v>0</v>
      </c>
      <c r="BE46" s="229">
        <f t="shared" si="39"/>
        <v>0</v>
      </c>
      <c r="BF46" s="229">
        <f t="shared" si="39"/>
        <v>0</v>
      </c>
      <c r="BG46" s="229">
        <f t="shared" si="39"/>
        <v>0</v>
      </c>
      <c r="BH46" s="229">
        <f t="shared" si="39"/>
        <v>0</v>
      </c>
      <c r="BI46" s="229">
        <f t="shared" si="39"/>
        <v>0</v>
      </c>
      <c r="BJ46" s="229">
        <f t="shared" si="39"/>
        <v>0</v>
      </c>
      <c r="BK46" s="229">
        <f t="shared" si="39"/>
        <v>0</v>
      </c>
      <c r="BL46" s="229">
        <f t="shared" si="39"/>
        <v>0</v>
      </c>
      <c r="BM46" s="229">
        <f t="shared" si="39"/>
        <v>0</v>
      </c>
      <c r="BN46" s="229">
        <f t="shared" si="39"/>
        <v>0</v>
      </c>
      <c r="BO46" s="229">
        <f t="shared" si="39"/>
        <v>0</v>
      </c>
      <c r="BP46" s="229">
        <f t="shared" si="39"/>
        <v>0</v>
      </c>
      <c r="BQ46" s="229">
        <f t="shared" si="40"/>
        <v>0</v>
      </c>
      <c r="BR46" s="229">
        <f t="shared" si="40"/>
        <v>0</v>
      </c>
      <c r="BS46" s="229">
        <f t="shared" si="40"/>
        <v>0</v>
      </c>
      <c r="BT46" s="229">
        <f t="shared" si="40"/>
        <v>0</v>
      </c>
      <c r="BU46" s="229">
        <f t="shared" si="40"/>
        <v>0</v>
      </c>
      <c r="BV46" s="229">
        <f t="shared" si="40"/>
        <v>0</v>
      </c>
      <c r="BW46" s="229">
        <f t="shared" si="40"/>
        <v>0</v>
      </c>
      <c r="BX46" s="229">
        <f t="shared" si="40"/>
        <v>0</v>
      </c>
      <c r="BY46" s="229">
        <f t="shared" si="40"/>
        <v>0</v>
      </c>
      <c r="BZ46" s="229">
        <f t="shared" si="40"/>
        <v>0</v>
      </c>
      <c r="CA46" s="229">
        <f t="shared" si="40"/>
        <v>0</v>
      </c>
      <c r="CB46" s="229">
        <f t="shared" si="40"/>
        <v>0</v>
      </c>
      <c r="CC46" s="229">
        <f t="shared" si="40"/>
        <v>0</v>
      </c>
      <c r="CD46" s="229">
        <f t="shared" si="10"/>
        <v>0</v>
      </c>
      <c r="CE46" s="229">
        <f t="shared" si="10"/>
        <v>0</v>
      </c>
      <c r="CF46" s="229">
        <f t="shared" si="10"/>
        <v>0</v>
      </c>
      <c r="CG46" s="229">
        <f t="shared" si="10"/>
        <v>0</v>
      </c>
      <c r="CH46" s="229">
        <f t="shared" si="11"/>
        <v>0</v>
      </c>
      <c r="CI46" s="229">
        <f t="shared" si="11"/>
        <v>0</v>
      </c>
      <c r="CJ46" s="229">
        <f t="shared" si="12"/>
        <v>0</v>
      </c>
      <c r="CK46" s="229">
        <f t="shared" si="11"/>
        <v>0</v>
      </c>
      <c r="CL46" s="229">
        <f t="shared" si="11"/>
        <v>0</v>
      </c>
      <c r="CM46" s="229">
        <f t="shared" si="11"/>
        <v>0</v>
      </c>
      <c r="CN46" s="229">
        <f t="shared" si="11"/>
        <v>0</v>
      </c>
      <c r="CO46" s="229">
        <f t="shared" si="36"/>
        <v>0</v>
      </c>
      <c r="CP46" s="229">
        <f t="shared" si="36"/>
        <v>0</v>
      </c>
      <c r="CQ46" s="229">
        <f t="shared" si="11"/>
        <v>0</v>
      </c>
      <c r="CR46" s="229">
        <f t="shared" si="14"/>
        <v>0</v>
      </c>
      <c r="CS46" s="229">
        <f t="shared" si="14"/>
        <v>0</v>
      </c>
      <c r="CT46" s="229">
        <f t="shared" si="14"/>
        <v>0</v>
      </c>
      <c r="CU46" s="230"/>
      <c r="CV46" s="231"/>
      <c r="CW46" s="231"/>
      <c r="CX46" s="231"/>
      <c r="CY46" s="231"/>
      <c r="DA46" s="231"/>
      <c r="DB46" s="231"/>
      <c r="DC46" s="231"/>
      <c r="DD46" s="231">
        <f>IF(SUM(DD$24:DD45)=DD$22,0,IF(AND($M46&gt;=DD$15,$M46&lt;(DD$16+1)),DD$22/(DD$16-DD$15+1),0))</f>
        <v>0</v>
      </c>
      <c r="DE46" s="231">
        <f>IF(SUM(DE$24:DE45)=DE$22,0,IF(AND($M46&gt;=DE$15,$M46&lt;(DE$16+1)),DE$22/(DE$16-DE$15+1),0))</f>
        <v>0</v>
      </c>
      <c r="DF46" s="231">
        <f>IF(SUM(DF$24:DF45)=DF$22,0,IF(AND($M46&gt;=DF$15,$M46&lt;(DF$16+1)),DF$22/(DF$16-DF$15+1),0))</f>
        <v>0</v>
      </c>
      <c r="DG46" s="231">
        <f>IF(SUM(DG$24:DG45)=DG$22,0,IF(AND($M46&gt;=DG$15,$M46&lt;(DG$16+1)),DG$22/(DG$16-DG$15+1),0))</f>
        <v>0</v>
      </c>
      <c r="DH46" s="231">
        <f t="shared" si="27"/>
        <v>0</v>
      </c>
      <c r="DI46" s="231">
        <f t="shared" si="27"/>
        <v>0</v>
      </c>
      <c r="DJ46" s="231">
        <f t="shared" si="27"/>
        <v>0</v>
      </c>
      <c r="DK46" s="231">
        <f t="shared" si="27"/>
        <v>0</v>
      </c>
      <c r="DL46" s="231">
        <f t="shared" si="27"/>
        <v>0</v>
      </c>
      <c r="DM46" s="231">
        <f t="shared" si="27"/>
        <v>0</v>
      </c>
      <c r="DN46" s="231">
        <f t="shared" si="27"/>
        <v>0</v>
      </c>
      <c r="DO46" s="231">
        <f t="shared" si="27"/>
        <v>0</v>
      </c>
      <c r="DP46" s="231">
        <f t="shared" si="27"/>
        <v>0</v>
      </c>
      <c r="DQ46" s="231">
        <f t="shared" si="27"/>
        <v>0</v>
      </c>
      <c r="DR46" s="231">
        <f t="shared" si="27"/>
        <v>0</v>
      </c>
      <c r="DS46" s="231">
        <f t="shared" si="25"/>
        <v>0.29866666666666669</v>
      </c>
      <c r="DT46" s="231">
        <f ca="1">IF(SUM(DT$24:DT45)=DT$22,0,IF(AND($M46&gt;=DT$15,$M46&lt;(DT$16+1)),DT$22/(DT$16-DT$15+1),0))</f>
        <v>0</v>
      </c>
      <c r="DU46" s="231">
        <f ca="1">IF(SUM(DU$24:DU45)=DU$22,0,IF(AND($M46&gt;=DU$15,$M46&lt;(DU$16+1)),DU$22/(DU$16-DU$15+1),0))</f>
        <v>0</v>
      </c>
      <c r="DV46" s="231">
        <f ca="1">IF(SUM(DV$24:DV45)=DV$22,0,IF(AND(M46&gt;=DV$15,M46&lt;(DV$16+1)),DV$22/(DV$16-DV$15+1),0))</f>
        <v>0</v>
      </c>
      <c r="DW46" s="231" t="e">
        <f ca="1">IF(SUM(DW$24:DW45)=DW$22,0,IF(AND($M46&gt;=DW$15,$M46&lt;(DW$16+1)),DW$22/(DW$16-DW$15+1),0))</f>
        <v>#N/A</v>
      </c>
      <c r="DX46" s="231">
        <f ca="1">IF(SUM(DX$24:DX45)=DX$22,0,IF(AND($M46&gt;=DX$15,$M46&lt;(DX$16+1)),DX$22/(DX$16-DX$15+1),0))</f>
        <v>0</v>
      </c>
      <c r="DY46" s="231">
        <f ca="1">IF(SUM(DY$24:DY45)=DY$22,0,IF(AND($M46&gt;=DY$15,$M46&lt;(DY$16+1)),DY$22/(DY$16-DY$15+1),0))</f>
        <v>0</v>
      </c>
      <c r="DZ46" s="231">
        <f ca="1">IF(SUM(DZ$24:DZ45)=DZ$22,0,IF(AND($M46&gt;=DZ$15,$M46&lt;(DZ$16+1)),DZ$22/(DZ$16-DZ$15+1),0))</f>
        <v>0</v>
      </c>
      <c r="EA46" s="231" t="e">
        <f ca="1">IF(SUM(EA$24:EA45)=EA$22,0,IF(AND(M46&gt;=EA$15,M46&lt;(EA$16+1)),EA$22/(EA$16-EA$15+1),0))</f>
        <v>#N/A</v>
      </c>
      <c r="EC46" s="234">
        <f t="shared" si="16"/>
        <v>19</v>
      </c>
      <c r="ED46" s="234" t="e">
        <f t="shared" ca="1" si="17"/>
        <v>#N/A</v>
      </c>
      <c r="EE46" s="235" t="e">
        <f t="shared" ca="1" si="18"/>
        <v>#N/A</v>
      </c>
      <c r="EF46" s="234" t="e">
        <f t="shared" ca="1" si="28"/>
        <v>#N/A</v>
      </c>
      <c r="EG46" s="234" t="e">
        <f t="shared" ca="1" si="29"/>
        <v>#N/A</v>
      </c>
      <c r="EH46" s="234" t="e">
        <f t="shared" ca="1" si="34"/>
        <v>#N/A</v>
      </c>
      <c r="EI46" s="234"/>
      <c r="EJ46" s="234"/>
      <c r="EK46" s="153" t="e">
        <f t="shared" ca="1" si="19"/>
        <v>#N/A</v>
      </c>
      <c r="EL46" s="231" t="e">
        <f ca="1">IF(SUM(EL$24:EL45)=EL$22,0,IF(AND($M46&gt;=EL$15,$M46&lt;(EL$16+1)),EL$22/(EL$16-EL$15+1),0))</f>
        <v>#N/A</v>
      </c>
      <c r="EM46" s="153" t="e">
        <f t="shared" ca="1" si="21"/>
        <v>#N/A</v>
      </c>
      <c r="EO46" s="60"/>
      <c r="EP46" s="60"/>
    </row>
    <row r="47" spans="1:146">
      <c r="A47" s="237"/>
      <c r="B47" s="236">
        <f t="shared" si="23"/>
        <v>20</v>
      </c>
      <c r="C47" s="239">
        <f t="shared" si="26"/>
        <v>44168.91730000003</v>
      </c>
      <c r="D47" s="222" t="e">
        <f ca="1">'Offshore INT'!R36</f>
        <v>#N/A</v>
      </c>
      <c r="E47" s="223" t="e">
        <f t="shared" ca="1" si="0"/>
        <v>#N/A</v>
      </c>
      <c r="F47" s="224"/>
      <c r="G47" s="240">
        <f>IF(G46=1,1,SUM($F$24:F47))</f>
        <v>0</v>
      </c>
      <c r="H47" s="226" t="e">
        <f ca="1">IF(H46=0,0,SUM($I$24:I47))</f>
        <v>#N/A</v>
      </c>
      <c r="I47" s="227" t="e">
        <f t="shared" ca="1" si="1"/>
        <v>#N/A</v>
      </c>
      <c r="J47" s="222">
        <f t="shared" ca="1" si="20"/>
        <v>0</v>
      </c>
      <c r="K47" s="60"/>
      <c r="L47" s="241"/>
      <c r="M47" s="241">
        <f t="shared" si="2"/>
        <v>20</v>
      </c>
      <c r="N47" s="239">
        <f t="shared" si="3"/>
        <v>44168.91730000003</v>
      </c>
      <c r="O47" s="229">
        <f t="shared" si="30"/>
        <v>0</v>
      </c>
      <c r="P47" s="229">
        <f t="shared" si="30"/>
        <v>0</v>
      </c>
      <c r="Q47" s="229">
        <f t="shared" si="30"/>
        <v>0</v>
      </c>
      <c r="R47" s="229">
        <f t="shared" si="30"/>
        <v>0</v>
      </c>
      <c r="S47" s="229">
        <f t="shared" si="30"/>
        <v>0</v>
      </c>
      <c r="T47" s="229">
        <f t="shared" si="30"/>
        <v>0</v>
      </c>
      <c r="U47" s="229">
        <f t="shared" si="30"/>
        <v>0</v>
      </c>
      <c r="V47" s="229">
        <f t="shared" si="30"/>
        <v>0</v>
      </c>
      <c r="W47" s="229">
        <f t="shared" si="30"/>
        <v>0</v>
      </c>
      <c r="X47" s="229">
        <f t="shared" si="30"/>
        <v>0</v>
      </c>
      <c r="Y47" s="229">
        <f t="shared" si="30"/>
        <v>0</v>
      </c>
      <c r="Z47" s="229">
        <f t="shared" si="30"/>
        <v>0</v>
      </c>
      <c r="AA47" s="229">
        <f t="shared" si="38"/>
        <v>0</v>
      </c>
      <c r="AB47" s="229">
        <f t="shared" si="38"/>
        <v>0</v>
      </c>
      <c r="AC47" s="229">
        <f t="shared" si="38"/>
        <v>0</v>
      </c>
      <c r="AD47" s="229">
        <f t="shared" si="38"/>
        <v>0</v>
      </c>
      <c r="AE47" s="229">
        <f t="shared" si="38"/>
        <v>0</v>
      </c>
      <c r="AF47" s="229">
        <f t="shared" si="38"/>
        <v>0</v>
      </c>
      <c r="AG47" s="229">
        <f t="shared" si="38"/>
        <v>0</v>
      </c>
      <c r="AH47" s="229">
        <f t="shared" si="38"/>
        <v>0</v>
      </c>
      <c r="AI47" s="229">
        <f t="shared" si="38"/>
        <v>0</v>
      </c>
      <c r="AJ47" s="229">
        <f t="shared" si="38"/>
        <v>0</v>
      </c>
      <c r="AK47" s="229">
        <f t="shared" si="38"/>
        <v>0</v>
      </c>
      <c r="AL47" s="229">
        <f t="shared" si="38"/>
        <v>0</v>
      </c>
      <c r="AM47" s="229">
        <f t="shared" si="38"/>
        <v>0</v>
      </c>
      <c r="AN47" s="229">
        <f t="shared" si="38"/>
        <v>0</v>
      </c>
      <c r="AO47" s="229">
        <f t="shared" si="38"/>
        <v>0</v>
      </c>
      <c r="AP47" s="229">
        <f t="shared" si="38"/>
        <v>0</v>
      </c>
      <c r="AQ47" s="229">
        <f t="shared" si="38"/>
        <v>0</v>
      </c>
      <c r="AR47" s="229">
        <f t="shared" si="38"/>
        <v>0</v>
      </c>
      <c r="AS47" s="229">
        <f t="shared" si="37"/>
        <v>0</v>
      </c>
      <c r="AT47" s="229">
        <f t="shared" si="37"/>
        <v>0</v>
      </c>
      <c r="AU47" s="229">
        <f t="shared" si="37"/>
        <v>0</v>
      </c>
      <c r="AV47" s="229">
        <f t="shared" si="37"/>
        <v>0</v>
      </c>
      <c r="AW47" s="229">
        <f t="shared" si="37"/>
        <v>0</v>
      </c>
      <c r="AX47" s="229">
        <f t="shared" si="38"/>
        <v>0</v>
      </c>
      <c r="AY47" s="229">
        <f t="shared" si="38"/>
        <v>0</v>
      </c>
      <c r="AZ47" s="229">
        <f t="shared" si="38"/>
        <v>0</v>
      </c>
      <c r="BA47" s="229">
        <f t="shared" si="38"/>
        <v>0</v>
      </c>
      <c r="BB47" s="229">
        <f t="shared" si="38"/>
        <v>0</v>
      </c>
      <c r="BC47" s="229">
        <f t="shared" si="38"/>
        <v>0</v>
      </c>
      <c r="BD47" s="229">
        <f t="shared" si="39"/>
        <v>0</v>
      </c>
      <c r="BE47" s="229">
        <f t="shared" si="39"/>
        <v>0</v>
      </c>
      <c r="BF47" s="229">
        <f t="shared" si="39"/>
        <v>0</v>
      </c>
      <c r="BG47" s="229">
        <f t="shared" si="39"/>
        <v>0</v>
      </c>
      <c r="BH47" s="229">
        <f t="shared" si="39"/>
        <v>0</v>
      </c>
      <c r="BI47" s="229">
        <f t="shared" si="39"/>
        <v>0</v>
      </c>
      <c r="BJ47" s="229">
        <f t="shared" si="39"/>
        <v>0</v>
      </c>
      <c r="BK47" s="229">
        <f t="shared" si="39"/>
        <v>0</v>
      </c>
      <c r="BL47" s="229">
        <f t="shared" si="39"/>
        <v>0</v>
      </c>
      <c r="BM47" s="229">
        <f t="shared" si="39"/>
        <v>0</v>
      </c>
      <c r="BN47" s="229">
        <f t="shared" si="39"/>
        <v>0</v>
      </c>
      <c r="BO47" s="229">
        <f t="shared" si="39"/>
        <v>0</v>
      </c>
      <c r="BP47" s="229">
        <f t="shared" si="39"/>
        <v>0</v>
      </c>
      <c r="BQ47" s="229">
        <f t="shared" si="40"/>
        <v>0</v>
      </c>
      <c r="BR47" s="229">
        <f t="shared" si="40"/>
        <v>0</v>
      </c>
      <c r="BS47" s="229">
        <f t="shared" si="40"/>
        <v>0</v>
      </c>
      <c r="BT47" s="229">
        <f t="shared" si="40"/>
        <v>0</v>
      </c>
      <c r="BU47" s="229">
        <f t="shared" si="40"/>
        <v>0</v>
      </c>
      <c r="BV47" s="229">
        <f t="shared" si="40"/>
        <v>0</v>
      </c>
      <c r="BW47" s="229">
        <f t="shared" si="40"/>
        <v>0</v>
      </c>
      <c r="BX47" s="229">
        <f t="shared" si="40"/>
        <v>0</v>
      </c>
      <c r="BY47" s="229">
        <f t="shared" si="40"/>
        <v>0</v>
      </c>
      <c r="BZ47" s="229">
        <f t="shared" si="40"/>
        <v>0</v>
      </c>
      <c r="CA47" s="229">
        <f t="shared" si="40"/>
        <v>0</v>
      </c>
      <c r="CB47" s="229">
        <f t="shared" si="40"/>
        <v>0</v>
      </c>
      <c r="CC47" s="229">
        <f t="shared" si="40"/>
        <v>0</v>
      </c>
      <c r="CD47" s="229">
        <f t="shared" si="10"/>
        <v>0</v>
      </c>
      <c r="CE47" s="229">
        <f t="shared" si="10"/>
        <v>0</v>
      </c>
      <c r="CF47" s="229">
        <f t="shared" si="10"/>
        <v>0</v>
      </c>
      <c r="CG47" s="229">
        <f t="shared" si="10"/>
        <v>0</v>
      </c>
      <c r="CH47" s="229">
        <f t="shared" si="11"/>
        <v>0</v>
      </c>
      <c r="CI47" s="229">
        <f t="shared" si="11"/>
        <v>0</v>
      </c>
      <c r="CJ47" s="229">
        <f t="shared" si="12"/>
        <v>0</v>
      </c>
      <c r="CK47" s="229">
        <f t="shared" si="11"/>
        <v>0</v>
      </c>
      <c r="CL47" s="229">
        <f t="shared" si="11"/>
        <v>0</v>
      </c>
      <c r="CM47" s="229">
        <f t="shared" si="11"/>
        <v>0</v>
      </c>
      <c r="CN47" s="229">
        <f t="shared" si="11"/>
        <v>0</v>
      </c>
      <c r="CO47" s="229">
        <f t="shared" si="36"/>
        <v>0</v>
      </c>
      <c r="CP47" s="229">
        <f t="shared" si="36"/>
        <v>0</v>
      </c>
      <c r="CQ47" s="229">
        <f t="shared" ref="CL47:CQ62" si="41">IF($M47=CQ$13,CQ$22*CQ$3,IF($M47=CQ$14,CQ$22*CQ$4,IF($M47=CQ$15,CQ$22*CQ$5,IF($M47=CQ$16,CQ$22*CQ$6,IF($M47=CQ$17,CQ$22*CQ$7,IF($M47=CQ$18,CQ$22*CQ$8,IF($M47=CQ$19,CQ$22*CQ$9,IF($M47=CQ$20,CQ$22*CQ$10,0))))))))</f>
        <v>0</v>
      </c>
      <c r="CR47" s="229">
        <f t="shared" si="14"/>
        <v>0</v>
      </c>
      <c r="CS47" s="229">
        <f t="shared" si="14"/>
        <v>0</v>
      </c>
      <c r="CT47" s="229">
        <f t="shared" si="14"/>
        <v>0</v>
      </c>
      <c r="CU47" s="230"/>
      <c r="CV47" s="231"/>
      <c r="CW47" s="231"/>
      <c r="CX47" s="231"/>
      <c r="CY47" s="231"/>
      <c r="DA47" s="231"/>
      <c r="DB47" s="231"/>
      <c r="DC47" s="231"/>
      <c r="DD47" s="231">
        <f>IF(SUM(DD$24:DD46)=DD$22,0,IF(AND($M47&gt;=DD$15,$M47&lt;(DD$16+1)),DD$22/(DD$16-DD$15+1),0))</f>
        <v>0</v>
      </c>
      <c r="DE47" s="231">
        <f>IF(SUM(DE$24:DE46)=DE$22,0,IF(AND($M47&gt;=DE$15,$M47&lt;(DE$16+1)),DE$22/(DE$16-DE$15+1),0))</f>
        <v>0</v>
      </c>
      <c r="DF47" s="231">
        <f>IF(SUM(DF$24:DF46)=DF$22,0,IF(AND($M47&gt;=DF$15,$M47&lt;(DF$16+1)),DF$22/(DF$16-DF$15+1),0))</f>
        <v>0</v>
      </c>
      <c r="DG47" s="231">
        <f>IF(SUM(DG$24:DG46)=DG$22,0,IF(AND($M47&gt;=DG$15,$M47&lt;(DG$16+1)),DG$22/(DG$16-DG$15+1),0))</f>
        <v>0</v>
      </c>
      <c r="DH47" s="231">
        <f t="shared" si="27"/>
        <v>0</v>
      </c>
      <c r="DI47" s="231">
        <f t="shared" si="27"/>
        <v>0</v>
      </c>
      <c r="DJ47" s="231">
        <f t="shared" si="27"/>
        <v>0</v>
      </c>
      <c r="DK47" s="231">
        <f t="shared" si="27"/>
        <v>0</v>
      </c>
      <c r="DL47" s="231">
        <f t="shared" si="27"/>
        <v>0</v>
      </c>
      <c r="DM47" s="231">
        <f t="shared" si="27"/>
        <v>0</v>
      </c>
      <c r="DN47" s="231">
        <f t="shared" si="27"/>
        <v>0</v>
      </c>
      <c r="DO47" s="231">
        <f t="shared" si="27"/>
        <v>0</v>
      </c>
      <c r="DP47" s="231">
        <f t="shared" si="27"/>
        <v>0</v>
      </c>
      <c r="DQ47" s="231">
        <f t="shared" si="27"/>
        <v>0</v>
      </c>
      <c r="DR47" s="231">
        <f t="shared" si="27"/>
        <v>0</v>
      </c>
      <c r="DS47" s="231">
        <f t="shared" si="25"/>
        <v>0.29866666666666669</v>
      </c>
      <c r="DT47" s="231">
        <f ca="1">IF(SUM(DT$24:DT46)=DT$22,0,IF(AND($M47&gt;=DT$15,$M47&lt;(DT$16+1)),DT$22/(DT$16-DT$15+1),0))</f>
        <v>0</v>
      </c>
      <c r="DU47" s="231">
        <f ca="1">IF(SUM(DU$24:DU46)=DU$22,0,IF(AND($M47&gt;=DU$15,$M47&lt;(DU$16+1)),DU$22/(DU$16-DU$15+1),0))</f>
        <v>0</v>
      </c>
      <c r="DV47" s="231">
        <f ca="1">IF(SUM(DV$24:DV46)=DV$22,0,IF(AND(M47&gt;=DV$15,M47&lt;(DV$16+1)),DV$22/(DV$16-DV$15+1),0))</f>
        <v>0</v>
      </c>
      <c r="DW47" s="231" t="e">
        <f ca="1">IF(SUM(DW$24:DW46)=DW$22,0,IF(AND($M47&gt;=DW$15,$M47&lt;(DW$16+1)),DW$22/(DW$16-DW$15+1),0))</f>
        <v>#N/A</v>
      </c>
      <c r="DX47" s="231">
        <f ca="1">IF(SUM(DX$24:DX46)=DX$22,0,IF(AND($M47&gt;=DX$15,$M47&lt;(DX$16+1)),DX$22/(DX$16-DX$15+1),0))</f>
        <v>0</v>
      </c>
      <c r="DY47" s="231">
        <f ca="1">IF(SUM(DY$24:DY46)=DY$22,0,IF(AND($M47&gt;=DY$15,$M47&lt;(DY$16+1)),DY$22/(DY$16-DY$15+1),0))</f>
        <v>0</v>
      </c>
      <c r="DZ47" s="231">
        <f ca="1">IF(SUM(DZ$24:DZ46)=DZ$22,0,IF(AND($M47&gt;=DZ$15,$M47&lt;(DZ$16+1)),DZ$22/(DZ$16-DZ$15+1),0))</f>
        <v>0</v>
      </c>
      <c r="EA47" s="231" t="e">
        <f ca="1">IF(SUM(EA$24:EA46)=EA$22,0,IF(AND(M47&gt;=EA$15,M47&lt;(EA$16+1)),EA$22/(EA$16-EA$15+1),0))</f>
        <v>#N/A</v>
      </c>
      <c r="EC47" s="234">
        <f t="shared" si="16"/>
        <v>20</v>
      </c>
      <c r="ED47" s="234" t="e">
        <f t="shared" ca="1" si="17"/>
        <v>#N/A</v>
      </c>
      <c r="EE47" s="235" t="e">
        <f t="shared" ca="1" si="18"/>
        <v>#N/A</v>
      </c>
      <c r="EF47" s="234" t="e">
        <f t="shared" ca="1" si="28"/>
        <v>#N/A</v>
      </c>
      <c r="EG47" s="234" t="e">
        <f t="shared" ca="1" si="29"/>
        <v>#N/A</v>
      </c>
      <c r="EH47" s="234" t="e">
        <f t="shared" ca="1" si="34"/>
        <v>#N/A</v>
      </c>
      <c r="EI47" s="234"/>
      <c r="EJ47" s="234"/>
      <c r="EK47" s="153" t="e">
        <f t="shared" ca="1" si="19"/>
        <v>#N/A</v>
      </c>
      <c r="EL47" s="231" t="e">
        <f ca="1">IF(SUM(EL$24:EL46)=EL$22,0,IF(AND($M47&gt;=EL$15,$M47&lt;(EL$16+1)),EL$22/(EL$16-EL$15+1),0))</f>
        <v>#N/A</v>
      </c>
      <c r="EM47" s="153" t="e">
        <f t="shared" ca="1" si="21"/>
        <v>#N/A</v>
      </c>
      <c r="EO47" s="60"/>
      <c r="EP47" s="60"/>
    </row>
    <row r="48" spans="1:146">
      <c r="A48" s="220" t="s">
        <v>114</v>
      </c>
      <c r="B48" s="1351">
        <f t="shared" si="23"/>
        <v>21</v>
      </c>
      <c r="C48" s="807">
        <f t="shared" si="26"/>
        <v>44199.334000000032</v>
      </c>
      <c r="D48" s="222" t="e">
        <f ca="1">'Offshore INT'!R37</f>
        <v>#N/A</v>
      </c>
      <c r="E48" s="223" t="e">
        <f t="shared" ca="1" si="0"/>
        <v>#N/A</v>
      </c>
      <c r="F48" s="224"/>
      <c r="G48" s="225">
        <f>IF(G47=1,1,SUM($F$24:F48))</f>
        <v>0</v>
      </c>
      <c r="H48" s="226" t="e">
        <f ca="1">IF(H47=0,0,SUM($I$24:I48))</f>
        <v>#N/A</v>
      </c>
      <c r="I48" s="227" t="e">
        <f t="shared" ca="1" si="1"/>
        <v>#N/A</v>
      </c>
      <c r="J48" s="222">
        <f t="shared" ca="1" si="20"/>
        <v>0</v>
      </c>
      <c r="K48" s="2"/>
      <c r="L48" s="220" t="str">
        <f>A48</f>
        <v>Yr 3</v>
      </c>
      <c r="M48" s="236">
        <f t="shared" si="2"/>
        <v>21</v>
      </c>
      <c r="N48" s="221">
        <f t="shared" si="3"/>
        <v>44199.334000000032</v>
      </c>
      <c r="O48" s="229">
        <f t="shared" si="30"/>
        <v>0</v>
      </c>
      <c r="P48" s="229">
        <f t="shared" si="30"/>
        <v>0</v>
      </c>
      <c r="Q48" s="229">
        <f t="shared" si="30"/>
        <v>0</v>
      </c>
      <c r="R48" s="229">
        <f t="shared" si="30"/>
        <v>0</v>
      </c>
      <c r="S48" s="229">
        <f t="shared" si="30"/>
        <v>0</v>
      </c>
      <c r="T48" s="229">
        <f t="shared" si="30"/>
        <v>0</v>
      </c>
      <c r="U48" s="229">
        <f t="shared" si="30"/>
        <v>0</v>
      </c>
      <c r="V48" s="229">
        <f t="shared" si="30"/>
        <v>0</v>
      </c>
      <c r="W48" s="229">
        <f t="shared" si="30"/>
        <v>0</v>
      </c>
      <c r="X48" s="229">
        <f t="shared" si="30"/>
        <v>0</v>
      </c>
      <c r="Y48" s="229">
        <f t="shared" si="30"/>
        <v>0</v>
      </c>
      <c r="Z48" s="229">
        <f t="shared" si="30"/>
        <v>0</v>
      </c>
      <c r="AA48" s="229">
        <f t="shared" si="38"/>
        <v>0</v>
      </c>
      <c r="AB48" s="229">
        <f t="shared" si="38"/>
        <v>0</v>
      </c>
      <c r="AC48" s="229">
        <f t="shared" si="38"/>
        <v>0</v>
      </c>
      <c r="AD48" s="229">
        <f t="shared" si="38"/>
        <v>0</v>
      </c>
      <c r="AE48" s="229">
        <f t="shared" si="38"/>
        <v>0</v>
      </c>
      <c r="AF48" s="229">
        <f t="shared" si="38"/>
        <v>0</v>
      </c>
      <c r="AG48" s="229">
        <f t="shared" si="38"/>
        <v>0</v>
      </c>
      <c r="AH48" s="229">
        <f t="shared" si="38"/>
        <v>0</v>
      </c>
      <c r="AI48" s="229">
        <f t="shared" si="38"/>
        <v>0</v>
      </c>
      <c r="AJ48" s="229">
        <f t="shared" si="38"/>
        <v>0</v>
      </c>
      <c r="AK48" s="229">
        <f t="shared" si="38"/>
        <v>0</v>
      </c>
      <c r="AL48" s="229">
        <f t="shared" si="38"/>
        <v>0</v>
      </c>
      <c r="AM48" s="229">
        <f t="shared" si="38"/>
        <v>0</v>
      </c>
      <c r="AN48" s="229">
        <f t="shared" si="38"/>
        <v>0</v>
      </c>
      <c r="AO48" s="229">
        <f t="shared" si="38"/>
        <v>0</v>
      </c>
      <c r="AP48" s="229">
        <f t="shared" si="38"/>
        <v>0</v>
      </c>
      <c r="AQ48" s="229">
        <f t="shared" si="38"/>
        <v>0</v>
      </c>
      <c r="AR48" s="229">
        <f t="shared" si="38"/>
        <v>0</v>
      </c>
      <c r="AS48" s="229">
        <f t="shared" si="37"/>
        <v>0</v>
      </c>
      <c r="AT48" s="229">
        <f t="shared" si="37"/>
        <v>0</v>
      </c>
      <c r="AU48" s="229">
        <f t="shared" si="37"/>
        <v>0</v>
      </c>
      <c r="AV48" s="229">
        <f t="shared" si="37"/>
        <v>0</v>
      </c>
      <c r="AW48" s="229">
        <f t="shared" si="37"/>
        <v>0</v>
      </c>
      <c r="AX48" s="229">
        <f t="shared" si="38"/>
        <v>0</v>
      </c>
      <c r="AY48" s="229">
        <f t="shared" si="38"/>
        <v>0</v>
      </c>
      <c r="AZ48" s="229">
        <f t="shared" si="38"/>
        <v>0</v>
      </c>
      <c r="BA48" s="229">
        <f t="shared" si="38"/>
        <v>0</v>
      </c>
      <c r="BB48" s="229">
        <f t="shared" si="38"/>
        <v>0</v>
      </c>
      <c r="BC48" s="229">
        <f t="shared" si="38"/>
        <v>0</v>
      </c>
      <c r="BD48" s="229">
        <f t="shared" si="39"/>
        <v>0</v>
      </c>
      <c r="BE48" s="229">
        <f t="shared" si="39"/>
        <v>0</v>
      </c>
      <c r="BF48" s="229">
        <f t="shared" si="39"/>
        <v>0</v>
      </c>
      <c r="BG48" s="229">
        <f t="shared" si="39"/>
        <v>0</v>
      </c>
      <c r="BH48" s="229">
        <f t="shared" si="39"/>
        <v>0</v>
      </c>
      <c r="BI48" s="229">
        <f t="shared" si="39"/>
        <v>0</v>
      </c>
      <c r="BJ48" s="229">
        <f t="shared" si="39"/>
        <v>0</v>
      </c>
      <c r="BK48" s="229">
        <f t="shared" si="39"/>
        <v>0</v>
      </c>
      <c r="BL48" s="229">
        <f t="shared" si="39"/>
        <v>0</v>
      </c>
      <c r="BM48" s="229">
        <f t="shared" si="39"/>
        <v>0</v>
      </c>
      <c r="BN48" s="229">
        <f t="shared" si="39"/>
        <v>0</v>
      </c>
      <c r="BO48" s="229">
        <f t="shared" si="39"/>
        <v>0</v>
      </c>
      <c r="BP48" s="229">
        <f t="shared" si="39"/>
        <v>0</v>
      </c>
      <c r="BQ48" s="229">
        <f t="shared" si="40"/>
        <v>0</v>
      </c>
      <c r="BR48" s="229">
        <f t="shared" si="40"/>
        <v>0</v>
      </c>
      <c r="BS48" s="229">
        <f t="shared" si="40"/>
        <v>0</v>
      </c>
      <c r="BT48" s="229">
        <f t="shared" si="40"/>
        <v>0</v>
      </c>
      <c r="BU48" s="229">
        <f t="shared" si="40"/>
        <v>0</v>
      </c>
      <c r="BV48" s="229">
        <f t="shared" si="40"/>
        <v>0</v>
      </c>
      <c r="BW48" s="229">
        <f t="shared" si="40"/>
        <v>0</v>
      </c>
      <c r="BX48" s="229">
        <f t="shared" si="40"/>
        <v>0</v>
      </c>
      <c r="BY48" s="229">
        <f t="shared" si="40"/>
        <v>0</v>
      </c>
      <c r="BZ48" s="229">
        <f t="shared" si="40"/>
        <v>0</v>
      </c>
      <c r="CA48" s="229">
        <f t="shared" si="40"/>
        <v>0</v>
      </c>
      <c r="CB48" s="229">
        <f t="shared" si="40"/>
        <v>0</v>
      </c>
      <c r="CC48" s="229">
        <f t="shared" si="40"/>
        <v>0</v>
      </c>
      <c r="CD48" s="229">
        <f t="shared" si="10"/>
        <v>0</v>
      </c>
      <c r="CE48" s="229">
        <f t="shared" si="10"/>
        <v>0</v>
      </c>
      <c r="CF48" s="229">
        <f t="shared" si="10"/>
        <v>0</v>
      </c>
      <c r="CG48" s="229">
        <f t="shared" si="10"/>
        <v>0</v>
      </c>
      <c r="CH48" s="229">
        <f t="shared" si="11"/>
        <v>0</v>
      </c>
      <c r="CI48" s="229">
        <f t="shared" si="11"/>
        <v>0</v>
      </c>
      <c r="CJ48" s="229">
        <f t="shared" si="12"/>
        <v>0</v>
      </c>
      <c r="CK48" s="229">
        <f t="shared" si="11"/>
        <v>0</v>
      </c>
      <c r="CL48" s="229">
        <f t="shared" si="41"/>
        <v>0</v>
      </c>
      <c r="CM48" s="229">
        <f t="shared" si="41"/>
        <v>0</v>
      </c>
      <c r="CN48" s="229">
        <f t="shared" si="41"/>
        <v>0</v>
      </c>
      <c r="CO48" s="229">
        <f t="shared" si="41"/>
        <v>0</v>
      </c>
      <c r="CP48" s="229">
        <f t="shared" si="41"/>
        <v>0</v>
      </c>
      <c r="CQ48" s="229">
        <f t="shared" si="41"/>
        <v>0</v>
      </c>
      <c r="CR48" s="229">
        <f t="shared" si="14"/>
        <v>5.6000000000000005</v>
      </c>
      <c r="CS48" s="229">
        <f t="shared" si="14"/>
        <v>0</v>
      </c>
      <c r="CT48" s="229">
        <f t="shared" si="14"/>
        <v>0</v>
      </c>
      <c r="CU48" s="230"/>
      <c r="CV48" s="243">
        <f>CV22/4</f>
        <v>0</v>
      </c>
      <c r="CW48" s="243">
        <f>CW22/4</f>
        <v>0</v>
      </c>
      <c r="CX48" s="243">
        <f>CX22/4</f>
        <v>0</v>
      </c>
      <c r="CY48" s="243" t="e">
        <f ca="1">CY22/4</f>
        <v>#N/A</v>
      </c>
      <c r="DA48" s="243" t="e">
        <f ca="1">DA22/4</f>
        <v>#N/A</v>
      </c>
      <c r="DB48" s="231"/>
      <c r="DC48" s="231"/>
      <c r="DD48" s="231">
        <f>IF(SUM(DD$24:DD47)=DD$22,0,IF(AND($M48&gt;=DD$15,$M48&lt;(DD$16+1)),DD$22/(DD$16-DD$15+1),0))</f>
        <v>0</v>
      </c>
      <c r="DE48" s="231">
        <f>IF(SUM(DE$24:DE47)=DE$22,0,IF(AND($M48&gt;=DE$15,$M48&lt;(DE$16+1)),DE$22/(DE$16-DE$15+1),0))</f>
        <v>0</v>
      </c>
      <c r="DF48" s="231">
        <f>IF(SUM(DF$24:DF47)=DF$22,0,IF(AND($M48&gt;=DF$15,$M48&lt;(DF$16+1)),DF$22/(DF$16-DF$15+1),0))</f>
        <v>0</v>
      </c>
      <c r="DG48" s="231">
        <f>IF(SUM(DG$24:DG47)=DG$22,0,IF(AND($M48&gt;=DG$15,$M48&lt;(DG$16+1)),DG$22/(DG$16-DG$15+1),0))</f>
        <v>0</v>
      </c>
      <c r="DH48" s="231">
        <f t="shared" si="27"/>
        <v>0</v>
      </c>
      <c r="DI48" s="231">
        <f t="shared" si="27"/>
        <v>0</v>
      </c>
      <c r="DJ48" s="231">
        <f t="shared" si="27"/>
        <v>0</v>
      </c>
      <c r="DK48" s="231">
        <f t="shared" si="27"/>
        <v>0</v>
      </c>
      <c r="DL48" s="231">
        <f t="shared" si="27"/>
        <v>0</v>
      </c>
      <c r="DM48" s="231">
        <f t="shared" si="27"/>
        <v>0</v>
      </c>
      <c r="DN48" s="231">
        <f t="shared" si="27"/>
        <v>0</v>
      </c>
      <c r="DO48" s="231">
        <f t="shared" si="27"/>
        <v>0</v>
      </c>
      <c r="DP48" s="231">
        <f t="shared" si="27"/>
        <v>0</v>
      </c>
      <c r="DQ48" s="231">
        <f t="shared" si="27"/>
        <v>0</v>
      </c>
      <c r="DR48" s="231">
        <f t="shared" si="27"/>
        <v>0</v>
      </c>
      <c r="DS48" s="231">
        <f t="shared" si="25"/>
        <v>0.29866666666666669</v>
      </c>
      <c r="DT48" s="231">
        <f ca="1">IF(SUM(DT$24:DT47)=DT$22,0,IF(AND($M48&gt;=DT$15,$M48&lt;(DT$16+1)),DT$22/(DT$16-DT$15+1),0))</f>
        <v>0</v>
      </c>
      <c r="DU48" s="231">
        <f ca="1">IF(SUM(DU$24:DU47)=DU$22,0,IF(AND($M48&gt;=DU$15,$M48&lt;(DU$16+1)),DU$22/(DU$16-DU$15+1),0))</f>
        <v>0</v>
      </c>
      <c r="DV48" s="231">
        <f ca="1">IF(SUM(DV$24:DV47)=DV$22,0,IF(AND(M48&gt;=DV$15,M48&lt;(DV$16+1)),DV$22/(DV$16-DV$15+1),0))</f>
        <v>0</v>
      </c>
      <c r="DW48" s="231" t="e">
        <f ca="1">IF(SUM(DW$24:DW47)=DW$22,0,IF(AND($M48&gt;=DW$15,$M48&lt;(DW$16+1)),DW$22/(DW$16-DW$15+1),0))</f>
        <v>#N/A</v>
      </c>
      <c r="DX48" s="231">
        <f ca="1">IF(SUM(DX$24:DX47)=DX$22,0,IF(AND($M48&gt;=DX$15,$M48&lt;(DX$16+1)),DX$22/(DX$16-DX$15+1),0))</f>
        <v>0</v>
      </c>
      <c r="DY48" s="231">
        <f ca="1">IF(SUM(DY$24:DY47)=DY$22,0,IF(AND($M48&gt;=DY$15,$M48&lt;(DY$16+1)),DY$22/(DY$16-DY$15+1),0))</f>
        <v>0</v>
      </c>
      <c r="DZ48" s="231">
        <f ca="1">IF(SUM(DZ$24:DZ47)=DZ$22,0,IF(AND($M48&gt;=DZ$15,$M48&lt;(DZ$16+1)),DZ$22/(DZ$16-DZ$15+1),0))</f>
        <v>0</v>
      </c>
      <c r="EA48" s="231" t="e">
        <f ca="1">IF(SUM(EA$24:EA47)=EA$22,0,IF(AND(M48&gt;=EA$15,M48&lt;(EA$16+1)),EA$22/(EA$16-EA$15+1),0))</f>
        <v>#N/A</v>
      </c>
      <c r="EC48" s="372">
        <f t="shared" si="16"/>
        <v>21</v>
      </c>
      <c r="ED48" s="372" t="e">
        <f t="shared" ca="1" si="17"/>
        <v>#N/A</v>
      </c>
      <c r="EE48" s="373" t="e">
        <f t="shared" ca="1" si="18"/>
        <v>#N/A</v>
      </c>
      <c r="EF48" s="234" t="e">
        <f t="shared" ca="1" si="28"/>
        <v>#N/A</v>
      </c>
      <c r="EG48" s="234" t="e">
        <f t="shared" ca="1" si="29"/>
        <v>#N/A</v>
      </c>
      <c r="EH48" s="234" t="e">
        <f t="shared" ca="1" si="34"/>
        <v>#N/A</v>
      </c>
      <c r="EI48" s="234"/>
      <c r="EJ48" s="234"/>
      <c r="EK48" s="113" t="e">
        <f t="shared" ca="1" si="19"/>
        <v>#N/A</v>
      </c>
      <c r="EL48" s="231" t="e">
        <f ca="1">IF(SUM(EL$24:EL47)=EL$22,0,IF(AND($M48&gt;=EL$15,$M48&lt;(EL$16+1)),EL$22/(EL$16-EL$15+1),0))</f>
        <v>#N/A</v>
      </c>
      <c r="EM48" s="113" t="e">
        <f t="shared" ca="1" si="21"/>
        <v>#N/A</v>
      </c>
      <c r="EO48" s="2"/>
      <c r="EP48" s="2"/>
    </row>
    <row r="49" spans="1:146">
      <c r="A49" s="220"/>
      <c r="B49" s="236">
        <f t="shared" si="23"/>
        <v>22</v>
      </c>
      <c r="C49" s="221">
        <f t="shared" si="26"/>
        <v>44229.750700000033</v>
      </c>
      <c r="D49" s="222" t="e">
        <f ca="1">'Offshore INT'!R38</f>
        <v>#N/A</v>
      </c>
      <c r="E49" s="223" t="e">
        <f t="shared" ca="1" si="0"/>
        <v>#N/A</v>
      </c>
      <c r="F49" s="224"/>
      <c r="G49" s="225">
        <f>IF(G48=1,1,SUM($F$24:F49))</f>
        <v>0</v>
      </c>
      <c r="H49" s="226" t="e">
        <f ca="1">IF(H48=0,0,SUM($I$24:I49))</f>
        <v>#N/A</v>
      </c>
      <c r="I49" s="227" t="e">
        <f t="shared" ca="1" si="1"/>
        <v>#N/A</v>
      </c>
      <c r="J49" s="222">
        <f t="shared" ca="1" si="20"/>
        <v>0</v>
      </c>
      <c r="K49" s="60"/>
      <c r="L49" s="228"/>
      <c r="M49" s="228">
        <f t="shared" si="2"/>
        <v>22</v>
      </c>
      <c r="N49" s="221">
        <f t="shared" si="3"/>
        <v>44229.750700000033</v>
      </c>
      <c r="O49" s="229">
        <f t="shared" si="30"/>
        <v>0</v>
      </c>
      <c r="P49" s="229">
        <f t="shared" si="30"/>
        <v>0</v>
      </c>
      <c r="Q49" s="229">
        <f t="shared" si="30"/>
        <v>0</v>
      </c>
      <c r="R49" s="229">
        <f t="shared" si="30"/>
        <v>0</v>
      </c>
      <c r="S49" s="229">
        <f t="shared" si="30"/>
        <v>0</v>
      </c>
      <c r="T49" s="229">
        <f t="shared" si="30"/>
        <v>0</v>
      </c>
      <c r="U49" s="229">
        <f t="shared" si="30"/>
        <v>0</v>
      </c>
      <c r="V49" s="229">
        <f t="shared" si="30"/>
        <v>0</v>
      </c>
      <c r="W49" s="229">
        <f t="shared" si="30"/>
        <v>0</v>
      </c>
      <c r="X49" s="229">
        <f t="shared" si="30"/>
        <v>0</v>
      </c>
      <c r="Y49" s="229">
        <f t="shared" si="30"/>
        <v>0</v>
      </c>
      <c r="Z49" s="229">
        <f t="shared" si="30"/>
        <v>0</v>
      </c>
      <c r="AA49" s="229">
        <f t="shared" si="38"/>
        <v>0</v>
      </c>
      <c r="AB49" s="229">
        <f t="shared" si="38"/>
        <v>0</v>
      </c>
      <c r="AC49" s="229">
        <f t="shared" si="38"/>
        <v>0</v>
      </c>
      <c r="AD49" s="229">
        <f t="shared" si="38"/>
        <v>0</v>
      </c>
      <c r="AE49" s="229">
        <f t="shared" si="38"/>
        <v>0</v>
      </c>
      <c r="AF49" s="229">
        <f t="shared" si="38"/>
        <v>0</v>
      </c>
      <c r="AG49" s="229">
        <f t="shared" si="38"/>
        <v>0</v>
      </c>
      <c r="AH49" s="229">
        <f t="shared" si="38"/>
        <v>0</v>
      </c>
      <c r="AI49" s="229">
        <f t="shared" si="38"/>
        <v>0</v>
      </c>
      <c r="AJ49" s="229">
        <f t="shared" si="38"/>
        <v>0</v>
      </c>
      <c r="AK49" s="229">
        <f t="shared" si="38"/>
        <v>0</v>
      </c>
      <c r="AL49" s="229">
        <f t="shared" si="38"/>
        <v>0</v>
      </c>
      <c r="AM49" s="229">
        <f t="shared" si="38"/>
        <v>0</v>
      </c>
      <c r="AN49" s="229">
        <f t="shared" si="38"/>
        <v>0</v>
      </c>
      <c r="AO49" s="229">
        <f t="shared" si="38"/>
        <v>0</v>
      </c>
      <c r="AP49" s="229">
        <f t="shared" si="38"/>
        <v>0</v>
      </c>
      <c r="AQ49" s="229">
        <f t="shared" si="38"/>
        <v>0</v>
      </c>
      <c r="AR49" s="229">
        <f t="shared" si="38"/>
        <v>0</v>
      </c>
      <c r="AS49" s="229">
        <f t="shared" si="37"/>
        <v>0</v>
      </c>
      <c r="AT49" s="229">
        <f t="shared" si="37"/>
        <v>0</v>
      </c>
      <c r="AU49" s="229">
        <f t="shared" si="37"/>
        <v>0</v>
      </c>
      <c r="AV49" s="229">
        <f t="shared" si="37"/>
        <v>0</v>
      </c>
      <c r="AW49" s="229">
        <f t="shared" si="37"/>
        <v>0</v>
      </c>
      <c r="AX49" s="229">
        <f t="shared" si="38"/>
        <v>0</v>
      </c>
      <c r="AY49" s="229">
        <f t="shared" si="38"/>
        <v>0</v>
      </c>
      <c r="AZ49" s="229">
        <f t="shared" si="38"/>
        <v>0</v>
      </c>
      <c r="BA49" s="229">
        <f t="shared" si="38"/>
        <v>0</v>
      </c>
      <c r="BB49" s="229">
        <f t="shared" si="38"/>
        <v>0</v>
      </c>
      <c r="BC49" s="229">
        <f t="shared" si="38"/>
        <v>0</v>
      </c>
      <c r="BD49" s="229">
        <f t="shared" si="39"/>
        <v>0</v>
      </c>
      <c r="BE49" s="229">
        <f t="shared" si="39"/>
        <v>0</v>
      </c>
      <c r="BF49" s="229">
        <f t="shared" si="39"/>
        <v>0</v>
      </c>
      <c r="BG49" s="229">
        <f t="shared" si="39"/>
        <v>0</v>
      </c>
      <c r="BH49" s="229">
        <f t="shared" si="39"/>
        <v>0</v>
      </c>
      <c r="BI49" s="229">
        <f t="shared" si="39"/>
        <v>0</v>
      </c>
      <c r="BJ49" s="229">
        <f t="shared" si="39"/>
        <v>0</v>
      </c>
      <c r="BK49" s="229">
        <f t="shared" si="39"/>
        <v>0</v>
      </c>
      <c r="BL49" s="229">
        <f t="shared" si="39"/>
        <v>0</v>
      </c>
      <c r="BM49" s="229">
        <f t="shared" si="39"/>
        <v>0</v>
      </c>
      <c r="BN49" s="229">
        <f t="shared" si="39"/>
        <v>0</v>
      </c>
      <c r="BO49" s="229">
        <f t="shared" si="39"/>
        <v>0</v>
      </c>
      <c r="BP49" s="229">
        <f t="shared" si="39"/>
        <v>0</v>
      </c>
      <c r="BQ49" s="229">
        <f t="shared" si="40"/>
        <v>0</v>
      </c>
      <c r="BR49" s="229">
        <f t="shared" si="40"/>
        <v>0</v>
      </c>
      <c r="BS49" s="229">
        <f t="shared" si="40"/>
        <v>0</v>
      </c>
      <c r="BT49" s="229">
        <f t="shared" si="40"/>
        <v>0</v>
      </c>
      <c r="BU49" s="229">
        <f t="shared" si="40"/>
        <v>0</v>
      </c>
      <c r="BV49" s="229">
        <f t="shared" si="40"/>
        <v>0</v>
      </c>
      <c r="BW49" s="229">
        <f t="shared" si="40"/>
        <v>0</v>
      </c>
      <c r="BX49" s="229">
        <f t="shared" si="40"/>
        <v>0</v>
      </c>
      <c r="BY49" s="229">
        <f t="shared" si="40"/>
        <v>0</v>
      </c>
      <c r="BZ49" s="229">
        <f t="shared" si="40"/>
        <v>0</v>
      </c>
      <c r="CA49" s="229">
        <f t="shared" si="40"/>
        <v>0</v>
      </c>
      <c r="CB49" s="229">
        <f t="shared" si="40"/>
        <v>0</v>
      </c>
      <c r="CC49" s="229">
        <f t="shared" si="40"/>
        <v>0</v>
      </c>
      <c r="CD49" s="229">
        <f t="shared" si="10"/>
        <v>0</v>
      </c>
      <c r="CE49" s="229">
        <f t="shared" si="10"/>
        <v>0</v>
      </c>
      <c r="CF49" s="229">
        <f t="shared" si="10"/>
        <v>0</v>
      </c>
      <c r="CG49" s="229">
        <f t="shared" si="10"/>
        <v>0</v>
      </c>
      <c r="CH49" s="229">
        <f t="shared" si="11"/>
        <v>0</v>
      </c>
      <c r="CI49" s="229">
        <f t="shared" si="11"/>
        <v>0</v>
      </c>
      <c r="CJ49" s="229">
        <f t="shared" si="12"/>
        <v>0</v>
      </c>
      <c r="CK49" s="229">
        <f t="shared" si="11"/>
        <v>0</v>
      </c>
      <c r="CL49" s="229">
        <f t="shared" si="41"/>
        <v>0</v>
      </c>
      <c r="CM49" s="229">
        <f t="shared" si="41"/>
        <v>0</v>
      </c>
      <c r="CN49" s="229">
        <f t="shared" si="41"/>
        <v>0</v>
      </c>
      <c r="CO49" s="229">
        <f t="shared" si="41"/>
        <v>0</v>
      </c>
      <c r="CP49" s="229">
        <f t="shared" si="41"/>
        <v>0</v>
      </c>
      <c r="CQ49" s="229">
        <f t="shared" si="41"/>
        <v>0</v>
      </c>
      <c r="CR49" s="229">
        <f t="shared" si="14"/>
        <v>0</v>
      </c>
      <c r="CS49" s="229">
        <f t="shared" si="14"/>
        <v>0</v>
      </c>
      <c r="CT49" s="229">
        <f t="shared" si="14"/>
        <v>0</v>
      </c>
      <c r="CU49" s="230"/>
      <c r="CV49" s="231"/>
      <c r="CW49" s="231"/>
      <c r="CX49" s="231"/>
      <c r="CY49" s="231"/>
      <c r="CZ49" s="231"/>
      <c r="DA49" s="231"/>
      <c r="DC49" s="231"/>
      <c r="DD49" s="231">
        <f>IF(SUM(DD$24:DD48)=DD$22,0,IF(AND($M49&gt;=DD$15,$M49&lt;(DD$16+1)),DD$22/(DD$16-DD$15+1),0))</f>
        <v>0</v>
      </c>
      <c r="DE49" s="231">
        <f>IF(SUM(DE$24:DE48)=DE$22,0,IF(AND($M49&gt;=DE$15,$M49&lt;(DE$16+1)),DE$22/(DE$16-DE$15+1),0))</f>
        <v>0</v>
      </c>
      <c r="DF49" s="231">
        <f>IF(SUM(DF$24:DF48)=DF$22,0,IF(AND($M49&gt;=DF$15,$M49&lt;(DF$16+1)),DF$22/(DF$16-DF$15+1),0))</f>
        <v>0</v>
      </c>
      <c r="DG49" s="231">
        <f>IF(SUM(DG$24:DG48)=DG$22,0,IF(AND($M49&gt;=DG$15,$M49&lt;(DG$16+1)),DG$22/(DG$16-DG$15+1),0))</f>
        <v>0</v>
      </c>
      <c r="DH49" s="231">
        <f t="shared" si="27"/>
        <v>0</v>
      </c>
      <c r="DI49" s="231">
        <f t="shared" si="27"/>
        <v>0</v>
      </c>
      <c r="DJ49" s="231">
        <f t="shared" si="27"/>
        <v>0</v>
      </c>
      <c r="DK49" s="231">
        <f t="shared" si="27"/>
        <v>0</v>
      </c>
      <c r="DL49" s="231">
        <f t="shared" si="27"/>
        <v>0</v>
      </c>
      <c r="DM49" s="231">
        <f t="shared" si="27"/>
        <v>0</v>
      </c>
      <c r="DN49" s="231">
        <f t="shared" si="27"/>
        <v>0</v>
      </c>
      <c r="DO49" s="231">
        <f t="shared" si="27"/>
        <v>0</v>
      </c>
      <c r="DP49" s="231">
        <f t="shared" si="27"/>
        <v>0</v>
      </c>
      <c r="DQ49" s="231">
        <f t="shared" si="27"/>
        <v>0</v>
      </c>
      <c r="DR49" s="231">
        <f t="shared" si="27"/>
        <v>0</v>
      </c>
      <c r="DS49" s="231">
        <f t="shared" si="25"/>
        <v>0.29866666666666669</v>
      </c>
      <c r="DT49" s="231">
        <f ca="1">IF(SUM(DT$24:DT48)=DT$22,0,IF(AND($M49&gt;=DT$15,$M49&lt;(DT$16+1)),DT$22/(DT$16-DT$15+1),0))</f>
        <v>0</v>
      </c>
      <c r="DU49" s="231">
        <f ca="1">IF(SUM(DU$24:DU48)=DU$22,0,IF(AND($M49&gt;=DU$15,$M49&lt;(DU$16+1)),DU$22/(DU$16-DU$15+1),0))</f>
        <v>0</v>
      </c>
      <c r="DV49" s="231">
        <f ca="1">IF(SUM(DV$24:DV48)=DV$22,0,IF(AND(M49&gt;=DV$15,M49&lt;(DV$16+1)),DV$22/(DV$16-DV$15+1),0))</f>
        <v>0</v>
      </c>
      <c r="DW49" s="231" t="e">
        <f ca="1">IF(SUM(DW$24:DW48)=DW$22,0,IF(AND($M49&gt;=DW$15,$M49&lt;(DW$16+1)),DW$22/(DW$16-DW$15+1),0))</f>
        <v>#N/A</v>
      </c>
      <c r="DX49" s="231">
        <f ca="1">IF(SUM(DX$24:DX48)=DX$22,0,IF(AND($M49&gt;=DX$15,$M49&lt;(DX$16+1)),DX$22/(DX$16-DX$15+1),0))</f>
        <v>0</v>
      </c>
      <c r="DY49" s="231">
        <f ca="1">IF(SUM(DY$24:DY48)=DY$22,0,IF(AND($M49&gt;=DY$15,$M49&lt;(DY$16+1)),DY$22/(DY$16-DY$15+1),0))</f>
        <v>0</v>
      </c>
      <c r="DZ49" s="231">
        <f ca="1">IF(SUM(DZ$24:DZ48)=DZ$22,0,IF(AND($M49&gt;=DZ$15,$M49&lt;(DZ$16+1)),DZ$22/(DZ$16-DZ$15+1),0))</f>
        <v>0</v>
      </c>
      <c r="EA49" s="231" t="e">
        <f ca="1">IF(SUM(EA$24:EA48)=EA$22,0,IF(AND(M49&gt;=EA$15,M49&lt;(EA$16+1)),EA$22/(EA$16-EA$15+1),0))</f>
        <v>#N/A</v>
      </c>
      <c r="EC49" s="234">
        <f t="shared" si="16"/>
        <v>22</v>
      </c>
      <c r="ED49" s="234" t="e">
        <f t="shared" ca="1" si="17"/>
        <v>#N/A</v>
      </c>
      <c r="EE49" s="235" t="e">
        <f t="shared" ca="1" si="18"/>
        <v>#N/A</v>
      </c>
      <c r="EF49" s="234" t="e">
        <f t="shared" ca="1" si="28"/>
        <v>#N/A</v>
      </c>
      <c r="EG49" s="234" t="e">
        <f t="shared" ca="1" si="29"/>
        <v>#N/A</v>
      </c>
      <c r="EH49" s="234" t="e">
        <f t="shared" ca="1" si="34"/>
        <v>#N/A</v>
      </c>
      <c r="EI49" s="234"/>
      <c r="EJ49" s="234"/>
      <c r="EK49" s="153" t="e">
        <f t="shared" ca="1" si="19"/>
        <v>#N/A</v>
      </c>
      <c r="EL49" s="231" t="e">
        <f ca="1">IF(SUM(EL$24:EL48)=EL$22,0,IF(AND($M49&gt;=EL$15,$M49&lt;(EL$16+1)),EL$22/(EL$16-EL$15+1),0))</f>
        <v>#N/A</v>
      </c>
      <c r="EM49" s="153" t="e">
        <f t="shared" ca="1" si="21"/>
        <v>#N/A</v>
      </c>
      <c r="EO49" s="60"/>
      <c r="EP49" s="60"/>
    </row>
    <row r="50" spans="1:146">
      <c r="A50" s="220"/>
      <c r="B50" s="236">
        <f t="shared" si="23"/>
        <v>23</v>
      </c>
      <c r="C50" s="221">
        <f t="shared" si="26"/>
        <v>44260.167400000035</v>
      </c>
      <c r="D50" s="222" t="e">
        <f ca="1">'Offshore INT'!R39</f>
        <v>#N/A</v>
      </c>
      <c r="E50" s="223" t="e">
        <f t="shared" ca="1" si="0"/>
        <v>#N/A</v>
      </c>
      <c r="F50" s="224"/>
      <c r="G50" s="225">
        <f>IF(G49=1,1,SUM($F$24:F50))</f>
        <v>0</v>
      </c>
      <c r="H50" s="226" t="e">
        <f ca="1">IF(H49=0,0,SUM($I$24:I50))</f>
        <v>#N/A</v>
      </c>
      <c r="I50" s="227" t="e">
        <f t="shared" ca="1" si="1"/>
        <v>#N/A</v>
      </c>
      <c r="J50" s="222">
        <f t="shared" ca="1" si="20"/>
        <v>0</v>
      </c>
      <c r="K50" s="60"/>
      <c r="L50" s="228"/>
      <c r="M50" s="228">
        <f t="shared" si="2"/>
        <v>23</v>
      </c>
      <c r="N50" s="221">
        <f t="shared" si="3"/>
        <v>44260.167400000035</v>
      </c>
      <c r="O50" s="229">
        <f t="shared" si="30"/>
        <v>0</v>
      </c>
      <c r="P50" s="229">
        <f t="shared" si="30"/>
        <v>0</v>
      </c>
      <c r="Q50" s="229">
        <f t="shared" si="30"/>
        <v>0</v>
      </c>
      <c r="R50" s="229">
        <f t="shared" si="30"/>
        <v>0</v>
      </c>
      <c r="S50" s="229">
        <f t="shared" si="30"/>
        <v>0</v>
      </c>
      <c r="T50" s="229">
        <f t="shared" si="30"/>
        <v>0</v>
      </c>
      <c r="U50" s="229">
        <f t="shared" si="30"/>
        <v>0</v>
      </c>
      <c r="V50" s="229">
        <f t="shared" si="30"/>
        <v>0</v>
      </c>
      <c r="W50" s="229">
        <f t="shared" si="30"/>
        <v>0</v>
      </c>
      <c r="X50" s="229">
        <f t="shared" si="30"/>
        <v>0</v>
      </c>
      <c r="Y50" s="229">
        <f t="shared" si="30"/>
        <v>0</v>
      </c>
      <c r="Z50" s="229">
        <f t="shared" si="30"/>
        <v>0</v>
      </c>
      <c r="AA50" s="229">
        <f t="shared" si="38"/>
        <v>0</v>
      </c>
      <c r="AB50" s="229">
        <f t="shared" si="38"/>
        <v>0</v>
      </c>
      <c r="AC50" s="229">
        <f t="shared" si="38"/>
        <v>0</v>
      </c>
      <c r="AD50" s="229">
        <f t="shared" si="38"/>
        <v>0</v>
      </c>
      <c r="AE50" s="229">
        <f t="shared" si="38"/>
        <v>0</v>
      </c>
      <c r="AF50" s="229">
        <f t="shared" si="38"/>
        <v>0</v>
      </c>
      <c r="AG50" s="229">
        <f t="shared" si="38"/>
        <v>0</v>
      </c>
      <c r="AH50" s="229">
        <f t="shared" si="38"/>
        <v>0</v>
      </c>
      <c r="AI50" s="229">
        <f t="shared" si="38"/>
        <v>0</v>
      </c>
      <c r="AJ50" s="229">
        <f t="shared" si="38"/>
        <v>0</v>
      </c>
      <c r="AK50" s="229">
        <f t="shared" si="38"/>
        <v>0</v>
      </c>
      <c r="AL50" s="229">
        <f t="shared" si="38"/>
        <v>0</v>
      </c>
      <c r="AM50" s="229">
        <f t="shared" si="38"/>
        <v>0</v>
      </c>
      <c r="AN50" s="229">
        <f t="shared" si="38"/>
        <v>0</v>
      </c>
      <c r="AO50" s="229">
        <f t="shared" ref="AM50:AO53" si="42">IF($M50=AO$13,AO$22*AO$3,IF($M50=AO$14,AO$22*AO$4,IF($M50=AO$15,AO$22*AO$5,IF($M50=AO$16,AO$22*AO$6,IF($M50=AO$17,AO$22*AO$7,IF($M50=AO$18,AO$22*AO$8,IF($M50=AO$19,AO$22*AO$9,IF($M50=AO$20,AO$22*AO$10,0))))))))</f>
        <v>0</v>
      </c>
      <c r="AP50" s="229">
        <f t="shared" si="38"/>
        <v>0</v>
      </c>
      <c r="AQ50" s="229">
        <f t="shared" si="38"/>
        <v>0</v>
      </c>
      <c r="AR50" s="229">
        <f t="shared" si="38"/>
        <v>0</v>
      </c>
      <c r="AS50" s="229">
        <f t="shared" si="37"/>
        <v>0</v>
      </c>
      <c r="AT50" s="229">
        <f t="shared" si="37"/>
        <v>0</v>
      </c>
      <c r="AU50" s="229">
        <f t="shared" si="37"/>
        <v>0</v>
      </c>
      <c r="AV50" s="229">
        <f t="shared" si="37"/>
        <v>0</v>
      </c>
      <c r="AW50" s="229">
        <f t="shared" si="37"/>
        <v>0</v>
      </c>
      <c r="AX50" s="229">
        <f t="shared" si="38"/>
        <v>0</v>
      </c>
      <c r="AY50" s="229">
        <f t="shared" si="38"/>
        <v>0</v>
      </c>
      <c r="AZ50" s="229">
        <f t="shared" si="38"/>
        <v>0</v>
      </c>
      <c r="BA50" s="229">
        <f t="shared" si="38"/>
        <v>0</v>
      </c>
      <c r="BB50" s="229">
        <f t="shared" si="38"/>
        <v>0</v>
      </c>
      <c r="BC50" s="229">
        <f t="shared" si="38"/>
        <v>0</v>
      </c>
      <c r="BD50" s="229">
        <f t="shared" si="39"/>
        <v>0</v>
      </c>
      <c r="BE50" s="229">
        <f t="shared" si="39"/>
        <v>0</v>
      </c>
      <c r="BF50" s="229">
        <f t="shared" si="39"/>
        <v>0</v>
      </c>
      <c r="BG50" s="229">
        <f t="shared" si="39"/>
        <v>0</v>
      </c>
      <c r="BH50" s="229">
        <f t="shared" si="39"/>
        <v>0</v>
      </c>
      <c r="BI50" s="229">
        <f t="shared" si="39"/>
        <v>0</v>
      </c>
      <c r="BJ50" s="229">
        <f t="shared" si="39"/>
        <v>0</v>
      </c>
      <c r="BK50" s="229">
        <f t="shared" si="39"/>
        <v>0</v>
      </c>
      <c r="BL50" s="229">
        <f t="shared" si="39"/>
        <v>0</v>
      </c>
      <c r="BM50" s="229">
        <f t="shared" si="39"/>
        <v>0</v>
      </c>
      <c r="BN50" s="229">
        <f t="shared" si="39"/>
        <v>0</v>
      </c>
      <c r="BO50" s="229">
        <f t="shared" si="39"/>
        <v>0</v>
      </c>
      <c r="BP50" s="229">
        <f t="shared" si="39"/>
        <v>0</v>
      </c>
      <c r="BQ50" s="229">
        <f t="shared" si="40"/>
        <v>0</v>
      </c>
      <c r="BR50" s="229">
        <f t="shared" si="40"/>
        <v>0</v>
      </c>
      <c r="BS50" s="229">
        <f t="shared" si="40"/>
        <v>0</v>
      </c>
      <c r="BT50" s="229">
        <f t="shared" si="40"/>
        <v>0</v>
      </c>
      <c r="BU50" s="229">
        <f t="shared" si="40"/>
        <v>0</v>
      </c>
      <c r="BV50" s="229">
        <f t="shared" si="40"/>
        <v>0</v>
      </c>
      <c r="BW50" s="229">
        <f t="shared" si="40"/>
        <v>0</v>
      </c>
      <c r="BX50" s="229">
        <f t="shared" si="40"/>
        <v>0</v>
      </c>
      <c r="BY50" s="229">
        <f t="shared" si="40"/>
        <v>0</v>
      </c>
      <c r="BZ50" s="229">
        <f t="shared" si="40"/>
        <v>0</v>
      </c>
      <c r="CA50" s="229">
        <f t="shared" si="40"/>
        <v>0</v>
      </c>
      <c r="CB50" s="229">
        <f t="shared" si="40"/>
        <v>0</v>
      </c>
      <c r="CC50" s="229">
        <f t="shared" si="40"/>
        <v>0</v>
      </c>
      <c r="CD50" s="229">
        <f t="shared" si="10"/>
        <v>0</v>
      </c>
      <c r="CE50" s="229">
        <f t="shared" si="10"/>
        <v>0</v>
      </c>
      <c r="CF50" s="229">
        <f t="shared" si="10"/>
        <v>0</v>
      </c>
      <c r="CG50" s="229">
        <f t="shared" si="10"/>
        <v>0</v>
      </c>
      <c r="CH50" s="229">
        <f t="shared" si="11"/>
        <v>0</v>
      </c>
      <c r="CI50" s="229">
        <f t="shared" si="11"/>
        <v>0</v>
      </c>
      <c r="CJ50" s="229">
        <f t="shared" si="12"/>
        <v>0</v>
      </c>
      <c r="CK50" s="229">
        <f t="shared" si="11"/>
        <v>0</v>
      </c>
      <c r="CL50" s="229">
        <f t="shared" si="41"/>
        <v>0</v>
      </c>
      <c r="CM50" s="229">
        <f t="shared" si="41"/>
        <v>0</v>
      </c>
      <c r="CN50" s="229">
        <f t="shared" si="41"/>
        <v>0</v>
      </c>
      <c r="CO50" s="229">
        <f t="shared" si="41"/>
        <v>0</v>
      </c>
      <c r="CP50" s="229">
        <f t="shared" si="41"/>
        <v>0</v>
      </c>
      <c r="CQ50" s="229">
        <f t="shared" si="41"/>
        <v>0</v>
      </c>
      <c r="CR50" s="229">
        <f t="shared" si="14"/>
        <v>0</v>
      </c>
      <c r="CS50" s="229">
        <f t="shared" si="14"/>
        <v>0</v>
      </c>
      <c r="CT50" s="229">
        <f t="shared" si="14"/>
        <v>0</v>
      </c>
      <c r="CU50" s="230"/>
      <c r="CV50" s="231"/>
      <c r="CW50" s="231"/>
      <c r="CX50" s="231"/>
      <c r="CY50" s="231"/>
      <c r="CZ50" s="231"/>
      <c r="DA50" s="231"/>
      <c r="DC50" s="231"/>
      <c r="DD50" s="231">
        <f>IF(SUM(DD$24:DD49)=DD$22,0,IF(AND($M50&gt;=DD$15,$M50&lt;(DD$16+1)),DD$22/(DD$16-DD$15+1),0))</f>
        <v>0</v>
      </c>
      <c r="DE50" s="231">
        <f>IF(SUM(DE$24:DE49)=DE$22,0,IF(AND($M50&gt;=DE$15,$M50&lt;(DE$16+1)),DE$22/(DE$16-DE$15+1),0))</f>
        <v>0</v>
      </c>
      <c r="DF50" s="231">
        <f>IF(SUM(DF$24:DF49)=DF$22,0,IF(AND($M50&gt;=DF$15,$M50&lt;(DF$16+1)),DF$22/(DF$16-DF$15+1),0))</f>
        <v>0</v>
      </c>
      <c r="DG50" s="231">
        <f>IF(SUM(DG$24:DG49)=DG$22,0,IF(AND($M50&gt;=DG$15,$M50&lt;(DG$16+1)),DG$22/(DG$16-DG$15+1),0))</f>
        <v>0</v>
      </c>
      <c r="DH50" s="231">
        <f t="shared" ref="DH50:DR69" si="43">IF(AND($M50&gt;=DH$15,$M50&lt;(DH$16+1)),DH$22/(DH$16-DH$15+1),0)</f>
        <v>0</v>
      </c>
      <c r="DI50" s="231">
        <f t="shared" si="43"/>
        <v>0</v>
      </c>
      <c r="DJ50" s="231">
        <f t="shared" si="43"/>
        <v>0</v>
      </c>
      <c r="DK50" s="231">
        <f t="shared" si="43"/>
        <v>0</v>
      </c>
      <c r="DL50" s="231">
        <f t="shared" si="43"/>
        <v>0</v>
      </c>
      <c r="DM50" s="231">
        <f t="shared" si="43"/>
        <v>0</v>
      </c>
      <c r="DN50" s="231">
        <f t="shared" si="43"/>
        <v>0</v>
      </c>
      <c r="DO50" s="231">
        <f t="shared" si="43"/>
        <v>0</v>
      </c>
      <c r="DP50" s="231">
        <f t="shared" si="43"/>
        <v>0</v>
      </c>
      <c r="DQ50" s="231">
        <f t="shared" si="43"/>
        <v>0</v>
      </c>
      <c r="DR50" s="231">
        <f t="shared" si="43"/>
        <v>0</v>
      </c>
      <c r="DS50" s="231">
        <f t="shared" si="25"/>
        <v>0.29866666666666669</v>
      </c>
      <c r="DT50" s="231">
        <f ca="1">IF(SUM(DT$24:DT49)=DT$22,0,IF(AND($M50&gt;=DT$15,$M50&lt;(DT$16+1)),DT$22/(DT$16-DT$15+1),0))</f>
        <v>0</v>
      </c>
      <c r="DU50" s="231">
        <f ca="1">IF(SUM(DU$24:DU49)=DU$22,0,IF(AND($M50&gt;=DU$15,$M50&lt;(DU$16+1)),DU$22/(DU$16-DU$15+1),0))</f>
        <v>0</v>
      </c>
      <c r="DV50" s="231">
        <f ca="1">IF(SUM(DV$24:DV49)=DV$22,0,IF(AND(M50&gt;=DV$15,M50&lt;(DV$16+1)),DV$22/(DV$16-DV$15+1),0))</f>
        <v>0</v>
      </c>
      <c r="DW50" s="231" t="e">
        <f ca="1">IF(SUM(DW$24:DW49)=DW$22,0,IF(AND($M50&gt;=DW$15,$M50&lt;(DW$16+1)),DW$22/(DW$16-DW$15+1),0))</f>
        <v>#N/A</v>
      </c>
      <c r="DX50" s="231">
        <f ca="1">IF(SUM(DX$24:DX49)=DX$22,0,IF(AND($M50&gt;=DX$15,$M50&lt;(DX$16+1)),DX$22/(DX$16-DX$15+1),0))</f>
        <v>0</v>
      </c>
      <c r="DY50" s="231">
        <f ca="1">IF(SUM(DY$24:DY49)=DY$22,0,IF(AND($M50&gt;=DY$15,$M50&lt;(DY$16+1)),DY$22/(DY$16-DY$15+1),0))</f>
        <v>0</v>
      </c>
      <c r="DZ50" s="231">
        <f ca="1">IF(SUM(DZ$24:DZ49)=DZ$22,0,IF(AND($M50&gt;=DZ$15,$M50&lt;(DZ$16+1)),DZ$22/(DZ$16-DZ$15+1),0))</f>
        <v>0</v>
      </c>
      <c r="EA50" s="231" t="e">
        <f ca="1">IF(SUM(EA$24:EA49)=EA$22,0,IF(AND(M50&gt;=EA$15,M50&lt;(EA$16+1)),EA$22/(EA$16-EA$15+1),0))</f>
        <v>#N/A</v>
      </c>
      <c r="EC50" s="234">
        <f t="shared" si="16"/>
        <v>23</v>
      </c>
      <c r="ED50" s="234" t="e">
        <f t="shared" ca="1" si="17"/>
        <v>#N/A</v>
      </c>
      <c r="EE50" s="235" t="e">
        <f t="shared" ca="1" si="18"/>
        <v>#N/A</v>
      </c>
      <c r="EF50" s="234" t="e">
        <f t="shared" ca="1" si="28"/>
        <v>#N/A</v>
      </c>
      <c r="EG50" s="234" t="e">
        <f t="shared" ca="1" si="29"/>
        <v>#N/A</v>
      </c>
      <c r="EH50" s="234" t="e">
        <f t="shared" ca="1" si="34"/>
        <v>#N/A</v>
      </c>
      <c r="EI50" s="234"/>
      <c r="EJ50" s="234"/>
      <c r="EK50" s="153" t="e">
        <f t="shared" ca="1" si="19"/>
        <v>#N/A</v>
      </c>
      <c r="EL50" s="231" t="e">
        <f ca="1">IF(SUM(EL$24:EL49)=EL$22,0,IF(AND($M50&gt;=EL$15,$M50&lt;(EL$16+1)),EL$22/(EL$16-EL$15+1),0))</f>
        <v>#N/A</v>
      </c>
      <c r="EM50" s="153" t="e">
        <f t="shared" ca="1" si="21"/>
        <v>#N/A</v>
      </c>
      <c r="EO50" s="60"/>
      <c r="EP50" s="60"/>
    </row>
    <row r="51" spans="1:146">
      <c r="A51" s="220"/>
      <c r="B51" s="236">
        <f t="shared" si="23"/>
        <v>24</v>
      </c>
      <c r="C51" s="221">
        <f t="shared" si="26"/>
        <v>44290.584100000036</v>
      </c>
      <c r="D51" s="222" t="e">
        <f ca="1">'Offshore INT'!R40</f>
        <v>#N/A</v>
      </c>
      <c r="E51" s="223" t="e">
        <f t="shared" ca="1" si="0"/>
        <v>#N/A</v>
      </c>
      <c r="F51" s="224"/>
      <c r="G51" s="225">
        <f>IF(G50=1,1,SUM($F$24:F51))</f>
        <v>0</v>
      </c>
      <c r="H51" s="226" t="e">
        <f ca="1">IF(H50=0,0,SUM($I$24:I51))</f>
        <v>#N/A</v>
      </c>
      <c r="I51" s="227" t="e">
        <f t="shared" ca="1" si="1"/>
        <v>#N/A</v>
      </c>
      <c r="J51" s="222">
        <f t="shared" ca="1" si="20"/>
        <v>0</v>
      </c>
      <c r="K51" s="2"/>
      <c r="L51" s="236"/>
      <c r="M51" s="236">
        <f t="shared" si="2"/>
        <v>24</v>
      </c>
      <c r="N51" s="221">
        <f t="shared" si="3"/>
        <v>44290.584100000036</v>
      </c>
      <c r="O51" s="229">
        <f t="shared" si="30"/>
        <v>0</v>
      </c>
      <c r="P51" s="229">
        <f t="shared" si="30"/>
        <v>0</v>
      </c>
      <c r="Q51" s="229">
        <f t="shared" si="30"/>
        <v>0</v>
      </c>
      <c r="R51" s="229">
        <f t="shared" si="30"/>
        <v>0</v>
      </c>
      <c r="S51" s="229">
        <f t="shared" si="30"/>
        <v>0</v>
      </c>
      <c r="T51" s="229">
        <f t="shared" si="30"/>
        <v>0</v>
      </c>
      <c r="U51" s="229">
        <f t="shared" si="30"/>
        <v>0</v>
      </c>
      <c r="V51" s="229">
        <f t="shared" si="30"/>
        <v>0</v>
      </c>
      <c r="W51" s="229">
        <f t="shared" si="30"/>
        <v>0</v>
      </c>
      <c r="X51" s="229">
        <f t="shared" si="30"/>
        <v>0</v>
      </c>
      <c r="Y51" s="229">
        <f t="shared" si="30"/>
        <v>0</v>
      </c>
      <c r="Z51" s="229">
        <f t="shared" si="30"/>
        <v>0</v>
      </c>
      <c r="AA51" s="229">
        <f t="shared" si="38"/>
        <v>0</v>
      </c>
      <c r="AB51" s="229">
        <f t="shared" si="38"/>
        <v>0</v>
      </c>
      <c r="AC51" s="229">
        <f t="shared" si="38"/>
        <v>0</v>
      </c>
      <c r="AD51" s="229">
        <f t="shared" si="38"/>
        <v>0</v>
      </c>
      <c r="AE51" s="229">
        <f t="shared" si="38"/>
        <v>0</v>
      </c>
      <c r="AF51" s="229">
        <f t="shared" si="38"/>
        <v>0</v>
      </c>
      <c r="AG51" s="229">
        <f t="shared" si="38"/>
        <v>0</v>
      </c>
      <c r="AH51" s="229">
        <f t="shared" si="38"/>
        <v>0</v>
      </c>
      <c r="AI51" s="229">
        <f t="shared" si="38"/>
        <v>0</v>
      </c>
      <c r="AJ51" s="229">
        <f t="shared" si="38"/>
        <v>0</v>
      </c>
      <c r="AK51" s="229">
        <f t="shared" si="38"/>
        <v>0</v>
      </c>
      <c r="AL51" s="229">
        <f t="shared" si="38"/>
        <v>0</v>
      </c>
      <c r="AM51" s="229">
        <f t="shared" si="42"/>
        <v>0</v>
      </c>
      <c r="AN51" s="229">
        <f t="shared" si="42"/>
        <v>0</v>
      </c>
      <c r="AO51" s="229">
        <f t="shared" si="42"/>
        <v>0</v>
      </c>
      <c r="AP51" s="229">
        <f t="shared" si="38"/>
        <v>0</v>
      </c>
      <c r="AQ51" s="229">
        <f t="shared" si="38"/>
        <v>0</v>
      </c>
      <c r="AR51" s="229">
        <f t="shared" si="38"/>
        <v>0</v>
      </c>
      <c r="AS51" s="229">
        <f t="shared" si="37"/>
        <v>0</v>
      </c>
      <c r="AT51" s="229">
        <f t="shared" si="37"/>
        <v>0</v>
      </c>
      <c r="AU51" s="229">
        <f t="shared" si="37"/>
        <v>0</v>
      </c>
      <c r="AV51" s="229">
        <f t="shared" si="37"/>
        <v>0</v>
      </c>
      <c r="AW51" s="229">
        <f t="shared" si="37"/>
        <v>0</v>
      </c>
      <c r="AX51" s="229">
        <f t="shared" si="38"/>
        <v>0</v>
      </c>
      <c r="AY51" s="229">
        <f t="shared" si="38"/>
        <v>0</v>
      </c>
      <c r="AZ51" s="229">
        <f t="shared" si="38"/>
        <v>0</v>
      </c>
      <c r="BA51" s="229">
        <f t="shared" si="38"/>
        <v>0</v>
      </c>
      <c r="BB51" s="229">
        <f t="shared" si="38"/>
        <v>0</v>
      </c>
      <c r="BC51" s="229">
        <f t="shared" si="38"/>
        <v>0</v>
      </c>
      <c r="BD51" s="229">
        <f t="shared" si="39"/>
        <v>0</v>
      </c>
      <c r="BE51" s="229">
        <f t="shared" si="39"/>
        <v>0</v>
      </c>
      <c r="BF51" s="229">
        <f t="shared" si="39"/>
        <v>0</v>
      </c>
      <c r="BG51" s="229">
        <f t="shared" si="39"/>
        <v>0</v>
      </c>
      <c r="BH51" s="229">
        <f t="shared" si="39"/>
        <v>0</v>
      </c>
      <c r="BI51" s="229">
        <f t="shared" si="39"/>
        <v>0</v>
      </c>
      <c r="BJ51" s="229">
        <f t="shared" si="39"/>
        <v>0</v>
      </c>
      <c r="BK51" s="229">
        <f t="shared" si="39"/>
        <v>0</v>
      </c>
      <c r="BL51" s="229">
        <f t="shared" si="39"/>
        <v>0</v>
      </c>
      <c r="BM51" s="229">
        <f t="shared" si="39"/>
        <v>0</v>
      </c>
      <c r="BN51" s="229">
        <f t="shared" si="39"/>
        <v>0</v>
      </c>
      <c r="BO51" s="229">
        <f t="shared" si="39"/>
        <v>0</v>
      </c>
      <c r="BP51" s="229">
        <f t="shared" si="39"/>
        <v>0</v>
      </c>
      <c r="BQ51" s="229">
        <f t="shared" si="40"/>
        <v>0</v>
      </c>
      <c r="BR51" s="229">
        <f t="shared" si="40"/>
        <v>0</v>
      </c>
      <c r="BS51" s="229">
        <f t="shared" si="40"/>
        <v>0</v>
      </c>
      <c r="BT51" s="229">
        <f t="shared" si="40"/>
        <v>0</v>
      </c>
      <c r="BU51" s="229">
        <f t="shared" si="40"/>
        <v>0</v>
      </c>
      <c r="BV51" s="229">
        <f t="shared" si="40"/>
        <v>0</v>
      </c>
      <c r="BW51" s="229">
        <f t="shared" si="40"/>
        <v>0</v>
      </c>
      <c r="BX51" s="229">
        <f t="shared" si="40"/>
        <v>0</v>
      </c>
      <c r="BY51" s="229">
        <f t="shared" si="40"/>
        <v>0</v>
      </c>
      <c r="BZ51" s="229">
        <f t="shared" si="40"/>
        <v>0</v>
      </c>
      <c r="CA51" s="229">
        <f t="shared" si="40"/>
        <v>0</v>
      </c>
      <c r="CB51" s="229">
        <f t="shared" si="40"/>
        <v>0</v>
      </c>
      <c r="CC51" s="229">
        <f t="shared" si="40"/>
        <v>0</v>
      </c>
      <c r="CD51" s="229">
        <f t="shared" si="10"/>
        <v>0</v>
      </c>
      <c r="CE51" s="229">
        <f t="shared" si="10"/>
        <v>0</v>
      </c>
      <c r="CF51" s="229">
        <f t="shared" si="10"/>
        <v>0</v>
      </c>
      <c r="CG51" s="229">
        <f t="shared" si="10"/>
        <v>0</v>
      </c>
      <c r="CH51" s="229">
        <f t="shared" si="11"/>
        <v>0</v>
      </c>
      <c r="CI51" s="229">
        <f t="shared" si="11"/>
        <v>0</v>
      </c>
      <c r="CJ51" s="229">
        <f t="shared" si="12"/>
        <v>0</v>
      </c>
      <c r="CK51" s="229">
        <f t="shared" si="11"/>
        <v>0</v>
      </c>
      <c r="CL51" s="229">
        <f t="shared" si="41"/>
        <v>0</v>
      </c>
      <c r="CM51" s="229">
        <f t="shared" si="41"/>
        <v>0</v>
      </c>
      <c r="CN51" s="229">
        <f t="shared" si="41"/>
        <v>0</v>
      </c>
      <c r="CO51" s="229">
        <f t="shared" si="41"/>
        <v>0</v>
      </c>
      <c r="CP51" s="229">
        <f t="shared" si="41"/>
        <v>0</v>
      </c>
      <c r="CQ51" s="229">
        <f t="shared" si="41"/>
        <v>0</v>
      </c>
      <c r="CR51" s="229">
        <f t="shared" si="14"/>
        <v>0</v>
      </c>
      <c r="CS51" s="229">
        <f t="shared" si="14"/>
        <v>0</v>
      </c>
      <c r="CT51" s="229">
        <f t="shared" si="14"/>
        <v>0</v>
      </c>
      <c r="CU51" s="230"/>
      <c r="CV51" s="231"/>
      <c r="CW51" s="231"/>
      <c r="CX51" s="231"/>
      <c r="CY51" s="231"/>
      <c r="CZ51" s="231"/>
      <c r="DA51" s="231"/>
      <c r="DC51" s="231"/>
      <c r="DD51" s="231">
        <f>IF(SUM(DD$24:DD50)=DD$22,0,IF(AND($M51&gt;=DD$15,$M51&lt;(DD$16+1)),DD$22/(DD$16-DD$15+1),0))</f>
        <v>0</v>
      </c>
      <c r="DE51" s="231">
        <f>IF(SUM(DE$24:DE50)=DE$22,0,IF(AND($M51&gt;=DE$15,$M51&lt;(DE$16+1)),DE$22/(DE$16-DE$15+1),0))</f>
        <v>0</v>
      </c>
      <c r="DF51" s="231">
        <f>IF(SUM(DF$24:DF50)=DF$22,0,IF(AND($M51&gt;=DF$15,$M51&lt;(DF$16+1)),DF$22/(DF$16-DF$15+1),0))</f>
        <v>0</v>
      </c>
      <c r="DG51" s="231">
        <f>IF(SUM(DG$24:DG50)=DG$22,0,IF(AND($M51&gt;=DG$15,$M51&lt;(DG$16+1)),DG$22/(DG$16-DG$15+1),0))</f>
        <v>0</v>
      </c>
      <c r="DH51" s="231">
        <f t="shared" si="43"/>
        <v>0</v>
      </c>
      <c r="DI51" s="231">
        <f t="shared" si="43"/>
        <v>0</v>
      </c>
      <c r="DJ51" s="231">
        <f t="shared" si="43"/>
        <v>0</v>
      </c>
      <c r="DK51" s="231">
        <f t="shared" si="43"/>
        <v>0</v>
      </c>
      <c r="DL51" s="231">
        <f t="shared" si="43"/>
        <v>0</v>
      </c>
      <c r="DM51" s="231">
        <f t="shared" si="43"/>
        <v>0</v>
      </c>
      <c r="DN51" s="231">
        <f t="shared" si="43"/>
        <v>0</v>
      </c>
      <c r="DO51" s="231">
        <f t="shared" si="43"/>
        <v>0</v>
      </c>
      <c r="DP51" s="231">
        <f t="shared" si="43"/>
        <v>0</v>
      </c>
      <c r="DQ51" s="231">
        <f t="shared" si="43"/>
        <v>0</v>
      </c>
      <c r="DR51" s="231">
        <f t="shared" si="43"/>
        <v>0</v>
      </c>
      <c r="DS51" s="231">
        <f t="shared" si="25"/>
        <v>0.29866666666666669</v>
      </c>
      <c r="DT51" s="231">
        <f ca="1">IF(SUM(DT$24:DT50)=DT$22,0,IF(AND($M51&gt;=DT$15,$M51&lt;(DT$16+1)),DT$22/(DT$16-DT$15+1),0))</f>
        <v>0</v>
      </c>
      <c r="DU51" s="231">
        <f ca="1">IF(SUM(DU$24:DU50)=DU$22,0,IF(AND($M51&gt;=DU$15,$M51&lt;(DU$16+1)),DU$22/(DU$16-DU$15+1),0))</f>
        <v>0</v>
      </c>
      <c r="DV51" s="231">
        <f ca="1">IF(SUM(DV$24:DV50)=DV$22,0,IF(AND(M51&gt;=DV$15,M51&lt;(DV$16+1)),DV$22/(DV$16-DV$15+1),0))</f>
        <v>0</v>
      </c>
      <c r="DW51" s="231" t="e">
        <f ca="1">IF(SUM(DW$24:DW50)=DW$22,0,IF(AND($M51&gt;=DW$15,$M51&lt;(DW$16+1)),DW$22/(DW$16-DW$15+1),0))</f>
        <v>#N/A</v>
      </c>
      <c r="DX51" s="231">
        <f ca="1">IF(SUM(DX$24:DX50)=DX$22,0,IF(AND($M51&gt;=DX$15,$M51&lt;(DX$16+1)),DX$22/(DX$16-DX$15+1),0))</f>
        <v>0</v>
      </c>
      <c r="DY51" s="231">
        <f ca="1">IF(SUM(DY$24:DY50)=DY$22,0,IF(AND($M51&gt;=DY$15,$M51&lt;(DY$16+1)),DY$22/(DY$16-DY$15+1),0))</f>
        <v>0</v>
      </c>
      <c r="DZ51" s="231">
        <f ca="1">IF(SUM(DZ$24:DZ50)=DZ$22,0,IF(AND($M51&gt;=DZ$15,$M51&lt;(DZ$16+1)),DZ$22/(DZ$16-DZ$15+1),0))</f>
        <v>0</v>
      </c>
      <c r="EA51" s="231" t="e">
        <f ca="1">IF(SUM(EA$24:EA50)=EA$22,0,IF(AND(M51&gt;=EA$15,M51&lt;(EA$16+1)),EA$22/(EA$16-EA$15+1),0))</f>
        <v>#N/A</v>
      </c>
      <c r="EC51" s="372">
        <f t="shared" si="16"/>
        <v>24</v>
      </c>
      <c r="ED51" s="372" t="e">
        <f t="shared" ca="1" si="17"/>
        <v>#N/A</v>
      </c>
      <c r="EE51" s="373" t="e">
        <f t="shared" ca="1" si="18"/>
        <v>#N/A</v>
      </c>
      <c r="EF51" s="234" t="e">
        <f t="shared" ca="1" si="28"/>
        <v>#N/A</v>
      </c>
      <c r="EG51" s="234" t="e">
        <f t="shared" ca="1" si="29"/>
        <v>#N/A</v>
      </c>
      <c r="EH51" s="234" t="e">
        <f t="shared" ca="1" si="34"/>
        <v>#N/A</v>
      </c>
      <c r="EI51" s="234"/>
      <c r="EJ51" s="234"/>
      <c r="EK51" s="113" t="e">
        <f t="shared" ca="1" si="19"/>
        <v>#N/A</v>
      </c>
      <c r="EL51" s="231" t="e">
        <f ca="1">IF(SUM(EL$24:EL50)=EL$22,0,IF(AND($M51&gt;=EL$15,$M51&lt;(EL$16+1)),EL$22/(EL$16-EL$15+1),0))</f>
        <v>#N/A</v>
      </c>
      <c r="EM51" s="113" t="e">
        <f t="shared" ca="1" si="21"/>
        <v>#N/A</v>
      </c>
      <c r="EO51" s="2"/>
      <c r="EP51" s="2"/>
    </row>
    <row r="52" spans="1:146">
      <c r="A52" s="220"/>
      <c r="B52" s="236">
        <f t="shared" si="23"/>
        <v>25</v>
      </c>
      <c r="C52" s="221">
        <f t="shared" si="26"/>
        <v>44321.000800000038</v>
      </c>
      <c r="D52" s="222" t="e">
        <f ca="1">'Offshore INT'!R41</f>
        <v>#N/A</v>
      </c>
      <c r="E52" s="223" t="e">
        <f t="shared" ca="1" si="0"/>
        <v>#N/A</v>
      </c>
      <c r="F52" s="224"/>
      <c r="G52" s="225">
        <f>IF(G51=1,1,SUM($F$24:F52))</f>
        <v>0</v>
      </c>
      <c r="H52" s="226" t="e">
        <f ca="1">IF(H51=0,0,SUM($I$24:I52))</f>
        <v>#N/A</v>
      </c>
      <c r="I52" s="227" t="e">
        <f t="shared" ca="1" si="1"/>
        <v>#N/A</v>
      </c>
      <c r="J52" s="222">
        <f t="shared" ca="1" si="20"/>
        <v>0</v>
      </c>
      <c r="K52" s="60"/>
      <c r="L52" s="228"/>
      <c r="M52" s="228">
        <f t="shared" si="2"/>
        <v>25</v>
      </c>
      <c r="N52" s="221">
        <f t="shared" si="3"/>
        <v>44321.000800000038</v>
      </c>
      <c r="O52" s="229">
        <f t="shared" si="30"/>
        <v>0</v>
      </c>
      <c r="P52" s="229">
        <f t="shared" si="30"/>
        <v>0</v>
      </c>
      <c r="Q52" s="229">
        <f t="shared" si="30"/>
        <v>0</v>
      </c>
      <c r="R52" s="229">
        <f t="shared" si="30"/>
        <v>0</v>
      </c>
      <c r="S52" s="229">
        <f t="shared" si="30"/>
        <v>0</v>
      </c>
      <c r="T52" s="229">
        <f t="shared" si="30"/>
        <v>0</v>
      </c>
      <c r="U52" s="229">
        <f t="shared" si="30"/>
        <v>0</v>
      </c>
      <c r="V52" s="229">
        <f t="shared" si="30"/>
        <v>0</v>
      </c>
      <c r="W52" s="229">
        <f t="shared" si="30"/>
        <v>0</v>
      </c>
      <c r="X52" s="229">
        <f t="shared" si="30"/>
        <v>0</v>
      </c>
      <c r="Y52" s="229">
        <f t="shared" si="30"/>
        <v>0</v>
      </c>
      <c r="Z52" s="229">
        <f t="shared" si="30"/>
        <v>0</v>
      </c>
      <c r="AA52" s="229">
        <f t="shared" si="38"/>
        <v>0</v>
      </c>
      <c r="AB52" s="229">
        <f t="shared" si="38"/>
        <v>0</v>
      </c>
      <c r="AC52" s="229">
        <f t="shared" si="38"/>
        <v>0</v>
      </c>
      <c r="AD52" s="229">
        <f t="shared" si="38"/>
        <v>0</v>
      </c>
      <c r="AE52" s="229">
        <f t="shared" si="38"/>
        <v>0</v>
      </c>
      <c r="AF52" s="229">
        <f t="shared" si="38"/>
        <v>0</v>
      </c>
      <c r="AG52" s="229">
        <f t="shared" si="38"/>
        <v>0</v>
      </c>
      <c r="AH52" s="229">
        <f t="shared" si="38"/>
        <v>0</v>
      </c>
      <c r="AI52" s="229">
        <f t="shared" si="38"/>
        <v>0</v>
      </c>
      <c r="AJ52" s="229">
        <f t="shared" si="38"/>
        <v>0</v>
      </c>
      <c r="AK52" s="229">
        <f t="shared" si="38"/>
        <v>0</v>
      </c>
      <c r="AL52" s="229">
        <f t="shared" si="38"/>
        <v>0</v>
      </c>
      <c r="AM52" s="229">
        <f t="shared" si="42"/>
        <v>0</v>
      </c>
      <c r="AN52" s="229">
        <f t="shared" si="42"/>
        <v>0</v>
      </c>
      <c r="AO52" s="229">
        <f t="shared" si="42"/>
        <v>0</v>
      </c>
      <c r="AP52" s="229">
        <f t="shared" si="38"/>
        <v>0</v>
      </c>
      <c r="AQ52" s="229">
        <f t="shared" si="38"/>
        <v>0</v>
      </c>
      <c r="AR52" s="229">
        <f t="shared" si="38"/>
        <v>0</v>
      </c>
      <c r="AS52" s="229">
        <f t="shared" si="37"/>
        <v>0</v>
      </c>
      <c r="AT52" s="229">
        <f t="shared" si="37"/>
        <v>0</v>
      </c>
      <c r="AU52" s="229">
        <f t="shared" si="37"/>
        <v>0</v>
      </c>
      <c r="AV52" s="229">
        <f t="shared" si="37"/>
        <v>0</v>
      </c>
      <c r="AW52" s="229">
        <f t="shared" si="37"/>
        <v>0</v>
      </c>
      <c r="AX52" s="229">
        <f t="shared" si="38"/>
        <v>0</v>
      </c>
      <c r="AY52" s="229">
        <f t="shared" si="38"/>
        <v>0</v>
      </c>
      <c r="AZ52" s="229">
        <f t="shared" si="38"/>
        <v>0</v>
      </c>
      <c r="BA52" s="229">
        <f t="shared" si="38"/>
        <v>0</v>
      </c>
      <c r="BB52" s="229">
        <f t="shared" si="38"/>
        <v>0</v>
      </c>
      <c r="BC52" s="229">
        <f t="shared" si="38"/>
        <v>0</v>
      </c>
      <c r="BD52" s="229">
        <f t="shared" si="39"/>
        <v>0</v>
      </c>
      <c r="BE52" s="229">
        <f t="shared" si="39"/>
        <v>0</v>
      </c>
      <c r="BF52" s="229">
        <f t="shared" si="39"/>
        <v>0</v>
      </c>
      <c r="BG52" s="229">
        <f t="shared" si="39"/>
        <v>0</v>
      </c>
      <c r="BH52" s="229">
        <f t="shared" si="39"/>
        <v>0</v>
      </c>
      <c r="BI52" s="229">
        <f t="shared" si="39"/>
        <v>0</v>
      </c>
      <c r="BJ52" s="229">
        <f t="shared" si="39"/>
        <v>0</v>
      </c>
      <c r="BK52" s="229">
        <f t="shared" si="39"/>
        <v>0</v>
      </c>
      <c r="BL52" s="229">
        <f t="shared" si="39"/>
        <v>0</v>
      </c>
      <c r="BM52" s="229">
        <f t="shared" si="39"/>
        <v>0</v>
      </c>
      <c r="BN52" s="229">
        <f t="shared" si="39"/>
        <v>0</v>
      </c>
      <c r="BO52" s="229">
        <f t="shared" si="39"/>
        <v>0</v>
      </c>
      <c r="BP52" s="229">
        <f t="shared" si="39"/>
        <v>0</v>
      </c>
      <c r="BQ52" s="229">
        <f t="shared" si="40"/>
        <v>0</v>
      </c>
      <c r="BR52" s="229">
        <f t="shared" si="40"/>
        <v>0</v>
      </c>
      <c r="BS52" s="229">
        <f t="shared" si="40"/>
        <v>0</v>
      </c>
      <c r="BT52" s="229">
        <f t="shared" si="40"/>
        <v>0</v>
      </c>
      <c r="BU52" s="229">
        <f t="shared" si="40"/>
        <v>0</v>
      </c>
      <c r="BV52" s="229">
        <f t="shared" si="40"/>
        <v>0</v>
      </c>
      <c r="BW52" s="229">
        <f t="shared" si="40"/>
        <v>0</v>
      </c>
      <c r="BX52" s="229">
        <f t="shared" si="40"/>
        <v>0</v>
      </c>
      <c r="BY52" s="229">
        <f t="shared" si="40"/>
        <v>0</v>
      </c>
      <c r="BZ52" s="229">
        <f t="shared" si="40"/>
        <v>0</v>
      </c>
      <c r="CA52" s="229">
        <f t="shared" si="40"/>
        <v>0</v>
      </c>
      <c r="CB52" s="229">
        <f t="shared" si="40"/>
        <v>0</v>
      </c>
      <c r="CC52" s="229">
        <f t="shared" si="40"/>
        <v>0</v>
      </c>
      <c r="CD52" s="229">
        <f t="shared" si="10"/>
        <v>0</v>
      </c>
      <c r="CE52" s="229">
        <f t="shared" si="10"/>
        <v>0</v>
      </c>
      <c r="CF52" s="229">
        <f t="shared" si="10"/>
        <v>0</v>
      </c>
      <c r="CG52" s="229">
        <f t="shared" si="10"/>
        <v>0</v>
      </c>
      <c r="CH52" s="229">
        <f t="shared" si="11"/>
        <v>0</v>
      </c>
      <c r="CI52" s="229">
        <f t="shared" si="11"/>
        <v>0</v>
      </c>
      <c r="CJ52" s="229">
        <f t="shared" si="12"/>
        <v>0</v>
      </c>
      <c r="CK52" s="229">
        <f t="shared" si="11"/>
        <v>0</v>
      </c>
      <c r="CL52" s="229">
        <f t="shared" si="41"/>
        <v>0</v>
      </c>
      <c r="CM52" s="229">
        <f t="shared" si="41"/>
        <v>0</v>
      </c>
      <c r="CN52" s="229">
        <f t="shared" si="41"/>
        <v>0</v>
      </c>
      <c r="CO52" s="229">
        <f t="shared" si="41"/>
        <v>0</v>
      </c>
      <c r="CP52" s="229">
        <f t="shared" si="41"/>
        <v>0</v>
      </c>
      <c r="CQ52" s="229">
        <f t="shared" si="41"/>
        <v>0</v>
      </c>
      <c r="CR52" s="229">
        <f t="shared" si="14"/>
        <v>0</v>
      </c>
      <c r="CS52" s="229">
        <f t="shared" si="14"/>
        <v>0</v>
      </c>
      <c r="CT52" s="229">
        <f t="shared" si="14"/>
        <v>0</v>
      </c>
      <c r="CU52" s="230"/>
      <c r="CV52" s="231"/>
      <c r="CW52" s="231"/>
      <c r="CX52" s="231"/>
      <c r="CY52" s="231"/>
      <c r="CZ52" s="231"/>
      <c r="DA52" s="231"/>
      <c r="DC52" s="231"/>
      <c r="DD52" s="231">
        <f>IF(SUM(DD$24:DD51)=DD$22,0,IF(AND($M52&gt;=DD$15,$M52&lt;(DD$16+1)),DD$22/(DD$16-DD$15+1),0))</f>
        <v>0</v>
      </c>
      <c r="DE52" s="231">
        <f>IF(SUM(DE$24:DE51)=DE$22,0,IF(AND($M52&gt;=DE$15,$M52&lt;(DE$16+1)),DE$22/(DE$16-DE$15+1),0))</f>
        <v>0</v>
      </c>
      <c r="DF52" s="231">
        <f>IF(SUM(DF$24:DF51)=DF$22,0,IF(AND($M52&gt;=DF$15,$M52&lt;(DF$16+1)),DF$22/(DF$16-DF$15+1),0))</f>
        <v>0</v>
      </c>
      <c r="DG52" s="231">
        <f>IF(SUM(DG$24:DG51)=DG$22,0,IF(AND($M52&gt;=DG$15,$M52&lt;(DG$16+1)),DG$22/(DG$16-DG$15+1),0))</f>
        <v>0</v>
      </c>
      <c r="DH52" s="231">
        <f t="shared" si="43"/>
        <v>0</v>
      </c>
      <c r="DI52" s="231">
        <f t="shared" si="43"/>
        <v>0</v>
      </c>
      <c r="DJ52" s="231">
        <f t="shared" si="43"/>
        <v>0</v>
      </c>
      <c r="DK52" s="231">
        <f t="shared" si="43"/>
        <v>0</v>
      </c>
      <c r="DL52" s="231">
        <f t="shared" si="43"/>
        <v>0</v>
      </c>
      <c r="DM52" s="231">
        <f t="shared" si="43"/>
        <v>0</v>
      </c>
      <c r="DN52" s="231">
        <f t="shared" si="43"/>
        <v>0</v>
      </c>
      <c r="DO52" s="231">
        <f t="shared" si="43"/>
        <v>0</v>
      </c>
      <c r="DP52" s="231">
        <f t="shared" si="43"/>
        <v>0</v>
      </c>
      <c r="DQ52" s="231">
        <f t="shared" si="43"/>
        <v>0</v>
      </c>
      <c r="DR52" s="231">
        <f t="shared" si="43"/>
        <v>0</v>
      </c>
      <c r="DS52" s="231">
        <f t="shared" si="25"/>
        <v>0.29866666666666669</v>
      </c>
      <c r="DT52" s="231">
        <f ca="1">IF(SUM(DT$24:DT51)=DT$22,0,IF(AND($M52&gt;=DT$15,$M52&lt;(DT$16+1)),DT$22/(DT$16-DT$15+1),0))</f>
        <v>0</v>
      </c>
      <c r="DU52" s="231">
        <f ca="1">IF(SUM(DU$24:DU51)=DU$22,0,IF(AND($M52&gt;=DU$15,$M52&lt;(DU$16+1)),DU$22/(DU$16-DU$15+1),0))</f>
        <v>0</v>
      </c>
      <c r="DV52" s="231">
        <f ca="1">IF(SUM(DV$24:DV51)=DV$22,0,IF(AND(M52&gt;=DV$15,M52&lt;(DV$16+1)),DV$22/(DV$16-DV$15+1),0))</f>
        <v>0</v>
      </c>
      <c r="DW52" s="231" t="e">
        <f ca="1">IF(SUM(DW$24:DW51)=DW$22,0,IF(AND($M52&gt;=DW$15,$M52&lt;(DW$16+1)),DW$22/(DW$16-DW$15+1),0))</f>
        <v>#N/A</v>
      </c>
      <c r="DX52" s="231">
        <f ca="1">IF(SUM(DX$24:DX51)=DX$22,0,IF(AND($M52&gt;=DX$15,$M52&lt;(DX$16+1)),DX$22/(DX$16-DX$15+1),0))</f>
        <v>0</v>
      </c>
      <c r="DY52" s="231">
        <f ca="1">IF(SUM(DY$24:DY51)=DY$22,0,IF(AND($M52&gt;=DY$15,$M52&lt;(DY$16+1)),DY$22/(DY$16-DY$15+1),0))</f>
        <v>0</v>
      </c>
      <c r="DZ52" s="231">
        <f ca="1">IF(SUM(DZ$24:DZ51)=DZ$22,0,IF(AND($M52&gt;=DZ$15,$M52&lt;(DZ$16+1)),DZ$22/(DZ$16-DZ$15+1),0))</f>
        <v>0</v>
      </c>
      <c r="EA52" s="231" t="e">
        <f ca="1">IF(SUM(EA$24:EA51)=EA$22,0,IF(AND(M52&gt;=EA$15,M52&lt;(EA$16+1)),EA$22/(EA$16-EA$15+1),0))</f>
        <v>#N/A</v>
      </c>
      <c r="EC52" s="234">
        <f t="shared" si="16"/>
        <v>25</v>
      </c>
      <c r="ED52" s="234" t="e">
        <f t="shared" ca="1" si="17"/>
        <v>#N/A</v>
      </c>
      <c r="EE52" s="235" t="e">
        <f t="shared" ca="1" si="18"/>
        <v>#N/A</v>
      </c>
      <c r="EF52" s="234" t="e">
        <f t="shared" ca="1" si="28"/>
        <v>#N/A</v>
      </c>
      <c r="EG52" s="234" t="e">
        <f t="shared" ca="1" si="29"/>
        <v>#N/A</v>
      </c>
      <c r="EH52" s="234" t="e">
        <f t="shared" ca="1" si="34"/>
        <v>#N/A</v>
      </c>
      <c r="EI52" s="234"/>
      <c r="EJ52" s="234"/>
      <c r="EK52" s="153" t="e">
        <f t="shared" ca="1" si="19"/>
        <v>#N/A</v>
      </c>
      <c r="EL52" s="231" t="e">
        <f ca="1">IF(SUM(EL$24:EL51)=EL$22,0,IF(AND($M52&gt;=EL$15,$M52&lt;(EL$16+1)),EL$22/(EL$16-EL$15+1),0))</f>
        <v>#N/A</v>
      </c>
      <c r="EM52" s="153" t="e">
        <f t="shared" ca="1" si="21"/>
        <v>#N/A</v>
      </c>
      <c r="EO52" s="60"/>
      <c r="EP52" s="60"/>
    </row>
    <row r="53" spans="1:146">
      <c r="A53" s="220"/>
      <c r="B53" s="236">
        <f t="shared" si="23"/>
        <v>26</v>
      </c>
      <c r="C53" s="221">
        <f t="shared" si="26"/>
        <v>44351.41750000004</v>
      </c>
      <c r="D53" s="222" t="e">
        <f ca="1">'Offshore INT'!R42</f>
        <v>#N/A</v>
      </c>
      <c r="E53" s="223" t="e">
        <f t="shared" ca="1" si="0"/>
        <v>#N/A</v>
      </c>
      <c r="F53" s="224"/>
      <c r="G53" s="225">
        <f>IF(G52=1,1,SUM($F$24:F53))</f>
        <v>0</v>
      </c>
      <c r="H53" s="226" t="e">
        <f ca="1">IF(H52=0,0,SUM($I$24:I53))</f>
        <v>#N/A</v>
      </c>
      <c r="I53" s="227" t="e">
        <f t="shared" ca="1" si="1"/>
        <v>#N/A</v>
      </c>
      <c r="J53" s="222">
        <f t="shared" ca="1" si="20"/>
        <v>0</v>
      </c>
      <c r="K53" s="60"/>
      <c r="L53" s="228"/>
      <c r="M53" s="228">
        <f t="shared" si="2"/>
        <v>26</v>
      </c>
      <c r="N53" s="221">
        <f t="shared" si="3"/>
        <v>44351.41750000004</v>
      </c>
      <c r="O53" s="229">
        <f t="shared" ref="O53:Z72" si="44">IF($M53=O$13,O$22*O$3,IF($M53=O$14,O$22*O$4,IF($M53=O$15,O$22*O$5,IF($M53=O$16,O$22*O$6,IF($M53=O$17,O$22*O$7,IF($M53=O$18,O$22*O$8,IF($M53=O$19,O$22*O$9,IF($M53=O$20,O$22*O$10,0))))))))</f>
        <v>0</v>
      </c>
      <c r="P53" s="229">
        <f t="shared" si="44"/>
        <v>0</v>
      </c>
      <c r="Q53" s="229">
        <f t="shared" si="44"/>
        <v>0</v>
      </c>
      <c r="R53" s="229">
        <f t="shared" si="44"/>
        <v>0</v>
      </c>
      <c r="S53" s="229">
        <f t="shared" si="44"/>
        <v>0</v>
      </c>
      <c r="T53" s="229">
        <f t="shared" si="44"/>
        <v>0</v>
      </c>
      <c r="U53" s="229">
        <f t="shared" si="44"/>
        <v>0</v>
      </c>
      <c r="V53" s="229">
        <f t="shared" si="44"/>
        <v>0</v>
      </c>
      <c r="W53" s="229">
        <f t="shared" si="44"/>
        <v>0</v>
      </c>
      <c r="X53" s="229">
        <f t="shared" si="44"/>
        <v>0</v>
      </c>
      <c r="Y53" s="229">
        <f t="shared" si="44"/>
        <v>0</v>
      </c>
      <c r="Z53" s="229">
        <f t="shared" si="44"/>
        <v>0</v>
      </c>
      <c r="AA53" s="229">
        <f>IF($M53=AA$13,AA$22*AA$3,IF($M53=AA$14,AA$22*AA$4,IF($M53=AA$15,AA$22*AA$5,IF($M53=AA$16,AA$22*AA$6,IF($M53=AA$17,AA$22*AA$7,IF($M53=AA$18,AA$22*AA$8,IF($M53=AA$19,AA$22*AA$9,IF($M53=AA$20,AA$22*AA$10,0))))))))</f>
        <v>0</v>
      </c>
      <c r="AB53" s="229">
        <f t="shared" si="38"/>
        <v>0</v>
      </c>
      <c r="AC53" s="229">
        <f t="shared" si="38"/>
        <v>0</v>
      </c>
      <c r="AD53" s="229">
        <f t="shared" si="38"/>
        <v>0</v>
      </c>
      <c r="AE53" s="229">
        <f t="shared" si="38"/>
        <v>0</v>
      </c>
      <c r="AF53" s="229">
        <f t="shared" si="38"/>
        <v>0</v>
      </c>
      <c r="AG53" s="229">
        <f t="shared" si="38"/>
        <v>0</v>
      </c>
      <c r="AH53" s="229">
        <f t="shared" si="38"/>
        <v>0</v>
      </c>
      <c r="AI53" s="229">
        <f t="shared" si="38"/>
        <v>0</v>
      </c>
      <c r="AJ53" s="229">
        <f t="shared" si="38"/>
        <v>0</v>
      </c>
      <c r="AK53" s="229">
        <f t="shared" si="38"/>
        <v>0</v>
      </c>
      <c r="AL53" s="229">
        <f t="shared" si="38"/>
        <v>0</v>
      </c>
      <c r="AM53" s="229">
        <f t="shared" si="42"/>
        <v>0</v>
      </c>
      <c r="AN53" s="229">
        <f t="shared" si="42"/>
        <v>0</v>
      </c>
      <c r="AO53" s="229">
        <f t="shared" si="42"/>
        <v>0</v>
      </c>
      <c r="AP53" s="229">
        <f t="shared" si="38"/>
        <v>0</v>
      </c>
      <c r="AQ53" s="229">
        <f t="shared" si="38"/>
        <v>0</v>
      </c>
      <c r="AR53" s="229">
        <f t="shared" si="38"/>
        <v>0</v>
      </c>
      <c r="AS53" s="229">
        <f t="shared" si="37"/>
        <v>0</v>
      </c>
      <c r="AT53" s="229">
        <f t="shared" si="37"/>
        <v>0</v>
      </c>
      <c r="AU53" s="229">
        <f t="shared" si="37"/>
        <v>0</v>
      </c>
      <c r="AV53" s="229">
        <f t="shared" si="37"/>
        <v>0</v>
      </c>
      <c r="AW53" s="229">
        <f t="shared" si="37"/>
        <v>0</v>
      </c>
      <c r="AX53" s="229">
        <f t="shared" si="38"/>
        <v>0</v>
      </c>
      <c r="AY53" s="229">
        <f t="shared" si="38"/>
        <v>0</v>
      </c>
      <c r="AZ53" s="229">
        <f>IF($M53=AZ$13,AZ$22*AZ$3,IF($M53=AZ$14,AZ$22*AZ$4,IF($M53=AZ$15,AZ$22*AZ$5,IF($M53=AZ$16,AZ$22*AZ$6,IF($M53=AZ$17,AZ$22*AZ$7,IF($M53=AZ$18,AZ$22*AZ$8,IF($M53=AZ$19,AZ$22*AZ$9,IF($M53=AZ$20,AZ$22*AZ$10,0))))))))</f>
        <v>0</v>
      </c>
      <c r="BA53" s="229">
        <f t="shared" si="38"/>
        <v>0</v>
      </c>
      <c r="BB53" s="229">
        <f>IF($M53=BB$13,BB$22*BB$3,IF($M53=BB$14,BB$22*BB$4,IF($M53=BB$15,BB$22*BB$5,IF($M53=BB$16,BB$22*BB$6,IF($M53=BB$17,BB$22*BB$7,IF($M53=BB$18,BB$22*BB$8,IF($M53=BB$19,BB$22*BB$9,IF($M53=BB$20,BB$22*BB$10,0))))))))</f>
        <v>0</v>
      </c>
      <c r="BC53" s="229">
        <f>IF($M53=BC$13,BC$22*BC$3,IF($M53=BC$14,BC$22*BC$4,IF($M53=BC$15,BC$22*BC$5,IF($M53=BC$16,BC$22*BC$6,IF($M53=BC$17,BC$22*BC$7,IF($M53=BC$18,BC$22*BC$8,IF($M53=BC$19,BC$22*BC$9,IF($M53=BC$20,BC$22*BC$10,0))))))))</f>
        <v>0</v>
      </c>
      <c r="BD53" s="229">
        <f t="shared" si="39"/>
        <v>0</v>
      </c>
      <c r="BE53" s="229">
        <f t="shared" si="39"/>
        <v>0</v>
      </c>
      <c r="BF53" s="229">
        <f t="shared" si="39"/>
        <v>0</v>
      </c>
      <c r="BG53" s="229">
        <f t="shared" si="39"/>
        <v>0</v>
      </c>
      <c r="BH53" s="229">
        <f t="shared" si="39"/>
        <v>0</v>
      </c>
      <c r="BI53" s="229">
        <f t="shared" si="39"/>
        <v>0</v>
      </c>
      <c r="BJ53" s="229">
        <f t="shared" si="39"/>
        <v>0</v>
      </c>
      <c r="BK53" s="229">
        <f t="shared" si="39"/>
        <v>0</v>
      </c>
      <c r="BL53" s="229">
        <f t="shared" si="39"/>
        <v>0</v>
      </c>
      <c r="BM53" s="229">
        <f t="shared" si="39"/>
        <v>0</v>
      </c>
      <c r="BN53" s="229">
        <f t="shared" si="39"/>
        <v>0</v>
      </c>
      <c r="BO53" s="229">
        <f t="shared" si="39"/>
        <v>0</v>
      </c>
      <c r="BP53" s="229">
        <f t="shared" si="39"/>
        <v>0</v>
      </c>
      <c r="BQ53" s="229">
        <f t="shared" si="40"/>
        <v>0</v>
      </c>
      <c r="BR53" s="229">
        <f t="shared" si="40"/>
        <v>0</v>
      </c>
      <c r="BS53" s="229">
        <f t="shared" si="40"/>
        <v>0</v>
      </c>
      <c r="BT53" s="229">
        <f t="shared" si="40"/>
        <v>0</v>
      </c>
      <c r="BU53" s="229">
        <f t="shared" si="40"/>
        <v>0</v>
      </c>
      <c r="BV53" s="229">
        <f t="shared" si="40"/>
        <v>0</v>
      </c>
      <c r="BW53" s="229">
        <f t="shared" si="40"/>
        <v>0</v>
      </c>
      <c r="BX53" s="229">
        <f t="shared" si="40"/>
        <v>0</v>
      </c>
      <c r="BY53" s="229">
        <f t="shared" si="40"/>
        <v>0</v>
      </c>
      <c r="BZ53" s="229">
        <f t="shared" si="40"/>
        <v>0</v>
      </c>
      <c r="CA53" s="229">
        <f t="shared" si="40"/>
        <v>0</v>
      </c>
      <c r="CB53" s="229">
        <f t="shared" si="40"/>
        <v>0</v>
      </c>
      <c r="CC53" s="229">
        <f t="shared" si="40"/>
        <v>0</v>
      </c>
      <c r="CD53" s="229">
        <f t="shared" si="10"/>
        <v>0</v>
      </c>
      <c r="CE53" s="229">
        <f t="shared" si="10"/>
        <v>0</v>
      </c>
      <c r="CF53" s="229">
        <f t="shared" si="10"/>
        <v>0</v>
      </c>
      <c r="CG53" s="229">
        <f t="shared" si="10"/>
        <v>0</v>
      </c>
      <c r="CH53" s="229">
        <f t="shared" si="11"/>
        <v>0</v>
      </c>
      <c r="CI53" s="229">
        <f t="shared" si="11"/>
        <v>0</v>
      </c>
      <c r="CJ53" s="229">
        <f t="shared" si="12"/>
        <v>0</v>
      </c>
      <c r="CK53" s="229">
        <f t="shared" si="11"/>
        <v>0</v>
      </c>
      <c r="CL53" s="229">
        <f t="shared" si="41"/>
        <v>0</v>
      </c>
      <c r="CM53" s="229">
        <f t="shared" si="41"/>
        <v>0</v>
      </c>
      <c r="CN53" s="229">
        <f t="shared" si="41"/>
        <v>0</v>
      </c>
      <c r="CO53" s="229">
        <f t="shared" si="41"/>
        <v>0</v>
      </c>
      <c r="CP53" s="229">
        <f t="shared" si="41"/>
        <v>0</v>
      </c>
      <c r="CQ53" s="229">
        <f t="shared" si="41"/>
        <v>0</v>
      </c>
      <c r="CR53" s="229">
        <f t="shared" si="14"/>
        <v>0</v>
      </c>
      <c r="CS53" s="229">
        <f t="shared" si="14"/>
        <v>0</v>
      </c>
      <c r="CT53" s="229">
        <f t="shared" si="14"/>
        <v>0</v>
      </c>
      <c r="CU53" s="230"/>
      <c r="CV53" s="231"/>
      <c r="CW53" s="231"/>
      <c r="CX53" s="231"/>
      <c r="CY53" s="231"/>
      <c r="CZ53" s="231"/>
      <c r="DA53" s="231"/>
      <c r="DC53" s="231"/>
      <c r="DD53" s="231">
        <f>IF(SUM(DD$24:DD52)=DD$22,0,IF(AND($M53&gt;=DD$15,$M53&lt;(DD$16+1)),DD$22/(DD$16-DD$15+1),0))</f>
        <v>0</v>
      </c>
      <c r="DE53" s="231">
        <f>IF(SUM(DE$24:DE52)=DE$22,0,IF(AND($M53&gt;=DE$15,$M53&lt;(DE$16+1)),DE$22/(DE$16-DE$15+1),0))</f>
        <v>0</v>
      </c>
      <c r="DF53" s="231">
        <f>IF(SUM(DF$24:DF52)=DF$22,0,IF(AND($M53&gt;=DF$15,$M53&lt;(DF$16+1)),DF$22/(DF$16-DF$15+1),0))</f>
        <v>0</v>
      </c>
      <c r="DG53" s="231">
        <f>IF(SUM(DG$24:DG52)=DG$22,0,IF(AND($M53&gt;=DG$15,$M53&lt;(DG$16+1)),DG$22/(DG$16-DG$15+1),0))</f>
        <v>0</v>
      </c>
      <c r="DH53" s="231">
        <f t="shared" si="43"/>
        <v>0</v>
      </c>
      <c r="DI53" s="231">
        <f t="shared" si="43"/>
        <v>0</v>
      </c>
      <c r="DJ53" s="231">
        <f t="shared" si="43"/>
        <v>0</v>
      </c>
      <c r="DK53" s="231">
        <f t="shared" si="43"/>
        <v>0</v>
      </c>
      <c r="DL53" s="231">
        <f t="shared" si="43"/>
        <v>0</v>
      </c>
      <c r="DM53" s="231">
        <f t="shared" si="43"/>
        <v>0</v>
      </c>
      <c r="DN53" s="231">
        <f t="shared" si="43"/>
        <v>0</v>
      </c>
      <c r="DO53" s="231">
        <f t="shared" si="43"/>
        <v>0</v>
      </c>
      <c r="DP53" s="231">
        <f t="shared" si="43"/>
        <v>0</v>
      </c>
      <c r="DQ53" s="231">
        <f t="shared" si="43"/>
        <v>0</v>
      </c>
      <c r="DR53" s="231">
        <f t="shared" si="43"/>
        <v>0</v>
      </c>
      <c r="DS53" s="231">
        <f t="shared" si="25"/>
        <v>0.29866666666666669</v>
      </c>
      <c r="DT53" s="231">
        <f ca="1">IF(SUM(DT$24:DT52)=DT$22,0,IF(AND($M53&gt;=DT$15,$M53&lt;(DT$16+1)),DT$22/(DT$16-DT$15+1),0))</f>
        <v>0</v>
      </c>
      <c r="DU53" s="231">
        <f ca="1">IF(SUM(DU$24:DU52)=DU$22,0,IF(AND($M53&gt;=DU$15,$M53&lt;(DU$16+1)),DU$22/(DU$16-DU$15+1),0))</f>
        <v>0</v>
      </c>
      <c r="DV53" s="231">
        <f ca="1">IF(SUM(DV$24:DV52)=DV$22,0,IF(AND(M53&gt;=DV$15,M53&lt;(DV$16+1)),DV$22/(DV$16-DV$15+1),0))</f>
        <v>0</v>
      </c>
      <c r="DW53" s="231" t="e">
        <f ca="1">IF(SUM(DW$24:DW52)=DW$22,0,IF(AND($M53&gt;=DW$15,$M53&lt;(DW$16+1)),DW$22/(DW$16-DW$15+1),0))</f>
        <v>#N/A</v>
      </c>
      <c r="DX53" s="231">
        <f ca="1">IF(SUM(DX$24:DX52)=DX$22,0,IF(AND($M53&gt;=DX$15,$M53&lt;(DX$16+1)),DX$22/(DX$16-DX$15+1),0))</f>
        <v>0</v>
      </c>
      <c r="DY53" s="231">
        <f ca="1">IF(SUM(DY$24:DY52)=DY$22,0,IF(AND($M53&gt;=DY$15,$M53&lt;(DY$16+1)),DY$22/(DY$16-DY$15+1),0))</f>
        <v>0</v>
      </c>
      <c r="DZ53" s="231">
        <f ca="1">IF(SUM(DZ$24:DZ52)=DZ$22,0,IF(AND($M53&gt;=DZ$15,$M53&lt;(DZ$16+1)),DZ$22/(DZ$16-DZ$15+1),0))</f>
        <v>0</v>
      </c>
      <c r="EA53" s="231" t="e">
        <f ca="1">IF(SUM(EA$24:EA52)=EA$22,0,IF(AND(M53&gt;=EA$15,M53&lt;(EA$16+1)),EA$22/(EA$16-EA$15+1),0))</f>
        <v>#N/A</v>
      </c>
      <c r="EC53" s="234">
        <f t="shared" si="16"/>
        <v>26</v>
      </c>
      <c r="ED53" s="234" t="e">
        <f t="shared" ca="1" si="17"/>
        <v>#N/A</v>
      </c>
      <c r="EE53" s="235" t="e">
        <f t="shared" ca="1" si="18"/>
        <v>#N/A</v>
      </c>
      <c r="EF53" s="234" t="e">
        <f t="shared" ca="1" si="28"/>
        <v>#N/A</v>
      </c>
      <c r="EG53" s="234" t="e">
        <f t="shared" ca="1" si="29"/>
        <v>#N/A</v>
      </c>
      <c r="EH53" s="234" t="e">
        <f t="shared" ca="1" si="34"/>
        <v>#N/A</v>
      </c>
      <c r="EI53" s="234"/>
      <c r="EJ53" s="234"/>
      <c r="EK53" s="153" t="e">
        <f t="shared" ca="1" si="19"/>
        <v>#N/A</v>
      </c>
      <c r="EL53" s="231" t="e">
        <f ca="1">IF(SUM(EL$24:EL52)=EL$22,0,IF(AND($M53&gt;=EL$15,$M53&lt;(EL$16+1)),EL$22/(EL$16-EL$15+1),0))</f>
        <v>#N/A</v>
      </c>
      <c r="EM53" s="153" t="e">
        <f t="shared" ca="1" si="21"/>
        <v>#N/A</v>
      </c>
      <c r="EO53" s="60"/>
      <c r="EP53" s="60"/>
    </row>
    <row r="54" spans="1:146">
      <c r="A54" s="220"/>
      <c r="B54" s="236">
        <f t="shared" si="23"/>
        <v>27</v>
      </c>
      <c r="C54" s="221">
        <f t="shared" si="26"/>
        <v>44381.834200000041</v>
      </c>
      <c r="D54" s="222" t="e">
        <f ca="1">'Offshore INT'!R43</f>
        <v>#N/A</v>
      </c>
      <c r="E54" s="223" t="e">
        <f t="shared" ca="1" si="0"/>
        <v>#N/A</v>
      </c>
      <c r="F54" s="224"/>
      <c r="G54" s="225">
        <f>IF(G53=1,1,SUM($F$24:F54))</f>
        <v>0</v>
      </c>
      <c r="H54" s="226" t="e">
        <f ca="1">IF(H53=0,0,SUM($I$24:I54))</f>
        <v>#N/A</v>
      </c>
      <c r="I54" s="227" t="e">
        <f t="shared" ca="1" si="1"/>
        <v>#N/A</v>
      </c>
      <c r="J54" s="222">
        <f t="shared" ca="1" si="20"/>
        <v>0</v>
      </c>
      <c r="K54" s="2"/>
      <c r="L54" s="236"/>
      <c r="M54" s="236">
        <f t="shared" si="2"/>
        <v>27</v>
      </c>
      <c r="N54" s="221">
        <f t="shared" si="3"/>
        <v>44381.834200000041</v>
      </c>
      <c r="O54" s="229">
        <f t="shared" si="44"/>
        <v>0</v>
      </c>
      <c r="P54" s="229">
        <f t="shared" si="44"/>
        <v>0</v>
      </c>
      <c r="Q54" s="229">
        <f t="shared" si="44"/>
        <v>0</v>
      </c>
      <c r="R54" s="229">
        <f t="shared" si="44"/>
        <v>0</v>
      </c>
      <c r="S54" s="229">
        <f t="shared" si="44"/>
        <v>0</v>
      </c>
      <c r="T54" s="229">
        <f t="shared" si="44"/>
        <v>0</v>
      </c>
      <c r="U54" s="229">
        <f t="shared" si="44"/>
        <v>0</v>
      </c>
      <c r="V54" s="229">
        <f t="shared" si="44"/>
        <v>0</v>
      </c>
      <c r="W54" s="229">
        <f t="shared" si="44"/>
        <v>0</v>
      </c>
      <c r="X54" s="229">
        <f t="shared" si="44"/>
        <v>0</v>
      </c>
      <c r="Y54" s="229">
        <f t="shared" si="44"/>
        <v>0</v>
      </c>
      <c r="Z54" s="229">
        <f t="shared" si="44"/>
        <v>0</v>
      </c>
      <c r="AA54" s="229">
        <f t="shared" ref="AA54:BC63" si="45">IF($M54=AA$13,AA$22*AA$3,IF($M54=AA$14,AA$22*AA$4,IF($M54=AA$15,AA$22*AA$5,IF($M54=AA$16,AA$22*AA$6,IF($M54=AA$17,AA$22*AA$7,IF($M54=AA$18,AA$22*AA$8,IF($M54=AA$19,AA$22*AA$9,IF($M54=AA$20,AA$22*AA$10,0))))))))</f>
        <v>0</v>
      </c>
      <c r="AB54" s="229">
        <f t="shared" si="45"/>
        <v>0</v>
      </c>
      <c r="AC54" s="229">
        <f t="shared" si="45"/>
        <v>0</v>
      </c>
      <c r="AD54" s="229">
        <f t="shared" si="45"/>
        <v>0</v>
      </c>
      <c r="AE54" s="229">
        <f t="shared" si="45"/>
        <v>0</v>
      </c>
      <c r="AF54" s="229">
        <f t="shared" si="45"/>
        <v>0</v>
      </c>
      <c r="AG54" s="229">
        <f t="shared" si="45"/>
        <v>0</v>
      </c>
      <c r="AH54" s="229">
        <f t="shared" si="45"/>
        <v>0</v>
      </c>
      <c r="AI54" s="229">
        <f t="shared" si="45"/>
        <v>0</v>
      </c>
      <c r="AJ54" s="229">
        <f t="shared" si="45"/>
        <v>0</v>
      </c>
      <c r="AK54" s="229">
        <f t="shared" si="45"/>
        <v>0</v>
      </c>
      <c r="AL54" s="229">
        <f t="shared" si="45"/>
        <v>0</v>
      </c>
      <c r="AM54" s="229">
        <f t="shared" si="45"/>
        <v>0</v>
      </c>
      <c r="AN54" s="229">
        <f t="shared" si="45"/>
        <v>0</v>
      </c>
      <c r="AO54" s="229">
        <f t="shared" si="45"/>
        <v>0</v>
      </c>
      <c r="AP54" s="229">
        <f t="shared" si="45"/>
        <v>0</v>
      </c>
      <c r="AQ54" s="229">
        <f t="shared" si="45"/>
        <v>0</v>
      </c>
      <c r="AR54" s="229">
        <f t="shared" si="45"/>
        <v>0</v>
      </c>
      <c r="AS54" s="229">
        <f t="shared" si="37"/>
        <v>0</v>
      </c>
      <c r="AT54" s="229">
        <f t="shared" si="37"/>
        <v>0</v>
      </c>
      <c r="AU54" s="229">
        <f t="shared" si="37"/>
        <v>0</v>
      </c>
      <c r="AV54" s="229">
        <f t="shared" si="37"/>
        <v>0</v>
      </c>
      <c r="AW54" s="229">
        <f t="shared" si="37"/>
        <v>0</v>
      </c>
      <c r="AX54" s="229">
        <f t="shared" si="45"/>
        <v>0</v>
      </c>
      <c r="AY54" s="229">
        <f t="shared" si="45"/>
        <v>0</v>
      </c>
      <c r="AZ54" s="229">
        <f t="shared" si="45"/>
        <v>0</v>
      </c>
      <c r="BA54" s="229">
        <f t="shared" si="45"/>
        <v>0</v>
      </c>
      <c r="BB54" s="229">
        <f t="shared" si="45"/>
        <v>0</v>
      </c>
      <c r="BC54" s="229">
        <f t="shared" si="45"/>
        <v>0</v>
      </c>
      <c r="BD54" s="229">
        <f t="shared" ref="BD54:BP63" si="46">IF($M54=BD$13,BD$22*BD$3,IF($M54=BD$14,BD$22*BD$4,IF($M54=BD$15,BD$22*BD$5,IF($M54=BD$16,BD$22*BD$6,IF($M54=BD$17,BD$22*BD$7,IF($M54=BD$18,BD$22*BD$8,IF($M54=BD$19,BD$22*BD$9,IF($M54=BD$20,BD$22*BD$10,0))))))))</f>
        <v>0</v>
      </c>
      <c r="BE54" s="229">
        <f t="shared" si="46"/>
        <v>0</v>
      </c>
      <c r="BF54" s="229">
        <f t="shared" si="46"/>
        <v>0</v>
      </c>
      <c r="BG54" s="229">
        <f t="shared" si="46"/>
        <v>0</v>
      </c>
      <c r="BH54" s="229">
        <f t="shared" si="46"/>
        <v>0</v>
      </c>
      <c r="BI54" s="229">
        <f t="shared" si="46"/>
        <v>0</v>
      </c>
      <c r="BJ54" s="229">
        <f t="shared" si="46"/>
        <v>0</v>
      </c>
      <c r="BK54" s="229">
        <f t="shared" si="46"/>
        <v>0</v>
      </c>
      <c r="BL54" s="229">
        <f t="shared" si="46"/>
        <v>0</v>
      </c>
      <c r="BM54" s="229">
        <f t="shared" si="46"/>
        <v>0</v>
      </c>
      <c r="BN54" s="229">
        <f t="shared" si="46"/>
        <v>0</v>
      </c>
      <c r="BO54" s="229">
        <f t="shared" si="46"/>
        <v>0</v>
      </c>
      <c r="BP54" s="229">
        <f t="shared" si="46"/>
        <v>0</v>
      </c>
      <c r="BQ54" s="229">
        <f t="shared" ref="BQ54:CC63" si="47">IF($M54=BQ$13,BQ$22*BQ$3,IF($M54=BQ$14,BQ$22*BQ$4,IF($M54=BQ$15,BQ$22*BQ$5,IF($M54=BQ$16,BQ$22*BQ$6,IF($M54=BQ$17,BQ$22*BQ$7,IF($M54=BQ$18,BQ$22*BQ$8,IF($M54=BQ$19,BQ$22*BQ$9,IF($M54=BQ$20,BQ$22*BQ$10,0))))))))</f>
        <v>0</v>
      </c>
      <c r="BR54" s="229">
        <f t="shared" si="47"/>
        <v>0</v>
      </c>
      <c r="BS54" s="229">
        <f t="shared" si="47"/>
        <v>0</v>
      </c>
      <c r="BT54" s="229">
        <f t="shared" si="47"/>
        <v>0</v>
      </c>
      <c r="BU54" s="229">
        <f t="shared" si="47"/>
        <v>0</v>
      </c>
      <c r="BV54" s="229">
        <f t="shared" si="47"/>
        <v>0</v>
      </c>
      <c r="BW54" s="229">
        <f t="shared" si="47"/>
        <v>0</v>
      </c>
      <c r="BX54" s="229">
        <f t="shared" si="47"/>
        <v>0</v>
      </c>
      <c r="BY54" s="229">
        <f t="shared" si="47"/>
        <v>0</v>
      </c>
      <c r="BZ54" s="229">
        <f t="shared" si="47"/>
        <v>0</v>
      </c>
      <c r="CA54" s="229">
        <f t="shared" si="47"/>
        <v>0</v>
      </c>
      <c r="CB54" s="229">
        <f t="shared" si="47"/>
        <v>0</v>
      </c>
      <c r="CC54" s="229">
        <f t="shared" si="47"/>
        <v>0</v>
      </c>
      <c r="CD54" s="229">
        <f t="shared" ref="CD54:CT68" si="48">IF($M54=CD$13,CD$22*CD$3,IF($M54=CD$14,CD$22*CD$4,IF($M54=CD$15,CD$22*CD$5,IF($M54=CD$16,CD$22*CD$6,IF($M54=CD$17,CD$22*CD$7,IF($M54=CD$18,CD$22*CD$8,IF($M54=CD$19,CD$22*CD$9,IF($M54=CD$20,CD$22*CD$10,0))))))))</f>
        <v>0</v>
      </c>
      <c r="CE54" s="229">
        <f t="shared" ref="CE54:CE59" si="49">IF($M54=CE$13,CE$22*CE$3,IF($M54=CE$14,CE$22*CE$4,IF($M54=CE$15,CE$22*CE$5,IF($M54=CE$16,CE$22*CE$6,IF($M54=CE$17,CE$22*CE$7,IF($M54=CE$18,CE$22*CE$8,IF($M54=CE$19,CE$22*CE$9,IF($M54=CE$20,CE$22*CE$10,0))))))))</f>
        <v>0</v>
      </c>
      <c r="CF54" s="229">
        <f t="shared" si="48"/>
        <v>0</v>
      </c>
      <c r="CG54" s="229">
        <f t="shared" si="48"/>
        <v>0</v>
      </c>
      <c r="CH54" s="229">
        <f t="shared" si="11"/>
        <v>0</v>
      </c>
      <c r="CI54" s="229">
        <f t="shared" si="11"/>
        <v>0</v>
      </c>
      <c r="CJ54" s="229">
        <f t="shared" si="12"/>
        <v>0</v>
      </c>
      <c r="CK54" s="229">
        <f t="shared" si="11"/>
        <v>0</v>
      </c>
      <c r="CL54" s="229">
        <f t="shared" si="41"/>
        <v>0</v>
      </c>
      <c r="CM54" s="229">
        <f t="shared" si="41"/>
        <v>0</v>
      </c>
      <c r="CN54" s="229">
        <f t="shared" si="41"/>
        <v>0</v>
      </c>
      <c r="CO54" s="229">
        <f t="shared" si="41"/>
        <v>0</v>
      </c>
      <c r="CP54" s="229">
        <f t="shared" si="41"/>
        <v>0</v>
      </c>
      <c r="CQ54" s="229">
        <f t="shared" si="41"/>
        <v>0</v>
      </c>
      <c r="CR54" s="229">
        <f t="shared" si="48"/>
        <v>0</v>
      </c>
      <c r="CS54" s="229">
        <f t="shared" si="48"/>
        <v>0</v>
      </c>
      <c r="CT54" s="229">
        <f t="shared" si="48"/>
        <v>0</v>
      </c>
      <c r="CU54" s="230"/>
      <c r="CV54" s="231"/>
      <c r="CW54" s="231"/>
      <c r="CX54" s="231"/>
      <c r="CY54" s="231"/>
      <c r="CZ54" s="231"/>
      <c r="DA54" s="231"/>
      <c r="DC54" s="231"/>
      <c r="DD54" s="231">
        <f>IF(SUM(DD$24:DD53)=DD$22,0,IF(AND($M54&gt;=DD$15,$M54&lt;(DD$16+1)),DD$22/(DD$16-DD$15+1),0))</f>
        <v>0</v>
      </c>
      <c r="DE54" s="231">
        <f>IF(SUM(DE$24:DE53)=DE$22,0,IF(AND($M54&gt;=DE$15,$M54&lt;(DE$16+1)),DE$22/(DE$16-DE$15+1),0))</f>
        <v>0</v>
      </c>
      <c r="DF54" s="231">
        <f>IF(SUM(DF$24:DF53)=DF$22,0,IF(AND($M54&gt;=DF$15,$M54&lt;(DF$16+1)),DF$22/(DF$16-DF$15+1),0))</f>
        <v>0</v>
      </c>
      <c r="DG54" s="231">
        <f>IF(SUM(DG$24:DG53)=DG$22,0,IF(AND($M54&gt;=DG$15,$M54&lt;(DG$16+1)),DG$22/(DG$16-DG$15+1),0))</f>
        <v>0</v>
      </c>
      <c r="DH54" s="231">
        <f t="shared" si="43"/>
        <v>0</v>
      </c>
      <c r="DI54" s="231">
        <f t="shared" si="43"/>
        <v>0</v>
      </c>
      <c r="DJ54" s="231">
        <f t="shared" si="43"/>
        <v>0</v>
      </c>
      <c r="DK54" s="231">
        <f t="shared" si="43"/>
        <v>0</v>
      </c>
      <c r="DL54" s="231">
        <f t="shared" si="43"/>
        <v>0</v>
      </c>
      <c r="DM54" s="231">
        <f t="shared" si="43"/>
        <v>0</v>
      </c>
      <c r="DN54" s="231">
        <f t="shared" si="43"/>
        <v>0</v>
      </c>
      <c r="DO54" s="231">
        <f t="shared" si="43"/>
        <v>0</v>
      </c>
      <c r="DP54" s="231">
        <f t="shared" si="43"/>
        <v>0</v>
      </c>
      <c r="DQ54" s="231">
        <f t="shared" si="43"/>
        <v>0</v>
      </c>
      <c r="DR54" s="231">
        <f t="shared" si="43"/>
        <v>0</v>
      </c>
      <c r="DS54" s="231">
        <f t="shared" si="25"/>
        <v>0.29866666666666669</v>
      </c>
      <c r="DT54" s="231">
        <f ca="1">IF(SUM(DT$24:DT53)=DT$22,0,IF(AND($M54&gt;=DT$15,$M54&lt;(DT$16+1)),DT$22/(DT$16-DT$15+1),0))</f>
        <v>0</v>
      </c>
      <c r="DU54" s="231">
        <f ca="1">IF(SUM(DU$24:DU53)=DU$22,0,IF(AND($M54&gt;=DU$15,$M54&lt;(DU$16+1)),DU$22/(DU$16-DU$15+1),0))</f>
        <v>0</v>
      </c>
      <c r="DV54" s="231">
        <f ca="1">IF(SUM(DV$24:DV53)=DV$22,0,IF(AND(M54&gt;=DV$15,M54&lt;(DV$16+1)),DV$22/(DV$16-DV$15+1),0))</f>
        <v>0</v>
      </c>
      <c r="DW54" s="231" t="e">
        <f ca="1">IF(SUM(DW$24:DW53)=DW$22,0,IF(AND($M54&gt;=DW$15,$M54&lt;(DW$16+1)),DW$22/(DW$16-DW$15+1),0))</f>
        <v>#N/A</v>
      </c>
      <c r="DX54" s="231">
        <f ca="1">IF(SUM(DX$24:DX53)=DX$22,0,IF(AND($M54&gt;=DX$15,$M54&lt;(DX$16+1)),DX$22/(DX$16-DX$15+1),0))</f>
        <v>0</v>
      </c>
      <c r="DY54" s="231">
        <f ca="1">IF(SUM(DY$24:DY53)=DY$22,0,IF(AND($M54&gt;=DY$15,$M54&lt;(DY$16+1)),DY$22/(DY$16-DY$15+1),0))</f>
        <v>0</v>
      </c>
      <c r="DZ54" s="231">
        <f ca="1">IF(SUM(DZ$24:DZ53)=DZ$22,0,IF(AND($M54&gt;=DZ$15,$M54&lt;(DZ$16+1)),DZ$22/(DZ$16-DZ$15+1),0))</f>
        <v>0</v>
      </c>
      <c r="EA54" s="231" t="e">
        <f ca="1">IF(SUM(EA$24:EA53)=EA$22,0,IF(AND(M54&gt;=EA$15,M54&lt;(EA$16+1)),EA$22/(EA$16-EA$15+1),0))</f>
        <v>#N/A</v>
      </c>
      <c r="EC54" s="372">
        <f t="shared" si="16"/>
        <v>27</v>
      </c>
      <c r="ED54" s="372" t="e">
        <f t="shared" ca="1" si="17"/>
        <v>#N/A</v>
      </c>
      <c r="EE54" s="373" t="e">
        <f t="shared" ca="1" si="18"/>
        <v>#N/A</v>
      </c>
      <c r="EF54" s="234" t="e">
        <f t="shared" ca="1" si="28"/>
        <v>#N/A</v>
      </c>
      <c r="EG54" s="234" t="e">
        <f t="shared" ca="1" si="29"/>
        <v>#N/A</v>
      </c>
      <c r="EH54" s="234" t="e">
        <f t="shared" ca="1" si="34"/>
        <v>#N/A</v>
      </c>
      <c r="EI54" s="234"/>
      <c r="EJ54" s="234"/>
      <c r="EK54" s="113" t="e">
        <f t="shared" ca="1" si="19"/>
        <v>#N/A</v>
      </c>
      <c r="EL54" s="231" t="e">
        <f ca="1">IF(SUM(EL$24:EL53)=EL$22,0,IF(AND($M54&gt;=EL$15,$M54&lt;(EL$16+1)),EL$22/(EL$16-EL$15+1),0))</f>
        <v>#N/A</v>
      </c>
      <c r="EM54" s="113" t="e">
        <f t="shared" ca="1" si="21"/>
        <v>#N/A</v>
      </c>
      <c r="EO54" s="2"/>
      <c r="EP54" s="2"/>
    </row>
    <row r="55" spans="1:146">
      <c r="A55" s="220"/>
      <c r="B55" s="236">
        <f t="shared" si="23"/>
        <v>28</v>
      </c>
      <c r="C55" s="221">
        <f t="shared" si="26"/>
        <v>44412.250900000043</v>
      </c>
      <c r="D55" s="222" t="e">
        <f ca="1">'Offshore INT'!R44</f>
        <v>#N/A</v>
      </c>
      <c r="E55" s="223" t="e">
        <f t="shared" ca="1" si="0"/>
        <v>#N/A</v>
      </c>
      <c r="F55" s="224"/>
      <c r="G55" s="225">
        <f>IF(G54=1,1,SUM($F$24:F55))</f>
        <v>0</v>
      </c>
      <c r="H55" s="226" t="e">
        <f ca="1">IF(H54=0,0,SUM($I$24:I55))</f>
        <v>#N/A</v>
      </c>
      <c r="I55" s="227" t="e">
        <f t="shared" ca="1" si="1"/>
        <v>#N/A</v>
      </c>
      <c r="J55" s="222">
        <f t="shared" ca="1" si="20"/>
        <v>0</v>
      </c>
      <c r="K55" s="60"/>
      <c r="L55" s="228"/>
      <c r="M55" s="228">
        <f t="shared" si="2"/>
        <v>28</v>
      </c>
      <c r="N55" s="221">
        <f t="shared" si="3"/>
        <v>44412.250900000043</v>
      </c>
      <c r="O55" s="229">
        <f t="shared" si="44"/>
        <v>0</v>
      </c>
      <c r="P55" s="229">
        <f t="shared" si="44"/>
        <v>0</v>
      </c>
      <c r="Q55" s="229">
        <f t="shared" si="44"/>
        <v>0</v>
      </c>
      <c r="R55" s="229">
        <f t="shared" si="44"/>
        <v>0</v>
      </c>
      <c r="S55" s="229">
        <f t="shared" si="44"/>
        <v>0</v>
      </c>
      <c r="T55" s="229">
        <f t="shared" si="44"/>
        <v>0</v>
      </c>
      <c r="U55" s="229">
        <f t="shared" si="44"/>
        <v>0</v>
      </c>
      <c r="V55" s="229">
        <f t="shared" si="44"/>
        <v>0</v>
      </c>
      <c r="W55" s="229">
        <f t="shared" si="44"/>
        <v>0</v>
      </c>
      <c r="X55" s="229">
        <f t="shared" si="44"/>
        <v>0</v>
      </c>
      <c r="Y55" s="229">
        <f t="shared" si="44"/>
        <v>0</v>
      </c>
      <c r="Z55" s="229">
        <f t="shared" si="44"/>
        <v>0</v>
      </c>
      <c r="AA55" s="229">
        <f t="shared" si="45"/>
        <v>0</v>
      </c>
      <c r="AB55" s="229">
        <f t="shared" si="45"/>
        <v>0</v>
      </c>
      <c r="AC55" s="229">
        <f t="shared" si="45"/>
        <v>0</v>
      </c>
      <c r="AD55" s="229">
        <f t="shared" si="45"/>
        <v>0</v>
      </c>
      <c r="AE55" s="229">
        <f t="shared" si="45"/>
        <v>0</v>
      </c>
      <c r="AF55" s="229">
        <f t="shared" si="45"/>
        <v>0</v>
      </c>
      <c r="AG55" s="229">
        <f t="shared" si="45"/>
        <v>0</v>
      </c>
      <c r="AH55" s="229">
        <f t="shared" si="45"/>
        <v>0</v>
      </c>
      <c r="AI55" s="229">
        <f t="shared" si="45"/>
        <v>0</v>
      </c>
      <c r="AJ55" s="229">
        <f t="shared" si="45"/>
        <v>0</v>
      </c>
      <c r="AK55" s="229">
        <f t="shared" si="45"/>
        <v>0</v>
      </c>
      <c r="AL55" s="229">
        <f t="shared" si="45"/>
        <v>0</v>
      </c>
      <c r="AM55" s="229">
        <f t="shared" si="45"/>
        <v>0</v>
      </c>
      <c r="AN55" s="229">
        <f t="shared" si="45"/>
        <v>0</v>
      </c>
      <c r="AO55" s="229">
        <f t="shared" si="45"/>
        <v>0</v>
      </c>
      <c r="AP55" s="229">
        <f t="shared" si="45"/>
        <v>0</v>
      </c>
      <c r="AQ55" s="229">
        <f t="shared" si="45"/>
        <v>0</v>
      </c>
      <c r="AR55" s="229">
        <f t="shared" si="45"/>
        <v>0</v>
      </c>
      <c r="AS55" s="229">
        <f t="shared" si="37"/>
        <v>0</v>
      </c>
      <c r="AT55" s="229">
        <f t="shared" si="37"/>
        <v>0</v>
      </c>
      <c r="AU55" s="229">
        <f t="shared" si="37"/>
        <v>0</v>
      </c>
      <c r="AV55" s="229">
        <f t="shared" si="37"/>
        <v>0</v>
      </c>
      <c r="AW55" s="229">
        <f t="shared" si="37"/>
        <v>0</v>
      </c>
      <c r="AX55" s="229">
        <f t="shared" si="45"/>
        <v>0</v>
      </c>
      <c r="AY55" s="229">
        <f t="shared" si="45"/>
        <v>0</v>
      </c>
      <c r="AZ55" s="229">
        <f t="shared" si="45"/>
        <v>0</v>
      </c>
      <c r="BA55" s="229">
        <f t="shared" si="45"/>
        <v>0</v>
      </c>
      <c r="BB55" s="229">
        <f t="shared" si="45"/>
        <v>0</v>
      </c>
      <c r="BC55" s="229">
        <f t="shared" si="45"/>
        <v>0</v>
      </c>
      <c r="BD55" s="229">
        <f t="shared" si="46"/>
        <v>0</v>
      </c>
      <c r="BE55" s="229">
        <f t="shared" si="46"/>
        <v>0</v>
      </c>
      <c r="BF55" s="229">
        <f t="shared" si="46"/>
        <v>0</v>
      </c>
      <c r="BG55" s="229">
        <f t="shared" si="46"/>
        <v>0</v>
      </c>
      <c r="BH55" s="229">
        <f t="shared" si="46"/>
        <v>0</v>
      </c>
      <c r="BI55" s="229">
        <f t="shared" si="46"/>
        <v>0</v>
      </c>
      <c r="BJ55" s="229">
        <f t="shared" si="46"/>
        <v>0</v>
      </c>
      <c r="BK55" s="229">
        <f t="shared" si="46"/>
        <v>0</v>
      </c>
      <c r="BL55" s="229">
        <f t="shared" si="46"/>
        <v>0</v>
      </c>
      <c r="BM55" s="229">
        <f t="shared" si="46"/>
        <v>0</v>
      </c>
      <c r="BN55" s="229">
        <f t="shared" si="46"/>
        <v>0</v>
      </c>
      <c r="BO55" s="229">
        <f t="shared" si="46"/>
        <v>0</v>
      </c>
      <c r="BP55" s="229">
        <f t="shared" si="46"/>
        <v>0</v>
      </c>
      <c r="BQ55" s="229">
        <f t="shared" si="47"/>
        <v>0</v>
      </c>
      <c r="BR55" s="229">
        <f t="shared" si="47"/>
        <v>0</v>
      </c>
      <c r="BS55" s="229">
        <f t="shared" si="47"/>
        <v>0</v>
      </c>
      <c r="BT55" s="229">
        <f t="shared" si="47"/>
        <v>0</v>
      </c>
      <c r="BU55" s="229">
        <f t="shared" si="47"/>
        <v>0</v>
      </c>
      <c r="BV55" s="229">
        <f t="shared" si="47"/>
        <v>0</v>
      </c>
      <c r="BW55" s="229">
        <f t="shared" si="47"/>
        <v>0</v>
      </c>
      <c r="BX55" s="229">
        <f t="shared" si="47"/>
        <v>0</v>
      </c>
      <c r="BY55" s="229">
        <f t="shared" si="47"/>
        <v>0</v>
      </c>
      <c r="BZ55" s="229">
        <f t="shared" si="47"/>
        <v>0</v>
      </c>
      <c r="CA55" s="229">
        <f t="shared" si="47"/>
        <v>0</v>
      </c>
      <c r="CB55" s="229">
        <f t="shared" si="47"/>
        <v>0</v>
      </c>
      <c r="CC55" s="229">
        <f t="shared" si="47"/>
        <v>0</v>
      </c>
      <c r="CD55" s="229">
        <f t="shared" si="48"/>
        <v>0</v>
      </c>
      <c r="CE55" s="229">
        <f t="shared" si="49"/>
        <v>0</v>
      </c>
      <c r="CF55" s="229">
        <f t="shared" si="48"/>
        <v>0</v>
      </c>
      <c r="CG55" s="229">
        <f t="shared" si="48"/>
        <v>0</v>
      </c>
      <c r="CH55" s="229">
        <f t="shared" si="11"/>
        <v>0</v>
      </c>
      <c r="CI55" s="229">
        <f t="shared" si="11"/>
        <v>0</v>
      </c>
      <c r="CJ55" s="229">
        <f t="shared" si="12"/>
        <v>0</v>
      </c>
      <c r="CK55" s="229">
        <f t="shared" si="11"/>
        <v>0</v>
      </c>
      <c r="CL55" s="229">
        <f t="shared" si="41"/>
        <v>0</v>
      </c>
      <c r="CM55" s="229">
        <f t="shared" si="41"/>
        <v>0</v>
      </c>
      <c r="CN55" s="229">
        <f t="shared" si="41"/>
        <v>0</v>
      </c>
      <c r="CO55" s="229">
        <f t="shared" si="41"/>
        <v>0</v>
      </c>
      <c r="CP55" s="229">
        <f t="shared" si="41"/>
        <v>0</v>
      </c>
      <c r="CQ55" s="229">
        <f t="shared" si="41"/>
        <v>0</v>
      </c>
      <c r="CR55" s="229">
        <f t="shared" si="48"/>
        <v>0</v>
      </c>
      <c r="CS55" s="229">
        <f t="shared" si="48"/>
        <v>0</v>
      </c>
      <c r="CT55" s="229">
        <f t="shared" si="48"/>
        <v>0</v>
      </c>
      <c r="CU55" s="230"/>
      <c r="CV55" s="231"/>
      <c r="CW55" s="231"/>
      <c r="CX55" s="231"/>
      <c r="CY55" s="231"/>
      <c r="CZ55" s="231"/>
      <c r="DA55" s="231"/>
      <c r="DC55" s="231"/>
      <c r="DD55" s="231">
        <f>IF(SUM(DD$24:DD54)=DD$22,0,IF(AND($M55&gt;=DD$15,$M55&lt;(DD$16+1)),DD$22/(DD$16-DD$15+1),0))</f>
        <v>0</v>
      </c>
      <c r="DE55" s="231">
        <f>IF(SUM(DE$24:DE54)=DE$22,0,IF(AND($M55&gt;=DE$15,$M55&lt;(DE$16+1)),DE$22/(DE$16-DE$15+1),0))</f>
        <v>0</v>
      </c>
      <c r="DF55" s="231">
        <f>IF(SUM(DF$24:DF54)=DF$22,0,IF(AND($M55&gt;=DF$15,$M55&lt;(DF$16+1)),DF$22/(DF$16-DF$15+1),0))</f>
        <v>0</v>
      </c>
      <c r="DG55" s="231">
        <f>IF(SUM(DG$24:DG54)=DG$22,0,IF(AND($M55&gt;=DG$15,$M55&lt;(DG$16+1)),DG$22/(DG$16-DG$15+1),0))</f>
        <v>0</v>
      </c>
      <c r="DH55" s="231">
        <f t="shared" si="43"/>
        <v>0</v>
      </c>
      <c r="DI55" s="231">
        <f t="shared" si="43"/>
        <v>0</v>
      </c>
      <c r="DJ55" s="231">
        <f t="shared" si="43"/>
        <v>0</v>
      </c>
      <c r="DK55" s="231">
        <f t="shared" si="43"/>
        <v>0</v>
      </c>
      <c r="DL55" s="231">
        <f t="shared" si="43"/>
        <v>0</v>
      </c>
      <c r="DM55" s="231">
        <f t="shared" si="43"/>
        <v>0</v>
      </c>
      <c r="DN55" s="231">
        <f t="shared" si="43"/>
        <v>0</v>
      </c>
      <c r="DO55" s="231">
        <f t="shared" si="43"/>
        <v>0</v>
      </c>
      <c r="DP55" s="231">
        <f t="shared" si="43"/>
        <v>0</v>
      </c>
      <c r="DQ55" s="231">
        <f t="shared" si="43"/>
        <v>0</v>
      </c>
      <c r="DR55" s="231">
        <f t="shared" si="43"/>
        <v>0</v>
      </c>
      <c r="DS55" s="231">
        <f t="shared" si="25"/>
        <v>0.29866666666666669</v>
      </c>
      <c r="DT55" s="231">
        <f ca="1">IF(SUM(DT$24:DT54)=DT$22,0,IF(AND($M55&gt;=DT$15,$M55&lt;(DT$16+1)),DT$22/(DT$16-DT$15+1),0))</f>
        <v>0</v>
      </c>
      <c r="DU55" s="231">
        <f ca="1">IF(SUM(DU$24:DU54)=DU$22,0,IF(AND($M55&gt;=DU$15,$M55&lt;(DU$16+1)),DU$22/(DU$16-DU$15+1),0))</f>
        <v>0</v>
      </c>
      <c r="DV55" s="231">
        <f ca="1">IF(SUM(DV$24:DV54)=DV$22,0,IF(AND(M55&gt;=DV$15,M55&lt;(DV$16+1)),DV$22/(DV$16-DV$15+1),0))</f>
        <v>0</v>
      </c>
      <c r="DW55" s="231" t="e">
        <f ca="1">IF(SUM(DW$24:DW54)=DW$22,0,IF(AND($M55&gt;=DW$15,$M55&lt;(DW$16+1)),DW$22/(DW$16-DW$15+1),0))</f>
        <v>#N/A</v>
      </c>
      <c r="DX55" s="231">
        <f ca="1">IF(SUM(DX$24:DX54)=DX$22,0,IF(AND($M55&gt;=DX$15,$M55&lt;(DX$16+1)),DX$22/(DX$16-DX$15+1),0))</f>
        <v>0</v>
      </c>
      <c r="DY55" s="231">
        <f ca="1">IF(SUM(DY$24:DY54)=DY$22,0,IF(AND($M55&gt;=DY$15,$M55&lt;(DY$16+1)),DY$22/(DY$16-DY$15+1),0))</f>
        <v>0</v>
      </c>
      <c r="DZ55" s="231">
        <f ca="1">IF(SUM(DZ$24:DZ54)=DZ$22,0,IF(AND($M55&gt;=DZ$15,$M55&lt;(DZ$16+1)),DZ$22/(DZ$16-DZ$15+1),0))</f>
        <v>0</v>
      </c>
      <c r="EA55" s="231" t="e">
        <f ca="1">IF(SUM(EA$24:EA54)=EA$22,0,IF(AND(M55&gt;=EA$15,M55&lt;(EA$16+1)),EA$22/(EA$16-EA$15+1),0))</f>
        <v>#N/A</v>
      </c>
      <c r="EC55" s="234">
        <f t="shared" si="16"/>
        <v>28</v>
      </c>
      <c r="ED55" s="234" t="e">
        <f t="shared" ca="1" si="17"/>
        <v>#N/A</v>
      </c>
      <c r="EE55" s="235" t="e">
        <f t="shared" ca="1" si="18"/>
        <v>#N/A</v>
      </c>
      <c r="EF55" s="234" t="e">
        <f t="shared" ca="1" si="28"/>
        <v>#N/A</v>
      </c>
      <c r="EG55" s="234" t="e">
        <f t="shared" ca="1" si="29"/>
        <v>#N/A</v>
      </c>
      <c r="EH55" s="234" t="e">
        <f t="shared" ca="1" si="34"/>
        <v>#N/A</v>
      </c>
      <c r="EI55" s="234"/>
      <c r="EJ55" s="234"/>
      <c r="EK55" s="153" t="e">
        <f t="shared" ca="1" si="19"/>
        <v>#N/A</v>
      </c>
      <c r="EL55" s="231" t="e">
        <f ca="1">IF(SUM(EL$24:EL54)=EL$22,0,IF(AND($M55&gt;=EL$15,$M55&lt;(EL$16+1)),EL$22/(EL$16-EL$15+1),0))</f>
        <v>#N/A</v>
      </c>
      <c r="EM55" s="153" t="e">
        <f t="shared" ca="1" si="21"/>
        <v>#N/A</v>
      </c>
      <c r="EO55" s="60"/>
      <c r="EP55" s="60"/>
    </row>
    <row r="56" spans="1:146">
      <c r="A56" s="220"/>
      <c r="B56" s="236">
        <f t="shared" si="23"/>
        <v>29</v>
      </c>
      <c r="C56" s="221">
        <f t="shared" si="26"/>
        <v>44442.667600000044</v>
      </c>
      <c r="D56" s="222" t="e">
        <f ca="1">'Offshore INT'!R45</f>
        <v>#N/A</v>
      </c>
      <c r="E56" s="223" t="e">
        <f t="shared" ref="E56:E87" ca="1" si="50">F56*I$4</f>
        <v>#N/A</v>
      </c>
      <c r="F56" s="224"/>
      <c r="G56" s="225">
        <f>IF(G55=1,1,SUM($F$24:F56))</f>
        <v>0</v>
      </c>
      <c r="H56" s="226" t="e">
        <f ca="1">IF(H55=0,0,SUM($I$24:I56))</f>
        <v>#N/A</v>
      </c>
      <c r="I56" s="227" t="e">
        <f t="shared" ref="I56:I87" ca="1" si="51">IF(I$3=0,0,J56/I$3)</f>
        <v>#N/A</v>
      </c>
      <c r="J56" s="222">
        <f t="shared" ca="1" si="20"/>
        <v>0</v>
      </c>
      <c r="K56" s="60"/>
      <c r="L56" s="228"/>
      <c r="M56" s="228">
        <f t="shared" ref="M56:M87" si="52">B56</f>
        <v>29</v>
      </c>
      <c r="N56" s="221">
        <f t="shared" ref="N56:N87" si="53">C56</f>
        <v>44442.667600000044</v>
      </c>
      <c r="O56" s="229">
        <f t="shared" si="44"/>
        <v>0</v>
      </c>
      <c r="P56" s="229">
        <f t="shared" si="44"/>
        <v>0</v>
      </c>
      <c r="Q56" s="229">
        <f t="shared" si="44"/>
        <v>0</v>
      </c>
      <c r="R56" s="229">
        <f t="shared" si="44"/>
        <v>0</v>
      </c>
      <c r="S56" s="229">
        <f t="shared" si="44"/>
        <v>0</v>
      </c>
      <c r="T56" s="229">
        <f t="shared" si="44"/>
        <v>0</v>
      </c>
      <c r="U56" s="229">
        <f t="shared" si="44"/>
        <v>0</v>
      </c>
      <c r="V56" s="229">
        <f t="shared" si="44"/>
        <v>0</v>
      </c>
      <c r="W56" s="229">
        <f t="shared" si="44"/>
        <v>0</v>
      </c>
      <c r="X56" s="229">
        <f t="shared" si="44"/>
        <v>0</v>
      </c>
      <c r="Y56" s="229">
        <f t="shared" si="44"/>
        <v>0</v>
      </c>
      <c r="Z56" s="229">
        <f t="shared" si="44"/>
        <v>0</v>
      </c>
      <c r="AA56" s="229">
        <f t="shared" si="45"/>
        <v>0</v>
      </c>
      <c r="AB56" s="229">
        <f t="shared" si="45"/>
        <v>0</v>
      </c>
      <c r="AC56" s="229">
        <f t="shared" si="45"/>
        <v>0</v>
      </c>
      <c r="AD56" s="229">
        <f t="shared" si="45"/>
        <v>0</v>
      </c>
      <c r="AE56" s="229">
        <f t="shared" si="45"/>
        <v>0</v>
      </c>
      <c r="AF56" s="229">
        <f t="shared" si="45"/>
        <v>0</v>
      </c>
      <c r="AG56" s="229">
        <f t="shared" si="45"/>
        <v>0</v>
      </c>
      <c r="AH56" s="229">
        <f t="shared" si="45"/>
        <v>0</v>
      </c>
      <c r="AI56" s="229">
        <f t="shared" si="45"/>
        <v>0</v>
      </c>
      <c r="AJ56" s="229">
        <f t="shared" si="45"/>
        <v>0</v>
      </c>
      <c r="AK56" s="229">
        <f t="shared" si="45"/>
        <v>0</v>
      </c>
      <c r="AL56" s="229">
        <f t="shared" si="45"/>
        <v>0</v>
      </c>
      <c r="AM56" s="229">
        <f t="shared" si="45"/>
        <v>0</v>
      </c>
      <c r="AN56" s="229">
        <f t="shared" si="45"/>
        <v>0</v>
      </c>
      <c r="AO56" s="229">
        <f t="shared" si="45"/>
        <v>0</v>
      </c>
      <c r="AP56" s="229">
        <f t="shared" si="45"/>
        <v>0</v>
      </c>
      <c r="AQ56" s="229">
        <f t="shared" si="45"/>
        <v>0</v>
      </c>
      <c r="AR56" s="229">
        <f t="shared" si="45"/>
        <v>0</v>
      </c>
      <c r="AS56" s="229">
        <f t="shared" si="37"/>
        <v>0</v>
      </c>
      <c r="AT56" s="229">
        <f t="shared" si="37"/>
        <v>0</v>
      </c>
      <c r="AU56" s="229">
        <f t="shared" si="37"/>
        <v>0</v>
      </c>
      <c r="AV56" s="229">
        <f t="shared" si="37"/>
        <v>0</v>
      </c>
      <c r="AW56" s="229">
        <f t="shared" si="37"/>
        <v>0</v>
      </c>
      <c r="AX56" s="229">
        <f t="shared" si="45"/>
        <v>0</v>
      </c>
      <c r="AY56" s="229">
        <f t="shared" si="45"/>
        <v>0</v>
      </c>
      <c r="AZ56" s="229">
        <f t="shared" si="45"/>
        <v>0</v>
      </c>
      <c r="BA56" s="229">
        <f t="shared" si="45"/>
        <v>0</v>
      </c>
      <c r="BB56" s="229">
        <f t="shared" si="45"/>
        <v>0</v>
      </c>
      <c r="BC56" s="229">
        <f t="shared" si="45"/>
        <v>0</v>
      </c>
      <c r="BD56" s="229">
        <f t="shared" si="46"/>
        <v>0</v>
      </c>
      <c r="BE56" s="229">
        <f t="shared" si="46"/>
        <v>0</v>
      </c>
      <c r="BF56" s="229">
        <f t="shared" si="46"/>
        <v>0</v>
      </c>
      <c r="BG56" s="229">
        <f t="shared" si="46"/>
        <v>0</v>
      </c>
      <c r="BH56" s="229">
        <f t="shared" si="46"/>
        <v>0</v>
      </c>
      <c r="BI56" s="229">
        <f t="shared" si="46"/>
        <v>0</v>
      </c>
      <c r="BJ56" s="229">
        <f t="shared" si="46"/>
        <v>0</v>
      </c>
      <c r="BK56" s="229">
        <f t="shared" si="46"/>
        <v>0</v>
      </c>
      <c r="BL56" s="229">
        <f t="shared" si="46"/>
        <v>0</v>
      </c>
      <c r="BM56" s="229">
        <f t="shared" si="46"/>
        <v>0</v>
      </c>
      <c r="BN56" s="229">
        <f t="shared" si="46"/>
        <v>0</v>
      </c>
      <c r="BO56" s="229">
        <f t="shared" si="46"/>
        <v>0</v>
      </c>
      <c r="BP56" s="229">
        <f t="shared" si="46"/>
        <v>0</v>
      </c>
      <c r="BQ56" s="229">
        <f t="shared" si="47"/>
        <v>0</v>
      </c>
      <c r="BR56" s="229">
        <f t="shared" si="47"/>
        <v>0</v>
      </c>
      <c r="BS56" s="229">
        <f t="shared" si="47"/>
        <v>0</v>
      </c>
      <c r="BT56" s="229">
        <f t="shared" si="47"/>
        <v>0</v>
      </c>
      <c r="BU56" s="229">
        <f t="shared" si="47"/>
        <v>0</v>
      </c>
      <c r="BV56" s="229">
        <f t="shared" si="47"/>
        <v>0</v>
      </c>
      <c r="BW56" s="229">
        <f t="shared" si="47"/>
        <v>0</v>
      </c>
      <c r="BX56" s="229">
        <f t="shared" si="47"/>
        <v>0</v>
      </c>
      <c r="BY56" s="229">
        <f t="shared" si="47"/>
        <v>0</v>
      </c>
      <c r="BZ56" s="229">
        <f t="shared" si="47"/>
        <v>0</v>
      </c>
      <c r="CA56" s="229">
        <f t="shared" si="47"/>
        <v>0</v>
      </c>
      <c r="CB56" s="229">
        <f t="shared" si="47"/>
        <v>0</v>
      </c>
      <c r="CC56" s="229">
        <f t="shared" si="47"/>
        <v>0</v>
      </c>
      <c r="CD56" s="229">
        <f t="shared" si="48"/>
        <v>0</v>
      </c>
      <c r="CE56" s="229">
        <f t="shared" si="49"/>
        <v>0</v>
      </c>
      <c r="CF56" s="229">
        <f t="shared" si="48"/>
        <v>0</v>
      </c>
      <c r="CG56" s="229">
        <f t="shared" si="48"/>
        <v>0</v>
      </c>
      <c r="CH56" s="229">
        <f t="shared" si="48"/>
        <v>0</v>
      </c>
      <c r="CI56" s="229">
        <f t="shared" si="48"/>
        <v>0</v>
      </c>
      <c r="CJ56" s="229">
        <f t="shared" si="48"/>
        <v>0</v>
      </c>
      <c r="CK56" s="229">
        <f t="shared" si="48"/>
        <v>0</v>
      </c>
      <c r="CL56" s="229">
        <f t="shared" si="48"/>
        <v>0</v>
      </c>
      <c r="CM56" s="229">
        <f t="shared" si="48"/>
        <v>0</v>
      </c>
      <c r="CN56" s="229">
        <f t="shared" si="48"/>
        <v>0</v>
      </c>
      <c r="CO56" s="229">
        <f t="shared" si="41"/>
        <v>0</v>
      </c>
      <c r="CP56" s="229">
        <f t="shared" si="41"/>
        <v>0</v>
      </c>
      <c r="CQ56" s="229">
        <f t="shared" si="48"/>
        <v>0</v>
      </c>
      <c r="CR56" s="229">
        <f t="shared" si="48"/>
        <v>0</v>
      </c>
      <c r="CS56" s="229">
        <f t="shared" si="48"/>
        <v>0</v>
      </c>
      <c r="CT56" s="229">
        <f t="shared" si="48"/>
        <v>0</v>
      </c>
      <c r="CU56" s="230"/>
      <c r="CV56" s="231"/>
      <c r="CW56" s="231"/>
      <c r="CX56" s="231"/>
      <c r="CY56" s="231"/>
      <c r="CZ56" s="231"/>
      <c r="DA56" s="231"/>
      <c r="DC56" s="231"/>
      <c r="DD56" s="231">
        <f>IF(SUM(DD$24:DD55)=DD$22,0,IF(AND($M56&gt;=DD$15,$M56&lt;(DD$16+1)),DD$22/(DD$16-DD$15+1),0))</f>
        <v>0</v>
      </c>
      <c r="DE56" s="231">
        <f>IF(SUM(DE$24:DE55)=DE$22,0,IF(AND($M56&gt;=DE$15,$M56&lt;(DE$16+1)),DE$22/(DE$16-DE$15+1),0))</f>
        <v>0</v>
      </c>
      <c r="DF56" s="231">
        <f>IF(SUM(DF$24:DF55)=DF$22,0,IF(AND($M56&gt;=DF$15,$M56&lt;(DF$16+1)),DF$22/(DF$16-DF$15+1),0))</f>
        <v>0</v>
      </c>
      <c r="DG56" s="231">
        <f>IF(SUM(DG$24:DG55)=DG$22,0,IF(AND($M56&gt;=DG$15,$M56&lt;(DG$16+1)),DG$22/(DG$16-DG$15+1),0))</f>
        <v>0</v>
      </c>
      <c r="DH56" s="231">
        <f t="shared" si="43"/>
        <v>0</v>
      </c>
      <c r="DI56" s="231">
        <f t="shared" si="43"/>
        <v>0</v>
      </c>
      <c r="DJ56" s="231">
        <f t="shared" si="43"/>
        <v>0</v>
      </c>
      <c r="DK56" s="231">
        <f t="shared" si="43"/>
        <v>0</v>
      </c>
      <c r="DL56" s="231">
        <f t="shared" si="43"/>
        <v>0</v>
      </c>
      <c r="DM56" s="231">
        <f t="shared" si="43"/>
        <v>0</v>
      </c>
      <c r="DN56" s="231">
        <f t="shared" si="43"/>
        <v>0</v>
      </c>
      <c r="DO56" s="231">
        <f t="shared" si="43"/>
        <v>0</v>
      </c>
      <c r="DP56" s="231">
        <f t="shared" si="43"/>
        <v>0</v>
      </c>
      <c r="DQ56" s="231">
        <f t="shared" si="43"/>
        <v>0</v>
      </c>
      <c r="DR56" s="231">
        <f t="shared" si="43"/>
        <v>0</v>
      </c>
      <c r="DS56" s="231">
        <f t="shared" si="25"/>
        <v>0.29866666666666669</v>
      </c>
      <c r="DT56" s="231">
        <f ca="1">IF(SUM(DT$24:DT55)=DT$22,0,IF(AND($M56&gt;=DT$15,$M56&lt;(DT$16+1)),DT$22/(DT$16-DT$15+1),0))</f>
        <v>0</v>
      </c>
      <c r="DU56" s="231">
        <f ca="1">IF(SUM(DU$24:DU55)=DU$22,0,IF(AND($M56&gt;=DU$15,$M56&lt;(DU$16+1)),DU$22/(DU$16-DU$15+1),0))</f>
        <v>0</v>
      </c>
      <c r="DV56" s="231">
        <f ca="1">IF(SUM(DV$24:DV55)=DV$22,0,IF(AND(M56&gt;=DV$15,M56&lt;(DV$16+1)),DV$22/(DV$16-DV$15+1),0))</f>
        <v>0</v>
      </c>
      <c r="DW56" s="231" t="e">
        <f ca="1">IF(SUM(DW$24:DW55)=DW$22,0,IF(AND($M56&gt;=DW$15,$M56&lt;(DW$16+1)),DW$22/(DW$16-DW$15+1),0))</f>
        <v>#N/A</v>
      </c>
      <c r="DX56" s="231">
        <f ca="1">IF(SUM(DX$24:DX55)=DX$22,0,IF(AND($M56&gt;=DX$15,$M56&lt;(DX$16+1)),DX$22/(DX$16-DX$15+1),0))</f>
        <v>0</v>
      </c>
      <c r="DY56" s="231">
        <f ca="1">IF(SUM(DY$24:DY55)=DY$22,0,IF(AND($M56&gt;=DY$15,$M56&lt;(DY$16+1)),DY$22/(DY$16-DY$15+1),0))</f>
        <v>0</v>
      </c>
      <c r="DZ56" s="231">
        <f ca="1">IF(SUM(DZ$24:DZ55)=DZ$22,0,IF(AND($M56&gt;=DZ$15,$M56&lt;(DZ$16+1)),DZ$22/(DZ$16-DZ$15+1),0))</f>
        <v>0</v>
      </c>
      <c r="EA56" s="231" t="e">
        <f ca="1">IF(SUM(EA$24:EA55)=EA$22,0,IF(AND(M56&gt;=EA$15,M56&lt;(EA$16+1)),EA$22/(EA$16-EA$15+1),0))</f>
        <v>#N/A</v>
      </c>
      <c r="EC56" s="234">
        <f t="shared" ref="EC56:EC87" si="54">M56</f>
        <v>29</v>
      </c>
      <c r="ED56" s="234" t="e">
        <f t="shared" ref="ED56:ED87" ca="1" si="55">SUM(O56:EA56)</f>
        <v>#N/A</v>
      </c>
      <c r="EE56" s="235" t="e">
        <f t="shared" ref="EE56:EE87" ca="1" si="56">ED56/ED$22</f>
        <v>#N/A</v>
      </c>
      <c r="EF56" s="234" t="e">
        <f t="shared" ca="1" si="28"/>
        <v>#N/A</v>
      </c>
      <c r="EG56" s="234" t="e">
        <f t="shared" ca="1" si="29"/>
        <v>#N/A</v>
      </c>
      <c r="EH56" s="234" t="e">
        <f t="shared" ca="1" si="34"/>
        <v>#N/A</v>
      </c>
      <c r="EI56" s="234"/>
      <c r="EJ56" s="234"/>
      <c r="EK56" s="153" t="e">
        <f t="shared" ref="EK56:EK87" ca="1" si="57">SUM(ED56,EF56:EJ56)</f>
        <v>#N/A</v>
      </c>
      <c r="EL56" s="231" t="e">
        <f ca="1">IF(SUM(EL$24:EL55)=EL$22,0,IF(AND($M56&gt;=EL$15,$M56&lt;(EL$16+1)),EL$22/(EL$16-EL$15+1),0))</f>
        <v>#N/A</v>
      </c>
      <c r="EM56" s="153" t="e">
        <f t="shared" ref="EM56:EM87" ca="1" si="58">SUM(EK56:EL56)</f>
        <v>#N/A</v>
      </c>
      <c r="EO56" s="60"/>
      <c r="EP56" s="60"/>
    </row>
    <row r="57" spans="1:146">
      <c r="A57" s="220"/>
      <c r="B57" s="236">
        <f t="shared" si="23"/>
        <v>30</v>
      </c>
      <c r="C57" s="221">
        <f t="shared" ref="C57:C88" si="59">C56+30.4167</f>
        <v>44473.084300000046</v>
      </c>
      <c r="D57" s="222" t="e">
        <f ca="1">'Offshore INT'!R46</f>
        <v>#N/A</v>
      </c>
      <c r="E57" s="223" t="e">
        <f t="shared" ca="1" si="50"/>
        <v>#N/A</v>
      </c>
      <c r="F57" s="224"/>
      <c r="G57" s="225">
        <f>IF(G56=1,1,SUM($F$24:F57))</f>
        <v>0</v>
      </c>
      <c r="H57" s="226" t="e">
        <f ca="1">IF(H56=0,0,SUM($I$24:I57))</f>
        <v>#N/A</v>
      </c>
      <c r="I57" s="227" t="e">
        <f t="shared" ca="1" si="51"/>
        <v>#N/A</v>
      </c>
      <c r="J57" s="222">
        <f t="shared" ca="1" si="20"/>
        <v>0</v>
      </c>
      <c r="K57" s="60"/>
      <c r="L57" s="228"/>
      <c r="M57" s="228">
        <f t="shared" si="52"/>
        <v>30</v>
      </c>
      <c r="N57" s="221">
        <f t="shared" si="53"/>
        <v>44473.084300000046</v>
      </c>
      <c r="O57" s="229">
        <f t="shared" si="44"/>
        <v>0</v>
      </c>
      <c r="P57" s="229">
        <f t="shared" si="44"/>
        <v>0</v>
      </c>
      <c r="Q57" s="229">
        <f t="shared" si="44"/>
        <v>0</v>
      </c>
      <c r="R57" s="229">
        <f t="shared" si="44"/>
        <v>0</v>
      </c>
      <c r="S57" s="229">
        <f t="shared" si="44"/>
        <v>0</v>
      </c>
      <c r="T57" s="229">
        <f t="shared" si="44"/>
        <v>0</v>
      </c>
      <c r="U57" s="229">
        <f t="shared" si="44"/>
        <v>0</v>
      </c>
      <c r="V57" s="229">
        <f t="shared" si="44"/>
        <v>0</v>
      </c>
      <c r="W57" s="229">
        <f t="shared" si="44"/>
        <v>0</v>
      </c>
      <c r="X57" s="229">
        <f t="shared" si="44"/>
        <v>0</v>
      </c>
      <c r="Y57" s="229">
        <f t="shared" si="44"/>
        <v>0</v>
      </c>
      <c r="Z57" s="229">
        <f t="shared" si="44"/>
        <v>0</v>
      </c>
      <c r="AA57" s="229">
        <f t="shared" si="45"/>
        <v>0</v>
      </c>
      <c r="AB57" s="229">
        <f t="shared" si="45"/>
        <v>0</v>
      </c>
      <c r="AC57" s="229">
        <f t="shared" si="45"/>
        <v>0</v>
      </c>
      <c r="AD57" s="229">
        <f t="shared" si="45"/>
        <v>0</v>
      </c>
      <c r="AE57" s="229">
        <f t="shared" si="45"/>
        <v>0</v>
      </c>
      <c r="AF57" s="229">
        <f t="shared" si="45"/>
        <v>0</v>
      </c>
      <c r="AG57" s="229">
        <f t="shared" si="45"/>
        <v>0</v>
      </c>
      <c r="AH57" s="229">
        <f t="shared" si="45"/>
        <v>0</v>
      </c>
      <c r="AI57" s="229">
        <f t="shared" si="45"/>
        <v>0</v>
      </c>
      <c r="AJ57" s="229">
        <f t="shared" si="45"/>
        <v>0</v>
      </c>
      <c r="AK57" s="229">
        <f t="shared" si="45"/>
        <v>0</v>
      </c>
      <c r="AL57" s="229">
        <f t="shared" si="45"/>
        <v>0</v>
      </c>
      <c r="AM57" s="229">
        <f t="shared" si="45"/>
        <v>0</v>
      </c>
      <c r="AN57" s="229">
        <f t="shared" si="45"/>
        <v>0</v>
      </c>
      <c r="AO57" s="229">
        <f t="shared" si="45"/>
        <v>0</v>
      </c>
      <c r="AP57" s="229">
        <f t="shared" si="45"/>
        <v>0</v>
      </c>
      <c r="AQ57" s="229">
        <f t="shared" si="45"/>
        <v>0</v>
      </c>
      <c r="AR57" s="229">
        <f t="shared" si="45"/>
        <v>0</v>
      </c>
      <c r="AS57" s="229">
        <f t="shared" si="37"/>
        <v>0</v>
      </c>
      <c r="AT57" s="229">
        <f t="shared" si="37"/>
        <v>0</v>
      </c>
      <c r="AU57" s="229">
        <f t="shared" si="37"/>
        <v>0</v>
      </c>
      <c r="AV57" s="229">
        <f t="shared" si="37"/>
        <v>0</v>
      </c>
      <c r="AW57" s="229">
        <f t="shared" si="37"/>
        <v>0</v>
      </c>
      <c r="AX57" s="229">
        <f t="shared" si="45"/>
        <v>0</v>
      </c>
      <c r="AY57" s="229">
        <f t="shared" si="45"/>
        <v>0</v>
      </c>
      <c r="AZ57" s="229">
        <f t="shared" si="45"/>
        <v>0</v>
      </c>
      <c r="BA57" s="229">
        <f t="shared" si="45"/>
        <v>0</v>
      </c>
      <c r="BB57" s="229">
        <f t="shared" si="45"/>
        <v>0</v>
      </c>
      <c r="BC57" s="229">
        <f t="shared" si="45"/>
        <v>0</v>
      </c>
      <c r="BD57" s="229">
        <f t="shared" si="46"/>
        <v>0</v>
      </c>
      <c r="BE57" s="229">
        <f t="shared" si="46"/>
        <v>0</v>
      </c>
      <c r="BF57" s="229">
        <f t="shared" si="46"/>
        <v>0</v>
      </c>
      <c r="BG57" s="229">
        <f t="shared" si="46"/>
        <v>0</v>
      </c>
      <c r="BH57" s="229">
        <f t="shared" si="46"/>
        <v>0</v>
      </c>
      <c r="BI57" s="229">
        <f t="shared" si="46"/>
        <v>0</v>
      </c>
      <c r="BJ57" s="229">
        <f t="shared" si="46"/>
        <v>0</v>
      </c>
      <c r="BK57" s="229">
        <f t="shared" si="46"/>
        <v>0</v>
      </c>
      <c r="BL57" s="229">
        <f t="shared" si="46"/>
        <v>0</v>
      </c>
      <c r="BM57" s="229">
        <f t="shared" si="46"/>
        <v>0</v>
      </c>
      <c r="BN57" s="229">
        <f t="shared" si="46"/>
        <v>0</v>
      </c>
      <c r="BO57" s="229">
        <f t="shared" si="46"/>
        <v>0</v>
      </c>
      <c r="BP57" s="229">
        <f t="shared" si="46"/>
        <v>0</v>
      </c>
      <c r="BQ57" s="229">
        <f t="shared" si="47"/>
        <v>0</v>
      </c>
      <c r="BR57" s="229">
        <f t="shared" si="47"/>
        <v>0</v>
      </c>
      <c r="BS57" s="229">
        <f t="shared" si="47"/>
        <v>0</v>
      </c>
      <c r="BT57" s="229">
        <f t="shared" si="47"/>
        <v>0</v>
      </c>
      <c r="BU57" s="229">
        <f t="shared" si="47"/>
        <v>0</v>
      </c>
      <c r="BV57" s="229">
        <f t="shared" si="47"/>
        <v>0</v>
      </c>
      <c r="BW57" s="229">
        <f t="shared" si="47"/>
        <v>0</v>
      </c>
      <c r="BX57" s="229">
        <f t="shared" si="47"/>
        <v>0</v>
      </c>
      <c r="BY57" s="229">
        <f t="shared" si="47"/>
        <v>0</v>
      </c>
      <c r="BZ57" s="229">
        <f t="shared" si="47"/>
        <v>0</v>
      </c>
      <c r="CA57" s="229">
        <f t="shared" si="47"/>
        <v>0</v>
      </c>
      <c r="CB57" s="229">
        <f t="shared" si="47"/>
        <v>0</v>
      </c>
      <c r="CC57" s="229">
        <f t="shared" si="47"/>
        <v>0</v>
      </c>
      <c r="CD57" s="229">
        <f t="shared" si="48"/>
        <v>0</v>
      </c>
      <c r="CE57" s="229">
        <f t="shared" si="49"/>
        <v>0</v>
      </c>
      <c r="CF57" s="229">
        <f t="shared" si="48"/>
        <v>0</v>
      </c>
      <c r="CG57" s="229">
        <f t="shared" si="48"/>
        <v>0</v>
      </c>
      <c r="CH57" s="229">
        <f t="shared" si="48"/>
        <v>0</v>
      </c>
      <c r="CI57" s="229">
        <f t="shared" si="48"/>
        <v>0</v>
      </c>
      <c r="CJ57" s="229">
        <f t="shared" si="48"/>
        <v>0</v>
      </c>
      <c r="CK57" s="229">
        <f t="shared" si="48"/>
        <v>0</v>
      </c>
      <c r="CL57" s="229">
        <f t="shared" si="48"/>
        <v>0</v>
      </c>
      <c r="CM57" s="229">
        <f t="shared" si="48"/>
        <v>0</v>
      </c>
      <c r="CN57" s="229">
        <f t="shared" si="48"/>
        <v>0</v>
      </c>
      <c r="CO57" s="229">
        <f t="shared" si="41"/>
        <v>0</v>
      </c>
      <c r="CP57" s="229">
        <f t="shared" si="41"/>
        <v>0</v>
      </c>
      <c r="CQ57" s="229">
        <f t="shared" si="48"/>
        <v>0</v>
      </c>
      <c r="CR57" s="229">
        <f t="shared" si="48"/>
        <v>0</v>
      </c>
      <c r="CS57" s="229">
        <f t="shared" si="48"/>
        <v>0</v>
      </c>
      <c r="CT57" s="229">
        <f t="shared" si="48"/>
        <v>0</v>
      </c>
      <c r="CU57" s="230"/>
      <c r="CV57" s="231"/>
      <c r="CW57" s="231"/>
      <c r="CX57" s="231"/>
      <c r="CY57" s="231"/>
      <c r="CZ57" s="231"/>
      <c r="DA57" s="231"/>
      <c r="DC57" s="231"/>
      <c r="DD57" s="231">
        <f>IF(SUM(DD$24:DD56)=DD$22,0,IF(AND($M57&gt;=DD$15,$M57&lt;(DD$16+1)),DD$22/(DD$16-DD$15+1),0))</f>
        <v>0</v>
      </c>
      <c r="DE57" s="231">
        <f>IF(SUM(DE$24:DE56)=DE$22,0,IF(AND($M57&gt;=DE$15,$M57&lt;(DE$16+1)),DE$22/(DE$16-DE$15+1),0))</f>
        <v>0</v>
      </c>
      <c r="DF57" s="231">
        <f>IF(SUM(DF$24:DF56)=DF$22,0,IF(AND($M57&gt;=DF$15,$M57&lt;(DF$16+1)),DF$22/(DF$16-DF$15+1),0))</f>
        <v>0</v>
      </c>
      <c r="DG57" s="231">
        <f>IF(SUM(DG$24:DG56)=DG$22,0,IF(AND($M57&gt;=DG$15,$M57&lt;(DG$16+1)),DG$22/(DG$16-DG$15+1),0))</f>
        <v>0</v>
      </c>
      <c r="DH57" s="231">
        <f t="shared" si="43"/>
        <v>0</v>
      </c>
      <c r="DI57" s="231">
        <f t="shared" si="43"/>
        <v>0</v>
      </c>
      <c r="DJ57" s="231">
        <f t="shared" si="43"/>
        <v>0</v>
      </c>
      <c r="DK57" s="231">
        <f t="shared" si="43"/>
        <v>0</v>
      </c>
      <c r="DL57" s="231">
        <f t="shared" si="43"/>
        <v>0</v>
      </c>
      <c r="DM57" s="231">
        <f t="shared" si="43"/>
        <v>0</v>
      </c>
      <c r="DN57" s="231">
        <f t="shared" si="43"/>
        <v>0</v>
      </c>
      <c r="DO57" s="231">
        <f t="shared" si="43"/>
        <v>0</v>
      </c>
      <c r="DP57" s="231">
        <f t="shared" si="43"/>
        <v>0</v>
      </c>
      <c r="DQ57" s="231">
        <f t="shared" si="43"/>
        <v>0</v>
      </c>
      <c r="DR57" s="231">
        <f t="shared" si="43"/>
        <v>0</v>
      </c>
      <c r="DS57" s="231">
        <f t="shared" si="25"/>
        <v>0.29866666666666669</v>
      </c>
      <c r="DT57" s="231">
        <f ca="1">IF(SUM(DT$24:DT56)=DT$22,0,IF(AND($M57&gt;=DT$15,$M57&lt;(DT$16+1)),DT$22/(DT$16-DT$15+1),0))</f>
        <v>0</v>
      </c>
      <c r="DU57" s="231">
        <f ca="1">IF(SUM(DU$24:DU56)=DU$22,0,IF(AND($M57&gt;=DU$15,$M57&lt;(DU$16+1)),DU$22/(DU$16-DU$15+1),0))</f>
        <v>0</v>
      </c>
      <c r="DV57" s="231">
        <f ca="1">IF(SUM(DV$24:DV56)=DV$22,0,IF(AND(M57&gt;=DV$15,M57&lt;(DV$16+1)),DV$22/(DV$16-DV$15+1),0))</f>
        <v>0</v>
      </c>
      <c r="DW57" s="231" t="e">
        <f ca="1">IF(SUM(DW$24:DW56)=DW$22,0,IF(AND($M57&gt;=DW$15,$M57&lt;(DW$16+1)),DW$22/(DW$16-DW$15+1),0))</f>
        <v>#N/A</v>
      </c>
      <c r="DX57" s="231">
        <f ca="1">IF(SUM(DX$24:DX56)=DX$22,0,IF(AND($M57&gt;=DX$15,$M57&lt;(DX$16+1)),DX$22/(DX$16-DX$15+1),0))</f>
        <v>0</v>
      </c>
      <c r="DY57" s="231">
        <f ca="1">IF(SUM(DY$24:DY56)=DY$22,0,IF(AND($M57&gt;=DY$15,$M57&lt;(DY$16+1)),DY$22/(DY$16-DY$15+1),0))</f>
        <v>0</v>
      </c>
      <c r="DZ57" s="231">
        <f ca="1">IF(SUM(DZ$24:DZ56)=DZ$22,0,IF(AND($M57&gt;=DZ$15,$M57&lt;(DZ$16+1)),DZ$22/(DZ$16-DZ$15+1),0))</f>
        <v>0</v>
      </c>
      <c r="EA57" s="231" t="e">
        <f ca="1">IF(SUM(EA$24:EA56)=EA$22,0,IF(AND(M57&gt;=EA$15,M57&lt;(EA$16+1)),EA$22/(EA$16-EA$15+1),0))</f>
        <v>#N/A</v>
      </c>
      <c r="EC57" s="234">
        <f t="shared" si="54"/>
        <v>30</v>
      </c>
      <c r="ED57" s="234" t="e">
        <f t="shared" ca="1" si="55"/>
        <v>#N/A</v>
      </c>
      <c r="EE57" s="235" t="e">
        <f ca="1">ED57/ED$22</f>
        <v>#N/A</v>
      </c>
      <c r="EF57" s="234" t="e">
        <f t="shared" ca="1" si="28"/>
        <v>#N/A</v>
      </c>
      <c r="EG57" s="234" t="e">
        <f t="shared" ca="1" si="29"/>
        <v>#N/A</v>
      </c>
      <c r="EH57" s="234" t="e">
        <f t="shared" ca="1" si="34"/>
        <v>#N/A</v>
      </c>
      <c r="EI57" s="234"/>
      <c r="EJ57" s="234"/>
      <c r="EK57" s="153" t="e">
        <f t="shared" ca="1" si="57"/>
        <v>#N/A</v>
      </c>
      <c r="EL57" s="231" t="e">
        <f ca="1">IF(SUM(EL$24:EL56)=EL$22,0,IF(AND($M57&gt;=EL$15,$M57&lt;(EL$16+1)),EL$22/(EL$16-EL$15+1),0))</f>
        <v>#N/A</v>
      </c>
      <c r="EM57" s="153" t="e">
        <f t="shared" ca="1" si="58"/>
        <v>#N/A</v>
      </c>
      <c r="EO57" s="60"/>
      <c r="EP57" s="60"/>
    </row>
    <row r="58" spans="1:146">
      <c r="A58" s="220"/>
      <c r="B58" s="236">
        <f t="shared" si="23"/>
        <v>31</v>
      </c>
      <c r="C58" s="221">
        <f t="shared" si="59"/>
        <v>44503.501000000047</v>
      </c>
      <c r="D58" s="222" t="e">
        <f ca="1">'Offshore INT'!R47</f>
        <v>#N/A</v>
      </c>
      <c r="E58" s="223" t="e">
        <f t="shared" ca="1" si="50"/>
        <v>#N/A</v>
      </c>
      <c r="F58" s="224"/>
      <c r="G58" s="225">
        <f>IF(G57=1,1,SUM($F$24:F58))</f>
        <v>0</v>
      </c>
      <c r="H58" s="226" t="e">
        <f ca="1">IF(H57=0,0,SUM($I$24:I58))</f>
        <v>#N/A</v>
      </c>
      <c r="I58" s="227" t="e">
        <f t="shared" ca="1" si="51"/>
        <v>#N/A</v>
      </c>
      <c r="J58" s="222">
        <f t="shared" ca="1" si="20"/>
        <v>0</v>
      </c>
      <c r="K58" s="60"/>
      <c r="L58" s="228"/>
      <c r="M58" s="228">
        <f t="shared" si="52"/>
        <v>31</v>
      </c>
      <c r="N58" s="221">
        <f t="shared" si="53"/>
        <v>44503.501000000047</v>
      </c>
      <c r="O58" s="229">
        <f t="shared" si="44"/>
        <v>0</v>
      </c>
      <c r="P58" s="229">
        <f t="shared" si="44"/>
        <v>0</v>
      </c>
      <c r="Q58" s="229">
        <f t="shared" si="44"/>
        <v>0</v>
      </c>
      <c r="R58" s="229">
        <f t="shared" si="44"/>
        <v>0</v>
      </c>
      <c r="S58" s="229">
        <f t="shared" si="44"/>
        <v>0</v>
      </c>
      <c r="T58" s="229">
        <f t="shared" si="44"/>
        <v>0</v>
      </c>
      <c r="U58" s="229">
        <f t="shared" si="44"/>
        <v>0</v>
      </c>
      <c r="V58" s="229">
        <f t="shared" si="44"/>
        <v>0</v>
      </c>
      <c r="W58" s="229">
        <f t="shared" si="44"/>
        <v>0</v>
      </c>
      <c r="X58" s="229">
        <f t="shared" si="44"/>
        <v>0</v>
      </c>
      <c r="Y58" s="229">
        <f t="shared" si="44"/>
        <v>0</v>
      </c>
      <c r="Z58" s="229">
        <f t="shared" si="44"/>
        <v>0</v>
      </c>
      <c r="AA58" s="229">
        <f t="shared" si="45"/>
        <v>0</v>
      </c>
      <c r="AB58" s="229">
        <f t="shared" si="45"/>
        <v>0</v>
      </c>
      <c r="AC58" s="229">
        <f t="shared" si="45"/>
        <v>0</v>
      </c>
      <c r="AD58" s="229">
        <f t="shared" si="45"/>
        <v>0</v>
      </c>
      <c r="AE58" s="229">
        <f t="shared" si="45"/>
        <v>0</v>
      </c>
      <c r="AF58" s="229">
        <f t="shared" si="45"/>
        <v>0</v>
      </c>
      <c r="AG58" s="229">
        <f t="shared" si="45"/>
        <v>0</v>
      </c>
      <c r="AH58" s="229">
        <f t="shared" si="45"/>
        <v>0</v>
      </c>
      <c r="AI58" s="229">
        <f t="shared" si="45"/>
        <v>0</v>
      </c>
      <c r="AJ58" s="229">
        <f t="shared" si="45"/>
        <v>0</v>
      </c>
      <c r="AK58" s="229">
        <f t="shared" si="45"/>
        <v>0</v>
      </c>
      <c r="AL58" s="229">
        <f t="shared" si="45"/>
        <v>0</v>
      </c>
      <c r="AM58" s="229">
        <f t="shared" si="45"/>
        <v>0</v>
      </c>
      <c r="AN58" s="229">
        <f t="shared" si="45"/>
        <v>0</v>
      </c>
      <c r="AO58" s="229">
        <f t="shared" si="45"/>
        <v>0</v>
      </c>
      <c r="AP58" s="229">
        <f t="shared" si="45"/>
        <v>0</v>
      </c>
      <c r="AQ58" s="229">
        <f t="shared" si="45"/>
        <v>0</v>
      </c>
      <c r="AR58" s="229">
        <f t="shared" si="45"/>
        <v>0</v>
      </c>
      <c r="AS58" s="229">
        <f t="shared" si="37"/>
        <v>0</v>
      </c>
      <c r="AT58" s="229">
        <f t="shared" si="37"/>
        <v>0</v>
      </c>
      <c r="AU58" s="229">
        <f t="shared" si="37"/>
        <v>0</v>
      </c>
      <c r="AV58" s="229">
        <f t="shared" si="37"/>
        <v>0</v>
      </c>
      <c r="AW58" s="229">
        <f t="shared" si="37"/>
        <v>0</v>
      </c>
      <c r="AX58" s="229">
        <f t="shared" si="45"/>
        <v>0</v>
      </c>
      <c r="AY58" s="229">
        <f t="shared" si="45"/>
        <v>0</v>
      </c>
      <c r="AZ58" s="229">
        <f t="shared" si="45"/>
        <v>0</v>
      </c>
      <c r="BA58" s="229">
        <f t="shared" si="45"/>
        <v>0</v>
      </c>
      <c r="BB58" s="229">
        <f t="shared" si="45"/>
        <v>0</v>
      </c>
      <c r="BC58" s="229">
        <f t="shared" si="45"/>
        <v>0</v>
      </c>
      <c r="BD58" s="229">
        <f t="shared" si="46"/>
        <v>0</v>
      </c>
      <c r="BE58" s="229">
        <f t="shared" si="46"/>
        <v>0</v>
      </c>
      <c r="BF58" s="229">
        <f t="shared" si="46"/>
        <v>0</v>
      </c>
      <c r="BG58" s="229">
        <f t="shared" si="46"/>
        <v>0</v>
      </c>
      <c r="BH58" s="229">
        <f t="shared" si="46"/>
        <v>0</v>
      </c>
      <c r="BI58" s="229">
        <f t="shared" si="46"/>
        <v>0</v>
      </c>
      <c r="BJ58" s="229">
        <f t="shared" si="46"/>
        <v>0</v>
      </c>
      <c r="BK58" s="229">
        <f t="shared" si="46"/>
        <v>0</v>
      </c>
      <c r="BL58" s="229">
        <f t="shared" si="46"/>
        <v>0</v>
      </c>
      <c r="BM58" s="229">
        <f t="shared" si="46"/>
        <v>0</v>
      </c>
      <c r="BN58" s="229">
        <f t="shared" si="46"/>
        <v>0</v>
      </c>
      <c r="BO58" s="229">
        <f t="shared" si="46"/>
        <v>0</v>
      </c>
      <c r="BP58" s="229">
        <f t="shared" si="46"/>
        <v>0</v>
      </c>
      <c r="BQ58" s="229">
        <f t="shared" si="47"/>
        <v>0</v>
      </c>
      <c r="BR58" s="229">
        <f t="shared" si="47"/>
        <v>0</v>
      </c>
      <c r="BS58" s="229">
        <f t="shared" si="47"/>
        <v>0</v>
      </c>
      <c r="BT58" s="229">
        <f t="shared" si="47"/>
        <v>0</v>
      </c>
      <c r="BU58" s="229">
        <f t="shared" si="47"/>
        <v>0</v>
      </c>
      <c r="BV58" s="229">
        <f t="shared" si="47"/>
        <v>0</v>
      </c>
      <c r="BW58" s="229">
        <f t="shared" si="47"/>
        <v>0</v>
      </c>
      <c r="BX58" s="229">
        <f t="shared" si="47"/>
        <v>0</v>
      </c>
      <c r="BY58" s="229">
        <f t="shared" si="47"/>
        <v>0</v>
      </c>
      <c r="BZ58" s="229">
        <f t="shared" si="47"/>
        <v>0</v>
      </c>
      <c r="CA58" s="229">
        <f t="shared" si="47"/>
        <v>0</v>
      </c>
      <c r="CB58" s="229">
        <f t="shared" si="47"/>
        <v>0</v>
      </c>
      <c r="CC58" s="229">
        <f t="shared" si="47"/>
        <v>0</v>
      </c>
      <c r="CD58" s="229">
        <f t="shared" si="48"/>
        <v>0</v>
      </c>
      <c r="CE58" s="229">
        <f t="shared" si="49"/>
        <v>0</v>
      </c>
      <c r="CF58" s="229">
        <f t="shared" si="48"/>
        <v>0</v>
      </c>
      <c r="CG58" s="229">
        <f t="shared" si="48"/>
        <v>0</v>
      </c>
      <c r="CH58" s="229">
        <f t="shared" si="48"/>
        <v>0</v>
      </c>
      <c r="CI58" s="229">
        <f t="shared" si="48"/>
        <v>0</v>
      </c>
      <c r="CJ58" s="229">
        <f t="shared" si="48"/>
        <v>0</v>
      </c>
      <c r="CK58" s="229">
        <f t="shared" si="48"/>
        <v>0</v>
      </c>
      <c r="CL58" s="229">
        <f t="shared" si="48"/>
        <v>0</v>
      </c>
      <c r="CM58" s="229">
        <f t="shared" si="48"/>
        <v>0</v>
      </c>
      <c r="CN58" s="229">
        <f t="shared" si="48"/>
        <v>0</v>
      </c>
      <c r="CO58" s="229">
        <f t="shared" si="41"/>
        <v>0</v>
      </c>
      <c r="CP58" s="229">
        <f t="shared" si="41"/>
        <v>0</v>
      </c>
      <c r="CQ58" s="229">
        <f t="shared" si="48"/>
        <v>0</v>
      </c>
      <c r="CR58" s="229">
        <f t="shared" si="48"/>
        <v>0</v>
      </c>
      <c r="CS58" s="229">
        <f t="shared" si="48"/>
        <v>0</v>
      </c>
      <c r="CT58" s="229">
        <f t="shared" si="48"/>
        <v>0</v>
      </c>
      <c r="CU58" s="230"/>
      <c r="CV58" s="231"/>
      <c r="CW58" s="231"/>
      <c r="CX58" s="231"/>
      <c r="CY58" s="231"/>
      <c r="CZ58" s="231"/>
      <c r="DA58" s="231"/>
      <c r="DC58" s="231"/>
      <c r="DD58" s="231">
        <f>IF(SUM(DD$24:DD57)=DD$22,0,IF(AND($M58&gt;=DD$15,$M58&lt;(DD$16+1)),DD$22/(DD$16-DD$15+1),0))</f>
        <v>0</v>
      </c>
      <c r="DE58" s="231">
        <f>IF(SUM(DE$24:DE57)=DE$22,0,IF(AND($M58&gt;=DE$15,$M58&lt;(DE$16+1)),DE$22/(DE$16-DE$15+1),0))</f>
        <v>0</v>
      </c>
      <c r="DF58" s="231">
        <f>IF(SUM(DF$24:DF57)=DF$22,0,IF(AND($M58&gt;=DF$15,$M58&lt;(DF$16+1)),DF$22/(DF$16-DF$15+1),0))</f>
        <v>0</v>
      </c>
      <c r="DG58" s="231">
        <f>IF(SUM(DG$24:DG57)=DG$22,0,IF(AND($M58&gt;=DG$15,$M58&lt;(DG$16+1)),DG$22/(DG$16-DG$15+1),0))</f>
        <v>0</v>
      </c>
      <c r="DH58" s="231">
        <f t="shared" si="43"/>
        <v>0</v>
      </c>
      <c r="DI58" s="231">
        <f t="shared" si="43"/>
        <v>0</v>
      </c>
      <c r="DJ58" s="231">
        <f t="shared" si="43"/>
        <v>0</v>
      </c>
      <c r="DK58" s="231">
        <f t="shared" si="43"/>
        <v>0</v>
      </c>
      <c r="DL58" s="231">
        <f t="shared" si="43"/>
        <v>0</v>
      </c>
      <c r="DM58" s="231">
        <f t="shared" si="43"/>
        <v>0</v>
      </c>
      <c r="DN58" s="231">
        <f t="shared" si="43"/>
        <v>0</v>
      </c>
      <c r="DO58" s="231">
        <f t="shared" si="43"/>
        <v>0</v>
      </c>
      <c r="DP58" s="231">
        <f t="shared" si="43"/>
        <v>0</v>
      </c>
      <c r="DQ58" s="231">
        <f t="shared" si="43"/>
        <v>0</v>
      </c>
      <c r="DR58" s="231">
        <f t="shared" si="43"/>
        <v>0</v>
      </c>
      <c r="DS58" s="231">
        <f t="shared" si="25"/>
        <v>0.29866666666666669</v>
      </c>
      <c r="DT58" s="231">
        <f ca="1">IF(SUM(DT$24:DT57)=DT$22,0,IF(AND($M58&gt;=DT$15,$M58&lt;(DT$16+1)),DT$22/(DT$16-DT$15+1),0))</f>
        <v>0</v>
      </c>
      <c r="DU58" s="231">
        <f ca="1">IF(SUM(DU$24:DU57)=DU$22,0,IF(AND($M58&gt;=DU$15,$M58&lt;(DU$16+1)),DU$22/(DU$16-DU$15+1),0))</f>
        <v>0</v>
      </c>
      <c r="DV58" s="231">
        <f ca="1">IF(SUM(DV$24:DV57)=DV$22,0,IF(AND(M58&gt;=DV$15,M58&lt;(DV$16+1)),DV$22/(DV$16-DV$15+1),0))</f>
        <v>0</v>
      </c>
      <c r="DW58" s="231" t="e">
        <f ca="1">IF(SUM(DW$24:DW57)=DW$22,0,IF(AND($M58&gt;=DW$15,$M58&lt;(DW$16+1)),DW$22/(DW$16-DW$15+1),0))</f>
        <v>#N/A</v>
      </c>
      <c r="DX58" s="231">
        <f ca="1">IF(SUM(DX$24:DX57)=DX$22,0,IF(AND($M58&gt;=DX$15,$M58&lt;(DX$16+1)),DX$22/(DX$16-DX$15+1),0))</f>
        <v>0</v>
      </c>
      <c r="DY58" s="231">
        <f ca="1">IF(SUM(DY$24:DY57)=DY$22,0,IF(AND($M58&gt;=DY$15,$M58&lt;(DY$16+1)),DY$22/(DY$16-DY$15+1),0))</f>
        <v>0</v>
      </c>
      <c r="DZ58" s="231">
        <f ca="1">IF(SUM(DZ$24:DZ57)=DZ$22,0,IF(AND($M58&gt;=DZ$15,$M58&lt;(DZ$16+1)),DZ$22/(DZ$16-DZ$15+1),0))</f>
        <v>0</v>
      </c>
      <c r="EA58" s="231" t="e">
        <f ca="1">IF(SUM(EA$24:EA57)=EA$22,0,IF(AND(M58&gt;=EA$15,M58&lt;(EA$16+1)),EA$22/(EA$16-EA$15+1),0))</f>
        <v>#N/A</v>
      </c>
      <c r="EC58" s="234">
        <f t="shared" si="54"/>
        <v>31</v>
      </c>
      <c r="ED58" s="234" t="e">
        <f t="shared" ca="1" si="55"/>
        <v>#N/A</v>
      </c>
      <c r="EE58" s="235" t="e">
        <f t="shared" ca="1" si="56"/>
        <v>#N/A</v>
      </c>
      <c r="EF58" s="234" t="e">
        <f t="shared" ca="1" si="28"/>
        <v>#N/A</v>
      </c>
      <c r="EG58" s="234" t="e">
        <f t="shared" ca="1" si="29"/>
        <v>#N/A</v>
      </c>
      <c r="EH58" s="234" t="e">
        <f t="shared" ca="1" si="34"/>
        <v>#N/A</v>
      </c>
      <c r="EI58" s="234"/>
      <c r="EJ58" s="234"/>
      <c r="EK58" s="153" t="e">
        <f t="shared" ca="1" si="57"/>
        <v>#N/A</v>
      </c>
      <c r="EL58" s="231" t="e">
        <f ca="1">IF(SUM(EL$24:EL57)=EL$22,0,IF(AND($M58&gt;=EL$15,$M58&lt;(EL$16+1)),EL$22/(EL$16-EL$15+1),0))</f>
        <v>#N/A</v>
      </c>
      <c r="EM58" s="153" t="e">
        <f t="shared" ca="1" si="58"/>
        <v>#N/A</v>
      </c>
      <c r="EO58" s="60"/>
      <c r="EP58" s="60"/>
    </row>
    <row r="59" spans="1:146">
      <c r="A59" s="237"/>
      <c r="B59" s="236">
        <f t="shared" si="23"/>
        <v>32</v>
      </c>
      <c r="C59" s="239">
        <f t="shared" si="59"/>
        <v>44533.917700000049</v>
      </c>
      <c r="D59" s="222" t="e">
        <f ca="1">'Offshore INT'!R48</f>
        <v>#N/A</v>
      </c>
      <c r="E59" s="223" t="e">
        <f t="shared" ca="1" si="50"/>
        <v>#N/A</v>
      </c>
      <c r="F59" s="224"/>
      <c r="G59" s="225">
        <f>IF(G58=1,1,SUM($F$24:F59))</f>
        <v>0</v>
      </c>
      <c r="H59" s="226" t="e">
        <f ca="1">IF(H58=0,0,SUM($I$24:I59))</f>
        <v>#N/A</v>
      </c>
      <c r="I59" s="227" t="e">
        <f t="shared" ca="1" si="51"/>
        <v>#N/A</v>
      </c>
      <c r="J59" s="222">
        <f t="shared" ca="1" si="20"/>
        <v>0</v>
      </c>
      <c r="K59" s="60"/>
      <c r="L59" s="241"/>
      <c r="M59" s="241">
        <f t="shared" si="52"/>
        <v>32</v>
      </c>
      <c r="N59" s="239">
        <f t="shared" si="53"/>
        <v>44533.917700000049</v>
      </c>
      <c r="O59" s="229">
        <f t="shared" si="44"/>
        <v>0</v>
      </c>
      <c r="P59" s="229">
        <f t="shared" si="44"/>
        <v>0</v>
      </c>
      <c r="Q59" s="229">
        <f t="shared" si="44"/>
        <v>0</v>
      </c>
      <c r="R59" s="229">
        <f t="shared" si="44"/>
        <v>0</v>
      </c>
      <c r="S59" s="229">
        <f t="shared" si="44"/>
        <v>0</v>
      </c>
      <c r="T59" s="229">
        <f t="shared" si="44"/>
        <v>0</v>
      </c>
      <c r="U59" s="229">
        <f t="shared" si="44"/>
        <v>0</v>
      </c>
      <c r="V59" s="229">
        <f t="shared" si="44"/>
        <v>0</v>
      </c>
      <c r="W59" s="229">
        <f t="shared" si="44"/>
        <v>0</v>
      </c>
      <c r="X59" s="229">
        <f t="shared" si="44"/>
        <v>0</v>
      </c>
      <c r="Y59" s="229">
        <f t="shared" si="44"/>
        <v>0</v>
      </c>
      <c r="Z59" s="229">
        <f t="shared" si="44"/>
        <v>0</v>
      </c>
      <c r="AA59" s="229">
        <f t="shared" si="45"/>
        <v>0</v>
      </c>
      <c r="AB59" s="229">
        <f t="shared" si="45"/>
        <v>0</v>
      </c>
      <c r="AC59" s="229">
        <f t="shared" si="45"/>
        <v>0</v>
      </c>
      <c r="AD59" s="229">
        <f t="shared" si="45"/>
        <v>0</v>
      </c>
      <c r="AE59" s="229">
        <f t="shared" si="45"/>
        <v>0</v>
      </c>
      <c r="AF59" s="229">
        <f t="shared" si="45"/>
        <v>0</v>
      </c>
      <c r="AG59" s="229">
        <f t="shared" si="45"/>
        <v>0</v>
      </c>
      <c r="AH59" s="229">
        <f t="shared" si="45"/>
        <v>0</v>
      </c>
      <c r="AI59" s="229">
        <f t="shared" si="45"/>
        <v>0</v>
      </c>
      <c r="AJ59" s="229">
        <f t="shared" si="45"/>
        <v>0</v>
      </c>
      <c r="AK59" s="229">
        <f t="shared" si="45"/>
        <v>0</v>
      </c>
      <c r="AL59" s="229">
        <f t="shared" si="45"/>
        <v>0</v>
      </c>
      <c r="AM59" s="229">
        <f t="shared" si="45"/>
        <v>0</v>
      </c>
      <c r="AN59" s="229">
        <f t="shared" si="45"/>
        <v>0</v>
      </c>
      <c r="AO59" s="229">
        <f t="shared" si="45"/>
        <v>0</v>
      </c>
      <c r="AP59" s="229">
        <f t="shared" si="45"/>
        <v>0</v>
      </c>
      <c r="AQ59" s="229">
        <f t="shared" si="45"/>
        <v>0</v>
      </c>
      <c r="AR59" s="229">
        <f t="shared" si="45"/>
        <v>0</v>
      </c>
      <c r="AS59" s="229">
        <f t="shared" ref="AS59:AW74" si="60">IF($M59=AS$13,AS$22*AS$3,IF($M59=AS$14,AS$22*AS$4,IF($M59=AS$15,AS$22*AS$5,IF($M59=AS$16,AS$22*AS$6,IF($M59=AS$17,AS$22*AS$7,IF($M59=AS$18,AS$22*AS$8,IF($M59=AS$19,AS$22*AS$9,IF($M59=AS$20,AS$22*AS$10,0))))))))</f>
        <v>0</v>
      </c>
      <c r="AT59" s="229">
        <f t="shared" si="60"/>
        <v>0</v>
      </c>
      <c r="AU59" s="229">
        <f t="shared" si="60"/>
        <v>0</v>
      </c>
      <c r="AV59" s="229">
        <f t="shared" si="60"/>
        <v>0</v>
      </c>
      <c r="AW59" s="229">
        <f t="shared" si="60"/>
        <v>0</v>
      </c>
      <c r="AX59" s="229">
        <f t="shared" si="45"/>
        <v>0</v>
      </c>
      <c r="AY59" s="229">
        <f t="shared" si="45"/>
        <v>0</v>
      </c>
      <c r="AZ59" s="229">
        <f t="shared" si="45"/>
        <v>0</v>
      </c>
      <c r="BA59" s="229">
        <f t="shared" si="45"/>
        <v>0</v>
      </c>
      <c r="BB59" s="229">
        <f t="shared" si="45"/>
        <v>0</v>
      </c>
      <c r="BC59" s="229">
        <f t="shared" si="45"/>
        <v>0</v>
      </c>
      <c r="BD59" s="229">
        <f t="shared" si="46"/>
        <v>0</v>
      </c>
      <c r="BE59" s="229">
        <f t="shared" si="46"/>
        <v>0</v>
      </c>
      <c r="BF59" s="229">
        <f t="shared" si="46"/>
        <v>0</v>
      </c>
      <c r="BG59" s="229">
        <f t="shared" si="46"/>
        <v>0</v>
      </c>
      <c r="BH59" s="229">
        <f t="shared" si="46"/>
        <v>0</v>
      </c>
      <c r="BI59" s="229">
        <f t="shared" si="46"/>
        <v>0</v>
      </c>
      <c r="BJ59" s="229">
        <f t="shared" si="46"/>
        <v>0</v>
      </c>
      <c r="BK59" s="229">
        <f t="shared" si="46"/>
        <v>0</v>
      </c>
      <c r="BL59" s="229">
        <f t="shared" si="46"/>
        <v>0</v>
      </c>
      <c r="BM59" s="229">
        <f t="shared" si="46"/>
        <v>0</v>
      </c>
      <c r="BN59" s="229">
        <f t="shared" si="46"/>
        <v>0</v>
      </c>
      <c r="BO59" s="229">
        <f t="shared" si="46"/>
        <v>0</v>
      </c>
      <c r="BP59" s="229">
        <f t="shared" si="46"/>
        <v>0</v>
      </c>
      <c r="BQ59" s="229">
        <f t="shared" si="47"/>
        <v>0</v>
      </c>
      <c r="BR59" s="229">
        <f t="shared" si="47"/>
        <v>0</v>
      </c>
      <c r="BS59" s="229">
        <f t="shared" si="47"/>
        <v>0</v>
      </c>
      <c r="BT59" s="229">
        <f t="shared" si="47"/>
        <v>0</v>
      </c>
      <c r="BU59" s="229">
        <f t="shared" si="47"/>
        <v>0</v>
      </c>
      <c r="BV59" s="229">
        <f t="shared" si="47"/>
        <v>0</v>
      </c>
      <c r="BW59" s="229">
        <f t="shared" si="47"/>
        <v>0</v>
      </c>
      <c r="BX59" s="229">
        <f t="shared" si="47"/>
        <v>0</v>
      </c>
      <c r="BY59" s="229">
        <f t="shared" si="47"/>
        <v>0</v>
      </c>
      <c r="BZ59" s="229">
        <f t="shared" si="47"/>
        <v>0</v>
      </c>
      <c r="CA59" s="229">
        <f t="shared" si="47"/>
        <v>0</v>
      </c>
      <c r="CB59" s="229">
        <f t="shared" si="47"/>
        <v>0</v>
      </c>
      <c r="CC59" s="229">
        <f t="shared" si="47"/>
        <v>0</v>
      </c>
      <c r="CD59" s="229">
        <f t="shared" si="48"/>
        <v>0</v>
      </c>
      <c r="CE59" s="229">
        <f t="shared" si="49"/>
        <v>0</v>
      </c>
      <c r="CF59" s="229">
        <f t="shared" si="48"/>
        <v>0</v>
      </c>
      <c r="CG59" s="229">
        <f t="shared" si="48"/>
        <v>0</v>
      </c>
      <c r="CH59" s="229">
        <f t="shared" si="48"/>
        <v>0</v>
      </c>
      <c r="CI59" s="229">
        <f t="shared" si="48"/>
        <v>0</v>
      </c>
      <c r="CJ59" s="229">
        <f t="shared" si="48"/>
        <v>0</v>
      </c>
      <c r="CK59" s="229">
        <f t="shared" si="48"/>
        <v>0</v>
      </c>
      <c r="CL59" s="229">
        <f t="shared" si="48"/>
        <v>0</v>
      </c>
      <c r="CM59" s="229">
        <f t="shared" si="48"/>
        <v>0</v>
      </c>
      <c r="CN59" s="229">
        <f t="shared" si="48"/>
        <v>0</v>
      </c>
      <c r="CO59" s="229">
        <f t="shared" si="41"/>
        <v>0</v>
      </c>
      <c r="CP59" s="229">
        <f t="shared" si="41"/>
        <v>0</v>
      </c>
      <c r="CQ59" s="229">
        <f t="shared" si="48"/>
        <v>0</v>
      </c>
      <c r="CR59" s="229">
        <f t="shared" si="48"/>
        <v>0</v>
      </c>
      <c r="CS59" s="229">
        <f t="shared" si="48"/>
        <v>0</v>
      </c>
      <c r="CT59" s="229">
        <f t="shared" si="48"/>
        <v>0</v>
      </c>
      <c r="CU59" s="230"/>
      <c r="CV59" s="231"/>
      <c r="CW59" s="231"/>
      <c r="CX59" s="231"/>
      <c r="CY59" s="231"/>
      <c r="CZ59" s="231"/>
      <c r="DA59" s="231"/>
      <c r="DC59" s="231"/>
      <c r="DD59" s="231">
        <f>IF(SUM(DD$24:DD58)=DD$22,0,IF(AND($M59&gt;=DD$15,$M59&lt;(DD$16+1)),DD$22/(DD$16-DD$15+1),0))</f>
        <v>0</v>
      </c>
      <c r="DE59" s="231">
        <f>IF(SUM(DE$24:DE58)=DE$22,0,IF(AND($M59&gt;=DE$15,$M59&lt;(DE$16+1)),DE$22/(DE$16-DE$15+1),0))</f>
        <v>0</v>
      </c>
      <c r="DF59" s="231">
        <f>IF(SUM(DF$24:DF58)=DF$22,0,IF(AND($M59&gt;=DF$15,$M59&lt;(DF$16+1)),DF$22/(DF$16-DF$15+1),0))</f>
        <v>0</v>
      </c>
      <c r="DG59" s="231">
        <f>IF(SUM(DG$24:DG58)=DG$22,0,IF(AND($M59&gt;=DG$15,$M59&lt;(DG$16+1)),DG$22/(DG$16-DG$15+1),0))</f>
        <v>0</v>
      </c>
      <c r="DH59" s="231">
        <f t="shared" si="43"/>
        <v>0</v>
      </c>
      <c r="DI59" s="231">
        <f t="shared" si="43"/>
        <v>0</v>
      </c>
      <c r="DJ59" s="231">
        <f t="shared" si="43"/>
        <v>0</v>
      </c>
      <c r="DK59" s="231">
        <f t="shared" si="43"/>
        <v>0</v>
      </c>
      <c r="DL59" s="231">
        <f t="shared" si="43"/>
        <v>0</v>
      </c>
      <c r="DM59" s="231">
        <f t="shared" si="43"/>
        <v>0</v>
      </c>
      <c r="DN59" s="231">
        <f t="shared" si="43"/>
        <v>0</v>
      </c>
      <c r="DO59" s="231">
        <f t="shared" si="43"/>
        <v>0</v>
      </c>
      <c r="DP59" s="231">
        <f t="shared" si="43"/>
        <v>0</v>
      </c>
      <c r="DQ59" s="231">
        <f t="shared" si="43"/>
        <v>0</v>
      </c>
      <c r="DR59" s="231">
        <f t="shared" si="43"/>
        <v>0</v>
      </c>
      <c r="DS59" s="231">
        <f t="shared" si="25"/>
        <v>0.29866666666666669</v>
      </c>
      <c r="DT59" s="231">
        <f ca="1">IF(SUM(DT$24:DT58)=DT$22,0,IF(AND($M59&gt;=DT$15,$M59&lt;(DT$16+1)),DT$22/(DT$16-DT$15+1),0))</f>
        <v>0</v>
      </c>
      <c r="DU59" s="231">
        <f ca="1">IF(SUM(DU$24:DU58)=DU$22,0,IF(AND($M59&gt;=DU$15,$M59&lt;(DU$16+1)),DU$22/(DU$16-DU$15+1),0))</f>
        <v>0</v>
      </c>
      <c r="DV59" s="231">
        <f ca="1">IF(SUM(DV$24:DV58)=DV$22,0,IF(AND(M59&gt;=DV$15,M59&lt;(DV$16+1)),DV$22/(DV$16-DV$15+1),0))</f>
        <v>0</v>
      </c>
      <c r="DW59" s="231" t="e">
        <f ca="1">IF(SUM(DW$24:DW58)=DW$22,0,IF(AND($M59&gt;=DW$15,$M59&lt;(DW$16+1)),DW$22/(DW$16-DW$15+1),0))</f>
        <v>#N/A</v>
      </c>
      <c r="DX59" s="231">
        <f ca="1">IF(SUM(DX$24:DX58)=DX$22,0,IF(AND($M59&gt;=DX$15,$M59&lt;(DX$16+1)),DX$22/(DX$16-DX$15+1),0))</f>
        <v>0</v>
      </c>
      <c r="DY59" s="231">
        <f ca="1">IF(SUM(DY$24:DY58)=DY$22,0,IF(AND($M59&gt;=DY$15,$M59&lt;(DY$16+1)),DY$22/(DY$16-DY$15+1),0))</f>
        <v>0</v>
      </c>
      <c r="DZ59" s="231">
        <f ca="1">IF(SUM(DZ$24:DZ58)=DZ$22,0,IF(AND($M59&gt;=DZ$15,$M59&lt;(DZ$16+1)),DZ$22/(DZ$16-DZ$15+1),0))</f>
        <v>0</v>
      </c>
      <c r="EA59" s="231" t="e">
        <f ca="1">IF(SUM(EA$24:EA58)=EA$22,0,IF(AND(M59&gt;=EA$15,M59&lt;(EA$16+1)),EA$22/(EA$16-EA$15+1),0))</f>
        <v>#N/A</v>
      </c>
      <c r="EC59" s="234">
        <f t="shared" si="54"/>
        <v>32</v>
      </c>
      <c r="ED59" s="234" t="e">
        <f t="shared" ca="1" si="55"/>
        <v>#N/A</v>
      </c>
      <c r="EE59" s="235" t="e">
        <f t="shared" ca="1" si="56"/>
        <v>#N/A</v>
      </c>
      <c r="EF59" s="234" t="e">
        <f t="shared" ca="1" si="28"/>
        <v>#N/A</v>
      </c>
      <c r="EG59" s="234" t="e">
        <f t="shared" ca="1" si="29"/>
        <v>#N/A</v>
      </c>
      <c r="EH59" s="234" t="e">
        <f t="shared" ca="1" si="34"/>
        <v>#N/A</v>
      </c>
      <c r="EI59" s="234"/>
      <c r="EJ59" s="234"/>
      <c r="EK59" s="153" t="e">
        <f t="shared" ca="1" si="57"/>
        <v>#N/A</v>
      </c>
      <c r="EL59" s="231" t="e">
        <f ca="1">IF(SUM(EL$24:EL58)=EL$22,0,IF(AND($M59&gt;=EL$15,$M59&lt;(EL$16+1)),EL$22/(EL$16-EL$15+1),0))</f>
        <v>#N/A</v>
      </c>
      <c r="EM59" s="153" t="e">
        <f t="shared" ca="1" si="58"/>
        <v>#N/A</v>
      </c>
      <c r="EO59" s="60"/>
      <c r="EP59" s="60"/>
    </row>
    <row r="60" spans="1:146">
      <c r="A60" s="244" t="s">
        <v>115</v>
      </c>
      <c r="B60" s="236">
        <f t="shared" si="23"/>
        <v>33</v>
      </c>
      <c r="C60" s="221">
        <f t="shared" si="59"/>
        <v>44564.334400000051</v>
      </c>
      <c r="D60" s="222" t="e">
        <f ca="1">'Offshore INT'!R49</f>
        <v>#N/A</v>
      </c>
      <c r="E60" s="223" t="e">
        <f t="shared" ca="1" si="50"/>
        <v>#N/A</v>
      </c>
      <c r="F60" s="224"/>
      <c r="G60" s="225">
        <f>IF(G59=1,1,SUM($F$24:F60))</f>
        <v>0</v>
      </c>
      <c r="H60" s="226" t="e">
        <f ca="1">IF(H59=0,0,SUM($I$24:I60))</f>
        <v>#N/A</v>
      </c>
      <c r="I60" s="227" t="e">
        <f t="shared" ca="1" si="51"/>
        <v>#N/A</v>
      </c>
      <c r="J60" s="222">
        <f t="shared" ca="1" si="20"/>
        <v>0</v>
      </c>
      <c r="K60" s="60"/>
      <c r="L60" s="242" t="str">
        <f>A60</f>
        <v>Yr 4</v>
      </c>
      <c r="M60" s="228">
        <f t="shared" si="52"/>
        <v>33</v>
      </c>
      <c r="N60" s="221">
        <f t="shared" si="53"/>
        <v>44564.334400000051</v>
      </c>
      <c r="O60" s="229">
        <f t="shared" si="44"/>
        <v>0</v>
      </c>
      <c r="P60" s="229">
        <f t="shared" si="44"/>
        <v>0</v>
      </c>
      <c r="Q60" s="229">
        <f t="shared" si="44"/>
        <v>0</v>
      </c>
      <c r="R60" s="229">
        <f t="shared" si="44"/>
        <v>0</v>
      </c>
      <c r="S60" s="229">
        <f t="shared" si="44"/>
        <v>0</v>
      </c>
      <c r="T60" s="229">
        <f t="shared" si="44"/>
        <v>0</v>
      </c>
      <c r="U60" s="229">
        <f t="shared" si="44"/>
        <v>0</v>
      </c>
      <c r="V60" s="229">
        <f t="shared" si="44"/>
        <v>0</v>
      </c>
      <c r="W60" s="229">
        <f t="shared" si="44"/>
        <v>0</v>
      </c>
      <c r="X60" s="229">
        <f t="shared" si="44"/>
        <v>0</v>
      </c>
      <c r="Y60" s="229">
        <f t="shared" si="44"/>
        <v>0</v>
      </c>
      <c r="Z60" s="229">
        <f t="shared" si="44"/>
        <v>0</v>
      </c>
      <c r="AA60" s="229">
        <f t="shared" si="45"/>
        <v>0</v>
      </c>
      <c r="AB60" s="229">
        <f t="shared" si="45"/>
        <v>0</v>
      </c>
      <c r="AC60" s="229">
        <f t="shared" si="45"/>
        <v>0</v>
      </c>
      <c r="AD60" s="229">
        <f t="shared" si="45"/>
        <v>0</v>
      </c>
      <c r="AE60" s="229">
        <f t="shared" si="45"/>
        <v>0</v>
      </c>
      <c r="AF60" s="229">
        <f t="shared" si="45"/>
        <v>0</v>
      </c>
      <c r="AG60" s="229">
        <f t="shared" si="45"/>
        <v>0</v>
      </c>
      <c r="AH60" s="229">
        <f t="shared" si="45"/>
        <v>0</v>
      </c>
      <c r="AI60" s="229">
        <f t="shared" si="45"/>
        <v>0</v>
      </c>
      <c r="AJ60" s="229">
        <f t="shared" si="45"/>
        <v>0</v>
      </c>
      <c r="AK60" s="229">
        <f t="shared" si="45"/>
        <v>0</v>
      </c>
      <c r="AL60" s="229">
        <f t="shared" si="45"/>
        <v>0</v>
      </c>
      <c r="AM60" s="229">
        <f t="shared" si="45"/>
        <v>0</v>
      </c>
      <c r="AN60" s="229">
        <f t="shared" si="45"/>
        <v>0</v>
      </c>
      <c r="AO60" s="229">
        <f t="shared" ref="AM60:AO63" si="61">IF($M60=AO$13,AO$22*AO$3,IF($M60=AO$14,AO$22*AO$4,IF($M60=AO$15,AO$22*AO$5,IF($M60=AO$16,AO$22*AO$6,IF($M60=AO$17,AO$22*AO$7,IF($M60=AO$18,AO$22*AO$8,IF($M60=AO$19,AO$22*AO$9,IF($M60=AO$20,AO$22*AO$10,0))))))))</f>
        <v>0</v>
      </c>
      <c r="AP60" s="229">
        <f t="shared" si="45"/>
        <v>0</v>
      </c>
      <c r="AQ60" s="229">
        <f t="shared" si="45"/>
        <v>0</v>
      </c>
      <c r="AR60" s="229">
        <f t="shared" si="45"/>
        <v>0</v>
      </c>
      <c r="AS60" s="229">
        <f t="shared" si="60"/>
        <v>0</v>
      </c>
      <c r="AT60" s="229">
        <f t="shared" si="60"/>
        <v>0</v>
      </c>
      <c r="AU60" s="229">
        <f t="shared" si="60"/>
        <v>0</v>
      </c>
      <c r="AV60" s="229">
        <f t="shared" si="60"/>
        <v>0</v>
      </c>
      <c r="AW60" s="229">
        <f t="shared" si="60"/>
        <v>0</v>
      </c>
      <c r="AX60" s="229">
        <f t="shared" si="45"/>
        <v>0</v>
      </c>
      <c r="AY60" s="229">
        <f t="shared" si="45"/>
        <v>0</v>
      </c>
      <c r="AZ60" s="229">
        <f t="shared" si="45"/>
        <v>0</v>
      </c>
      <c r="BA60" s="229">
        <f t="shared" si="45"/>
        <v>0</v>
      </c>
      <c r="BB60" s="229">
        <f t="shared" si="45"/>
        <v>0</v>
      </c>
      <c r="BC60" s="229">
        <f t="shared" si="45"/>
        <v>0</v>
      </c>
      <c r="BD60" s="229">
        <f t="shared" si="46"/>
        <v>0</v>
      </c>
      <c r="BE60" s="229">
        <f t="shared" si="46"/>
        <v>0</v>
      </c>
      <c r="BF60" s="229">
        <f t="shared" si="46"/>
        <v>0</v>
      </c>
      <c r="BG60" s="229">
        <f t="shared" si="46"/>
        <v>0</v>
      </c>
      <c r="BH60" s="229">
        <f t="shared" si="46"/>
        <v>0</v>
      </c>
      <c r="BI60" s="229">
        <f t="shared" si="46"/>
        <v>0</v>
      </c>
      <c r="BJ60" s="229">
        <f t="shared" si="46"/>
        <v>0</v>
      </c>
      <c r="BK60" s="229">
        <f t="shared" si="46"/>
        <v>0</v>
      </c>
      <c r="BL60" s="229">
        <f t="shared" si="46"/>
        <v>0</v>
      </c>
      <c r="BM60" s="229">
        <f t="shared" si="46"/>
        <v>0</v>
      </c>
      <c r="BN60" s="229">
        <f t="shared" si="46"/>
        <v>0</v>
      </c>
      <c r="BO60" s="229">
        <f t="shared" si="46"/>
        <v>0</v>
      </c>
      <c r="BP60" s="229">
        <f t="shared" si="46"/>
        <v>0</v>
      </c>
      <c r="BQ60" s="229">
        <f t="shared" si="47"/>
        <v>0</v>
      </c>
      <c r="BR60" s="229">
        <f t="shared" si="47"/>
        <v>0</v>
      </c>
      <c r="BS60" s="229">
        <f t="shared" si="47"/>
        <v>0</v>
      </c>
      <c r="BT60" s="229">
        <f t="shared" si="47"/>
        <v>0</v>
      </c>
      <c r="BU60" s="229">
        <f t="shared" si="47"/>
        <v>0</v>
      </c>
      <c r="BV60" s="229">
        <f t="shared" si="47"/>
        <v>0</v>
      </c>
      <c r="BW60" s="229">
        <f t="shared" si="47"/>
        <v>0</v>
      </c>
      <c r="BX60" s="229">
        <f t="shared" si="47"/>
        <v>0</v>
      </c>
      <c r="BY60" s="229">
        <f t="shared" si="47"/>
        <v>0</v>
      </c>
      <c r="BZ60" s="229">
        <f t="shared" si="47"/>
        <v>0</v>
      </c>
      <c r="CA60" s="229">
        <f t="shared" si="47"/>
        <v>0</v>
      </c>
      <c r="CB60" s="229">
        <f t="shared" si="47"/>
        <v>0</v>
      </c>
      <c r="CC60" s="229">
        <f t="shared" si="47"/>
        <v>0</v>
      </c>
      <c r="CD60" s="229">
        <f t="shared" si="48"/>
        <v>0</v>
      </c>
      <c r="CE60" s="229">
        <f t="shared" ref="CE60:CE68" si="62">IF($M60=CE$13,CE$22*CE$3,IF($M60=CE$14,CE$22*CE$4,IF($M60=CE$15,CE$22*CE$5,IF($M60=CE$16,CE$22*CE$6,IF($M60=CE$17,CE$22*CE$7,IF($M60=CE$18,CE$22*CE$8,IF($M60=CE$19,CE$22*CE$9,IF($M60=CE$20,CE$22*CE$10,0))))))))</f>
        <v>0</v>
      </c>
      <c r="CF60" s="229">
        <f t="shared" si="48"/>
        <v>0</v>
      </c>
      <c r="CG60" s="229">
        <f t="shared" si="48"/>
        <v>0</v>
      </c>
      <c r="CH60" s="229">
        <f t="shared" si="48"/>
        <v>0</v>
      </c>
      <c r="CI60" s="229">
        <f t="shared" si="48"/>
        <v>0</v>
      </c>
      <c r="CJ60" s="229">
        <f t="shared" si="48"/>
        <v>0</v>
      </c>
      <c r="CK60" s="229">
        <f t="shared" si="48"/>
        <v>0</v>
      </c>
      <c r="CL60" s="229">
        <f t="shared" si="48"/>
        <v>0</v>
      </c>
      <c r="CM60" s="229">
        <f t="shared" si="48"/>
        <v>0</v>
      </c>
      <c r="CN60" s="229">
        <f t="shared" si="48"/>
        <v>0</v>
      </c>
      <c r="CO60" s="229">
        <f t="shared" si="41"/>
        <v>0</v>
      </c>
      <c r="CP60" s="229">
        <f t="shared" si="41"/>
        <v>0</v>
      </c>
      <c r="CQ60" s="229">
        <f t="shared" si="48"/>
        <v>0</v>
      </c>
      <c r="CR60" s="229">
        <f t="shared" si="48"/>
        <v>0</v>
      </c>
      <c r="CS60" s="229">
        <f t="shared" si="48"/>
        <v>0</v>
      </c>
      <c r="CT60" s="229">
        <f t="shared" si="48"/>
        <v>0</v>
      </c>
      <c r="CU60" s="230"/>
      <c r="CV60" s="243">
        <f>CV22/4</f>
        <v>0</v>
      </c>
      <c r="CW60" s="243">
        <f>CW22/4</f>
        <v>0</v>
      </c>
      <c r="CX60" s="243">
        <f>CX22/4</f>
        <v>0</v>
      </c>
      <c r="CY60" s="243" t="e">
        <f ca="1">CY22/4</f>
        <v>#N/A</v>
      </c>
      <c r="CZ60" s="243" t="e">
        <f ca="1">IF(SUM(CZ$24:CZ59)&gt;=CZ$22,0,CZ$22/CZ$13)*0</f>
        <v>#N/A</v>
      </c>
      <c r="DA60" s="243" t="e">
        <f ca="1">DA22/4</f>
        <v>#N/A</v>
      </c>
      <c r="DC60" s="231"/>
      <c r="DD60" s="231">
        <f>IF(SUM(DD$24:DD59)=DD$22,0,IF(AND($M60&gt;=DD$15,$M60&lt;(DD$16+1)),DD$22/(DD$16-DD$15+1),0))</f>
        <v>0</v>
      </c>
      <c r="DE60" s="231">
        <f>IF(SUM(DE$24:DE59)=DE$22,0,IF(AND($M60&gt;=DE$15,$M60&lt;(DE$16+1)),DE$22/(DE$16-DE$15+1),0))</f>
        <v>0</v>
      </c>
      <c r="DF60" s="231">
        <f>IF(SUM(DF$24:DF59)=DF$22,0,IF(AND($M60&gt;=DF$15,$M60&lt;(DF$16+1)),DF$22/(DF$16-DF$15+1),0))</f>
        <v>0</v>
      </c>
      <c r="DG60" s="231">
        <f>IF(SUM(DG$24:DG59)=DG$22,0,IF(AND($M60&gt;=DG$15,$M60&lt;(DG$16+1)),DG$22/(DG$16-DG$15+1),0))</f>
        <v>0</v>
      </c>
      <c r="DH60" s="231">
        <f t="shared" si="43"/>
        <v>0</v>
      </c>
      <c r="DI60" s="231">
        <f t="shared" si="43"/>
        <v>0</v>
      </c>
      <c r="DJ60" s="231">
        <f t="shared" si="43"/>
        <v>0</v>
      </c>
      <c r="DK60" s="231">
        <f t="shared" si="43"/>
        <v>0</v>
      </c>
      <c r="DL60" s="231">
        <f t="shared" si="43"/>
        <v>0</v>
      </c>
      <c r="DM60" s="231">
        <f t="shared" si="43"/>
        <v>0</v>
      </c>
      <c r="DN60" s="231">
        <f t="shared" si="43"/>
        <v>0</v>
      </c>
      <c r="DO60" s="231">
        <f t="shared" si="43"/>
        <v>0</v>
      </c>
      <c r="DP60" s="231">
        <f t="shared" si="43"/>
        <v>0</v>
      </c>
      <c r="DQ60" s="231">
        <f t="shared" si="43"/>
        <v>0</v>
      </c>
      <c r="DR60" s="231">
        <f t="shared" si="43"/>
        <v>0</v>
      </c>
      <c r="DS60" s="231">
        <f t="shared" si="25"/>
        <v>0.29866666666666669</v>
      </c>
      <c r="DT60" s="231">
        <f ca="1">IF(SUM(DT$24:DT59)=DT$22,0,IF(AND($M60&gt;=DT$15,$M60&lt;(DT$16+1)),DT$22/(DT$16-DT$15+1),0))</f>
        <v>0</v>
      </c>
      <c r="DU60" s="231">
        <f ca="1">IF(SUM(DU$24:DU59)=DU$22,0,IF(AND($M60&gt;=DU$15,$M60&lt;(DU$16+1)),DU$22/(DU$16-DU$15+1),0))</f>
        <v>0</v>
      </c>
      <c r="DV60" s="231">
        <f ca="1">IF(SUM(DV$24:DV59)=DV$22,0,IF(AND(M60&gt;=DV$15,M60&lt;(DV$16+1)),DV$22/(DV$16-DV$15+1),0))</f>
        <v>0</v>
      </c>
      <c r="DW60" s="231" t="e">
        <f ca="1">IF(SUM(DW$24:DW59)=DW$22,0,IF(AND($M60&gt;=DW$15,$M60&lt;(DW$16+1)),DW$22/(DW$16-DW$15+1),0))</f>
        <v>#N/A</v>
      </c>
      <c r="DX60" s="231">
        <f ca="1">IF(SUM(DX$24:DX59)=DX$22,0,IF(AND($M60&gt;=DX$15,$M60&lt;(DX$16+1)),DX$22/(DX$16-DX$15+1),0))</f>
        <v>0</v>
      </c>
      <c r="DY60" s="231">
        <f ca="1">IF(SUM(DY$24:DY59)=DY$22,0,IF(AND($M60&gt;=DY$15,$M60&lt;(DY$16+1)),DY$22/(DY$16-DY$15+1),0))</f>
        <v>0</v>
      </c>
      <c r="DZ60" s="231">
        <f ca="1">IF(SUM(DZ$24:DZ59)=DZ$22,0,IF(AND($M60&gt;=DZ$15,$M60&lt;(DZ$16+1)),DZ$22/(DZ$16-DZ$15+1),0))</f>
        <v>0</v>
      </c>
      <c r="EA60" s="231" t="e">
        <f ca="1">IF(SUM(EA$24:EA59)=EA$22,0,IF(AND(M60&gt;=EA$15,M60&lt;(EA$16+1)),EA$22/(EA$16-EA$15+1),0))</f>
        <v>#N/A</v>
      </c>
      <c r="EC60" s="234">
        <f t="shared" si="54"/>
        <v>33</v>
      </c>
      <c r="ED60" s="234" t="e">
        <f t="shared" ca="1" si="55"/>
        <v>#N/A</v>
      </c>
      <c r="EE60" s="235" t="e">
        <f t="shared" ca="1" si="56"/>
        <v>#N/A</v>
      </c>
      <c r="EF60" s="234" t="e">
        <f t="shared" ca="1" si="28"/>
        <v>#N/A</v>
      </c>
      <c r="EG60" s="234" t="e">
        <f t="shared" ca="1" si="29"/>
        <v>#N/A</v>
      </c>
      <c r="EH60" s="234" t="e">
        <f t="shared" ca="1" si="34"/>
        <v>#N/A</v>
      </c>
      <c r="EI60" s="234"/>
      <c r="EJ60" s="234"/>
      <c r="EK60" s="153" t="e">
        <f t="shared" ca="1" si="57"/>
        <v>#N/A</v>
      </c>
      <c r="EL60" s="231" t="e">
        <f ca="1">IF(SUM(EL$24:EL59)=EL$22,0,IF(AND($M60&gt;=EL$15,$M60&lt;(EL$16+1)),EL$22/(EL$16-EL$15+1),0))</f>
        <v>#N/A</v>
      </c>
      <c r="EM60" s="153" t="e">
        <f t="shared" ca="1" si="58"/>
        <v>#N/A</v>
      </c>
      <c r="EO60" s="60"/>
      <c r="EP60" s="60"/>
    </row>
    <row r="61" spans="1:146">
      <c r="A61" s="220"/>
      <c r="B61" s="236">
        <f t="shared" si="23"/>
        <v>34</v>
      </c>
      <c r="C61" s="221">
        <f t="shared" si="59"/>
        <v>44594.751100000052</v>
      </c>
      <c r="D61" s="222" t="e">
        <f ca="1">'Offshore INT'!R50</f>
        <v>#N/A</v>
      </c>
      <c r="E61" s="223" t="e">
        <f t="shared" ca="1" si="50"/>
        <v>#N/A</v>
      </c>
      <c r="F61" s="224"/>
      <c r="G61" s="225">
        <f>IF(G60=1,1,SUM($F$24:F61))</f>
        <v>0</v>
      </c>
      <c r="H61" s="226" t="e">
        <f ca="1">IF(H60=0,0,SUM($I$24:I61))</f>
        <v>#N/A</v>
      </c>
      <c r="I61" s="227" t="e">
        <f t="shared" ca="1" si="51"/>
        <v>#N/A</v>
      </c>
      <c r="J61" s="222">
        <f t="shared" ca="1" si="20"/>
        <v>0</v>
      </c>
      <c r="K61" s="60"/>
      <c r="L61" s="228"/>
      <c r="M61" s="228">
        <f t="shared" si="52"/>
        <v>34</v>
      </c>
      <c r="N61" s="221">
        <f t="shared" si="53"/>
        <v>44594.751100000052</v>
      </c>
      <c r="O61" s="229">
        <f t="shared" si="44"/>
        <v>0</v>
      </c>
      <c r="P61" s="229">
        <f t="shared" si="44"/>
        <v>0</v>
      </c>
      <c r="Q61" s="229">
        <f t="shared" si="44"/>
        <v>0</v>
      </c>
      <c r="R61" s="229">
        <f t="shared" si="44"/>
        <v>0</v>
      </c>
      <c r="S61" s="229">
        <f t="shared" si="44"/>
        <v>0</v>
      </c>
      <c r="T61" s="229">
        <f t="shared" si="44"/>
        <v>0</v>
      </c>
      <c r="U61" s="229">
        <f t="shared" si="44"/>
        <v>0</v>
      </c>
      <c r="V61" s="229">
        <f t="shared" si="44"/>
        <v>0</v>
      </c>
      <c r="W61" s="229">
        <f t="shared" si="44"/>
        <v>0</v>
      </c>
      <c r="X61" s="229">
        <f t="shared" si="44"/>
        <v>0</v>
      </c>
      <c r="Y61" s="229">
        <f t="shared" si="44"/>
        <v>0</v>
      </c>
      <c r="Z61" s="229">
        <f t="shared" si="44"/>
        <v>0</v>
      </c>
      <c r="AA61" s="229">
        <f t="shared" si="45"/>
        <v>0</v>
      </c>
      <c r="AB61" s="229">
        <f t="shared" si="45"/>
        <v>0</v>
      </c>
      <c r="AC61" s="229">
        <f t="shared" si="45"/>
        <v>0</v>
      </c>
      <c r="AD61" s="229">
        <f t="shared" si="45"/>
        <v>0</v>
      </c>
      <c r="AE61" s="229">
        <f t="shared" si="45"/>
        <v>0</v>
      </c>
      <c r="AF61" s="229">
        <f t="shared" si="45"/>
        <v>0</v>
      </c>
      <c r="AG61" s="229">
        <f t="shared" si="45"/>
        <v>0</v>
      </c>
      <c r="AH61" s="229">
        <f t="shared" si="45"/>
        <v>0</v>
      </c>
      <c r="AI61" s="229">
        <f t="shared" si="45"/>
        <v>0</v>
      </c>
      <c r="AJ61" s="229">
        <f t="shared" si="45"/>
        <v>0</v>
      </c>
      <c r="AK61" s="229">
        <f t="shared" si="45"/>
        <v>0</v>
      </c>
      <c r="AL61" s="229">
        <f t="shared" si="45"/>
        <v>0</v>
      </c>
      <c r="AM61" s="229">
        <f t="shared" si="61"/>
        <v>0</v>
      </c>
      <c r="AN61" s="229">
        <f t="shared" si="61"/>
        <v>0</v>
      </c>
      <c r="AO61" s="229">
        <f t="shared" si="61"/>
        <v>0</v>
      </c>
      <c r="AP61" s="229">
        <f t="shared" si="45"/>
        <v>0</v>
      </c>
      <c r="AQ61" s="229">
        <f t="shared" si="45"/>
        <v>0</v>
      </c>
      <c r="AR61" s="229">
        <f t="shared" si="45"/>
        <v>0</v>
      </c>
      <c r="AS61" s="229">
        <f t="shared" si="60"/>
        <v>0</v>
      </c>
      <c r="AT61" s="229">
        <f t="shared" si="60"/>
        <v>0</v>
      </c>
      <c r="AU61" s="229">
        <f t="shared" si="60"/>
        <v>0</v>
      </c>
      <c r="AV61" s="229">
        <f t="shared" si="60"/>
        <v>0</v>
      </c>
      <c r="AW61" s="229">
        <f t="shared" si="60"/>
        <v>0</v>
      </c>
      <c r="AX61" s="229">
        <f t="shared" si="45"/>
        <v>0</v>
      </c>
      <c r="AY61" s="229">
        <f t="shared" si="45"/>
        <v>0</v>
      </c>
      <c r="AZ61" s="229">
        <f t="shared" si="45"/>
        <v>0</v>
      </c>
      <c r="BA61" s="229">
        <f t="shared" si="45"/>
        <v>0</v>
      </c>
      <c r="BB61" s="229">
        <f t="shared" si="45"/>
        <v>0</v>
      </c>
      <c r="BC61" s="229">
        <f t="shared" si="45"/>
        <v>0</v>
      </c>
      <c r="BD61" s="229">
        <f t="shared" si="46"/>
        <v>0</v>
      </c>
      <c r="BE61" s="229">
        <f t="shared" si="46"/>
        <v>0</v>
      </c>
      <c r="BF61" s="229">
        <f t="shared" si="46"/>
        <v>0</v>
      </c>
      <c r="BG61" s="229">
        <f t="shared" si="46"/>
        <v>0</v>
      </c>
      <c r="BH61" s="229">
        <f t="shared" si="46"/>
        <v>0</v>
      </c>
      <c r="BI61" s="229">
        <f t="shared" si="46"/>
        <v>0</v>
      </c>
      <c r="BJ61" s="229">
        <f t="shared" si="46"/>
        <v>0</v>
      </c>
      <c r="BK61" s="229">
        <f t="shared" si="46"/>
        <v>0</v>
      </c>
      <c r="BL61" s="229">
        <f t="shared" si="46"/>
        <v>0</v>
      </c>
      <c r="BM61" s="229">
        <f t="shared" si="46"/>
        <v>0</v>
      </c>
      <c r="BN61" s="229">
        <f t="shared" si="46"/>
        <v>0</v>
      </c>
      <c r="BO61" s="229">
        <f t="shared" si="46"/>
        <v>0</v>
      </c>
      <c r="BP61" s="229">
        <f t="shared" si="46"/>
        <v>0</v>
      </c>
      <c r="BQ61" s="229">
        <f t="shared" si="47"/>
        <v>0</v>
      </c>
      <c r="BR61" s="229">
        <f t="shared" si="47"/>
        <v>0</v>
      </c>
      <c r="BS61" s="229">
        <f t="shared" si="47"/>
        <v>0</v>
      </c>
      <c r="BT61" s="229">
        <f t="shared" si="47"/>
        <v>0</v>
      </c>
      <c r="BU61" s="229">
        <f t="shared" si="47"/>
        <v>0</v>
      </c>
      <c r="BV61" s="229">
        <f t="shared" si="47"/>
        <v>0</v>
      </c>
      <c r="BW61" s="229">
        <f t="shared" si="47"/>
        <v>0</v>
      </c>
      <c r="BX61" s="229">
        <f t="shared" si="47"/>
        <v>0</v>
      </c>
      <c r="BY61" s="229">
        <f t="shared" si="47"/>
        <v>0</v>
      </c>
      <c r="BZ61" s="229">
        <f t="shared" si="47"/>
        <v>0</v>
      </c>
      <c r="CA61" s="229">
        <f t="shared" si="47"/>
        <v>0</v>
      </c>
      <c r="CB61" s="229">
        <f t="shared" si="47"/>
        <v>0</v>
      </c>
      <c r="CC61" s="229">
        <f t="shared" si="47"/>
        <v>0</v>
      </c>
      <c r="CD61" s="229">
        <f t="shared" si="48"/>
        <v>0</v>
      </c>
      <c r="CE61" s="229">
        <f t="shared" si="62"/>
        <v>0</v>
      </c>
      <c r="CF61" s="229">
        <f t="shared" si="48"/>
        <v>0</v>
      </c>
      <c r="CG61" s="229">
        <f t="shared" si="48"/>
        <v>0</v>
      </c>
      <c r="CH61" s="229">
        <f t="shared" si="48"/>
        <v>0</v>
      </c>
      <c r="CI61" s="229">
        <f t="shared" si="48"/>
        <v>0</v>
      </c>
      <c r="CJ61" s="229">
        <f t="shared" si="48"/>
        <v>0</v>
      </c>
      <c r="CK61" s="229">
        <f t="shared" si="48"/>
        <v>0</v>
      </c>
      <c r="CL61" s="229">
        <f t="shared" si="48"/>
        <v>0</v>
      </c>
      <c r="CM61" s="229">
        <f t="shared" si="48"/>
        <v>0</v>
      </c>
      <c r="CN61" s="229">
        <f t="shared" si="48"/>
        <v>0</v>
      </c>
      <c r="CO61" s="229">
        <f t="shared" si="41"/>
        <v>0</v>
      </c>
      <c r="CP61" s="229">
        <f t="shared" si="41"/>
        <v>0</v>
      </c>
      <c r="CQ61" s="229">
        <f t="shared" si="48"/>
        <v>0</v>
      </c>
      <c r="CR61" s="229">
        <f t="shared" si="48"/>
        <v>0</v>
      </c>
      <c r="CS61" s="229">
        <f t="shared" si="48"/>
        <v>0</v>
      </c>
      <c r="CT61" s="229">
        <f t="shared" si="48"/>
        <v>0</v>
      </c>
      <c r="CU61" s="230"/>
      <c r="CV61" s="231"/>
      <c r="CW61" s="231"/>
      <c r="CX61" s="231"/>
      <c r="CY61" s="231"/>
      <c r="CZ61" s="231"/>
      <c r="DA61" s="231"/>
      <c r="DC61" s="231"/>
      <c r="DD61" s="231">
        <f>IF(SUM(DD$24:DD60)=DD$22,0,IF(AND($M61&gt;=DD$15,$M61&lt;(DD$16+1)),DD$22/(DD$16-DD$15+1),0))</f>
        <v>0</v>
      </c>
      <c r="DE61" s="231">
        <f>IF(SUM(DE$24:DE60)=DE$22,0,IF(AND($M61&gt;=DE$15,$M61&lt;(DE$16+1)),DE$22/(DE$16-DE$15+1),0))</f>
        <v>0</v>
      </c>
      <c r="DF61" s="231">
        <f>IF(SUM(DF$24:DF60)=DF$22,0,IF(AND($M61&gt;=DF$15,$M61&lt;(DF$16+1)),DF$22/(DF$16-DF$15+1),0))</f>
        <v>0</v>
      </c>
      <c r="DG61" s="231">
        <f>IF(SUM(DG$24:DG60)=DG$22,0,IF(AND($M61&gt;=DG$15,$M61&lt;(DG$16+1)),DG$22/(DG$16-DG$15+1),0))</f>
        <v>0</v>
      </c>
      <c r="DH61" s="231">
        <f t="shared" si="43"/>
        <v>0</v>
      </c>
      <c r="DI61" s="231">
        <f t="shared" si="43"/>
        <v>0</v>
      </c>
      <c r="DJ61" s="231">
        <f t="shared" si="43"/>
        <v>0</v>
      </c>
      <c r="DK61" s="231">
        <f t="shared" si="43"/>
        <v>0</v>
      </c>
      <c r="DL61" s="231">
        <f t="shared" si="43"/>
        <v>0</v>
      </c>
      <c r="DM61" s="231">
        <f t="shared" si="43"/>
        <v>0</v>
      </c>
      <c r="DN61" s="231">
        <f t="shared" si="43"/>
        <v>0</v>
      </c>
      <c r="DO61" s="231">
        <f t="shared" si="43"/>
        <v>0</v>
      </c>
      <c r="DP61" s="231">
        <f t="shared" si="43"/>
        <v>0</v>
      </c>
      <c r="DQ61" s="231">
        <f t="shared" si="43"/>
        <v>0</v>
      </c>
      <c r="DR61" s="231">
        <f t="shared" si="43"/>
        <v>0</v>
      </c>
      <c r="DS61" s="231">
        <f t="shared" si="25"/>
        <v>0.29866666666666669</v>
      </c>
      <c r="DT61" s="231">
        <f ca="1">IF(SUM(DT$24:DT60)=DT$22,0,IF(AND($M61&gt;=DT$15,$M61&lt;(DT$16+1)),DT$22/(DT$16-DT$15+1),0))</f>
        <v>0</v>
      </c>
      <c r="DU61" s="231">
        <f ca="1">IF(SUM(DU$24:DU60)=DU$22,0,IF(AND($M61&gt;=DU$15,$M61&lt;(DU$16+1)),DU$22/(DU$16-DU$15+1),0))</f>
        <v>0</v>
      </c>
      <c r="DV61" s="231">
        <f ca="1">IF(SUM(DV$24:DV60)=DV$22,0,IF(AND(M61&gt;=DV$15,M61&lt;(DV$16+1)),DV$22/(DV$16-DV$15+1),0))</f>
        <v>0</v>
      </c>
      <c r="DW61" s="231" t="e">
        <f ca="1">IF(SUM(DW$24:DW60)=DW$22,0,IF(AND($M61&gt;=DW$15,$M61&lt;(DW$16+1)),DW$22/(DW$16-DW$15+1),0))</f>
        <v>#N/A</v>
      </c>
      <c r="DX61" s="231">
        <f ca="1">IF(SUM(DX$24:DX60)=DX$22,0,IF(AND($M61&gt;=DX$15,$M61&lt;(DX$16+1)),DX$22/(DX$16-DX$15+1),0))</f>
        <v>0</v>
      </c>
      <c r="DY61" s="231">
        <f ca="1">IF(SUM(DY$24:DY60)=DY$22,0,IF(AND($M61&gt;=DY$15,$M61&lt;(DY$16+1)),DY$22/(DY$16-DY$15+1),0))</f>
        <v>0</v>
      </c>
      <c r="DZ61" s="231">
        <f ca="1">IF(SUM(DZ$24:DZ60)=DZ$22,0,IF(AND($M61&gt;=DZ$15,$M61&lt;(DZ$16+1)),DZ$22/(DZ$16-DZ$15+1),0))</f>
        <v>0</v>
      </c>
      <c r="EA61" s="231" t="e">
        <f ca="1">IF(SUM(EA$24:EA60)=EA$22,0,IF(AND(M61&gt;=EA$15,M61&lt;(EA$16+1)),EA$22/(EA$16-EA$15+1),0))</f>
        <v>#N/A</v>
      </c>
      <c r="EC61" s="234">
        <f t="shared" si="54"/>
        <v>34</v>
      </c>
      <c r="ED61" s="234" t="e">
        <f t="shared" ca="1" si="55"/>
        <v>#N/A</v>
      </c>
      <c r="EE61" s="235" t="e">
        <f t="shared" ca="1" si="56"/>
        <v>#N/A</v>
      </c>
      <c r="EF61" s="234" t="e">
        <f t="shared" ca="1" si="28"/>
        <v>#N/A</v>
      </c>
      <c r="EG61" s="234" t="e">
        <f t="shared" ca="1" si="29"/>
        <v>#N/A</v>
      </c>
      <c r="EH61" s="234" t="e">
        <f t="shared" ca="1" si="34"/>
        <v>#N/A</v>
      </c>
      <c r="EI61" s="234"/>
      <c r="EJ61" s="234"/>
      <c r="EK61" s="153" t="e">
        <f t="shared" ca="1" si="57"/>
        <v>#N/A</v>
      </c>
      <c r="EL61" s="231" t="e">
        <f ca="1">IF(SUM(EL$24:EL60)=EL$22,0,IF(AND($M61&gt;=EL$15,$M61&lt;(EL$16+1)),EL$22/(EL$16-EL$15+1),0))</f>
        <v>#N/A</v>
      </c>
      <c r="EM61" s="153" t="e">
        <f t="shared" ca="1" si="58"/>
        <v>#N/A</v>
      </c>
      <c r="EO61" s="60"/>
      <c r="EP61" s="60"/>
    </row>
    <row r="62" spans="1:146">
      <c r="A62" s="220"/>
      <c r="B62" s="236">
        <f t="shared" si="23"/>
        <v>35</v>
      </c>
      <c r="C62" s="221">
        <f t="shared" si="59"/>
        <v>44625.167800000054</v>
      </c>
      <c r="D62" s="222" t="e">
        <f ca="1">'Offshore INT'!R51</f>
        <v>#N/A</v>
      </c>
      <c r="E62" s="223" t="e">
        <f t="shared" ca="1" si="50"/>
        <v>#N/A</v>
      </c>
      <c r="F62" s="224"/>
      <c r="G62" s="225">
        <f>IF(G61=1,1,SUM($F$24:F62))</f>
        <v>0</v>
      </c>
      <c r="H62" s="226" t="e">
        <f ca="1">IF(H61=0,0,SUM($I$24:I62))</f>
        <v>#N/A</v>
      </c>
      <c r="I62" s="227" t="e">
        <f t="shared" ca="1" si="51"/>
        <v>#N/A</v>
      </c>
      <c r="J62" s="222">
        <f t="shared" ca="1" si="20"/>
        <v>0</v>
      </c>
      <c r="K62" s="60"/>
      <c r="L62" s="228"/>
      <c r="M62" s="228">
        <f t="shared" si="52"/>
        <v>35</v>
      </c>
      <c r="N62" s="221">
        <f t="shared" si="53"/>
        <v>44625.167800000054</v>
      </c>
      <c r="O62" s="229">
        <f t="shared" si="44"/>
        <v>0</v>
      </c>
      <c r="P62" s="229">
        <f t="shared" si="44"/>
        <v>0</v>
      </c>
      <c r="Q62" s="229">
        <f t="shared" si="44"/>
        <v>0</v>
      </c>
      <c r="R62" s="229">
        <f t="shared" si="44"/>
        <v>0</v>
      </c>
      <c r="S62" s="229">
        <f t="shared" si="44"/>
        <v>0</v>
      </c>
      <c r="T62" s="229">
        <f t="shared" si="44"/>
        <v>0</v>
      </c>
      <c r="U62" s="229">
        <f t="shared" si="44"/>
        <v>0</v>
      </c>
      <c r="V62" s="229">
        <f t="shared" si="44"/>
        <v>0</v>
      </c>
      <c r="W62" s="229">
        <f t="shared" si="44"/>
        <v>0</v>
      </c>
      <c r="X62" s="229">
        <f t="shared" si="44"/>
        <v>0</v>
      </c>
      <c r="Y62" s="229">
        <f t="shared" si="44"/>
        <v>0</v>
      </c>
      <c r="Z62" s="229">
        <f t="shared" si="44"/>
        <v>0</v>
      </c>
      <c r="AA62" s="229">
        <f t="shared" si="45"/>
        <v>0</v>
      </c>
      <c r="AB62" s="229">
        <f t="shared" si="45"/>
        <v>0</v>
      </c>
      <c r="AC62" s="229">
        <f t="shared" si="45"/>
        <v>0</v>
      </c>
      <c r="AD62" s="229">
        <f t="shared" si="45"/>
        <v>0</v>
      </c>
      <c r="AE62" s="229">
        <f t="shared" si="45"/>
        <v>0</v>
      </c>
      <c r="AF62" s="229">
        <f t="shared" si="45"/>
        <v>0</v>
      </c>
      <c r="AG62" s="229">
        <f t="shared" si="45"/>
        <v>0</v>
      </c>
      <c r="AH62" s="229">
        <f t="shared" si="45"/>
        <v>0</v>
      </c>
      <c r="AI62" s="229">
        <f t="shared" si="45"/>
        <v>0</v>
      </c>
      <c r="AJ62" s="229">
        <f t="shared" si="45"/>
        <v>0</v>
      </c>
      <c r="AK62" s="229">
        <f t="shared" si="45"/>
        <v>0</v>
      </c>
      <c r="AL62" s="229">
        <f t="shared" si="45"/>
        <v>0</v>
      </c>
      <c r="AM62" s="229">
        <f t="shared" si="61"/>
        <v>0</v>
      </c>
      <c r="AN62" s="229">
        <f t="shared" si="61"/>
        <v>0</v>
      </c>
      <c r="AO62" s="229">
        <f t="shared" si="61"/>
        <v>0</v>
      </c>
      <c r="AP62" s="229">
        <f t="shared" si="45"/>
        <v>0</v>
      </c>
      <c r="AQ62" s="229">
        <f t="shared" si="45"/>
        <v>0</v>
      </c>
      <c r="AR62" s="229">
        <f t="shared" si="45"/>
        <v>0</v>
      </c>
      <c r="AS62" s="229">
        <f t="shared" si="60"/>
        <v>0</v>
      </c>
      <c r="AT62" s="229">
        <f t="shared" si="60"/>
        <v>0</v>
      </c>
      <c r="AU62" s="229">
        <f t="shared" si="60"/>
        <v>0</v>
      </c>
      <c r="AV62" s="229">
        <f t="shared" si="60"/>
        <v>0</v>
      </c>
      <c r="AW62" s="229">
        <f t="shared" si="60"/>
        <v>0</v>
      </c>
      <c r="AX62" s="229">
        <f t="shared" si="45"/>
        <v>0</v>
      </c>
      <c r="AY62" s="229">
        <f t="shared" si="45"/>
        <v>0</v>
      </c>
      <c r="AZ62" s="229">
        <f t="shared" si="45"/>
        <v>0</v>
      </c>
      <c r="BA62" s="229">
        <f t="shared" si="45"/>
        <v>0</v>
      </c>
      <c r="BB62" s="229">
        <f t="shared" si="45"/>
        <v>0</v>
      </c>
      <c r="BC62" s="229">
        <f t="shared" si="45"/>
        <v>0</v>
      </c>
      <c r="BD62" s="229">
        <f t="shared" si="46"/>
        <v>0</v>
      </c>
      <c r="BE62" s="229">
        <f t="shared" si="46"/>
        <v>0</v>
      </c>
      <c r="BF62" s="229">
        <f t="shared" si="46"/>
        <v>0</v>
      </c>
      <c r="BG62" s="229">
        <f t="shared" si="46"/>
        <v>0</v>
      </c>
      <c r="BH62" s="229">
        <f t="shared" si="46"/>
        <v>0</v>
      </c>
      <c r="BI62" s="229">
        <f t="shared" si="46"/>
        <v>0</v>
      </c>
      <c r="BJ62" s="229">
        <f t="shared" si="46"/>
        <v>0</v>
      </c>
      <c r="BK62" s="229">
        <f t="shared" si="46"/>
        <v>0</v>
      </c>
      <c r="BL62" s="229">
        <f t="shared" si="46"/>
        <v>0</v>
      </c>
      <c r="BM62" s="229">
        <f t="shared" si="46"/>
        <v>0</v>
      </c>
      <c r="BN62" s="229">
        <f t="shared" si="46"/>
        <v>0</v>
      </c>
      <c r="BO62" s="229">
        <f t="shared" si="46"/>
        <v>0</v>
      </c>
      <c r="BP62" s="229">
        <f t="shared" si="46"/>
        <v>0</v>
      </c>
      <c r="BQ62" s="229">
        <f t="shared" si="47"/>
        <v>0</v>
      </c>
      <c r="BR62" s="229">
        <f t="shared" si="47"/>
        <v>0</v>
      </c>
      <c r="BS62" s="229">
        <f t="shared" si="47"/>
        <v>0</v>
      </c>
      <c r="BT62" s="229">
        <f t="shared" si="47"/>
        <v>0</v>
      </c>
      <c r="BU62" s="229">
        <f t="shared" si="47"/>
        <v>0</v>
      </c>
      <c r="BV62" s="229">
        <f t="shared" si="47"/>
        <v>0</v>
      </c>
      <c r="BW62" s="229">
        <f t="shared" si="47"/>
        <v>0</v>
      </c>
      <c r="BX62" s="229">
        <f t="shared" si="47"/>
        <v>0</v>
      </c>
      <c r="BY62" s="229">
        <f t="shared" si="47"/>
        <v>0</v>
      </c>
      <c r="BZ62" s="229">
        <f t="shared" si="47"/>
        <v>0</v>
      </c>
      <c r="CA62" s="229">
        <f t="shared" si="47"/>
        <v>0</v>
      </c>
      <c r="CB62" s="229">
        <f t="shared" si="47"/>
        <v>0</v>
      </c>
      <c r="CC62" s="229">
        <f t="shared" si="47"/>
        <v>0</v>
      </c>
      <c r="CD62" s="229">
        <f t="shared" si="48"/>
        <v>0</v>
      </c>
      <c r="CE62" s="229">
        <f t="shared" si="62"/>
        <v>0</v>
      </c>
      <c r="CF62" s="229">
        <f t="shared" si="48"/>
        <v>0</v>
      </c>
      <c r="CG62" s="229">
        <f t="shared" si="48"/>
        <v>0</v>
      </c>
      <c r="CH62" s="229">
        <f t="shared" si="48"/>
        <v>0</v>
      </c>
      <c r="CI62" s="229">
        <f t="shared" si="48"/>
        <v>0</v>
      </c>
      <c r="CJ62" s="229">
        <f t="shared" si="48"/>
        <v>0</v>
      </c>
      <c r="CK62" s="229">
        <f t="shared" si="48"/>
        <v>0</v>
      </c>
      <c r="CL62" s="229">
        <f t="shared" si="48"/>
        <v>0</v>
      </c>
      <c r="CM62" s="229">
        <f t="shared" si="48"/>
        <v>0</v>
      </c>
      <c r="CN62" s="229">
        <f t="shared" si="48"/>
        <v>0</v>
      </c>
      <c r="CO62" s="229">
        <f t="shared" si="41"/>
        <v>0</v>
      </c>
      <c r="CP62" s="229">
        <f t="shared" si="41"/>
        <v>0</v>
      </c>
      <c r="CQ62" s="229">
        <f t="shared" si="48"/>
        <v>0</v>
      </c>
      <c r="CR62" s="229">
        <f t="shared" si="48"/>
        <v>0</v>
      </c>
      <c r="CS62" s="229">
        <f t="shared" si="48"/>
        <v>0</v>
      </c>
      <c r="CT62" s="229">
        <f t="shared" si="48"/>
        <v>0</v>
      </c>
      <c r="CU62" s="230"/>
      <c r="CV62" s="231"/>
      <c r="CW62" s="231"/>
      <c r="CX62" s="231"/>
      <c r="CY62" s="231"/>
      <c r="CZ62" s="231"/>
      <c r="DA62" s="231"/>
      <c r="DC62" s="231"/>
      <c r="DD62" s="231">
        <f>IF(SUM(DD$24:DD61)=DD$22,0,IF(AND($M62&gt;=DD$15,$M62&lt;(DD$16+1)),DD$22/(DD$16-DD$15+1),0))</f>
        <v>0</v>
      </c>
      <c r="DE62" s="231">
        <f>IF(SUM(DE$24:DE61)=DE$22,0,IF(AND($M62&gt;=DE$15,$M62&lt;(DE$16+1)),DE$22/(DE$16-DE$15+1),0))</f>
        <v>0</v>
      </c>
      <c r="DF62" s="231">
        <f>IF(SUM(DF$24:DF61)=DF$22,0,IF(AND($M62&gt;=DF$15,$M62&lt;(DF$16+1)),DF$22/(DF$16-DF$15+1),0))</f>
        <v>0</v>
      </c>
      <c r="DG62" s="231">
        <f>IF(SUM(DG$24:DG61)=DG$22,0,IF(AND($M62&gt;=DG$15,$M62&lt;(DG$16+1)),DG$22/(DG$16-DG$15+1),0))</f>
        <v>0</v>
      </c>
      <c r="DH62" s="231">
        <f t="shared" si="43"/>
        <v>0</v>
      </c>
      <c r="DI62" s="231">
        <f t="shared" si="43"/>
        <v>0</v>
      </c>
      <c r="DJ62" s="231">
        <f t="shared" si="43"/>
        <v>0</v>
      </c>
      <c r="DK62" s="231">
        <f t="shared" si="43"/>
        <v>0</v>
      </c>
      <c r="DL62" s="231">
        <f t="shared" si="43"/>
        <v>0</v>
      </c>
      <c r="DM62" s="231">
        <f t="shared" si="43"/>
        <v>0</v>
      </c>
      <c r="DN62" s="231">
        <f t="shared" si="43"/>
        <v>0</v>
      </c>
      <c r="DO62" s="231">
        <f t="shared" si="43"/>
        <v>0</v>
      </c>
      <c r="DP62" s="231">
        <f t="shared" si="43"/>
        <v>0</v>
      </c>
      <c r="DQ62" s="231">
        <f t="shared" si="43"/>
        <v>0</v>
      </c>
      <c r="DR62" s="231">
        <f t="shared" si="43"/>
        <v>0</v>
      </c>
      <c r="DS62" s="231">
        <f t="shared" si="25"/>
        <v>0.29866666666666669</v>
      </c>
      <c r="DT62" s="231">
        <f ca="1">IF(SUM(DT$24:DT61)=DT$22,0,IF(AND($M62&gt;=DT$15,$M62&lt;(DT$16+1)),DT$22/(DT$16-DT$15+1),0))</f>
        <v>0</v>
      </c>
      <c r="DU62" s="231">
        <f ca="1">IF(SUM(DU$24:DU61)=DU$22,0,IF(AND($M62&gt;=DU$15,$M62&lt;(DU$16+1)),DU$22/(DU$16-DU$15+1),0))</f>
        <v>0</v>
      </c>
      <c r="DV62" s="231">
        <f ca="1">IF(SUM(DV$24:DV61)=DV$22,0,IF(AND(M62&gt;=DV$15,M62&lt;(DV$16+1)),DV$22/(DV$16-DV$15+1),0))</f>
        <v>0</v>
      </c>
      <c r="DW62" s="231" t="e">
        <f ca="1">IF(SUM(DW$24:DW61)=DW$22,0,IF(AND($M62&gt;=DW$15,$M62&lt;(DW$16+1)),DW$22/(DW$16-DW$15+1),0))</f>
        <v>#N/A</v>
      </c>
      <c r="DX62" s="231">
        <f ca="1">IF(SUM(DX$24:DX61)=DX$22,0,IF(AND($M62&gt;=DX$15,$M62&lt;(DX$16+1)),DX$22/(DX$16-DX$15+1),0))</f>
        <v>0</v>
      </c>
      <c r="DY62" s="231">
        <f ca="1">IF(SUM(DY$24:DY61)=DY$22,0,IF(AND($M62&gt;=DY$15,$M62&lt;(DY$16+1)),DY$22/(DY$16-DY$15+1),0))</f>
        <v>0</v>
      </c>
      <c r="DZ62" s="231">
        <f ca="1">IF(SUM(DZ$24:DZ61)=DZ$22,0,IF(AND($M62&gt;=DZ$15,$M62&lt;(DZ$16+1)),DZ$22/(DZ$16-DZ$15+1),0))</f>
        <v>0</v>
      </c>
      <c r="EA62" s="231" t="e">
        <f ca="1">IF(SUM(EA$24:EA61)=EA$22,0,IF(AND(M62&gt;=EA$15,M62&lt;(EA$16+1)),EA$22/(EA$16-EA$15+1),0))</f>
        <v>#N/A</v>
      </c>
      <c r="EC62" s="234">
        <f t="shared" si="54"/>
        <v>35</v>
      </c>
      <c r="ED62" s="234" t="e">
        <f t="shared" ca="1" si="55"/>
        <v>#N/A</v>
      </c>
      <c r="EE62" s="235" t="e">
        <f t="shared" ca="1" si="56"/>
        <v>#N/A</v>
      </c>
      <c r="EF62" s="234" t="e">
        <f t="shared" ca="1" si="28"/>
        <v>#N/A</v>
      </c>
      <c r="EG62" s="234" t="e">
        <f t="shared" ca="1" si="29"/>
        <v>#N/A</v>
      </c>
      <c r="EH62" s="234" t="e">
        <f t="shared" ca="1" si="34"/>
        <v>#N/A</v>
      </c>
      <c r="EI62" s="234"/>
      <c r="EJ62" s="234"/>
      <c r="EK62" s="153" t="e">
        <f t="shared" ca="1" si="57"/>
        <v>#N/A</v>
      </c>
      <c r="EL62" s="231" t="e">
        <f ca="1">IF(SUM(EL$24:EL61)=EL$22,0,IF(AND($M62&gt;=EL$15,$M62&lt;(EL$16+1)),EL$22/(EL$16-EL$15+1),0))</f>
        <v>#N/A</v>
      </c>
      <c r="EM62" s="153" t="e">
        <f t="shared" ca="1" si="58"/>
        <v>#N/A</v>
      </c>
      <c r="EO62" s="60"/>
      <c r="EP62" s="60"/>
    </row>
    <row r="63" spans="1:146">
      <c r="A63" s="220"/>
      <c r="B63" s="1351">
        <f t="shared" si="23"/>
        <v>36</v>
      </c>
      <c r="C63" s="807">
        <f t="shared" si="59"/>
        <v>44655.584500000055</v>
      </c>
      <c r="D63" s="222" t="e">
        <f ca="1">'Offshore INT'!R52</f>
        <v>#N/A</v>
      </c>
      <c r="E63" s="223" t="e">
        <f t="shared" ca="1" si="50"/>
        <v>#N/A</v>
      </c>
      <c r="F63" s="224"/>
      <c r="G63" s="225">
        <f>IF(G62=1,1,SUM($F$24:F63))</f>
        <v>0</v>
      </c>
      <c r="H63" s="226" t="e">
        <f ca="1">IF(H62=0,0,SUM($I$24:I63))</f>
        <v>#N/A</v>
      </c>
      <c r="I63" s="227" t="e">
        <f t="shared" ca="1" si="51"/>
        <v>#N/A</v>
      </c>
      <c r="J63" s="222">
        <f t="shared" ca="1" si="20"/>
        <v>0</v>
      </c>
      <c r="K63" s="60"/>
      <c r="L63" s="228"/>
      <c r="M63" s="228">
        <f t="shared" si="52"/>
        <v>36</v>
      </c>
      <c r="N63" s="221">
        <f t="shared" si="53"/>
        <v>44655.584500000055</v>
      </c>
      <c r="O63" s="229">
        <f t="shared" si="44"/>
        <v>0</v>
      </c>
      <c r="P63" s="229">
        <f t="shared" si="44"/>
        <v>0</v>
      </c>
      <c r="Q63" s="229">
        <f t="shared" si="44"/>
        <v>0</v>
      </c>
      <c r="R63" s="229">
        <f t="shared" si="44"/>
        <v>0</v>
      </c>
      <c r="S63" s="229">
        <f t="shared" si="44"/>
        <v>0</v>
      </c>
      <c r="T63" s="229">
        <f t="shared" si="44"/>
        <v>0</v>
      </c>
      <c r="U63" s="229">
        <f t="shared" si="44"/>
        <v>0</v>
      </c>
      <c r="V63" s="229">
        <f t="shared" si="44"/>
        <v>0</v>
      </c>
      <c r="W63" s="229">
        <f t="shared" si="44"/>
        <v>0</v>
      </c>
      <c r="X63" s="229">
        <f t="shared" si="44"/>
        <v>0</v>
      </c>
      <c r="Y63" s="229">
        <f t="shared" si="44"/>
        <v>0</v>
      </c>
      <c r="Z63" s="229">
        <f t="shared" si="44"/>
        <v>0</v>
      </c>
      <c r="AA63" s="229">
        <f>IF($M63=AA$13,AA$22*AA$3,IF($M63=AA$14,AA$22*AA$4,IF($M63=AA$15,AA$22*AA$5,IF($M63=AA$16,AA$22*AA$6,IF($M63=AA$17,AA$22*AA$7,IF($M63=AA$18,AA$22*AA$8,IF($M63=AA$19,AA$22*AA$9,IF($M63=AA$20,AA$22*AA$10,0))))))))</f>
        <v>0</v>
      </c>
      <c r="AB63" s="229">
        <f t="shared" si="45"/>
        <v>0</v>
      </c>
      <c r="AC63" s="229">
        <f t="shared" si="45"/>
        <v>0</v>
      </c>
      <c r="AD63" s="229">
        <f t="shared" si="45"/>
        <v>0</v>
      </c>
      <c r="AE63" s="229">
        <f t="shared" si="45"/>
        <v>0</v>
      </c>
      <c r="AF63" s="229">
        <f t="shared" si="45"/>
        <v>0</v>
      </c>
      <c r="AG63" s="229">
        <f t="shared" si="45"/>
        <v>0</v>
      </c>
      <c r="AH63" s="229">
        <f t="shared" si="45"/>
        <v>0</v>
      </c>
      <c r="AI63" s="229">
        <f t="shared" si="45"/>
        <v>0</v>
      </c>
      <c r="AJ63" s="229">
        <f t="shared" si="45"/>
        <v>0</v>
      </c>
      <c r="AK63" s="229">
        <f t="shared" si="45"/>
        <v>0</v>
      </c>
      <c r="AL63" s="229">
        <f t="shared" si="45"/>
        <v>0</v>
      </c>
      <c r="AM63" s="229">
        <f t="shared" si="61"/>
        <v>0</v>
      </c>
      <c r="AN63" s="229">
        <f t="shared" si="61"/>
        <v>0</v>
      </c>
      <c r="AO63" s="229">
        <f t="shared" si="61"/>
        <v>0</v>
      </c>
      <c r="AP63" s="229">
        <f t="shared" si="45"/>
        <v>0</v>
      </c>
      <c r="AQ63" s="229">
        <f t="shared" si="45"/>
        <v>0</v>
      </c>
      <c r="AR63" s="229">
        <f t="shared" si="45"/>
        <v>0</v>
      </c>
      <c r="AS63" s="229">
        <f t="shared" si="60"/>
        <v>0</v>
      </c>
      <c r="AT63" s="229">
        <f t="shared" si="60"/>
        <v>0</v>
      </c>
      <c r="AU63" s="229">
        <f t="shared" si="60"/>
        <v>0</v>
      </c>
      <c r="AV63" s="229">
        <f t="shared" si="60"/>
        <v>0</v>
      </c>
      <c r="AW63" s="229">
        <f t="shared" si="60"/>
        <v>0</v>
      </c>
      <c r="AX63" s="229">
        <f t="shared" si="45"/>
        <v>0</v>
      </c>
      <c r="AY63" s="229">
        <f t="shared" si="45"/>
        <v>0</v>
      </c>
      <c r="AZ63" s="229">
        <f>IF($M63=AZ$13,AZ$22*AZ$3,IF($M63=AZ$14,AZ$22*AZ$4,IF($M63=AZ$15,AZ$22*AZ$5,IF($M63=AZ$16,AZ$22*AZ$6,IF($M63=AZ$17,AZ$22*AZ$7,IF($M63=AZ$18,AZ$22*AZ$8,IF($M63=AZ$19,AZ$22*AZ$9,IF($M63=AZ$20,AZ$22*AZ$10,0))))))))</f>
        <v>0</v>
      </c>
      <c r="BA63" s="229">
        <f t="shared" si="45"/>
        <v>0</v>
      </c>
      <c r="BB63" s="229">
        <f>IF($M63=BB$13,BB$22*BB$3,IF($M63=BB$14,BB$22*BB$4,IF($M63=BB$15,BB$22*BB$5,IF($M63=BB$16,BB$22*BB$6,IF($M63=BB$17,BB$22*BB$7,IF($M63=BB$18,BB$22*BB$8,IF($M63=BB$19,BB$22*BB$9,IF($M63=BB$20,BB$22*BB$10,0))))))))</f>
        <v>0</v>
      </c>
      <c r="BC63" s="229">
        <f>IF($M63=BC$13,BC$22*BC$3,IF($M63=BC$14,BC$22*BC$4,IF($M63=BC$15,BC$22*BC$5,IF($M63=BC$16,BC$22*BC$6,IF($M63=BC$17,BC$22*BC$7,IF($M63=BC$18,BC$22*BC$8,IF($M63=BC$19,BC$22*BC$9,IF($M63=BC$20,BC$22*BC$10,0))))))))</f>
        <v>0</v>
      </c>
      <c r="BD63" s="229">
        <f t="shared" si="46"/>
        <v>0</v>
      </c>
      <c r="BE63" s="229">
        <f t="shared" si="46"/>
        <v>0</v>
      </c>
      <c r="BF63" s="229">
        <f t="shared" si="46"/>
        <v>0</v>
      </c>
      <c r="BG63" s="229">
        <f t="shared" si="46"/>
        <v>0</v>
      </c>
      <c r="BH63" s="229">
        <f t="shared" si="46"/>
        <v>0</v>
      </c>
      <c r="BI63" s="229">
        <f t="shared" si="46"/>
        <v>0</v>
      </c>
      <c r="BJ63" s="229">
        <f t="shared" si="46"/>
        <v>0</v>
      </c>
      <c r="BK63" s="229">
        <f t="shared" si="46"/>
        <v>0</v>
      </c>
      <c r="BL63" s="229">
        <f t="shared" si="46"/>
        <v>0</v>
      </c>
      <c r="BM63" s="229">
        <f t="shared" si="46"/>
        <v>0</v>
      </c>
      <c r="BN63" s="229">
        <f t="shared" si="46"/>
        <v>0</v>
      </c>
      <c r="BO63" s="229">
        <f t="shared" si="46"/>
        <v>0</v>
      </c>
      <c r="BP63" s="229">
        <f t="shared" si="46"/>
        <v>0</v>
      </c>
      <c r="BQ63" s="229">
        <f t="shared" si="47"/>
        <v>0</v>
      </c>
      <c r="BR63" s="229">
        <f t="shared" si="47"/>
        <v>0</v>
      </c>
      <c r="BS63" s="229">
        <f t="shared" si="47"/>
        <v>0</v>
      </c>
      <c r="BT63" s="229">
        <f t="shared" si="47"/>
        <v>0</v>
      </c>
      <c r="BU63" s="229">
        <f t="shared" si="47"/>
        <v>0</v>
      </c>
      <c r="BV63" s="229">
        <f t="shared" si="47"/>
        <v>0</v>
      </c>
      <c r="BW63" s="229">
        <f t="shared" si="47"/>
        <v>0</v>
      </c>
      <c r="BX63" s="229">
        <f t="shared" si="47"/>
        <v>0</v>
      </c>
      <c r="BY63" s="229">
        <f t="shared" si="47"/>
        <v>0</v>
      </c>
      <c r="BZ63" s="229">
        <f t="shared" si="47"/>
        <v>0</v>
      </c>
      <c r="CA63" s="229">
        <f t="shared" si="47"/>
        <v>0</v>
      </c>
      <c r="CB63" s="229">
        <f t="shared" si="47"/>
        <v>0</v>
      </c>
      <c r="CC63" s="229">
        <f t="shared" si="47"/>
        <v>0</v>
      </c>
      <c r="CD63" s="229">
        <f t="shared" si="48"/>
        <v>0</v>
      </c>
      <c r="CE63" s="229">
        <f t="shared" si="62"/>
        <v>0</v>
      </c>
      <c r="CF63" s="229">
        <f t="shared" si="48"/>
        <v>0</v>
      </c>
      <c r="CG63" s="229">
        <f t="shared" si="48"/>
        <v>0</v>
      </c>
      <c r="CH63" s="229">
        <f t="shared" si="48"/>
        <v>0</v>
      </c>
      <c r="CI63" s="229">
        <f t="shared" si="48"/>
        <v>0</v>
      </c>
      <c r="CJ63" s="229">
        <f t="shared" si="48"/>
        <v>0</v>
      </c>
      <c r="CK63" s="229">
        <f t="shared" si="48"/>
        <v>0</v>
      </c>
      <c r="CL63" s="229">
        <f t="shared" si="48"/>
        <v>0</v>
      </c>
      <c r="CM63" s="229">
        <f t="shared" si="48"/>
        <v>0</v>
      </c>
      <c r="CN63" s="229">
        <f t="shared" si="48"/>
        <v>0</v>
      </c>
      <c r="CO63" s="229">
        <f t="shared" ref="CO63:CP78" si="63">IF($M63=CO$13,CO$22*CO$3,IF($M63=CO$14,CO$22*CO$4,IF($M63=CO$15,CO$22*CO$5,IF($M63=CO$16,CO$22*CO$6,IF($M63=CO$17,CO$22*CO$7,IF($M63=CO$18,CO$22*CO$8,IF($M63=CO$19,CO$22*CO$9,IF($M63=CO$20,CO$22*CO$10,0))))))))</f>
        <v>0</v>
      </c>
      <c r="CP63" s="229">
        <f t="shared" si="63"/>
        <v>0</v>
      </c>
      <c r="CQ63" s="229">
        <f t="shared" si="48"/>
        <v>0</v>
      </c>
      <c r="CR63" s="229">
        <f t="shared" si="48"/>
        <v>0</v>
      </c>
      <c r="CS63" s="229">
        <f t="shared" si="48"/>
        <v>0</v>
      </c>
      <c r="CT63" s="229">
        <f t="shared" si="48"/>
        <v>0</v>
      </c>
      <c r="CU63" s="230"/>
      <c r="CV63" s="231"/>
      <c r="CW63" s="231"/>
      <c r="CX63" s="231"/>
      <c r="CY63" s="231"/>
      <c r="CZ63" s="231"/>
      <c r="DA63" s="231"/>
      <c r="DC63" s="231"/>
      <c r="DD63" s="231">
        <f>IF(SUM(DD$24:DD62)=DD$22,0,IF(AND($M63&gt;=DD$15,$M63&lt;(DD$16+1)),DD$22/(DD$16-DD$15+1),0))</f>
        <v>0</v>
      </c>
      <c r="DE63" s="231">
        <f>IF(SUM(DE$24:DE62)=DE$22,0,IF(AND($M63&gt;=DE$15,$M63&lt;(DE$16+1)),DE$22/(DE$16-DE$15+1),0))</f>
        <v>0</v>
      </c>
      <c r="DF63" s="231">
        <f>IF(SUM(DF$24:DF62)=DF$22,0,IF(AND($M63&gt;=DF$15,$M63&lt;(DF$16+1)),DF$22/(DF$16-DF$15+1),0))</f>
        <v>0</v>
      </c>
      <c r="DG63" s="231">
        <f>IF(SUM(DG$24:DG62)=DG$22,0,IF(AND($M63&gt;=DG$15,$M63&lt;(DG$16+1)),DG$22/(DG$16-DG$15+1),0))</f>
        <v>0</v>
      </c>
      <c r="DH63" s="231">
        <f t="shared" si="43"/>
        <v>0</v>
      </c>
      <c r="DI63" s="231">
        <f t="shared" si="43"/>
        <v>0</v>
      </c>
      <c r="DJ63" s="231">
        <f t="shared" si="43"/>
        <v>0</v>
      </c>
      <c r="DK63" s="231">
        <f t="shared" si="43"/>
        <v>0</v>
      </c>
      <c r="DL63" s="231">
        <f t="shared" si="43"/>
        <v>0</v>
      </c>
      <c r="DM63" s="231">
        <f t="shared" si="43"/>
        <v>0</v>
      </c>
      <c r="DN63" s="231">
        <f t="shared" si="43"/>
        <v>0</v>
      </c>
      <c r="DO63" s="231">
        <f t="shared" si="43"/>
        <v>0</v>
      </c>
      <c r="DP63" s="231">
        <f t="shared" si="43"/>
        <v>0</v>
      </c>
      <c r="DQ63" s="231">
        <f t="shared" si="43"/>
        <v>0</v>
      </c>
      <c r="DR63" s="231">
        <f t="shared" si="43"/>
        <v>0</v>
      </c>
      <c r="DS63" s="231">
        <f t="shared" si="25"/>
        <v>0.29866666666666669</v>
      </c>
      <c r="DT63" s="231">
        <f ca="1">IF(SUM(DT$24:DT62)=DT$22,0,IF(AND($M63&gt;=DT$15,$M63&lt;(DT$16+1)),DT$22/(DT$16-DT$15+1),0))</f>
        <v>0</v>
      </c>
      <c r="DU63" s="231">
        <f ca="1">IF(SUM(DU$24:DU62)=DU$22,0,IF(AND($M63&gt;=DU$15,$M63&lt;(DU$16+1)),DU$22/(DU$16-DU$15+1),0))</f>
        <v>0</v>
      </c>
      <c r="DV63" s="231">
        <f ca="1">IF(SUM(DV$24:DV62)=DV$22,0,IF(AND(M63&gt;=DV$15,M63&lt;(DV$16+1)),DV$22/(DV$16-DV$15+1),0))</f>
        <v>0</v>
      </c>
      <c r="DW63" s="231" t="e">
        <f ca="1">IF(SUM(DW$24:DW62)=DW$22,0,IF(AND($M63&gt;=DW$15,$M63&lt;(DW$16+1)),DW$22/(DW$16-DW$15+1),0))</f>
        <v>#N/A</v>
      </c>
      <c r="DX63" s="231">
        <f ca="1">IF(SUM(DX$24:DX62)=DX$22,0,IF(AND($M63&gt;=DX$15,$M63&lt;(DX$16+1)),DX$22/(DX$16-DX$15+1),0))</f>
        <v>0</v>
      </c>
      <c r="DY63" s="231">
        <f ca="1">IF(SUM(DY$24:DY62)=DY$22,0,IF(AND($M63&gt;=DY$15,$M63&lt;(DY$16+1)),DY$22/(DY$16-DY$15+1),0))</f>
        <v>0</v>
      </c>
      <c r="DZ63" s="231">
        <f ca="1">IF(SUM(DZ$24:DZ62)=DZ$22,0,IF(AND($M63&gt;=DZ$15,$M63&lt;(DZ$16+1)),DZ$22/(DZ$16-DZ$15+1),0))</f>
        <v>0</v>
      </c>
      <c r="EA63" s="231" t="e">
        <f ca="1">IF(SUM(EA$24:EA62)=EA$22,0,IF(AND(M63&gt;=EA$15,M63&lt;(EA$16+1)),EA$22/(EA$16-EA$15+1),0))</f>
        <v>#N/A</v>
      </c>
      <c r="EC63" s="234">
        <f t="shared" si="54"/>
        <v>36</v>
      </c>
      <c r="ED63" s="234" t="e">
        <f t="shared" ca="1" si="55"/>
        <v>#N/A</v>
      </c>
      <c r="EE63" s="235" t="e">
        <f t="shared" ca="1" si="56"/>
        <v>#N/A</v>
      </c>
      <c r="EF63" s="234" t="e">
        <f t="shared" ca="1" si="28"/>
        <v>#N/A</v>
      </c>
      <c r="EG63" s="234" t="e">
        <f t="shared" ca="1" si="29"/>
        <v>#N/A</v>
      </c>
      <c r="EH63" s="234" t="e">
        <f t="shared" ca="1" si="34"/>
        <v>#N/A</v>
      </c>
      <c r="EI63" s="234"/>
      <c r="EJ63" s="234"/>
      <c r="EK63" s="153" t="e">
        <f t="shared" ca="1" si="57"/>
        <v>#N/A</v>
      </c>
      <c r="EL63" s="231" t="e">
        <f ca="1">IF(SUM(EL$24:EL62)=EL$22,0,IF(AND($M63&gt;=EL$15,$M63&lt;(EL$16+1)),EL$22/(EL$16-EL$15+1),0))</f>
        <v>#N/A</v>
      </c>
      <c r="EM63" s="153" t="e">
        <f t="shared" ca="1" si="58"/>
        <v>#N/A</v>
      </c>
      <c r="EO63" s="60"/>
      <c r="EP63" s="60"/>
    </row>
    <row r="64" spans="1:146">
      <c r="A64" s="220"/>
      <c r="B64" s="236">
        <f t="shared" si="23"/>
        <v>37</v>
      </c>
      <c r="C64" s="221">
        <f t="shared" si="59"/>
        <v>44686.001200000057</v>
      </c>
      <c r="D64" s="222" t="e">
        <f ca="1">'Offshore INT'!R53</f>
        <v>#N/A</v>
      </c>
      <c r="E64" s="223" t="e">
        <f t="shared" ca="1" si="50"/>
        <v>#N/A</v>
      </c>
      <c r="F64" s="224"/>
      <c r="G64" s="225">
        <f>IF(G63=1,1,SUM($F$24:F64))</f>
        <v>0</v>
      </c>
      <c r="H64" s="226" t="e">
        <f ca="1">IF(H63=0,0,SUM($I$24:I64))</f>
        <v>#N/A</v>
      </c>
      <c r="I64" s="227" t="e">
        <f t="shared" ca="1" si="51"/>
        <v>#N/A</v>
      </c>
      <c r="J64" s="222">
        <f t="shared" ca="1" si="20"/>
        <v>0</v>
      </c>
      <c r="K64" s="60"/>
      <c r="L64" s="228"/>
      <c r="M64" s="228">
        <f t="shared" si="52"/>
        <v>37</v>
      </c>
      <c r="N64" s="221">
        <f t="shared" si="53"/>
        <v>44686.001200000057</v>
      </c>
      <c r="O64" s="229">
        <f t="shared" si="44"/>
        <v>0</v>
      </c>
      <c r="P64" s="229">
        <f t="shared" si="44"/>
        <v>0</v>
      </c>
      <c r="Q64" s="229">
        <f t="shared" si="44"/>
        <v>0</v>
      </c>
      <c r="R64" s="229">
        <f t="shared" si="44"/>
        <v>0</v>
      </c>
      <c r="S64" s="229">
        <f t="shared" si="44"/>
        <v>0</v>
      </c>
      <c r="T64" s="229">
        <f t="shared" si="44"/>
        <v>0</v>
      </c>
      <c r="U64" s="229">
        <f t="shared" si="44"/>
        <v>0</v>
      </c>
      <c r="V64" s="229">
        <f t="shared" si="44"/>
        <v>0</v>
      </c>
      <c r="W64" s="229">
        <f t="shared" si="44"/>
        <v>0</v>
      </c>
      <c r="X64" s="229">
        <f t="shared" si="44"/>
        <v>0</v>
      </c>
      <c r="Y64" s="229">
        <f t="shared" si="44"/>
        <v>0</v>
      </c>
      <c r="Z64" s="229">
        <f t="shared" si="44"/>
        <v>0</v>
      </c>
      <c r="AA64" s="229">
        <f t="shared" ref="AA64:BC73" si="64">IF($M64=AA$13,AA$22*AA$3,IF($M64=AA$14,AA$22*AA$4,IF($M64=AA$15,AA$22*AA$5,IF($M64=AA$16,AA$22*AA$6,IF($M64=AA$17,AA$22*AA$7,IF($M64=AA$18,AA$22*AA$8,IF($M64=AA$19,AA$22*AA$9,IF($M64=AA$20,AA$22*AA$10,0))))))))</f>
        <v>0</v>
      </c>
      <c r="AB64" s="229">
        <f t="shared" si="64"/>
        <v>0</v>
      </c>
      <c r="AC64" s="229">
        <f t="shared" si="64"/>
        <v>0</v>
      </c>
      <c r="AD64" s="229">
        <f t="shared" si="64"/>
        <v>0</v>
      </c>
      <c r="AE64" s="229">
        <f t="shared" si="64"/>
        <v>0</v>
      </c>
      <c r="AF64" s="229">
        <f t="shared" si="64"/>
        <v>0</v>
      </c>
      <c r="AG64" s="229">
        <f t="shared" si="64"/>
        <v>0</v>
      </c>
      <c r="AH64" s="229">
        <f t="shared" si="64"/>
        <v>0</v>
      </c>
      <c r="AI64" s="229">
        <f t="shared" si="64"/>
        <v>0</v>
      </c>
      <c r="AJ64" s="229">
        <f t="shared" si="64"/>
        <v>0</v>
      </c>
      <c r="AK64" s="229">
        <f t="shared" si="64"/>
        <v>0</v>
      </c>
      <c r="AL64" s="229">
        <f t="shared" si="64"/>
        <v>0</v>
      </c>
      <c r="AM64" s="229">
        <f t="shared" si="64"/>
        <v>0</v>
      </c>
      <c r="AN64" s="229">
        <f t="shared" si="64"/>
        <v>0</v>
      </c>
      <c r="AO64" s="229">
        <f t="shared" si="64"/>
        <v>0</v>
      </c>
      <c r="AP64" s="229">
        <f t="shared" si="64"/>
        <v>0</v>
      </c>
      <c r="AQ64" s="229">
        <f t="shared" si="64"/>
        <v>0</v>
      </c>
      <c r="AR64" s="229">
        <f t="shared" si="64"/>
        <v>0</v>
      </c>
      <c r="AS64" s="229">
        <f t="shared" si="60"/>
        <v>0</v>
      </c>
      <c r="AT64" s="229">
        <f t="shared" si="60"/>
        <v>0</v>
      </c>
      <c r="AU64" s="229">
        <f t="shared" si="60"/>
        <v>0</v>
      </c>
      <c r="AV64" s="229">
        <f t="shared" si="60"/>
        <v>0</v>
      </c>
      <c r="AW64" s="229">
        <f t="shared" si="60"/>
        <v>0</v>
      </c>
      <c r="AX64" s="229">
        <f t="shared" si="64"/>
        <v>0</v>
      </c>
      <c r="AY64" s="229">
        <f t="shared" si="64"/>
        <v>0</v>
      </c>
      <c r="AZ64" s="229">
        <f t="shared" si="64"/>
        <v>0</v>
      </c>
      <c r="BA64" s="229">
        <f t="shared" si="64"/>
        <v>0</v>
      </c>
      <c r="BB64" s="229">
        <f t="shared" si="64"/>
        <v>0</v>
      </c>
      <c r="BC64" s="229">
        <f t="shared" si="64"/>
        <v>0</v>
      </c>
      <c r="BD64" s="229">
        <f t="shared" ref="BD64:BP73" si="65">IF($M64=BD$13,BD$22*BD$3,IF($M64=BD$14,BD$22*BD$4,IF($M64=BD$15,BD$22*BD$5,IF($M64=BD$16,BD$22*BD$6,IF($M64=BD$17,BD$22*BD$7,IF($M64=BD$18,BD$22*BD$8,IF($M64=BD$19,BD$22*BD$9,IF($M64=BD$20,BD$22*BD$10,0))))))))</f>
        <v>0</v>
      </c>
      <c r="BE64" s="229">
        <f t="shared" si="65"/>
        <v>0</v>
      </c>
      <c r="BF64" s="229">
        <f t="shared" si="65"/>
        <v>0</v>
      </c>
      <c r="BG64" s="229">
        <f t="shared" si="65"/>
        <v>0</v>
      </c>
      <c r="BH64" s="229">
        <f t="shared" si="65"/>
        <v>0</v>
      </c>
      <c r="BI64" s="229">
        <f t="shared" si="65"/>
        <v>0</v>
      </c>
      <c r="BJ64" s="229">
        <f t="shared" si="65"/>
        <v>0</v>
      </c>
      <c r="BK64" s="229">
        <f t="shared" si="65"/>
        <v>0</v>
      </c>
      <c r="BL64" s="229">
        <f t="shared" si="65"/>
        <v>0</v>
      </c>
      <c r="BM64" s="229">
        <f t="shared" si="65"/>
        <v>0</v>
      </c>
      <c r="BN64" s="229">
        <f t="shared" si="65"/>
        <v>0</v>
      </c>
      <c r="BO64" s="229">
        <f t="shared" si="65"/>
        <v>0</v>
      </c>
      <c r="BP64" s="229">
        <f t="shared" si="65"/>
        <v>0</v>
      </c>
      <c r="BQ64" s="229">
        <f t="shared" ref="BQ64:CC73" si="66">IF($M64=BQ$13,BQ$22*BQ$3,IF($M64=BQ$14,BQ$22*BQ$4,IF($M64=BQ$15,BQ$22*BQ$5,IF($M64=BQ$16,BQ$22*BQ$6,IF($M64=BQ$17,BQ$22*BQ$7,IF($M64=BQ$18,BQ$22*BQ$8,IF($M64=BQ$19,BQ$22*BQ$9,IF($M64=BQ$20,BQ$22*BQ$10,0))))))))</f>
        <v>0</v>
      </c>
      <c r="BR64" s="229">
        <f t="shared" si="66"/>
        <v>0</v>
      </c>
      <c r="BS64" s="229">
        <f t="shared" si="66"/>
        <v>0</v>
      </c>
      <c r="BT64" s="229">
        <f t="shared" si="66"/>
        <v>0</v>
      </c>
      <c r="BU64" s="229">
        <f t="shared" si="66"/>
        <v>0</v>
      </c>
      <c r="BV64" s="229">
        <f t="shared" si="66"/>
        <v>0</v>
      </c>
      <c r="BW64" s="229">
        <f t="shared" si="66"/>
        <v>0</v>
      </c>
      <c r="BX64" s="229">
        <f t="shared" si="66"/>
        <v>0</v>
      </c>
      <c r="BY64" s="229">
        <f t="shared" si="66"/>
        <v>0</v>
      </c>
      <c r="BZ64" s="229">
        <f t="shared" si="66"/>
        <v>0</v>
      </c>
      <c r="CA64" s="229">
        <f t="shared" si="66"/>
        <v>0</v>
      </c>
      <c r="CB64" s="229">
        <f t="shared" si="66"/>
        <v>0</v>
      </c>
      <c r="CC64" s="229">
        <f t="shared" si="66"/>
        <v>0</v>
      </c>
      <c r="CD64" s="229">
        <f t="shared" ref="CD64:CT73" si="67">IF($M64=CD$13,CD$22*CD$3,IF($M64=CD$14,CD$22*CD$4,IF($M64=CD$15,CD$22*CD$5,IF($M64=CD$16,CD$22*CD$6,IF($M64=CD$17,CD$22*CD$7,IF($M64=CD$18,CD$22*CD$8,IF($M64=CD$19,CD$22*CD$9,IF($M64=CD$20,CD$22*CD$10,0))))))))</f>
        <v>0</v>
      </c>
      <c r="CE64" s="229">
        <f t="shared" si="62"/>
        <v>0</v>
      </c>
      <c r="CF64" s="229">
        <f t="shared" si="67"/>
        <v>0</v>
      </c>
      <c r="CG64" s="229">
        <f t="shared" si="67"/>
        <v>0</v>
      </c>
      <c r="CH64" s="229">
        <f t="shared" si="67"/>
        <v>0</v>
      </c>
      <c r="CI64" s="229">
        <f t="shared" si="67"/>
        <v>0</v>
      </c>
      <c r="CJ64" s="229">
        <f t="shared" si="48"/>
        <v>0</v>
      </c>
      <c r="CK64" s="229">
        <f t="shared" si="67"/>
        <v>0</v>
      </c>
      <c r="CL64" s="229">
        <f t="shared" si="67"/>
        <v>0</v>
      </c>
      <c r="CM64" s="229">
        <f t="shared" si="67"/>
        <v>0</v>
      </c>
      <c r="CN64" s="229">
        <f t="shared" si="67"/>
        <v>0</v>
      </c>
      <c r="CO64" s="229">
        <f t="shared" si="63"/>
        <v>0</v>
      </c>
      <c r="CP64" s="229">
        <f t="shared" si="63"/>
        <v>0</v>
      </c>
      <c r="CQ64" s="229">
        <f t="shared" si="67"/>
        <v>0</v>
      </c>
      <c r="CR64" s="229">
        <f t="shared" si="67"/>
        <v>0</v>
      </c>
      <c r="CS64" s="229">
        <f t="shared" si="67"/>
        <v>0</v>
      </c>
      <c r="CT64" s="229">
        <f t="shared" si="67"/>
        <v>0</v>
      </c>
      <c r="CU64" s="230"/>
      <c r="CV64" s="231"/>
      <c r="CW64" s="231"/>
      <c r="CX64" s="231"/>
      <c r="CY64" s="231"/>
      <c r="CZ64" s="231" t="e">
        <f ca="1">$CZ$22/24</f>
        <v>#N/A</v>
      </c>
      <c r="DA64" s="231"/>
      <c r="DC64" s="231"/>
      <c r="DD64" s="231">
        <f>IF(SUM(DD$24:DD63)=DD$22,0,IF(AND($M64&gt;=DD$15,$M64&lt;(DD$16+1)),DD$22/(DD$16-DD$15+1),0))</f>
        <v>0</v>
      </c>
      <c r="DE64" s="231">
        <f>IF(SUM(DE$24:DE63)=DE$22,0,IF(AND($M64&gt;=DE$15,$M64&lt;(DE$16+1)),DE$22/(DE$16-DE$15+1),0))</f>
        <v>0</v>
      </c>
      <c r="DF64" s="231">
        <f>IF(SUM(DF$24:DF63)=DF$22,0,IF(AND($M64&gt;=DF$15,$M64&lt;(DF$16+1)),DF$22/(DF$16-DF$15+1),0))</f>
        <v>0</v>
      </c>
      <c r="DG64" s="231">
        <f>IF(SUM(DG$24:DG63)=DG$22,0,IF(AND($M64&gt;=DG$15,$M64&lt;(DG$16+1)),DG$22/(DG$16-DG$15+1),0))</f>
        <v>0</v>
      </c>
      <c r="DH64" s="231">
        <f t="shared" si="43"/>
        <v>0</v>
      </c>
      <c r="DI64" s="231">
        <f t="shared" si="43"/>
        <v>0</v>
      </c>
      <c r="DJ64" s="231">
        <f t="shared" si="43"/>
        <v>0</v>
      </c>
      <c r="DK64" s="231">
        <f t="shared" si="43"/>
        <v>0</v>
      </c>
      <c r="DL64" s="231">
        <f t="shared" si="43"/>
        <v>0</v>
      </c>
      <c r="DM64" s="231">
        <f t="shared" si="43"/>
        <v>0</v>
      </c>
      <c r="DN64" s="231">
        <f t="shared" si="43"/>
        <v>0</v>
      </c>
      <c r="DO64" s="231">
        <f t="shared" si="43"/>
        <v>0</v>
      </c>
      <c r="DP64" s="231">
        <f t="shared" si="43"/>
        <v>0</v>
      </c>
      <c r="DQ64" s="231">
        <f t="shared" si="43"/>
        <v>0</v>
      </c>
      <c r="DR64" s="231">
        <f t="shared" si="43"/>
        <v>0</v>
      </c>
      <c r="DS64" s="231">
        <f t="shared" si="25"/>
        <v>0.29866666666666669</v>
      </c>
      <c r="DT64" s="231">
        <f ca="1">IF(SUM(DT$24:DT63)=DT$22,0,IF(AND($M64&gt;=DT$15,$M64&lt;(DT$16+1)),DT$22/(DT$16-DT$15+1),0))</f>
        <v>0</v>
      </c>
      <c r="DU64" s="231">
        <f ca="1">IF(SUM(DU$24:DU63)=DU$22,0,IF(AND($M64&gt;=DU$15,$M64&lt;(DU$16+1)),DU$22/(DU$16-DU$15+1),0))</f>
        <v>0</v>
      </c>
      <c r="DV64" s="231">
        <f ca="1">IF(SUM(DV$24:DV63)=DV$22,0,IF(AND(M64&gt;=DV$15,M64&lt;(DV$16+1)),DV$22/(DV$16-DV$15+1),0))</f>
        <v>0</v>
      </c>
      <c r="DW64" s="231" t="e">
        <f ca="1">IF(SUM(DW$24:DW63)=DW$22,0,IF(AND($M64&gt;=DW$15,$M64&lt;(DW$16+1)),DW$22/(DW$16-DW$15+1),0))</f>
        <v>#N/A</v>
      </c>
      <c r="DX64" s="231">
        <f ca="1">IF(SUM(DX$24:DX63)=DX$22,0,IF(AND($M64&gt;=DX$15,$M64&lt;(DX$16+1)),DX$22/(DX$16-DX$15+1),0))</f>
        <v>0</v>
      </c>
      <c r="DY64" s="231">
        <f ca="1">IF(SUM(DY$24:DY63)=DY$22,0,IF(AND($M64&gt;=DY$15,$M64&lt;(DY$16+1)),DY$22/(DY$16-DY$15+1),0))</f>
        <v>0</v>
      </c>
      <c r="DZ64" s="231">
        <f ca="1">IF(SUM(DZ$24:DZ63)=DZ$22,0,IF(AND($M64&gt;=DZ$15,$M64&lt;(DZ$16+1)),DZ$22/(DZ$16-DZ$15+1),0))</f>
        <v>0</v>
      </c>
      <c r="EA64" s="231" t="e">
        <f ca="1">IF(SUM(EA$24:EA63)=EA$22,0,IF(AND(M64&gt;=EA$15,M64&lt;(EA$16+1)),EA$22/(EA$16-EA$15+1),0))</f>
        <v>#N/A</v>
      </c>
      <c r="EC64" s="234">
        <f t="shared" si="54"/>
        <v>37</v>
      </c>
      <c r="ED64" s="234" t="e">
        <f t="shared" ca="1" si="55"/>
        <v>#N/A</v>
      </c>
      <c r="EE64" s="235" t="e">
        <f t="shared" ca="1" si="56"/>
        <v>#N/A</v>
      </c>
      <c r="EF64" s="234" t="e">
        <f t="shared" ca="1" si="28"/>
        <v>#N/A</v>
      </c>
      <c r="EG64" s="234" t="e">
        <f t="shared" ca="1" si="29"/>
        <v>#N/A</v>
      </c>
      <c r="EH64" s="234" t="e">
        <f t="shared" ca="1" si="34"/>
        <v>#N/A</v>
      </c>
      <c r="EI64" s="234"/>
      <c r="EJ64" s="234"/>
      <c r="EK64" s="153" t="e">
        <f t="shared" ca="1" si="57"/>
        <v>#N/A</v>
      </c>
      <c r="EL64" s="231" t="e">
        <f ca="1">IF(SUM(EL$24:EL63)=EL$22,0,IF(AND($M64&gt;=EL$15,$M64&lt;(EL$16+1)),EL$22/(EL$16-EL$15+1),0))</f>
        <v>#N/A</v>
      </c>
      <c r="EM64" s="153" t="e">
        <f t="shared" ca="1" si="58"/>
        <v>#N/A</v>
      </c>
      <c r="EO64" s="60"/>
      <c r="EP64" s="60"/>
    </row>
    <row r="65" spans="1:153">
      <c r="A65" s="220"/>
      <c r="B65" s="236">
        <f t="shared" si="23"/>
        <v>38</v>
      </c>
      <c r="C65" s="221">
        <f t="shared" si="59"/>
        <v>44716.417900000059</v>
      </c>
      <c r="D65" s="222" t="e">
        <f ca="1">'Offshore INT'!R54</f>
        <v>#N/A</v>
      </c>
      <c r="E65" s="223" t="e">
        <f t="shared" ca="1" si="50"/>
        <v>#N/A</v>
      </c>
      <c r="F65" s="224"/>
      <c r="G65" s="225">
        <f>IF(G64=1,1,SUM($F$24:F65))</f>
        <v>0</v>
      </c>
      <c r="H65" s="226" t="e">
        <f ca="1">IF(H64=0,0,SUM($I$24:I65))</f>
        <v>#N/A</v>
      </c>
      <c r="I65" s="227" t="e">
        <f t="shared" ca="1" si="51"/>
        <v>#N/A</v>
      </c>
      <c r="J65" s="222">
        <f t="shared" ca="1" si="20"/>
        <v>0</v>
      </c>
      <c r="K65" s="60"/>
      <c r="L65" s="228"/>
      <c r="M65" s="228">
        <f t="shared" si="52"/>
        <v>38</v>
      </c>
      <c r="N65" s="221">
        <f t="shared" si="53"/>
        <v>44716.417900000059</v>
      </c>
      <c r="O65" s="229">
        <f t="shared" si="44"/>
        <v>0</v>
      </c>
      <c r="P65" s="229">
        <f t="shared" si="44"/>
        <v>0</v>
      </c>
      <c r="Q65" s="229">
        <f t="shared" si="44"/>
        <v>0</v>
      </c>
      <c r="R65" s="229">
        <f t="shared" si="44"/>
        <v>0</v>
      </c>
      <c r="S65" s="229">
        <f t="shared" si="44"/>
        <v>0</v>
      </c>
      <c r="T65" s="229">
        <f t="shared" si="44"/>
        <v>0</v>
      </c>
      <c r="U65" s="229">
        <f t="shared" si="44"/>
        <v>0</v>
      </c>
      <c r="V65" s="229">
        <f t="shared" si="44"/>
        <v>0</v>
      </c>
      <c r="W65" s="229">
        <f t="shared" si="44"/>
        <v>0</v>
      </c>
      <c r="X65" s="229">
        <f t="shared" si="44"/>
        <v>0</v>
      </c>
      <c r="Y65" s="229">
        <f t="shared" si="44"/>
        <v>0</v>
      </c>
      <c r="Z65" s="229">
        <f t="shared" si="44"/>
        <v>0</v>
      </c>
      <c r="AA65" s="229">
        <f t="shared" si="64"/>
        <v>0</v>
      </c>
      <c r="AB65" s="229">
        <f t="shared" si="64"/>
        <v>0</v>
      </c>
      <c r="AC65" s="229">
        <f t="shared" si="64"/>
        <v>0</v>
      </c>
      <c r="AD65" s="229">
        <f t="shared" si="64"/>
        <v>0</v>
      </c>
      <c r="AE65" s="229">
        <f t="shared" si="64"/>
        <v>0</v>
      </c>
      <c r="AF65" s="229">
        <f t="shared" si="64"/>
        <v>0</v>
      </c>
      <c r="AG65" s="229">
        <f t="shared" si="64"/>
        <v>0</v>
      </c>
      <c r="AH65" s="229">
        <f t="shared" si="64"/>
        <v>0</v>
      </c>
      <c r="AI65" s="229">
        <f t="shared" si="64"/>
        <v>0</v>
      </c>
      <c r="AJ65" s="229">
        <f t="shared" si="64"/>
        <v>0</v>
      </c>
      <c r="AK65" s="229">
        <f t="shared" si="64"/>
        <v>0</v>
      </c>
      <c r="AL65" s="229">
        <f t="shared" si="64"/>
        <v>0</v>
      </c>
      <c r="AM65" s="229">
        <f t="shared" si="64"/>
        <v>0</v>
      </c>
      <c r="AN65" s="229">
        <f t="shared" si="64"/>
        <v>0</v>
      </c>
      <c r="AO65" s="229">
        <f t="shared" si="64"/>
        <v>0</v>
      </c>
      <c r="AP65" s="229">
        <f t="shared" si="64"/>
        <v>0</v>
      </c>
      <c r="AQ65" s="229">
        <f t="shared" si="64"/>
        <v>0</v>
      </c>
      <c r="AR65" s="229">
        <f t="shared" si="64"/>
        <v>0</v>
      </c>
      <c r="AS65" s="229">
        <f t="shared" si="60"/>
        <v>0</v>
      </c>
      <c r="AT65" s="229">
        <f t="shared" si="60"/>
        <v>0</v>
      </c>
      <c r="AU65" s="229">
        <f t="shared" si="60"/>
        <v>0</v>
      </c>
      <c r="AV65" s="229">
        <f t="shared" si="60"/>
        <v>0</v>
      </c>
      <c r="AW65" s="229">
        <f t="shared" si="60"/>
        <v>0</v>
      </c>
      <c r="AX65" s="229">
        <f t="shared" si="64"/>
        <v>0</v>
      </c>
      <c r="AY65" s="229">
        <f t="shared" si="64"/>
        <v>0</v>
      </c>
      <c r="AZ65" s="229">
        <f t="shared" si="64"/>
        <v>0</v>
      </c>
      <c r="BA65" s="229">
        <f t="shared" si="64"/>
        <v>0</v>
      </c>
      <c r="BB65" s="229">
        <f t="shared" si="64"/>
        <v>0</v>
      </c>
      <c r="BC65" s="229">
        <f t="shared" si="64"/>
        <v>0</v>
      </c>
      <c r="BD65" s="229">
        <f t="shared" si="65"/>
        <v>0</v>
      </c>
      <c r="BE65" s="229">
        <f t="shared" si="65"/>
        <v>0</v>
      </c>
      <c r="BF65" s="229">
        <f t="shared" si="65"/>
        <v>0</v>
      </c>
      <c r="BG65" s="229">
        <f t="shared" si="65"/>
        <v>0</v>
      </c>
      <c r="BH65" s="229">
        <f t="shared" si="65"/>
        <v>0</v>
      </c>
      <c r="BI65" s="229">
        <f t="shared" si="65"/>
        <v>0</v>
      </c>
      <c r="BJ65" s="229">
        <f t="shared" si="65"/>
        <v>0</v>
      </c>
      <c r="BK65" s="229">
        <f t="shared" si="65"/>
        <v>0</v>
      </c>
      <c r="BL65" s="229">
        <f t="shared" si="65"/>
        <v>0</v>
      </c>
      <c r="BM65" s="229">
        <f t="shared" si="65"/>
        <v>0</v>
      </c>
      <c r="BN65" s="229">
        <f t="shared" si="65"/>
        <v>0</v>
      </c>
      <c r="BO65" s="229">
        <f t="shared" si="65"/>
        <v>0</v>
      </c>
      <c r="BP65" s="229">
        <f t="shared" si="65"/>
        <v>0</v>
      </c>
      <c r="BQ65" s="229">
        <f t="shared" si="66"/>
        <v>0</v>
      </c>
      <c r="BR65" s="229">
        <f t="shared" si="66"/>
        <v>0</v>
      </c>
      <c r="BS65" s="229">
        <f t="shared" si="66"/>
        <v>0</v>
      </c>
      <c r="BT65" s="229">
        <f t="shared" si="66"/>
        <v>0</v>
      </c>
      <c r="BU65" s="229">
        <f t="shared" si="66"/>
        <v>0</v>
      </c>
      <c r="BV65" s="229">
        <f t="shared" si="66"/>
        <v>0</v>
      </c>
      <c r="BW65" s="229">
        <f t="shared" si="66"/>
        <v>0</v>
      </c>
      <c r="BX65" s="229">
        <f t="shared" si="66"/>
        <v>0</v>
      </c>
      <c r="BY65" s="229">
        <f t="shared" si="66"/>
        <v>0</v>
      </c>
      <c r="BZ65" s="229">
        <f t="shared" si="66"/>
        <v>0</v>
      </c>
      <c r="CA65" s="229">
        <f t="shared" si="66"/>
        <v>0</v>
      </c>
      <c r="CB65" s="229">
        <f t="shared" si="66"/>
        <v>0</v>
      </c>
      <c r="CC65" s="229">
        <f t="shared" si="66"/>
        <v>0</v>
      </c>
      <c r="CD65" s="229">
        <f t="shared" si="67"/>
        <v>0</v>
      </c>
      <c r="CE65" s="229">
        <f t="shared" si="62"/>
        <v>0</v>
      </c>
      <c r="CF65" s="229">
        <f t="shared" si="67"/>
        <v>0</v>
      </c>
      <c r="CG65" s="229">
        <f t="shared" si="67"/>
        <v>0</v>
      </c>
      <c r="CH65" s="229">
        <f t="shared" si="67"/>
        <v>0</v>
      </c>
      <c r="CI65" s="229">
        <f t="shared" si="67"/>
        <v>0</v>
      </c>
      <c r="CJ65" s="229">
        <f t="shared" si="48"/>
        <v>0</v>
      </c>
      <c r="CK65" s="229">
        <f t="shared" si="67"/>
        <v>0</v>
      </c>
      <c r="CL65" s="229">
        <f t="shared" si="67"/>
        <v>0</v>
      </c>
      <c r="CM65" s="229">
        <f t="shared" si="67"/>
        <v>0</v>
      </c>
      <c r="CN65" s="229">
        <f t="shared" si="67"/>
        <v>0</v>
      </c>
      <c r="CO65" s="229">
        <f t="shared" si="63"/>
        <v>0</v>
      </c>
      <c r="CP65" s="229">
        <f t="shared" si="63"/>
        <v>0</v>
      </c>
      <c r="CQ65" s="229">
        <f t="shared" si="67"/>
        <v>0</v>
      </c>
      <c r="CR65" s="229">
        <f t="shared" si="67"/>
        <v>0</v>
      </c>
      <c r="CS65" s="229">
        <f t="shared" si="67"/>
        <v>0</v>
      </c>
      <c r="CT65" s="229">
        <f t="shared" si="67"/>
        <v>0</v>
      </c>
      <c r="CU65" s="230"/>
      <c r="CV65" s="231"/>
      <c r="CW65" s="231"/>
      <c r="CX65" s="231"/>
      <c r="CY65" s="231"/>
      <c r="CZ65" s="231" t="e">
        <f t="shared" ref="CZ65:CZ87" ca="1" si="68">$CZ$22/24</f>
        <v>#N/A</v>
      </c>
      <c r="DA65" s="231"/>
      <c r="DC65" s="231"/>
      <c r="DD65" s="231">
        <f>IF(SUM(DD$24:DD64)=DD$22,0,IF(AND($M65&gt;=DD$15,$M65&lt;(DD$16+1)),DD$22/(DD$16-DD$15+1),0))</f>
        <v>0</v>
      </c>
      <c r="DE65" s="231">
        <f>IF(SUM(DE$24:DE64)=DE$22,0,IF(AND($M65&gt;=DE$15,$M65&lt;(DE$16+1)),DE$22/(DE$16-DE$15+1),0))</f>
        <v>0</v>
      </c>
      <c r="DF65" s="231">
        <f>IF(SUM(DF$24:DF64)=DF$22,0,IF(AND($M65&gt;=DF$15,$M65&lt;(DF$16+1)),DF$22/(DF$16-DF$15+1),0))</f>
        <v>0</v>
      </c>
      <c r="DG65" s="231">
        <f>IF(SUM(DG$24:DG64)=DG$22,0,IF(AND($M65&gt;=DG$15,$M65&lt;(DG$16+1)),DG$22/(DG$16-DG$15+1),0))</f>
        <v>0</v>
      </c>
      <c r="DH65" s="231">
        <f t="shared" si="43"/>
        <v>0</v>
      </c>
      <c r="DI65" s="231">
        <f t="shared" si="43"/>
        <v>0</v>
      </c>
      <c r="DJ65" s="231">
        <f t="shared" si="43"/>
        <v>0</v>
      </c>
      <c r="DK65" s="231">
        <f t="shared" si="43"/>
        <v>0</v>
      </c>
      <c r="DL65" s="231">
        <f t="shared" si="43"/>
        <v>0</v>
      </c>
      <c r="DM65" s="231">
        <f t="shared" si="43"/>
        <v>0</v>
      </c>
      <c r="DN65" s="231">
        <f>IF(AND($M65&gt;=DN$15,$M65&lt;(DN$16+1)),DN$22/(DN$16-DN$15+1),0)</f>
        <v>0</v>
      </c>
      <c r="DO65" s="231">
        <f t="shared" si="43"/>
        <v>0</v>
      </c>
      <c r="DP65" s="231">
        <f t="shared" si="43"/>
        <v>0</v>
      </c>
      <c r="DQ65" s="231">
        <f t="shared" si="43"/>
        <v>0</v>
      </c>
      <c r="DR65" s="231">
        <f t="shared" si="43"/>
        <v>0</v>
      </c>
      <c r="DS65" s="231">
        <f t="shared" si="25"/>
        <v>0.29866666666666669</v>
      </c>
      <c r="DT65" s="231">
        <f ca="1">IF(SUM(DT$24:DT64)=DT$22,0,IF(AND($M65&gt;=DT$15,$M65&lt;(DT$16+1)),DT$22/(DT$16-DT$15+1),0))</f>
        <v>0</v>
      </c>
      <c r="DU65" s="231">
        <f ca="1">IF(SUM(DU$24:DU64)=DU$22,0,IF(AND($M65&gt;=DU$15,$M65&lt;(DU$16+1)),DU$22/(DU$16-DU$15+1),0))</f>
        <v>0</v>
      </c>
      <c r="DV65" s="231">
        <f ca="1">IF(SUM(DV$24:DV64)=DV$22,0,IF(AND(M65&gt;=DV$15,M65&lt;(DV$16+1)),DV$22/(DV$16-DV$15+1),0))</f>
        <v>0</v>
      </c>
      <c r="DW65" s="231" t="e">
        <f ca="1">IF(SUM(DW$24:DW64)=DW$22,0,IF(AND($M65&gt;=DW$15,$M65&lt;(DW$16+1)),DW$22/(DW$16-DW$15+1),0))</f>
        <v>#N/A</v>
      </c>
      <c r="DX65" s="231">
        <f ca="1">IF(SUM(DX$24:DX64)=DX$22,0,IF(AND($M65&gt;=DX$15,$M65&lt;(DX$16+1)),DX$22/(DX$16-DX$15+1),0))</f>
        <v>0</v>
      </c>
      <c r="DY65" s="231">
        <f ca="1">IF(SUM(DY$24:DY64)=DY$22,0,IF(AND($M65&gt;=DY$15,$M65&lt;(DY$16+1)),DY$22/(DY$16-DY$15+1),0))</f>
        <v>0</v>
      </c>
      <c r="DZ65" s="231">
        <f ca="1">IF(SUM(DZ$24:DZ64)=DZ$22,0,IF(AND($M65&gt;=DZ$15,$M65&lt;(DZ$16+1)),DZ$22/(DZ$16-DZ$15+1),0))</f>
        <v>0</v>
      </c>
      <c r="EA65" s="231" t="e">
        <f ca="1">IF(SUM(EA$24:EA64)=EA$22,0,IF(AND(M65&gt;=EA$15,M65&lt;(EA$16+1)),EA$22/(EA$16-EA$15+1),0))</f>
        <v>#N/A</v>
      </c>
      <c r="EC65" s="234">
        <f t="shared" si="54"/>
        <v>38</v>
      </c>
      <c r="ED65" s="234" t="e">
        <f t="shared" ca="1" si="55"/>
        <v>#N/A</v>
      </c>
      <c r="EE65" s="235" t="e">
        <f t="shared" ca="1" si="56"/>
        <v>#N/A</v>
      </c>
      <c r="EF65" s="234" t="e">
        <f t="shared" ca="1" si="28"/>
        <v>#N/A</v>
      </c>
      <c r="EG65" s="234" t="e">
        <f t="shared" ca="1" si="29"/>
        <v>#N/A</v>
      </c>
      <c r="EH65" s="234" t="e">
        <f t="shared" ca="1" si="34"/>
        <v>#N/A</v>
      </c>
      <c r="EI65" s="234"/>
      <c r="EJ65" s="234"/>
      <c r="EK65" s="153" t="e">
        <f t="shared" ca="1" si="57"/>
        <v>#N/A</v>
      </c>
      <c r="EL65" s="231" t="e">
        <f ca="1">IF(SUM(EL$24:EL64)=EL$22,0,IF(AND($M65&gt;=EL$15,$M65&lt;(EL$16+1)),EL$22/(EL$16-EL$15+1),0))</f>
        <v>#N/A</v>
      </c>
      <c r="EM65" s="153" t="e">
        <f t="shared" ca="1" si="58"/>
        <v>#N/A</v>
      </c>
      <c r="EO65" s="60"/>
      <c r="EP65" s="60"/>
    </row>
    <row r="66" spans="1:153">
      <c r="A66" s="220"/>
      <c r="B66" s="236">
        <f t="shared" si="23"/>
        <v>39</v>
      </c>
      <c r="C66" s="221">
        <f t="shared" si="59"/>
        <v>44746.83460000006</v>
      </c>
      <c r="D66" s="222" t="e">
        <f ca="1">'Offshore INT'!R55</f>
        <v>#N/A</v>
      </c>
      <c r="E66" s="223" t="e">
        <f t="shared" ca="1" si="50"/>
        <v>#N/A</v>
      </c>
      <c r="F66" s="224"/>
      <c r="G66" s="225">
        <f>IF(G65=1,1,SUM($F$24:F66))</f>
        <v>0</v>
      </c>
      <c r="H66" s="226" t="e">
        <f ca="1">IF(H65=0,0,SUM($I$24:I66))</f>
        <v>#N/A</v>
      </c>
      <c r="I66" s="227" t="e">
        <f t="shared" ca="1" si="51"/>
        <v>#N/A</v>
      </c>
      <c r="J66" s="222">
        <f t="shared" ca="1" si="20"/>
        <v>0</v>
      </c>
      <c r="K66" s="60"/>
      <c r="L66" s="228"/>
      <c r="M66" s="228">
        <f t="shared" si="52"/>
        <v>39</v>
      </c>
      <c r="N66" s="221">
        <f t="shared" si="53"/>
        <v>44746.83460000006</v>
      </c>
      <c r="O66" s="229">
        <f t="shared" si="44"/>
        <v>0</v>
      </c>
      <c r="P66" s="229">
        <f t="shared" si="44"/>
        <v>0</v>
      </c>
      <c r="Q66" s="229">
        <f t="shared" si="44"/>
        <v>0</v>
      </c>
      <c r="R66" s="229">
        <f t="shared" si="44"/>
        <v>0</v>
      </c>
      <c r="S66" s="229">
        <f t="shared" si="44"/>
        <v>0</v>
      </c>
      <c r="T66" s="229">
        <f t="shared" si="44"/>
        <v>0</v>
      </c>
      <c r="U66" s="229">
        <f t="shared" si="44"/>
        <v>0</v>
      </c>
      <c r="V66" s="229">
        <f t="shared" si="44"/>
        <v>0</v>
      </c>
      <c r="W66" s="229">
        <f t="shared" si="44"/>
        <v>0</v>
      </c>
      <c r="X66" s="229">
        <f t="shared" si="44"/>
        <v>0</v>
      </c>
      <c r="Y66" s="229">
        <f t="shared" si="44"/>
        <v>0</v>
      </c>
      <c r="Z66" s="229">
        <f t="shared" si="44"/>
        <v>0</v>
      </c>
      <c r="AA66" s="229">
        <f t="shared" si="64"/>
        <v>0</v>
      </c>
      <c r="AB66" s="229">
        <f t="shared" si="64"/>
        <v>0</v>
      </c>
      <c r="AC66" s="229">
        <f t="shared" si="64"/>
        <v>0</v>
      </c>
      <c r="AD66" s="229">
        <f t="shared" si="64"/>
        <v>0</v>
      </c>
      <c r="AE66" s="229">
        <f t="shared" si="64"/>
        <v>0</v>
      </c>
      <c r="AF66" s="229">
        <f t="shared" si="64"/>
        <v>0</v>
      </c>
      <c r="AG66" s="229">
        <f t="shared" si="64"/>
        <v>0</v>
      </c>
      <c r="AH66" s="229">
        <f t="shared" si="64"/>
        <v>0</v>
      </c>
      <c r="AI66" s="229">
        <f t="shared" si="64"/>
        <v>0</v>
      </c>
      <c r="AJ66" s="229">
        <f t="shared" si="64"/>
        <v>0</v>
      </c>
      <c r="AK66" s="229">
        <f t="shared" si="64"/>
        <v>0</v>
      </c>
      <c r="AL66" s="229">
        <f t="shared" si="64"/>
        <v>0</v>
      </c>
      <c r="AM66" s="229">
        <f t="shared" si="64"/>
        <v>0</v>
      </c>
      <c r="AN66" s="229">
        <f t="shared" si="64"/>
        <v>0</v>
      </c>
      <c r="AO66" s="229">
        <f t="shared" si="64"/>
        <v>0</v>
      </c>
      <c r="AP66" s="229">
        <f t="shared" si="64"/>
        <v>0</v>
      </c>
      <c r="AQ66" s="229">
        <f t="shared" si="64"/>
        <v>0</v>
      </c>
      <c r="AR66" s="229">
        <f t="shared" si="64"/>
        <v>0</v>
      </c>
      <c r="AS66" s="229">
        <f t="shared" si="60"/>
        <v>0</v>
      </c>
      <c r="AT66" s="229">
        <f t="shared" si="60"/>
        <v>0</v>
      </c>
      <c r="AU66" s="229">
        <f t="shared" si="60"/>
        <v>0</v>
      </c>
      <c r="AV66" s="229">
        <f t="shared" si="60"/>
        <v>0</v>
      </c>
      <c r="AW66" s="229">
        <f t="shared" si="60"/>
        <v>0</v>
      </c>
      <c r="AX66" s="229">
        <f t="shared" si="64"/>
        <v>0</v>
      </c>
      <c r="AY66" s="229">
        <f t="shared" si="64"/>
        <v>0</v>
      </c>
      <c r="AZ66" s="229">
        <f t="shared" si="64"/>
        <v>0</v>
      </c>
      <c r="BA66" s="229">
        <f t="shared" si="64"/>
        <v>0</v>
      </c>
      <c r="BB66" s="229">
        <f t="shared" si="64"/>
        <v>0</v>
      </c>
      <c r="BC66" s="229">
        <f t="shared" si="64"/>
        <v>0</v>
      </c>
      <c r="BD66" s="229">
        <f t="shared" si="65"/>
        <v>0</v>
      </c>
      <c r="BE66" s="229">
        <f t="shared" si="65"/>
        <v>0</v>
      </c>
      <c r="BF66" s="229">
        <f t="shared" si="65"/>
        <v>0</v>
      </c>
      <c r="BG66" s="229">
        <f t="shared" si="65"/>
        <v>0</v>
      </c>
      <c r="BH66" s="229">
        <f t="shared" si="65"/>
        <v>0</v>
      </c>
      <c r="BI66" s="229">
        <f t="shared" si="65"/>
        <v>0</v>
      </c>
      <c r="BJ66" s="229">
        <f t="shared" si="65"/>
        <v>0</v>
      </c>
      <c r="BK66" s="229">
        <f t="shared" si="65"/>
        <v>0</v>
      </c>
      <c r="BL66" s="229">
        <f t="shared" si="65"/>
        <v>0</v>
      </c>
      <c r="BM66" s="229">
        <f t="shared" si="65"/>
        <v>0</v>
      </c>
      <c r="BN66" s="229">
        <f t="shared" si="65"/>
        <v>0</v>
      </c>
      <c r="BO66" s="229">
        <f t="shared" si="65"/>
        <v>0</v>
      </c>
      <c r="BP66" s="229">
        <f t="shared" si="65"/>
        <v>0</v>
      </c>
      <c r="BQ66" s="229">
        <f t="shared" si="66"/>
        <v>0</v>
      </c>
      <c r="BR66" s="229">
        <f t="shared" si="66"/>
        <v>0</v>
      </c>
      <c r="BS66" s="229">
        <f t="shared" si="66"/>
        <v>0</v>
      </c>
      <c r="BT66" s="229">
        <f t="shared" si="66"/>
        <v>0</v>
      </c>
      <c r="BU66" s="229">
        <f t="shared" si="66"/>
        <v>0</v>
      </c>
      <c r="BV66" s="229">
        <f t="shared" si="66"/>
        <v>0</v>
      </c>
      <c r="BW66" s="229">
        <f t="shared" si="66"/>
        <v>0</v>
      </c>
      <c r="BX66" s="229">
        <f t="shared" si="66"/>
        <v>0</v>
      </c>
      <c r="BY66" s="229">
        <f t="shared" si="66"/>
        <v>0</v>
      </c>
      <c r="BZ66" s="229">
        <f t="shared" si="66"/>
        <v>0</v>
      </c>
      <c r="CA66" s="229">
        <f t="shared" si="66"/>
        <v>0</v>
      </c>
      <c r="CB66" s="229">
        <f t="shared" si="66"/>
        <v>0</v>
      </c>
      <c r="CC66" s="229">
        <f t="shared" si="66"/>
        <v>0</v>
      </c>
      <c r="CD66" s="229">
        <f t="shared" si="67"/>
        <v>0</v>
      </c>
      <c r="CE66" s="229">
        <f t="shared" si="62"/>
        <v>0</v>
      </c>
      <c r="CF66" s="229">
        <f t="shared" si="67"/>
        <v>0</v>
      </c>
      <c r="CG66" s="229">
        <f t="shared" si="67"/>
        <v>0</v>
      </c>
      <c r="CH66" s="229">
        <f t="shared" si="67"/>
        <v>0</v>
      </c>
      <c r="CI66" s="229">
        <f t="shared" si="67"/>
        <v>0</v>
      </c>
      <c r="CJ66" s="229">
        <f t="shared" si="48"/>
        <v>0</v>
      </c>
      <c r="CK66" s="229">
        <f t="shared" si="67"/>
        <v>0</v>
      </c>
      <c r="CL66" s="229">
        <f t="shared" si="67"/>
        <v>0</v>
      </c>
      <c r="CM66" s="229">
        <f t="shared" si="67"/>
        <v>0</v>
      </c>
      <c r="CN66" s="229">
        <f t="shared" si="67"/>
        <v>0</v>
      </c>
      <c r="CO66" s="229">
        <f t="shared" si="63"/>
        <v>0</v>
      </c>
      <c r="CP66" s="229">
        <f t="shared" si="63"/>
        <v>0</v>
      </c>
      <c r="CQ66" s="229">
        <f t="shared" si="67"/>
        <v>0</v>
      </c>
      <c r="CR66" s="229">
        <f t="shared" si="67"/>
        <v>0</v>
      </c>
      <c r="CS66" s="229">
        <f t="shared" si="67"/>
        <v>0</v>
      </c>
      <c r="CT66" s="229">
        <f t="shared" si="67"/>
        <v>0</v>
      </c>
      <c r="CU66" s="230"/>
      <c r="CV66" s="231"/>
      <c r="CW66" s="231"/>
      <c r="CX66" s="231"/>
      <c r="CY66" s="231"/>
      <c r="CZ66" s="231" t="e">
        <f t="shared" ca="1" si="68"/>
        <v>#N/A</v>
      </c>
      <c r="DA66" s="231"/>
      <c r="DC66" s="231"/>
      <c r="DD66" s="231">
        <f>IF(SUM(DD$24:DD65)=DD$22,0,IF(AND($M66&gt;=DD$15,$M66&lt;(DD$16+1)),DD$22/(DD$16-DD$15+1),0))</f>
        <v>0</v>
      </c>
      <c r="DE66" s="231">
        <f>IF(SUM(DE$24:DE65)=DE$22,0,IF(AND($M66&gt;=DE$15,$M66&lt;(DE$16+1)),DE$22/(DE$16-DE$15+1),0))</f>
        <v>0</v>
      </c>
      <c r="DF66" s="231">
        <f>IF(SUM(DF$24:DF65)=DF$22,0,IF(AND($M66&gt;=DF$15,$M66&lt;(DF$16+1)),DF$22/(DF$16-DF$15+1),0))</f>
        <v>0</v>
      </c>
      <c r="DG66" s="231">
        <f>IF(SUM(DG$24:DG65)=DG$22,0,IF(AND($M66&gt;=DG$15,$M66&lt;(DG$16+1)),DG$22/(DG$16-DG$15+1),0))</f>
        <v>0</v>
      </c>
      <c r="DH66" s="231">
        <f t="shared" si="43"/>
        <v>0</v>
      </c>
      <c r="DI66" s="231">
        <f t="shared" si="43"/>
        <v>0</v>
      </c>
      <c r="DJ66" s="231">
        <f t="shared" si="43"/>
        <v>0</v>
      </c>
      <c r="DK66" s="231">
        <f t="shared" si="43"/>
        <v>0</v>
      </c>
      <c r="DL66" s="231">
        <f t="shared" si="43"/>
        <v>0</v>
      </c>
      <c r="DM66" s="231">
        <f t="shared" si="43"/>
        <v>0</v>
      </c>
      <c r="DN66" s="231">
        <f>IF(AND($M66&gt;=DN$15,$M66&lt;(DN$16+1)),DN$22/(DN$16-DN$15+1),0)</f>
        <v>0</v>
      </c>
      <c r="DO66" s="231">
        <f t="shared" si="43"/>
        <v>0</v>
      </c>
      <c r="DP66" s="231">
        <f t="shared" si="43"/>
        <v>0</v>
      </c>
      <c r="DQ66" s="231">
        <f t="shared" si="43"/>
        <v>0</v>
      </c>
      <c r="DR66" s="231">
        <f t="shared" si="43"/>
        <v>0</v>
      </c>
      <c r="DS66" s="231">
        <f t="shared" si="25"/>
        <v>0.29866666666666669</v>
      </c>
      <c r="DT66" s="231">
        <f ca="1">IF(SUM(DT$24:DT65)=DT$22,0,IF(AND($M66&gt;=DT$15,$M66&lt;(DT$16+1)),DT$22/(DT$16-DT$15+1),0))</f>
        <v>0</v>
      </c>
      <c r="DU66" s="231">
        <f ca="1">IF(SUM(DU$24:DU65)=DU$22,0,IF(AND($M66&gt;=DU$15,$M66&lt;(DU$16+1)),DU$22/(DU$16-DU$15+1),0))</f>
        <v>0</v>
      </c>
      <c r="DV66" s="231">
        <f ca="1">IF(SUM(DV$24:DV65)=DV$22,0,IF(AND(M66&gt;=DV$15,M66&lt;(DV$16+1)),DV$22/(DV$16-DV$15+1),0))</f>
        <v>0</v>
      </c>
      <c r="DW66" s="231" t="e">
        <f ca="1">IF(SUM(DW$24:DW65)=DW$22,0,IF(AND($M66&gt;=DW$15,$M66&lt;(DW$16+1)),DW$22/(DW$16-DW$15+1),0))</f>
        <v>#N/A</v>
      </c>
      <c r="DX66" s="231">
        <f ca="1">IF(SUM(DX$24:DX65)=DX$22,0,IF(AND($M66&gt;=DX$15,$M66&lt;(DX$16+1)),DX$22/(DX$16-DX$15+1),0))</f>
        <v>0</v>
      </c>
      <c r="DY66" s="231">
        <f ca="1">IF(SUM(DY$24:DY65)=DY$22,0,IF(AND($M66&gt;=DY$15,$M66&lt;(DY$16+1)),DY$22/(DY$16-DY$15+1),0))</f>
        <v>0</v>
      </c>
      <c r="DZ66" s="231">
        <f ca="1">IF(SUM(DZ$24:DZ65)=DZ$22,0,IF(AND($M66&gt;=DZ$15,$M66&lt;(DZ$16+1)),DZ$22/(DZ$16-DZ$15+1),0))</f>
        <v>0</v>
      </c>
      <c r="EA66" s="231" t="e">
        <f ca="1">IF(SUM(EA$24:EA65)=EA$22,0,IF(AND(M66&gt;=EA$15,M66&lt;(EA$16+1)),EA$22/(EA$16-EA$15+1),0))</f>
        <v>#N/A</v>
      </c>
      <c r="EC66" s="234">
        <f t="shared" si="54"/>
        <v>39</v>
      </c>
      <c r="ED66" s="234" t="e">
        <f t="shared" ca="1" si="55"/>
        <v>#N/A</v>
      </c>
      <c r="EE66" s="235" t="e">
        <f t="shared" ca="1" si="56"/>
        <v>#N/A</v>
      </c>
      <c r="EF66" s="234" t="e">
        <f t="shared" ca="1" si="28"/>
        <v>#N/A</v>
      </c>
      <c r="EG66" s="234" t="e">
        <f t="shared" ca="1" si="29"/>
        <v>#N/A</v>
      </c>
      <c r="EH66" s="234" t="e">
        <f t="shared" ca="1" si="34"/>
        <v>#N/A</v>
      </c>
      <c r="EI66" s="234"/>
      <c r="EJ66" s="234"/>
      <c r="EK66" s="153" t="e">
        <f t="shared" ca="1" si="57"/>
        <v>#N/A</v>
      </c>
      <c r="EL66" s="231" t="e">
        <f ca="1">IF(SUM(EL$24:EL65)=EL$22,0,IF(AND($M66&gt;=EL$15,$M66&lt;(EL$16+1)),EL$22/(EL$16-EL$15+1),0))</f>
        <v>#N/A</v>
      </c>
      <c r="EM66" s="153" t="e">
        <f t="shared" ca="1" si="58"/>
        <v>#N/A</v>
      </c>
      <c r="EO66" s="60"/>
      <c r="EP66" s="60"/>
    </row>
    <row r="67" spans="1:153">
      <c r="A67" s="220"/>
      <c r="B67" s="236">
        <f t="shared" si="23"/>
        <v>40</v>
      </c>
      <c r="C67" s="221">
        <f t="shared" si="59"/>
        <v>44777.251300000062</v>
      </c>
      <c r="D67" s="222" t="e">
        <f ca="1">'Offshore INT'!R56</f>
        <v>#N/A</v>
      </c>
      <c r="E67" s="223" t="e">
        <f t="shared" ca="1" si="50"/>
        <v>#N/A</v>
      </c>
      <c r="F67" s="224"/>
      <c r="G67" s="225">
        <f>IF(G66=1,1,SUM($F$24:F67))</f>
        <v>0</v>
      </c>
      <c r="H67" s="226" t="e">
        <f ca="1">IF(H66=0,0,SUM($I$24:I67))</f>
        <v>#N/A</v>
      </c>
      <c r="I67" s="227" t="e">
        <f t="shared" ca="1" si="51"/>
        <v>#N/A</v>
      </c>
      <c r="J67" s="222">
        <f t="shared" ca="1" si="20"/>
        <v>0</v>
      </c>
      <c r="K67" s="60"/>
      <c r="L67" s="228"/>
      <c r="M67" s="228">
        <f t="shared" si="52"/>
        <v>40</v>
      </c>
      <c r="N67" s="221">
        <f t="shared" si="53"/>
        <v>44777.251300000062</v>
      </c>
      <c r="O67" s="229">
        <f t="shared" si="44"/>
        <v>0</v>
      </c>
      <c r="P67" s="229">
        <f t="shared" si="44"/>
        <v>0</v>
      </c>
      <c r="Q67" s="229">
        <f t="shared" si="44"/>
        <v>0</v>
      </c>
      <c r="R67" s="229">
        <f t="shared" si="44"/>
        <v>0</v>
      </c>
      <c r="S67" s="229">
        <f t="shared" si="44"/>
        <v>0</v>
      </c>
      <c r="T67" s="229">
        <f t="shared" si="44"/>
        <v>0</v>
      </c>
      <c r="U67" s="229">
        <f t="shared" si="44"/>
        <v>0</v>
      </c>
      <c r="V67" s="229">
        <f t="shared" si="44"/>
        <v>0</v>
      </c>
      <c r="W67" s="229">
        <f t="shared" si="44"/>
        <v>0</v>
      </c>
      <c r="X67" s="229">
        <f t="shared" si="44"/>
        <v>0</v>
      </c>
      <c r="Y67" s="229">
        <f t="shared" si="44"/>
        <v>0</v>
      </c>
      <c r="Z67" s="229">
        <f t="shared" si="44"/>
        <v>0</v>
      </c>
      <c r="AA67" s="229">
        <f t="shared" si="64"/>
        <v>0</v>
      </c>
      <c r="AB67" s="229">
        <f t="shared" si="64"/>
        <v>0</v>
      </c>
      <c r="AC67" s="229">
        <f t="shared" si="64"/>
        <v>0</v>
      </c>
      <c r="AD67" s="229">
        <f t="shared" si="64"/>
        <v>0</v>
      </c>
      <c r="AE67" s="229">
        <f t="shared" si="64"/>
        <v>0</v>
      </c>
      <c r="AF67" s="229">
        <f t="shared" si="64"/>
        <v>0</v>
      </c>
      <c r="AG67" s="229">
        <f t="shared" si="64"/>
        <v>0</v>
      </c>
      <c r="AH67" s="229">
        <f t="shared" si="64"/>
        <v>0</v>
      </c>
      <c r="AI67" s="229">
        <f t="shared" si="64"/>
        <v>0</v>
      </c>
      <c r="AJ67" s="229">
        <f t="shared" si="64"/>
        <v>0</v>
      </c>
      <c r="AK67" s="229">
        <f t="shared" si="64"/>
        <v>0</v>
      </c>
      <c r="AL67" s="229">
        <f t="shared" si="64"/>
        <v>0</v>
      </c>
      <c r="AM67" s="229">
        <f t="shared" si="64"/>
        <v>0</v>
      </c>
      <c r="AN67" s="229">
        <f t="shared" si="64"/>
        <v>0</v>
      </c>
      <c r="AO67" s="229">
        <f t="shared" si="64"/>
        <v>0</v>
      </c>
      <c r="AP67" s="229">
        <f t="shared" si="64"/>
        <v>0</v>
      </c>
      <c r="AQ67" s="229">
        <f t="shared" si="64"/>
        <v>0</v>
      </c>
      <c r="AR67" s="229">
        <f t="shared" si="64"/>
        <v>0</v>
      </c>
      <c r="AS67" s="229">
        <f t="shared" si="60"/>
        <v>0</v>
      </c>
      <c r="AT67" s="229">
        <f t="shared" si="60"/>
        <v>0</v>
      </c>
      <c r="AU67" s="229">
        <f t="shared" si="60"/>
        <v>0</v>
      </c>
      <c r="AV67" s="229">
        <f t="shared" si="60"/>
        <v>0</v>
      </c>
      <c r="AW67" s="229">
        <f t="shared" si="60"/>
        <v>0</v>
      </c>
      <c r="AX67" s="229">
        <f t="shared" si="64"/>
        <v>0</v>
      </c>
      <c r="AY67" s="229">
        <f t="shared" si="64"/>
        <v>0</v>
      </c>
      <c r="AZ67" s="229">
        <f t="shared" si="64"/>
        <v>0</v>
      </c>
      <c r="BA67" s="229">
        <f t="shared" si="64"/>
        <v>0</v>
      </c>
      <c r="BB67" s="229">
        <f t="shared" si="64"/>
        <v>0</v>
      </c>
      <c r="BC67" s="229">
        <f t="shared" si="64"/>
        <v>0</v>
      </c>
      <c r="BD67" s="229">
        <f t="shared" si="65"/>
        <v>0</v>
      </c>
      <c r="BE67" s="229">
        <f t="shared" si="65"/>
        <v>0</v>
      </c>
      <c r="BF67" s="229">
        <f t="shared" si="65"/>
        <v>0</v>
      </c>
      <c r="BG67" s="229">
        <f t="shared" si="65"/>
        <v>0</v>
      </c>
      <c r="BH67" s="229">
        <f t="shared" si="65"/>
        <v>0</v>
      </c>
      <c r="BI67" s="229">
        <f t="shared" si="65"/>
        <v>0</v>
      </c>
      <c r="BJ67" s="229">
        <f t="shared" si="65"/>
        <v>0</v>
      </c>
      <c r="BK67" s="229">
        <f t="shared" si="65"/>
        <v>0</v>
      </c>
      <c r="BL67" s="229">
        <f t="shared" si="65"/>
        <v>0</v>
      </c>
      <c r="BM67" s="229">
        <f t="shared" si="65"/>
        <v>0</v>
      </c>
      <c r="BN67" s="229">
        <f t="shared" si="65"/>
        <v>0</v>
      </c>
      <c r="BO67" s="229">
        <f t="shared" si="65"/>
        <v>0</v>
      </c>
      <c r="BP67" s="229">
        <f t="shared" si="65"/>
        <v>0</v>
      </c>
      <c r="BQ67" s="229">
        <f t="shared" si="66"/>
        <v>0</v>
      </c>
      <c r="BR67" s="229">
        <f t="shared" si="66"/>
        <v>0</v>
      </c>
      <c r="BS67" s="229">
        <f t="shared" si="66"/>
        <v>0</v>
      </c>
      <c r="BT67" s="229">
        <f t="shared" si="66"/>
        <v>0</v>
      </c>
      <c r="BU67" s="229">
        <f t="shared" si="66"/>
        <v>0</v>
      </c>
      <c r="BV67" s="229">
        <f t="shared" si="66"/>
        <v>0</v>
      </c>
      <c r="BW67" s="229">
        <f t="shared" si="66"/>
        <v>0</v>
      </c>
      <c r="BX67" s="229">
        <f t="shared" si="66"/>
        <v>0</v>
      </c>
      <c r="BY67" s="229">
        <f t="shared" si="66"/>
        <v>0</v>
      </c>
      <c r="BZ67" s="229">
        <f t="shared" si="66"/>
        <v>0</v>
      </c>
      <c r="CA67" s="229">
        <f t="shared" si="66"/>
        <v>0</v>
      </c>
      <c r="CB67" s="229">
        <f t="shared" si="66"/>
        <v>0</v>
      </c>
      <c r="CC67" s="229">
        <f t="shared" si="66"/>
        <v>0</v>
      </c>
      <c r="CD67" s="229">
        <f t="shared" si="67"/>
        <v>0</v>
      </c>
      <c r="CE67" s="229">
        <f t="shared" si="62"/>
        <v>0</v>
      </c>
      <c r="CF67" s="229">
        <f t="shared" si="67"/>
        <v>0</v>
      </c>
      <c r="CG67" s="229">
        <f t="shared" si="67"/>
        <v>0</v>
      </c>
      <c r="CH67" s="229">
        <f t="shared" si="67"/>
        <v>0</v>
      </c>
      <c r="CI67" s="229">
        <f t="shared" si="67"/>
        <v>0</v>
      </c>
      <c r="CJ67" s="229">
        <f t="shared" si="48"/>
        <v>0</v>
      </c>
      <c r="CK67" s="229">
        <f t="shared" si="67"/>
        <v>0</v>
      </c>
      <c r="CL67" s="229">
        <f t="shared" si="67"/>
        <v>0</v>
      </c>
      <c r="CM67" s="229">
        <f t="shared" si="67"/>
        <v>0</v>
      </c>
      <c r="CN67" s="229">
        <f t="shared" si="67"/>
        <v>0</v>
      </c>
      <c r="CO67" s="229">
        <f t="shared" si="63"/>
        <v>0</v>
      </c>
      <c r="CP67" s="229">
        <f t="shared" si="63"/>
        <v>0</v>
      </c>
      <c r="CQ67" s="229">
        <f t="shared" si="67"/>
        <v>0</v>
      </c>
      <c r="CR67" s="229">
        <f t="shared" si="67"/>
        <v>0</v>
      </c>
      <c r="CS67" s="229">
        <f t="shared" si="67"/>
        <v>0</v>
      </c>
      <c r="CT67" s="229">
        <f t="shared" si="67"/>
        <v>0</v>
      </c>
      <c r="CU67" s="230"/>
      <c r="CV67" s="231"/>
      <c r="CW67" s="231"/>
      <c r="CX67" s="231"/>
      <c r="CY67" s="231"/>
      <c r="CZ67" s="231" t="e">
        <f t="shared" ca="1" si="68"/>
        <v>#N/A</v>
      </c>
      <c r="DA67" s="231"/>
      <c r="DC67" s="231"/>
      <c r="DD67" s="231">
        <f>IF(SUM(DD$24:DD66)=DD$22,0,IF(AND($M67&gt;=DD$15,$M67&lt;(DD$16+1)),DD$22/(DD$16-DD$15+1),0))</f>
        <v>0</v>
      </c>
      <c r="DE67" s="231">
        <f>IF(SUM(DE$24:DE66)=DE$22,0,IF(AND($M67&gt;=DE$15,$M67&lt;(DE$16+1)),DE$22/(DE$16-DE$15+1),0))</f>
        <v>0</v>
      </c>
      <c r="DF67" s="231">
        <f>IF(SUM(DF$24:DF66)=DF$22,0,IF(AND($M67&gt;=DF$15,$M67&lt;(DF$16+1)),DF$22/(DF$16-DF$15+1),0))</f>
        <v>0</v>
      </c>
      <c r="DG67" s="231">
        <f>IF(SUM(DG$24:DG66)=DG$22,0,IF(AND($M67&gt;=DG$15,$M67&lt;(DG$16+1)),DG$22/(DG$16-DG$15+1),0))</f>
        <v>0</v>
      </c>
      <c r="DH67" s="231">
        <f t="shared" si="43"/>
        <v>0</v>
      </c>
      <c r="DI67" s="231">
        <f t="shared" si="43"/>
        <v>0</v>
      </c>
      <c r="DJ67" s="231">
        <f t="shared" si="43"/>
        <v>0</v>
      </c>
      <c r="DK67" s="231">
        <f t="shared" si="43"/>
        <v>0</v>
      </c>
      <c r="DL67" s="231">
        <f t="shared" si="43"/>
        <v>0</v>
      </c>
      <c r="DM67" s="231">
        <f t="shared" si="43"/>
        <v>0</v>
      </c>
      <c r="DN67" s="231">
        <f>IF(AND($M67&gt;=DN$15,$M67&lt;(DN$16+1)),DN$22/(DN$16-DN$15+1),0)</f>
        <v>0</v>
      </c>
      <c r="DO67" s="231">
        <f t="shared" si="43"/>
        <v>0</v>
      </c>
      <c r="DP67" s="231">
        <f t="shared" si="43"/>
        <v>0</v>
      </c>
      <c r="DQ67" s="231">
        <f t="shared" si="43"/>
        <v>0</v>
      </c>
      <c r="DR67" s="231">
        <f t="shared" si="43"/>
        <v>0</v>
      </c>
      <c r="DS67" s="231">
        <f t="shared" si="25"/>
        <v>0.29866666666666669</v>
      </c>
      <c r="DT67" s="231">
        <f ca="1">IF(SUM(DT$24:DT66)=DT$22,0,IF(AND($M67&gt;=DT$15,$M67&lt;(DT$16+1)),DT$22/(DT$16-DT$15+1),0))</f>
        <v>0</v>
      </c>
      <c r="DU67" s="231">
        <f ca="1">IF(SUM(DU$24:DU66)=DU$22,0,IF(AND($M67&gt;=DU$15,$M67&lt;(DU$16+1)),DU$22/(DU$16-DU$15+1),0))</f>
        <v>0</v>
      </c>
      <c r="DV67" s="231">
        <f ca="1">IF(SUM(DV$24:DV66)=DV$22,0,IF(AND(M67&gt;=DV$15,M67&lt;(DV$16+1)),DV$22/(DV$16-DV$15+1),0))</f>
        <v>0</v>
      </c>
      <c r="DW67" s="231" t="e">
        <f ca="1">IF(SUM(DW$24:DW66)=DW$22,0,IF(AND($M67&gt;=DW$15,$M67&lt;(DW$16+1)),DW$22/(DW$16-DW$15+1),0))</f>
        <v>#N/A</v>
      </c>
      <c r="DX67" s="231">
        <f ca="1">IF(SUM(DX$24:DX66)=DX$22,0,IF(AND($M67&gt;=DX$15,$M67&lt;(DX$16+1)),DX$22/(DX$16-DX$15+1),0))</f>
        <v>0</v>
      </c>
      <c r="DY67" s="231">
        <f ca="1">IF(SUM(DY$24:DY66)=DY$22,0,IF(AND($M67&gt;=DY$15,$M67&lt;(DY$16+1)),DY$22/(DY$16-DY$15+1),0))</f>
        <v>0</v>
      </c>
      <c r="DZ67" s="231">
        <f ca="1">IF(SUM(DZ$24:DZ66)=DZ$22,0,IF(AND($M67&gt;=DZ$15,$M67&lt;(DZ$16+1)),DZ$22/(DZ$16-DZ$15+1),0))</f>
        <v>0</v>
      </c>
      <c r="EA67" s="231" t="e">
        <f ca="1">IF(SUM(EA$24:EA66)=EA$22,0,IF(AND(M67&gt;=EA$15,M67&lt;(EA$16+1)),EA$22/(EA$16-EA$15+1),0))</f>
        <v>#N/A</v>
      </c>
      <c r="EC67" s="234">
        <f t="shared" si="54"/>
        <v>40</v>
      </c>
      <c r="ED67" s="234" t="e">
        <f t="shared" ca="1" si="55"/>
        <v>#N/A</v>
      </c>
      <c r="EE67" s="235" t="e">
        <f t="shared" ca="1" si="56"/>
        <v>#N/A</v>
      </c>
      <c r="EF67" s="234" t="e">
        <f t="shared" ca="1" si="28"/>
        <v>#N/A</v>
      </c>
      <c r="EG67" s="234" t="e">
        <f t="shared" ca="1" si="29"/>
        <v>#N/A</v>
      </c>
      <c r="EH67" s="234" t="e">
        <f t="shared" ca="1" si="34"/>
        <v>#N/A</v>
      </c>
      <c r="EI67" s="234"/>
      <c r="EJ67" s="234"/>
      <c r="EK67" s="153" t="e">
        <f t="shared" ca="1" si="57"/>
        <v>#N/A</v>
      </c>
      <c r="EL67" s="231" t="e">
        <f ca="1">IF(SUM(EL$24:EL66)=EL$22,0,IF(AND($M67&gt;=EL$15,$M67&lt;(EL$16+1)),EL$22/(EL$16-EL$15+1),0))</f>
        <v>#N/A</v>
      </c>
      <c r="EM67" s="153" t="e">
        <f t="shared" ca="1" si="58"/>
        <v>#N/A</v>
      </c>
      <c r="EO67" s="60"/>
      <c r="EP67" s="60"/>
    </row>
    <row r="68" spans="1:153">
      <c r="A68" s="220"/>
      <c r="B68" s="236">
        <f t="shared" si="23"/>
        <v>41</v>
      </c>
      <c r="C68" s="221">
        <f t="shared" si="59"/>
        <v>44807.668000000063</v>
      </c>
      <c r="D68" s="222" t="e">
        <f ca="1">'Offshore INT'!R57</f>
        <v>#N/A</v>
      </c>
      <c r="E68" s="223" t="e">
        <f t="shared" ca="1" si="50"/>
        <v>#N/A</v>
      </c>
      <c r="F68" s="224"/>
      <c r="G68" s="225">
        <f>IF(G67=1,1,SUM($F$24:F68))</f>
        <v>0</v>
      </c>
      <c r="H68" s="226" t="e">
        <f ca="1">IF(H67=0,0,SUM($I$24:I68))</f>
        <v>#N/A</v>
      </c>
      <c r="I68" s="227" t="e">
        <f t="shared" ca="1" si="51"/>
        <v>#N/A</v>
      </c>
      <c r="J68" s="222">
        <f t="shared" ca="1" si="20"/>
        <v>0</v>
      </c>
      <c r="K68" s="60"/>
      <c r="L68" s="228"/>
      <c r="M68" s="228">
        <f t="shared" si="52"/>
        <v>41</v>
      </c>
      <c r="N68" s="221">
        <f t="shared" si="53"/>
        <v>44807.668000000063</v>
      </c>
      <c r="O68" s="229">
        <f t="shared" si="44"/>
        <v>0</v>
      </c>
      <c r="P68" s="229">
        <f t="shared" si="44"/>
        <v>0</v>
      </c>
      <c r="Q68" s="229">
        <f t="shared" si="44"/>
        <v>0</v>
      </c>
      <c r="R68" s="229">
        <f t="shared" si="44"/>
        <v>0</v>
      </c>
      <c r="S68" s="229">
        <f t="shared" si="44"/>
        <v>0</v>
      </c>
      <c r="T68" s="229">
        <f t="shared" si="44"/>
        <v>0</v>
      </c>
      <c r="U68" s="229">
        <f t="shared" si="44"/>
        <v>0</v>
      </c>
      <c r="V68" s="229">
        <f t="shared" si="44"/>
        <v>0</v>
      </c>
      <c r="W68" s="229">
        <f t="shared" si="44"/>
        <v>0</v>
      </c>
      <c r="X68" s="229">
        <f t="shared" si="44"/>
        <v>0</v>
      </c>
      <c r="Y68" s="229">
        <f t="shared" si="44"/>
        <v>0</v>
      </c>
      <c r="Z68" s="229">
        <f t="shared" si="44"/>
        <v>0</v>
      </c>
      <c r="AA68" s="229">
        <f t="shared" si="64"/>
        <v>0</v>
      </c>
      <c r="AB68" s="229">
        <f t="shared" si="64"/>
        <v>0</v>
      </c>
      <c r="AC68" s="229">
        <f t="shared" si="64"/>
        <v>0</v>
      </c>
      <c r="AD68" s="229">
        <f t="shared" si="64"/>
        <v>0</v>
      </c>
      <c r="AE68" s="229">
        <f t="shared" si="64"/>
        <v>0</v>
      </c>
      <c r="AF68" s="229">
        <f t="shared" si="64"/>
        <v>0</v>
      </c>
      <c r="AG68" s="229">
        <f t="shared" si="64"/>
        <v>0</v>
      </c>
      <c r="AH68" s="229">
        <f t="shared" si="64"/>
        <v>0</v>
      </c>
      <c r="AI68" s="229">
        <f t="shared" si="64"/>
        <v>0</v>
      </c>
      <c r="AJ68" s="229">
        <f t="shared" si="64"/>
        <v>0</v>
      </c>
      <c r="AK68" s="229">
        <f t="shared" si="64"/>
        <v>0</v>
      </c>
      <c r="AL68" s="229">
        <f t="shared" si="64"/>
        <v>0</v>
      </c>
      <c r="AM68" s="229">
        <f t="shared" si="64"/>
        <v>0</v>
      </c>
      <c r="AN68" s="229">
        <f t="shared" si="64"/>
        <v>0</v>
      </c>
      <c r="AO68" s="229">
        <f t="shared" si="64"/>
        <v>0</v>
      </c>
      <c r="AP68" s="229">
        <f t="shared" si="64"/>
        <v>0</v>
      </c>
      <c r="AQ68" s="229">
        <f t="shared" si="64"/>
        <v>0</v>
      </c>
      <c r="AR68" s="229">
        <f t="shared" si="64"/>
        <v>0</v>
      </c>
      <c r="AS68" s="229">
        <f t="shared" si="60"/>
        <v>0</v>
      </c>
      <c r="AT68" s="229">
        <f t="shared" si="60"/>
        <v>0</v>
      </c>
      <c r="AU68" s="229">
        <f t="shared" si="60"/>
        <v>0</v>
      </c>
      <c r="AV68" s="229">
        <f t="shared" si="60"/>
        <v>0</v>
      </c>
      <c r="AW68" s="229">
        <f t="shared" si="60"/>
        <v>0</v>
      </c>
      <c r="AX68" s="229">
        <f t="shared" si="64"/>
        <v>0</v>
      </c>
      <c r="AY68" s="229">
        <f t="shared" si="64"/>
        <v>0</v>
      </c>
      <c r="AZ68" s="229">
        <f t="shared" si="64"/>
        <v>0</v>
      </c>
      <c r="BA68" s="229">
        <f t="shared" si="64"/>
        <v>0</v>
      </c>
      <c r="BB68" s="229">
        <f t="shared" si="64"/>
        <v>0</v>
      </c>
      <c r="BC68" s="229">
        <f t="shared" si="64"/>
        <v>0</v>
      </c>
      <c r="BD68" s="229">
        <f t="shared" si="65"/>
        <v>0</v>
      </c>
      <c r="BE68" s="229">
        <f t="shared" si="65"/>
        <v>0</v>
      </c>
      <c r="BF68" s="229">
        <f t="shared" si="65"/>
        <v>0</v>
      </c>
      <c r="BG68" s="229">
        <f t="shared" si="65"/>
        <v>0</v>
      </c>
      <c r="BH68" s="229">
        <f t="shared" si="65"/>
        <v>0</v>
      </c>
      <c r="BI68" s="229">
        <f t="shared" si="65"/>
        <v>0</v>
      </c>
      <c r="BJ68" s="229">
        <f t="shared" si="65"/>
        <v>0</v>
      </c>
      <c r="BK68" s="229">
        <f t="shared" si="65"/>
        <v>0</v>
      </c>
      <c r="BL68" s="229">
        <f t="shared" si="65"/>
        <v>0</v>
      </c>
      <c r="BM68" s="229">
        <f t="shared" si="65"/>
        <v>0</v>
      </c>
      <c r="BN68" s="229">
        <f t="shared" si="65"/>
        <v>0</v>
      </c>
      <c r="BO68" s="229">
        <f t="shared" si="65"/>
        <v>0</v>
      </c>
      <c r="BP68" s="229">
        <f t="shared" si="65"/>
        <v>0</v>
      </c>
      <c r="BQ68" s="229">
        <f t="shared" si="66"/>
        <v>0</v>
      </c>
      <c r="BR68" s="229">
        <f t="shared" si="66"/>
        <v>0</v>
      </c>
      <c r="BS68" s="229">
        <f t="shared" si="66"/>
        <v>0</v>
      </c>
      <c r="BT68" s="229">
        <f t="shared" si="66"/>
        <v>0</v>
      </c>
      <c r="BU68" s="229">
        <f t="shared" si="66"/>
        <v>0</v>
      </c>
      <c r="BV68" s="229">
        <f t="shared" si="66"/>
        <v>0</v>
      </c>
      <c r="BW68" s="229">
        <f t="shared" si="66"/>
        <v>0</v>
      </c>
      <c r="BX68" s="229">
        <f t="shared" si="66"/>
        <v>0</v>
      </c>
      <c r="BY68" s="229">
        <f t="shared" si="66"/>
        <v>0</v>
      </c>
      <c r="BZ68" s="229">
        <f t="shared" si="66"/>
        <v>0</v>
      </c>
      <c r="CA68" s="229">
        <f t="shared" si="66"/>
        <v>0</v>
      </c>
      <c r="CB68" s="229">
        <f t="shared" si="66"/>
        <v>0</v>
      </c>
      <c r="CC68" s="229">
        <f t="shared" si="66"/>
        <v>0</v>
      </c>
      <c r="CD68" s="229">
        <f t="shared" si="67"/>
        <v>0</v>
      </c>
      <c r="CE68" s="229">
        <f t="shared" si="62"/>
        <v>0</v>
      </c>
      <c r="CF68" s="229">
        <f t="shared" si="67"/>
        <v>0</v>
      </c>
      <c r="CG68" s="229">
        <f t="shared" si="67"/>
        <v>0</v>
      </c>
      <c r="CH68" s="229">
        <f t="shared" si="67"/>
        <v>0</v>
      </c>
      <c r="CI68" s="229">
        <f t="shared" si="67"/>
        <v>0</v>
      </c>
      <c r="CJ68" s="229">
        <f t="shared" si="48"/>
        <v>0</v>
      </c>
      <c r="CK68" s="229">
        <f t="shared" si="67"/>
        <v>0</v>
      </c>
      <c r="CL68" s="229">
        <f t="shared" si="67"/>
        <v>0</v>
      </c>
      <c r="CM68" s="229">
        <f t="shared" si="67"/>
        <v>0</v>
      </c>
      <c r="CN68" s="229">
        <f t="shared" si="67"/>
        <v>0</v>
      </c>
      <c r="CO68" s="229">
        <f t="shared" si="63"/>
        <v>0</v>
      </c>
      <c r="CP68" s="229">
        <f t="shared" si="63"/>
        <v>0</v>
      </c>
      <c r="CQ68" s="229">
        <f t="shared" si="67"/>
        <v>0</v>
      </c>
      <c r="CR68" s="229">
        <f t="shared" si="67"/>
        <v>0</v>
      </c>
      <c r="CS68" s="229">
        <f t="shared" si="67"/>
        <v>0</v>
      </c>
      <c r="CT68" s="229">
        <f t="shared" si="67"/>
        <v>0</v>
      </c>
      <c r="CU68" s="230"/>
      <c r="CV68" s="231"/>
      <c r="CW68" s="231"/>
      <c r="CX68" s="231"/>
      <c r="CY68" s="231"/>
      <c r="CZ68" s="231" t="e">
        <f t="shared" ca="1" si="68"/>
        <v>#N/A</v>
      </c>
      <c r="DA68" s="231"/>
      <c r="DC68" s="231"/>
      <c r="DD68" s="231">
        <f>IF(SUM(DD$24:DD67)=DD$22,0,IF(AND($M68&gt;=DD$15,$M68&lt;(DD$16+1)),DD$22/(DD$16-DD$15+1),0))</f>
        <v>0</v>
      </c>
      <c r="DE68" s="231">
        <f>IF(SUM(DE$24:DE67)=DE$22,0,IF(AND($M68&gt;=DE$15,$M68&lt;(DE$16+1)),DE$22/(DE$16-DE$15+1),0))</f>
        <v>0</v>
      </c>
      <c r="DF68" s="231">
        <f>IF(SUM(DF$24:DF67)=DF$22,0,IF(AND($M68&gt;=DF$15,$M68&lt;(DF$16+1)),DF$22/(DF$16-DF$15+1),0))</f>
        <v>0</v>
      </c>
      <c r="DG68" s="231">
        <f>IF(SUM(DG$24:DG67)=DG$22,0,IF(AND($M68&gt;=DG$15,$M68&lt;(DG$16+1)),DG$22/(DG$16-DG$15+1),0))</f>
        <v>0</v>
      </c>
      <c r="DH68" s="231">
        <f t="shared" si="43"/>
        <v>0</v>
      </c>
      <c r="DI68" s="231">
        <f t="shared" si="43"/>
        <v>0</v>
      </c>
      <c r="DJ68" s="231">
        <f t="shared" si="43"/>
        <v>0</v>
      </c>
      <c r="DK68" s="231">
        <f t="shared" si="43"/>
        <v>0</v>
      </c>
      <c r="DL68" s="231">
        <f t="shared" si="43"/>
        <v>0</v>
      </c>
      <c r="DM68" s="231">
        <f t="shared" si="43"/>
        <v>0</v>
      </c>
      <c r="DN68" s="231">
        <f>IF(AND($M68&gt;=DN$15,$M68&lt;(DN$16+1)),DN$22/(DN$16-DN$15+1),0)</f>
        <v>0</v>
      </c>
      <c r="DO68" s="231">
        <f t="shared" si="43"/>
        <v>0</v>
      </c>
      <c r="DP68" s="231">
        <f t="shared" si="43"/>
        <v>0</v>
      </c>
      <c r="DQ68" s="231">
        <f t="shared" si="43"/>
        <v>0</v>
      </c>
      <c r="DR68" s="231">
        <f t="shared" si="43"/>
        <v>0</v>
      </c>
      <c r="DS68" s="231">
        <f t="shared" si="25"/>
        <v>0.29866666666666669</v>
      </c>
      <c r="DT68" s="231">
        <f ca="1">IF(SUM(DT$24:DT67)=DT$22,0,IF(AND($M68&gt;=DT$15,$M68&lt;(DT$16+1)),DT$22/(DT$16-DT$15+1),0))</f>
        <v>0</v>
      </c>
      <c r="DU68" s="231">
        <f ca="1">IF(SUM(DU$24:DU67)=DU$22,0,IF(AND($M68&gt;=DU$15,$M68&lt;(DU$16+1)),DU$22/(DU$16-DU$15+1),0))</f>
        <v>0</v>
      </c>
      <c r="DV68" s="231">
        <f ca="1">IF(SUM(DV$24:DV67)=DV$22,0,IF(AND(M68&gt;=DV$15,M68&lt;(DV$16+1)),DV$22/(DV$16-DV$15+1),0))</f>
        <v>0</v>
      </c>
      <c r="DW68" s="231" t="e">
        <f ca="1">IF(SUM(DW$24:DW67)=DW$22,0,IF(AND($M68&gt;=DW$15,$M68&lt;(DW$16+1)),DW$22/(DW$16-DW$15+1),0))</f>
        <v>#N/A</v>
      </c>
      <c r="DX68" s="231">
        <f ca="1">IF(SUM(DX$24:DX67)=DX$22,0,IF(AND($M68&gt;=DX$15,$M68&lt;(DX$16+1)),DX$22/(DX$16-DX$15+1),0))</f>
        <v>0</v>
      </c>
      <c r="DY68" s="231">
        <f ca="1">IF(SUM(DY$24:DY67)=DY$22,0,IF(AND($M68&gt;=DY$15,$M68&lt;(DY$16+1)),DY$22/(DY$16-DY$15+1),0))</f>
        <v>0</v>
      </c>
      <c r="DZ68" s="231">
        <f ca="1">IF(SUM(DZ$24:DZ67)=DZ$22,0,IF(AND($M68&gt;=DZ$15,$M68&lt;(DZ$16+1)),DZ$22/(DZ$16-DZ$15+1),0))</f>
        <v>0</v>
      </c>
      <c r="EA68" s="231" t="e">
        <f ca="1">IF(SUM(EA$24:EA67)=EA$22,0,IF(AND(M68&gt;=EA$15,M68&lt;(EA$16+1)),EA$22/(EA$16-EA$15+1),0))</f>
        <v>#N/A</v>
      </c>
      <c r="EC68" s="234">
        <f t="shared" si="54"/>
        <v>41</v>
      </c>
      <c r="ED68" s="234" t="e">
        <f t="shared" ca="1" si="55"/>
        <v>#N/A</v>
      </c>
      <c r="EE68" s="235" t="e">
        <f t="shared" ca="1" si="56"/>
        <v>#N/A</v>
      </c>
      <c r="EF68" s="234" t="e">
        <f t="shared" ca="1" si="28"/>
        <v>#N/A</v>
      </c>
      <c r="EG68" s="234" t="e">
        <f t="shared" ca="1" si="29"/>
        <v>#N/A</v>
      </c>
      <c r="EH68" s="234" t="e">
        <f t="shared" ca="1" si="34"/>
        <v>#N/A</v>
      </c>
      <c r="EI68" s="234"/>
      <c r="EJ68" s="234"/>
      <c r="EK68" s="153" t="e">
        <f t="shared" ca="1" si="57"/>
        <v>#N/A</v>
      </c>
      <c r="EL68" s="231" t="e">
        <f ca="1">IF(SUM(EL$24:EL67)=EL$22,0,IF(AND($M68&gt;=EL$15,$M68&lt;(EL$16+1)),EL$22/(EL$16-EL$15+1),0))</f>
        <v>#N/A</v>
      </c>
      <c r="EM68" s="153" t="e">
        <f t="shared" ca="1" si="58"/>
        <v>#N/A</v>
      </c>
      <c r="EO68" s="60"/>
      <c r="EP68" s="60"/>
    </row>
    <row r="69" spans="1:153">
      <c r="A69" s="220"/>
      <c r="B69" s="236">
        <f t="shared" si="23"/>
        <v>42</v>
      </c>
      <c r="C69" s="221">
        <f t="shared" si="59"/>
        <v>44838.084700000065</v>
      </c>
      <c r="D69" s="222" t="e">
        <f ca="1">'Offshore INT'!R58</f>
        <v>#N/A</v>
      </c>
      <c r="E69" s="223" t="e">
        <f t="shared" ca="1" si="50"/>
        <v>#N/A</v>
      </c>
      <c r="F69" s="224"/>
      <c r="G69" s="225">
        <f>IF(G68=1,1,SUM($F$24:F69))</f>
        <v>0</v>
      </c>
      <c r="H69" s="226" t="e">
        <f ca="1">IF(H68=0,0,SUM($I$24:I69))</f>
        <v>#N/A</v>
      </c>
      <c r="I69" s="227" t="e">
        <f t="shared" ca="1" si="51"/>
        <v>#N/A</v>
      </c>
      <c r="J69" s="222">
        <f t="shared" ca="1" si="20"/>
        <v>0</v>
      </c>
      <c r="K69" s="60"/>
      <c r="L69" s="228"/>
      <c r="M69" s="228">
        <f t="shared" si="52"/>
        <v>42</v>
      </c>
      <c r="N69" s="221">
        <f t="shared" si="53"/>
        <v>44838.084700000065</v>
      </c>
      <c r="O69" s="229">
        <f t="shared" si="44"/>
        <v>0</v>
      </c>
      <c r="P69" s="229">
        <f t="shared" si="44"/>
        <v>0</v>
      </c>
      <c r="Q69" s="229">
        <f t="shared" si="44"/>
        <v>0</v>
      </c>
      <c r="R69" s="229">
        <f t="shared" si="44"/>
        <v>0</v>
      </c>
      <c r="S69" s="229">
        <f t="shared" si="44"/>
        <v>0</v>
      </c>
      <c r="T69" s="229">
        <f t="shared" si="44"/>
        <v>0</v>
      </c>
      <c r="U69" s="229">
        <f t="shared" si="44"/>
        <v>0</v>
      </c>
      <c r="V69" s="229">
        <f t="shared" si="44"/>
        <v>0</v>
      </c>
      <c r="W69" s="229">
        <f t="shared" si="44"/>
        <v>0</v>
      </c>
      <c r="X69" s="229">
        <f t="shared" si="44"/>
        <v>0</v>
      </c>
      <c r="Y69" s="229">
        <f t="shared" si="44"/>
        <v>0</v>
      </c>
      <c r="Z69" s="229">
        <f t="shared" si="44"/>
        <v>0</v>
      </c>
      <c r="AA69" s="229">
        <f t="shared" si="64"/>
        <v>0</v>
      </c>
      <c r="AB69" s="229">
        <f t="shared" si="64"/>
        <v>0</v>
      </c>
      <c r="AC69" s="229">
        <f t="shared" si="64"/>
        <v>0</v>
      </c>
      <c r="AD69" s="229">
        <f t="shared" si="64"/>
        <v>0</v>
      </c>
      <c r="AE69" s="229">
        <f t="shared" si="64"/>
        <v>0</v>
      </c>
      <c r="AF69" s="229">
        <f t="shared" si="64"/>
        <v>0</v>
      </c>
      <c r="AG69" s="229">
        <f t="shared" si="64"/>
        <v>0</v>
      </c>
      <c r="AH69" s="229">
        <f t="shared" si="64"/>
        <v>0</v>
      </c>
      <c r="AI69" s="229">
        <f t="shared" si="64"/>
        <v>0</v>
      </c>
      <c r="AJ69" s="229">
        <f t="shared" si="64"/>
        <v>0</v>
      </c>
      <c r="AK69" s="229">
        <f t="shared" si="64"/>
        <v>0</v>
      </c>
      <c r="AL69" s="229">
        <f t="shared" si="64"/>
        <v>0</v>
      </c>
      <c r="AM69" s="229">
        <f t="shared" si="64"/>
        <v>0</v>
      </c>
      <c r="AN69" s="229">
        <f t="shared" si="64"/>
        <v>0</v>
      </c>
      <c r="AO69" s="229">
        <f t="shared" si="64"/>
        <v>0</v>
      </c>
      <c r="AP69" s="229">
        <f t="shared" si="64"/>
        <v>0</v>
      </c>
      <c r="AQ69" s="229">
        <f t="shared" si="64"/>
        <v>0</v>
      </c>
      <c r="AR69" s="229">
        <f t="shared" si="64"/>
        <v>0</v>
      </c>
      <c r="AS69" s="229">
        <f t="shared" si="60"/>
        <v>0</v>
      </c>
      <c r="AT69" s="229">
        <f t="shared" si="60"/>
        <v>0</v>
      </c>
      <c r="AU69" s="229">
        <f t="shared" si="60"/>
        <v>0</v>
      </c>
      <c r="AV69" s="229">
        <f t="shared" si="60"/>
        <v>0</v>
      </c>
      <c r="AW69" s="229">
        <f t="shared" si="60"/>
        <v>0</v>
      </c>
      <c r="AX69" s="229">
        <f t="shared" si="64"/>
        <v>0</v>
      </c>
      <c r="AY69" s="229">
        <f t="shared" si="64"/>
        <v>0</v>
      </c>
      <c r="AZ69" s="229">
        <f t="shared" si="64"/>
        <v>0</v>
      </c>
      <c r="BA69" s="229">
        <f t="shared" si="64"/>
        <v>0</v>
      </c>
      <c r="BB69" s="229">
        <f t="shared" si="64"/>
        <v>0</v>
      </c>
      <c r="BC69" s="229">
        <f t="shared" si="64"/>
        <v>0</v>
      </c>
      <c r="BD69" s="229">
        <f t="shared" si="65"/>
        <v>0</v>
      </c>
      <c r="BE69" s="229">
        <f t="shared" si="65"/>
        <v>0</v>
      </c>
      <c r="BF69" s="229">
        <f t="shared" si="65"/>
        <v>0</v>
      </c>
      <c r="BG69" s="229">
        <f t="shared" si="65"/>
        <v>0</v>
      </c>
      <c r="BH69" s="229">
        <f t="shared" si="65"/>
        <v>0</v>
      </c>
      <c r="BI69" s="229">
        <f t="shared" si="65"/>
        <v>0</v>
      </c>
      <c r="BJ69" s="229">
        <f t="shared" si="65"/>
        <v>0</v>
      </c>
      <c r="BK69" s="229">
        <f t="shared" si="65"/>
        <v>0</v>
      </c>
      <c r="BL69" s="229">
        <f t="shared" si="65"/>
        <v>0</v>
      </c>
      <c r="BM69" s="229">
        <f t="shared" si="65"/>
        <v>0</v>
      </c>
      <c r="BN69" s="229">
        <f t="shared" si="65"/>
        <v>0</v>
      </c>
      <c r="BO69" s="229">
        <f t="shared" si="65"/>
        <v>0</v>
      </c>
      <c r="BP69" s="229">
        <f t="shared" si="65"/>
        <v>0</v>
      </c>
      <c r="BQ69" s="229">
        <f t="shared" si="66"/>
        <v>0</v>
      </c>
      <c r="BR69" s="229">
        <f t="shared" si="66"/>
        <v>0</v>
      </c>
      <c r="BS69" s="229">
        <f t="shared" si="66"/>
        <v>0</v>
      </c>
      <c r="BT69" s="229">
        <f t="shared" si="66"/>
        <v>0</v>
      </c>
      <c r="BU69" s="229">
        <f t="shared" si="66"/>
        <v>0</v>
      </c>
      <c r="BV69" s="229">
        <f t="shared" si="66"/>
        <v>0</v>
      </c>
      <c r="BW69" s="229">
        <f t="shared" si="66"/>
        <v>0</v>
      </c>
      <c r="BX69" s="229">
        <f t="shared" si="66"/>
        <v>0</v>
      </c>
      <c r="BY69" s="229">
        <f t="shared" si="66"/>
        <v>0</v>
      </c>
      <c r="BZ69" s="229">
        <f t="shared" si="66"/>
        <v>0</v>
      </c>
      <c r="CA69" s="229">
        <f t="shared" si="66"/>
        <v>0</v>
      </c>
      <c r="CB69" s="229">
        <f t="shared" si="66"/>
        <v>0</v>
      </c>
      <c r="CC69" s="229">
        <f t="shared" si="66"/>
        <v>0</v>
      </c>
      <c r="CD69" s="229">
        <f t="shared" si="67"/>
        <v>0</v>
      </c>
      <c r="CE69" s="229">
        <f t="shared" ref="CE69:CE78" si="69">IF($M69=CE$13,CE$22*CE$3,IF($M69=CE$14,CE$22*CE$4,IF($M69=CE$15,CE$22*CE$5,IF($M69=CE$16,CE$22*CE$6,IF($M69=CE$17,CE$22*CE$7,IF($M69=CE$18,CE$22*CE$8,IF($M69=CE$19,CE$22*CE$9,IF($M69=CE$20,CE$22*CE$10,0))))))))</f>
        <v>0</v>
      </c>
      <c r="CF69" s="229">
        <f t="shared" si="67"/>
        <v>0</v>
      </c>
      <c r="CG69" s="229">
        <f t="shared" si="67"/>
        <v>0</v>
      </c>
      <c r="CH69" s="229">
        <f t="shared" si="67"/>
        <v>0</v>
      </c>
      <c r="CI69" s="229">
        <f t="shared" si="67"/>
        <v>0</v>
      </c>
      <c r="CJ69" s="229">
        <f t="shared" ref="CJ69:CJ132" si="70">IF($M69=CJ$13,CJ$22*CJ$3,IF($M69=CJ$14,CJ$22*CJ$4,IF($M69=CJ$15,CJ$22*CJ$5,IF($M69=CJ$16,CJ$22*CJ$6,IF($M69=CJ$17,CJ$22*CJ$7,IF($M69=CJ$18,CJ$22*CJ$8,IF($M69=CJ$19,CJ$22*CJ$9,IF($M69=CJ$20,CJ$22*CJ$10,0))))))))</f>
        <v>0</v>
      </c>
      <c r="CK69" s="229">
        <f t="shared" si="67"/>
        <v>0</v>
      </c>
      <c r="CL69" s="229">
        <f t="shared" si="67"/>
        <v>0</v>
      </c>
      <c r="CM69" s="229">
        <f t="shared" si="67"/>
        <v>0</v>
      </c>
      <c r="CN69" s="229">
        <f t="shared" si="67"/>
        <v>0</v>
      </c>
      <c r="CO69" s="229">
        <f t="shared" si="63"/>
        <v>0</v>
      </c>
      <c r="CP69" s="229">
        <f t="shared" si="63"/>
        <v>0</v>
      </c>
      <c r="CQ69" s="229">
        <f t="shared" si="67"/>
        <v>0</v>
      </c>
      <c r="CR69" s="229">
        <f t="shared" si="67"/>
        <v>0</v>
      </c>
      <c r="CS69" s="229">
        <f t="shared" si="67"/>
        <v>0</v>
      </c>
      <c r="CT69" s="229">
        <f t="shared" si="67"/>
        <v>0</v>
      </c>
      <c r="CU69" s="230"/>
      <c r="CV69" s="231"/>
      <c r="CW69" s="231"/>
      <c r="CX69" s="231"/>
      <c r="CY69" s="231"/>
      <c r="CZ69" s="231" t="e">
        <f t="shared" ca="1" si="68"/>
        <v>#N/A</v>
      </c>
      <c r="DA69" s="231"/>
      <c r="DC69" s="231"/>
      <c r="DD69" s="231">
        <f>IF(SUM(DD$24:DD68)=DD$22,0,IF(AND($M69&gt;=DD$15,$M69&lt;(DD$16+1)),DD$22/(DD$16-DD$15+1),0))</f>
        <v>0</v>
      </c>
      <c r="DE69" s="231">
        <f>IF(SUM(DE$24:DE68)=DE$22,0,IF(AND($M69&gt;=DE$15,$M69&lt;(DE$16+1)),DE$22/(DE$16-DE$15+1),0))</f>
        <v>0</v>
      </c>
      <c r="DF69" s="231">
        <f>IF(SUM(DF$24:DF68)=DF$22,0,IF(AND($M69&gt;=DF$15,$M69&lt;(DF$16+1)),DF$22/(DF$16-DF$15+1),0))</f>
        <v>0</v>
      </c>
      <c r="DG69" s="231">
        <f>IF(SUM(DG$24:DG68)=DG$22,0,IF(AND($M69&gt;=DG$15,$M69&lt;(DG$16+1)),DG$22/(DG$16-DG$15+1),0))</f>
        <v>0</v>
      </c>
      <c r="DH69" s="231">
        <f t="shared" si="43"/>
        <v>0</v>
      </c>
      <c r="DI69" s="231">
        <f t="shared" si="43"/>
        <v>0</v>
      </c>
      <c r="DJ69" s="231">
        <f t="shared" si="43"/>
        <v>0</v>
      </c>
      <c r="DK69" s="231">
        <f t="shared" si="43"/>
        <v>0</v>
      </c>
      <c r="DL69" s="231">
        <f t="shared" si="43"/>
        <v>0</v>
      </c>
      <c r="DM69" s="231">
        <f t="shared" si="43"/>
        <v>0</v>
      </c>
      <c r="DN69" s="231">
        <f>IF(AND($M69&gt;=DN$15,$M69&lt;(DN$16+1)),DN$22/(DN$16-DN$15+1),0)</f>
        <v>0</v>
      </c>
      <c r="DO69" s="231">
        <f t="shared" si="43"/>
        <v>0</v>
      </c>
      <c r="DP69" s="231">
        <f t="shared" si="43"/>
        <v>0</v>
      </c>
      <c r="DQ69" s="231">
        <f t="shared" si="43"/>
        <v>0</v>
      </c>
      <c r="DR69" s="231">
        <f t="shared" si="43"/>
        <v>0</v>
      </c>
      <c r="DS69" s="231">
        <f t="shared" si="25"/>
        <v>0.29866666666666669</v>
      </c>
      <c r="DT69" s="231">
        <f ca="1">IF(SUM(DT$24:DT68)=DT$22,0,IF(AND($M69&gt;=DT$15,$M69&lt;(DT$16+1)),DT$22/(DT$16-DT$15+1),0))</f>
        <v>0</v>
      </c>
      <c r="DU69" s="231">
        <f ca="1">IF(SUM(DU$24:DU68)=DU$22,0,IF(AND($M69&gt;=DU$15,$M69&lt;(DU$16+1)),DU$22/(DU$16-DU$15+1),0))</f>
        <v>0</v>
      </c>
      <c r="DV69" s="231">
        <f ca="1">IF(SUM(DV$24:DV68)=DV$22,0,IF(AND(M69&gt;=DV$15,M69&lt;(DV$16+1)),DV$22/(DV$16-DV$15+1),0))</f>
        <v>0</v>
      </c>
      <c r="DW69" s="231" t="e">
        <f ca="1">IF(SUM(DW$24:DW68)=DW$22,0,IF(AND($M69&gt;=DW$15,$M69&lt;(DW$16+1)),DW$22/(DW$16-DW$15+1),0))</f>
        <v>#N/A</v>
      </c>
      <c r="DX69" s="231">
        <f ca="1">IF(SUM(DX$24:DX68)=DX$22,0,IF(AND($M69&gt;=DX$15,$M69&lt;(DX$16+1)),DX$22/(DX$16-DX$15+1),0))</f>
        <v>0</v>
      </c>
      <c r="DY69" s="231">
        <f ca="1">IF(SUM(DY$24:DY68)=DY$22,0,IF(AND($M69&gt;=DY$15,$M69&lt;(DY$16+1)),DY$22/(DY$16-DY$15+1),0))</f>
        <v>0</v>
      </c>
      <c r="DZ69" s="231">
        <f ca="1">IF(SUM(DZ$24:DZ68)=DZ$22,0,IF(AND($M69&gt;=DZ$15,$M69&lt;(DZ$16+1)),DZ$22/(DZ$16-DZ$15+1),0))</f>
        <v>0</v>
      </c>
      <c r="EA69" s="231" t="e">
        <f ca="1">IF(SUM(EA$24:EA68)=EA$22,0,IF(AND(M69&gt;=EA$15,M69&lt;(EA$16+1)),EA$22/(EA$16-EA$15+1),0))</f>
        <v>#N/A</v>
      </c>
      <c r="EC69" s="234">
        <f t="shared" si="54"/>
        <v>42</v>
      </c>
      <c r="ED69" s="234" t="e">
        <f t="shared" ca="1" si="55"/>
        <v>#N/A</v>
      </c>
      <c r="EE69" s="235" t="e">
        <f t="shared" ca="1" si="56"/>
        <v>#N/A</v>
      </c>
      <c r="EF69" s="234" t="e">
        <f t="shared" ca="1" si="28"/>
        <v>#N/A</v>
      </c>
      <c r="EG69" s="234" t="e">
        <f t="shared" ca="1" si="29"/>
        <v>#N/A</v>
      </c>
      <c r="EH69" s="234" t="e">
        <f t="shared" ca="1" si="34"/>
        <v>#N/A</v>
      </c>
      <c r="EI69" s="234"/>
      <c r="EJ69" s="234"/>
      <c r="EK69" s="153" t="e">
        <f t="shared" ca="1" si="57"/>
        <v>#N/A</v>
      </c>
      <c r="EL69" s="231" t="e">
        <f ca="1">IF(SUM(EL$24:EL68)=EL$22,0,IF(AND($M69&gt;=EL$15,$M69&lt;(EL$16+1)),EL$22/(EL$16-EL$15+1),0))</f>
        <v>#N/A</v>
      </c>
      <c r="EM69" s="153" t="e">
        <f t="shared" ca="1" si="58"/>
        <v>#N/A</v>
      </c>
      <c r="EO69" s="60"/>
      <c r="EP69" s="60"/>
      <c r="EW69" s="245"/>
    </row>
    <row r="70" spans="1:153">
      <c r="A70" s="220"/>
      <c r="B70" s="236">
        <f t="shared" si="23"/>
        <v>43</v>
      </c>
      <c r="C70" s="221">
        <f t="shared" si="59"/>
        <v>44868.501400000066</v>
      </c>
      <c r="D70" s="222" t="e">
        <f ca="1">'Offshore INT'!R59</f>
        <v>#N/A</v>
      </c>
      <c r="E70" s="223" t="e">
        <f t="shared" ca="1" si="50"/>
        <v>#N/A</v>
      </c>
      <c r="F70" s="224"/>
      <c r="G70" s="225">
        <f>IF(G69=1,1,SUM($F$24:F70))</f>
        <v>0</v>
      </c>
      <c r="H70" s="226" t="e">
        <f ca="1">IF(H69=0,0,SUM($I$24:I70))</f>
        <v>#N/A</v>
      </c>
      <c r="I70" s="227" t="e">
        <f t="shared" ca="1" si="51"/>
        <v>#N/A</v>
      </c>
      <c r="J70" s="222">
        <f t="shared" ca="1" si="20"/>
        <v>0</v>
      </c>
      <c r="K70" s="60"/>
      <c r="L70" s="228"/>
      <c r="M70" s="228">
        <f t="shared" si="52"/>
        <v>43</v>
      </c>
      <c r="N70" s="221">
        <f t="shared" si="53"/>
        <v>44868.501400000066</v>
      </c>
      <c r="O70" s="229">
        <f t="shared" si="44"/>
        <v>0</v>
      </c>
      <c r="P70" s="229">
        <f t="shared" si="44"/>
        <v>0</v>
      </c>
      <c r="Q70" s="229">
        <f t="shared" si="44"/>
        <v>0</v>
      </c>
      <c r="R70" s="229">
        <f t="shared" si="44"/>
        <v>0</v>
      </c>
      <c r="S70" s="229">
        <f t="shared" si="44"/>
        <v>0</v>
      </c>
      <c r="T70" s="229">
        <f t="shared" si="44"/>
        <v>0</v>
      </c>
      <c r="U70" s="229">
        <f t="shared" si="44"/>
        <v>0</v>
      </c>
      <c r="V70" s="229">
        <f t="shared" si="44"/>
        <v>0</v>
      </c>
      <c r="W70" s="229">
        <f t="shared" si="44"/>
        <v>0</v>
      </c>
      <c r="X70" s="229">
        <f t="shared" si="44"/>
        <v>0</v>
      </c>
      <c r="Y70" s="229">
        <f t="shared" si="44"/>
        <v>0</v>
      </c>
      <c r="Z70" s="229">
        <f t="shared" si="44"/>
        <v>0</v>
      </c>
      <c r="AA70" s="229">
        <f t="shared" si="64"/>
        <v>0</v>
      </c>
      <c r="AB70" s="229">
        <f t="shared" si="64"/>
        <v>0</v>
      </c>
      <c r="AC70" s="229">
        <f t="shared" si="64"/>
        <v>0</v>
      </c>
      <c r="AD70" s="229">
        <f t="shared" si="64"/>
        <v>0</v>
      </c>
      <c r="AE70" s="229">
        <f t="shared" si="64"/>
        <v>0</v>
      </c>
      <c r="AF70" s="229">
        <f t="shared" si="64"/>
        <v>0</v>
      </c>
      <c r="AG70" s="229">
        <f t="shared" si="64"/>
        <v>0</v>
      </c>
      <c r="AH70" s="229">
        <f t="shared" si="64"/>
        <v>0</v>
      </c>
      <c r="AI70" s="229">
        <f t="shared" si="64"/>
        <v>0</v>
      </c>
      <c r="AJ70" s="229">
        <f t="shared" si="64"/>
        <v>0</v>
      </c>
      <c r="AK70" s="229">
        <f t="shared" si="64"/>
        <v>0</v>
      </c>
      <c r="AL70" s="229">
        <f t="shared" si="64"/>
        <v>0</v>
      </c>
      <c r="AM70" s="229">
        <f t="shared" si="64"/>
        <v>0</v>
      </c>
      <c r="AN70" s="229">
        <f t="shared" si="64"/>
        <v>0</v>
      </c>
      <c r="AO70" s="229">
        <f t="shared" ref="AM70:AO73" si="71">IF($M70=AO$13,AO$22*AO$3,IF($M70=AO$14,AO$22*AO$4,IF($M70=AO$15,AO$22*AO$5,IF($M70=AO$16,AO$22*AO$6,IF($M70=AO$17,AO$22*AO$7,IF($M70=AO$18,AO$22*AO$8,IF($M70=AO$19,AO$22*AO$9,IF($M70=AO$20,AO$22*AO$10,0))))))))</f>
        <v>0</v>
      </c>
      <c r="AP70" s="229">
        <f t="shared" si="64"/>
        <v>0</v>
      </c>
      <c r="AQ70" s="229">
        <f t="shared" si="64"/>
        <v>0</v>
      </c>
      <c r="AR70" s="229">
        <f t="shared" si="64"/>
        <v>0</v>
      </c>
      <c r="AS70" s="229">
        <f t="shared" si="60"/>
        <v>0</v>
      </c>
      <c r="AT70" s="229">
        <f t="shared" si="60"/>
        <v>0</v>
      </c>
      <c r="AU70" s="229">
        <f t="shared" si="60"/>
        <v>0</v>
      </c>
      <c r="AV70" s="229">
        <f t="shared" si="60"/>
        <v>0</v>
      </c>
      <c r="AW70" s="229">
        <f t="shared" si="60"/>
        <v>0</v>
      </c>
      <c r="AX70" s="229">
        <f t="shared" si="64"/>
        <v>0</v>
      </c>
      <c r="AY70" s="229">
        <f t="shared" si="64"/>
        <v>0</v>
      </c>
      <c r="AZ70" s="229">
        <f t="shared" si="64"/>
        <v>0</v>
      </c>
      <c r="BA70" s="229">
        <f t="shared" si="64"/>
        <v>0</v>
      </c>
      <c r="BB70" s="229">
        <f t="shared" si="64"/>
        <v>0</v>
      </c>
      <c r="BC70" s="229">
        <f t="shared" si="64"/>
        <v>0</v>
      </c>
      <c r="BD70" s="229">
        <f t="shared" si="65"/>
        <v>0</v>
      </c>
      <c r="BE70" s="229">
        <f t="shared" si="65"/>
        <v>0</v>
      </c>
      <c r="BF70" s="229">
        <f t="shared" si="65"/>
        <v>0</v>
      </c>
      <c r="BG70" s="229">
        <f t="shared" si="65"/>
        <v>0</v>
      </c>
      <c r="BH70" s="229">
        <f t="shared" si="65"/>
        <v>0</v>
      </c>
      <c r="BI70" s="229">
        <f t="shared" si="65"/>
        <v>0</v>
      </c>
      <c r="BJ70" s="229">
        <f t="shared" si="65"/>
        <v>0</v>
      </c>
      <c r="BK70" s="229">
        <f t="shared" si="65"/>
        <v>0</v>
      </c>
      <c r="BL70" s="229">
        <f t="shared" si="65"/>
        <v>0</v>
      </c>
      <c r="BM70" s="229">
        <f t="shared" si="65"/>
        <v>0</v>
      </c>
      <c r="BN70" s="229">
        <f t="shared" si="65"/>
        <v>0</v>
      </c>
      <c r="BO70" s="229">
        <f t="shared" si="65"/>
        <v>0</v>
      </c>
      <c r="BP70" s="229">
        <f t="shared" si="65"/>
        <v>0</v>
      </c>
      <c r="BQ70" s="229">
        <f t="shared" si="66"/>
        <v>0</v>
      </c>
      <c r="BR70" s="229">
        <f t="shared" si="66"/>
        <v>0</v>
      </c>
      <c r="BS70" s="229">
        <f t="shared" si="66"/>
        <v>0</v>
      </c>
      <c r="BT70" s="229">
        <f t="shared" si="66"/>
        <v>0</v>
      </c>
      <c r="BU70" s="229">
        <f t="shared" si="66"/>
        <v>0</v>
      </c>
      <c r="BV70" s="229">
        <f t="shared" si="66"/>
        <v>0</v>
      </c>
      <c r="BW70" s="229">
        <f t="shared" si="66"/>
        <v>0</v>
      </c>
      <c r="BX70" s="229">
        <f t="shared" si="66"/>
        <v>0</v>
      </c>
      <c r="BY70" s="229">
        <f t="shared" si="66"/>
        <v>0</v>
      </c>
      <c r="BZ70" s="229">
        <f t="shared" si="66"/>
        <v>0</v>
      </c>
      <c r="CA70" s="229">
        <f t="shared" si="66"/>
        <v>0</v>
      </c>
      <c r="CB70" s="229">
        <f t="shared" si="66"/>
        <v>0</v>
      </c>
      <c r="CC70" s="229">
        <f t="shared" si="66"/>
        <v>0</v>
      </c>
      <c r="CD70" s="229">
        <f t="shared" si="67"/>
        <v>0</v>
      </c>
      <c r="CE70" s="229">
        <f t="shared" si="69"/>
        <v>0</v>
      </c>
      <c r="CF70" s="229">
        <f t="shared" si="67"/>
        <v>0</v>
      </c>
      <c r="CG70" s="229">
        <f t="shared" si="67"/>
        <v>0</v>
      </c>
      <c r="CH70" s="229">
        <f t="shared" si="67"/>
        <v>0</v>
      </c>
      <c r="CI70" s="229">
        <f t="shared" si="67"/>
        <v>0</v>
      </c>
      <c r="CJ70" s="229">
        <f t="shared" si="70"/>
        <v>0</v>
      </c>
      <c r="CK70" s="229">
        <f t="shared" si="67"/>
        <v>0</v>
      </c>
      <c r="CL70" s="229">
        <f t="shared" si="67"/>
        <v>0</v>
      </c>
      <c r="CM70" s="229">
        <f t="shared" si="67"/>
        <v>0</v>
      </c>
      <c r="CN70" s="229">
        <f t="shared" si="67"/>
        <v>0</v>
      </c>
      <c r="CO70" s="229">
        <f t="shared" si="63"/>
        <v>0</v>
      </c>
      <c r="CP70" s="229">
        <f t="shared" si="63"/>
        <v>0</v>
      </c>
      <c r="CQ70" s="229">
        <f t="shared" si="67"/>
        <v>0</v>
      </c>
      <c r="CR70" s="229">
        <f t="shared" si="67"/>
        <v>0</v>
      </c>
      <c r="CS70" s="229">
        <f t="shared" si="67"/>
        <v>0</v>
      </c>
      <c r="CT70" s="229">
        <f t="shared" si="67"/>
        <v>0</v>
      </c>
      <c r="CU70" s="230"/>
      <c r="CV70" s="231"/>
      <c r="CW70" s="231"/>
      <c r="CX70" s="231"/>
      <c r="CY70" s="231"/>
      <c r="CZ70" s="231" t="e">
        <f t="shared" ca="1" si="68"/>
        <v>#N/A</v>
      </c>
      <c r="DA70" s="231"/>
      <c r="DC70" s="231"/>
      <c r="DD70" s="231">
        <f>IF(SUM(DD$24:DD69)=DD$22,0,IF(AND($M70&gt;=DD$15,$M70&lt;(DD$16+1)),DD$22/(DD$16-DD$15+1),0))</f>
        <v>0</v>
      </c>
      <c r="DE70" s="231">
        <f>IF(SUM(DE$24:DE69)=DE$22,0,IF(AND($M70&gt;=DE$15,$M70&lt;(DE$16+1)),DE$22/(DE$16-DE$15+1),0))</f>
        <v>0</v>
      </c>
      <c r="DF70" s="231">
        <f>IF(SUM(DF$24:DF69)=DF$22,0,IF(AND($M70&gt;=DF$15,$M70&lt;(DF$16+1)),DF$22/(DF$16-DF$15+1),0))</f>
        <v>0</v>
      </c>
      <c r="DG70" s="231">
        <f>IF(SUM(DG$24:DG69)=DG$22,0,IF(AND($M70&gt;=DG$15,$M70&lt;(DG$16+1)),DG$22/(DG$16-DG$15+1),0))</f>
        <v>0</v>
      </c>
      <c r="DH70" s="231">
        <f t="shared" ref="DH70:DS89" si="72">IF(AND($M70&gt;=DH$15,$M70&lt;(DH$16+1)),DH$22/(DH$16-DH$15+1),0)</f>
        <v>0</v>
      </c>
      <c r="DI70" s="231">
        <f t="shared" si="72"/>
        <v>0</v>
      </c>
      <c r="DJ70" s="231">
        <f t="shared" si="72"/>
        <v>0</v>
      </c>
      <c r="DK70" s="231">
        <f t="shared" si="72"/>
        <v>0</v>
      </c>
      <c r="DL70" s="231">
        <f t="shared" si="72"/>
        <v>0</v>
      </c>
      <c r="DM70" s="231">
        <f t="shared" si="72"/>
        <v>0</v>
      </c>
      <c r="DN70" s="231">
        <f t="shared" si="72"/>
        <v>0</v>
      </c>
      <c r="DO70" s="231">
        <f t="shared" si="72"/>
        <v>0</v>
      </c>
      <c r="DP70" s="231">
        <f t="shared" si="72"/>
        <v>0</v>
      </c>
      <c r="DQ70" s="231">
        <f t="shared" si="72"/>
        <v>0</v>
      </c>
      <c r="DR70" s="231">
        <f t="shared" si="72"/>
        <v>0</v>
      </c>
      <c r="DS70" s="231">
        <f t="shared" si="25"/>
        <v>0.29866666666666669</v>
      </c>
      <c r="DT70" s="231">
        <f ca="1">IF(SUM(DT$24:DT69)=DT$22,0,IF(AND($M70&gt;=DT$15,$M70&lt;(DT$16+1)),DT$22/(DT$16-DT$15+1),0))</f>
        <v>0</v>
      </c>
      <c r="DU70" s="231">
        <f ca="1">IF(SUM(DU$24:DU69)=DU$22,0,IF(AND($M70&gt;=DU$15,$M70&lt;(DU$16+1)),DU$22/(DU$16-DU$15+1),0))</f>
        <v>0</v>
      </c>
      <c r="DV70" s="231">
        <f ca="1">IF(SUM(DV$24:DV69)=DV$22,0,IF(AND(M70&gt;=DV$15,M70&lt;(DV$16+1)),DV$22/(DV$16-DV$15+1),0))</f>
        <v>0</v>
      </c>
      <c r="DW70" s="231" t="e">
        <f ca="1">IF(SUM(DW$24:DW69)=DW$22,0,IF(AND($M70&gt;=DW$15,$M70&lt;(DW$16+1)),DW$22/(DW$16-DW$15+1),0))</f>
        <v>#N/A</v>
      </c>
      <c r="DX70" s="231">
        <f ca="1">IF(SUM(DX$24:DX69)=DX$22,0,IF(AND($M70&gt;=DX$15,$M70&lt;(DX$16+1)),DX$22/(DX$16-DX$15+1),0))</f>
        <v>0</v>
      </c>
      <c r="DY70" s="231">
        <f ca="1">IF(SUM(DY$24:DY69)=DY$22,0,IF(AND($M70&gt;=DY$15,$M70&lt;(DY$16+1)),DY$22/(DY$16-DY$15+1),0))</f>
        <v>0</v>
      </c>
      <c r="DZ70" s="231">
        <f ca="1">IF(SUM(DZ$24:DZ69)=DZ$22,0,IF(AND($M70&gt;=DZ$15,$M70&lt;(DZ$16+1)),DZ$22/(DZ$16-DZ$15+1),0))</f>
        <v>0</v>
      </c>
      <c r="EA70" s="231" t="e">
        <f ca="1">IF(SUM(EA$24:EA69)=EA$22,0,IF(AND(M70&gt;=EA$15,M70&lt;(EA$16+1)),EA$22/(EA$16-EA$15+1),0))</f>
        <v>#N/A</v>
      </c>
      <c r="EC70" s="234">
        <f t="shared" si="54"/>
        <v>43</v>
      </c>
      <c r="ED70" s="234" t="e">
        <f t="shared" ca="1" si="55"/>
        <v>#N/A</v>
      </c>
      <c r="EE70" s="235" t="e">
        <f t="shared" ca="1" si="56"/>
        <v>#N/A</v>
      </c>
      <c r="EF70" s="234" t="e">
        <f t="shared" ca="1" si="28"/>
        <v>#N/A</v>
      </c>
      <c r="EG70" s="234" t="e">
        <f t="shared" ca="1" si="29"/>
        <v>#N/A</v>
      </c>
      <c r="EH70" s="234" t="e">
        <f t="shared" ca="1" si="34"/>
        <v>#N/A</v>
      </c>
      <c r="EI70" s="234"/>
      <c r="EJ70" s="234"/>
      <c r="EK70" s="153" t="e">
        <f t="shared" ca="1" si="57"/>
        <v>#N/A</v>
      </c>
      <c r="EL70" s="231" t="e">
        <f ca="1">IF(SUM(EL$24:EL69)=EL$22,0,IF(AND($M70&gt;=EL$15,$M70&lt;(EL$16+1)),EL$22/(EL$16-EL$15+1),0))</f>
        <v>#N/A</v>
      </c>
      <c r="EM70" s="153" t="e">
        <f t="shared" ca="1" si="58"/>
        <v>#N/A</v>
      </c>
      <c r="EO70" s="60"/>
      <c r="EP70" s="60"/>
    </row>
    <row r="71" spans="1:153">
      <c r="A71" s="237"/>
      <c r="B71" s="236">
        <f t="shared" si="23"/>
        <v>44</v>
      </c>
      <c r="C71" s="239">
        <f t="shared" si="59"/>
        <v>44898.918100000068</v>
      </c>
      <c r="D71" s="222" t="e">
        <f ca="1">'Offshore INT'!R60</f>
        <v>#N/A</v>
      </c>
      <c r="E71" s="223" t="e">
        <f t="shared" ca="1" si="50"/>
        <v>#N/A</v>
      </c>
      <c r="F71" s="224"/>
      <c r="G71" s="225">
        <f>IF(G70=1,1,SUM($F$24:F71))</f>
        <v>0</v>
      </c>
      <c r="H71" s="226" t="e">
        <f ca="1">IF(H70=0,0,SUM($I$24:I71))</f>
        <v>#N/A</v>
      </c>
      <c r="I71" s="227" t="e">
        <f t="shared" ca="1" si="51"/>
        <v>#N/A</v>
      </c>
      <c r="J71" s="222">
        <f t="shared" ca="1" si="20"/>
        <v>0</v>
      </c>
      <c r="K71" s="60"/>
      <c r="L71" s="241"/>
      <c r="M71" s="241">
        <f t="shared" si="52"/>
        <v>44</v>
      </c>
      <c r="N71" s="239">
        <f t="shared" si="53"/>
        <v>44898.918100000068</v>
      </c>
      <c r="O71" s="229">
        <f t="shared" si="44"/>
        <v>0</v>
      </c>
      <c r="P71" s="229">
        <f t="shared" si="44"/>
        <v>0</v>
      </c>
      <c r="Q71" s="229">
        <f t="shared" si="44"/>
        <v>0</v>
      </c>
      <c r="R71" s="229">
        <f t="shared" si="44"/>
        <v>0</v>
      </c>
      <c r="S71" s="229">
        <f t="shared" si="44"/>
        <v>0</v>
      </c>
      <c r="T71" s="229">
        <f t="shared" si="44"/>
        <v>0</v>
      </c>
      <c r="U71" s="229">
        <f t="shared" si="44"/>
        <v>0</v>
      </c>
      <c r="V71" s="229">
        <f t="shared" si="44"/>
        <v>0</v>
      </c>
      <c r="W71" s="229">
        <f t="shared" si="44"/>
        <v>0</v>
      </c>
      <c r="X71" s="229">
        <f t="shared" si="44"/>
        <v>0</v>
      </c>
      <c r="Y71" s="229">
        <f t="shared" si="44"/>
        <v>0</v>
      </c>
      <c r="Z71" s="229">
        <f t="shared" si="44"/>
        <v>0</v>
      </c>
      <c r="AA71" s="229">
        <f t="shared" si="64"/>
        <v>0</v>
      </c>
      <c r="AB71" s="229">
        <f t="shared" si="64"/>
        <v>0</v>
      </c>
      <c r="AC71" s="229">
        <f t="shared" si="64"/>
        <v>0</v>
      </c>
      <c r="AD71" s="229">
        <f t="shared" si="64"/>
        <v>0</v>
      </c>
      <c r="AE71" s="229">
        <f t="shared" si="64"/>
        <v>0</v>
      </c>
      <c r="AF71" s="229">
        <f t="shared" si="64"/>
        <v>0</v>
      </c>
      <c r="AG71" s="229">
        <f t="shared" si="64"/>
        <v>0</v>
      </c>
      <c r="AH71" s="229">
        <f t="shared" si="64"/>
        <v>0</v>
      </c>
      <c r="AI71" s="229">
        <f t="shared" si="64"/>
        <v>0</v>
      </c>
      <c r="AJ71" s="229">
        <f t="shared" si="64"/>
        <v>0</v>
      </c>
      <c r="AK71" s="229">
        <f t="shared" si="64"/>
        <v>0</v>
      </c>
      <c r="AL71" s="229">
        <f t="shared" si="64"/>
        <v>0</v>
      </c>
      <c r="AM71" s="229">
        <f t="shared" si="71"/>
        <v>0</v>
      </c>
      <c r="AN71" s="229">
        <f t="shared" si="71"/>
        <v>0</v>
      </c>
      <c r="AO71" s="229">
        <f t="shared" si="71"/>
        <v>0</v>
      </c>
      <c r="AP71" s="229">
        <f t="shared" si="64"/>
        <v>0</v>
      </c>
      <c r="AQ71" s="229">
        <f t="shared" si="64"/>
        <v>0</v>
      </c>
      <c r="AR71" s="229">
        <f t="shared" si="64"/>
        <v>0</v>
      </c>
      <c r="AS71" s="229">
        <f t="shared" si="60"/>
        <v>0</v>
      </c>
      <c r="AT71" s="229">
        <f t="shared" si="60"/>
        <v>0</v>
      </c>
      <c r="AU71" s="229">
        <f t="shared" si="60"/>
        <v>0</v>
      </c>
      <c r="AV71" s="229">
        <f t="shared" si="60"/>
        <v>0</v>
      </c>
      <c r="AW71" s="229">
        <f t="shared" si="60"/>
        <v>0</v>
      </c>
      <c r="AX71" s="229">
        <f t="shared" si="64"/>
        <v>0</v>
      </c>
      <c r="AY71" s="229">
        <f t="shared" si="64"/>
        <v>0</v>
      </c>
      <c r="AZ71" s="229">
        <f t="shared" si="64"/>
        <v>0</v>
      </c>
      <c r="BA71" s="229">
        <f t="shared" si="64"/>
        <v>0</v>
      </c>
      <c r="BB71" s="229">
        <f t="shared" si="64"/>
        <v>0</v>
      </c>
      <c r="BC71" s="229">
        <f t="shared" si="64"/>
        <v>0</v>
      </c>
      <c r="BD71" s="229">
        <f t="shared" si="65"/>
        <v>0</v>
      </c>
      <c r="BE71" s="229">
        <f t="shared" si="65"/>
        <v>0</v>
      </c>
      <c r="BF71" s="229">
        <f t="shared" si="65"/>
        <v>0</v>
      </c>
      <c r="BG71" s="229">
        <f t="shared" si="65"/>
        <v>0</v>
      </c>
      <c r="BH71" s="229">
        <f t="shared" si="65"/>
        <v>0</v>
      </c>
      <c r="BI71" s="229">
        <f t="shared" si="65"/>
        <v>0</v>
      </c>
      <c r="BJ71" s="229">
        <f t="shared" si="65"/>
        <v>0</v>
      </c>
      <c r="BK71" s="229">
        <f t="shared" si="65"/>
        <v>0</v>
      </c>
      <c r="BL71" s="229">
        <f t="shared" si="65"/>
        <v>0</v>
      </c>
      <c r="BM71" s="229">
        <f t="shared" si="65"/>
        <v>0</v>
      </c>
      <c r="BN71" s="229">
        <f t="shared" si="65"/>
        <v>0</v>
      </c>
      <c r="BO71" s="229">
        <f t="shared" si="65"/>
        <v>0</v>
      </c>
      <c r="BP71" s="229">
        <f t="shared" si="65"/>
        <v>0</v>
      </c>
      <c r="BQ71" s="229">
        <f t="shared" si="66"/>
        <v>0</v>
      </c>
      <c r="BR71" s="229">
        <f t="shared" si="66"/>
        <v>0</v>
      </c>
      <c r="BS71" s="229">
        <f t="shared" si="66"/>
        <v>0</v>
      </c>
      <c r="BT71" s="229">
        <f t="shared" si="66"/>
        <v>0</v>
      </c>
      <c r="BU71" s="229">
        <f t="shared" si="66"/>
        <v>0</v>
      </c>
      <c r="BV71" s="229">
        <f t="shared" si="66"/>
        <v>0</v>
      </c>
      <c r="BW71" s="229">
        <f t="shared" si="66"/>
        <v>0</v>
      </c>
      <c r="BX71" s="229">
        <f t="shared" si="66"/>
        <v>0</v>
      </c>
      <c r="BY71" s="229">
        <f t="shared" si="66"/>
        <v>0</v>
      </c>
      <c r="BZ71" s="229">
        <f t="shared" si="66"/>
        <v>0</v>
      </c>
      <c r="CA71" s="229">
        <f t="shared" si="66"/>
        <v>0</v>
      </c>
      <c r="CB71" s="229">
        <f t="shared" si="66"/>
        <v>0</v>
      </c>
      <c r="CC71" s="229">
        <f t="shared" si="66"/>
        <v>0</v>
      </c>
      <c r="CD71" s="229">
        <f t="shared" si="67"/>
        <v>0</v>
      </c>
      <c r="CE71" s="229">
        <f t="shared" si="69"/>
        <v>0</v>
      </c>
      <c r="CF71" s="229">
        <f t="shared" si="67"/>
        <v>0</v>
      </c>
      <c r="CG71" s="229">
        <f t="shared" si="67"/>
        <v>0</v>
      </c>
      <c r="CH71" s="229">
        <f t="shared" si="67"/>
        <v>0</v>
      </c>
      <c r="CI71" s="229">
        <f t="shared" si="67"/>
        <v>0</v>
      </c>
      <c r="CJ71" s="229">
        <f t="shared" si="70"/>
        <v>0</v>
      </c>
      <c r="CK71" s="229">
        <f t="shared" si="67"/>
        <v>0</v>
      </c>
      <c r="CL71" s="229">
        <f t="shared" si="67"/>
        <v>0</v>
      </c>
      <c r="CM71" s="229">
        <f t="shared" si="67"/>
        <v>0</v>
      </c>
      <c r="CN71" s="229">
        <f t="shared" si="67"/>
        <v>0</v>
      </c>
      <c r="CO71" s="229">
        <f t="shared" si="63"/>
        <v>0</v>
      </c>
      <c r="CP71" s="229">
        <f t="shared" si="63"/>
        <v>0</v>
      </c>
      <c r="CQ71" s="229">
        <f t="shared" si="67"/>
        <v>0</v>
      </c>
      <c r="CR71" s="229">
        <f t="shared" si="67"/>
        <v>0</v>
      </c>
      <c r="CS71" s="229">
        <f t="shared" si="67"/>
        <v>0</v>
      </c>
      <c r="CT71" s="229">
        <f t="shared" si="67"/>
        <v>0</v>
      </c>
      <c r="CU71" s="230"/>
      <c r="CV71" s="231"/>
      <c r="CW71" s="231"/>
      <c r="CX71" s="231"/>
      <c r="CY71" s="231"/>
      <c r="CZ71" s="231" t="e">
        <f t="shared" ca="1" si="68"/>
        <v>#N/A</v>
      </c>
      <c r="DA71" s="231"/>
      <c r="DC71" s="231"/>
      <c r="DD71" s="231">
        <f>IF(SUM(DD$24:DD70)=DD$22,0,IF(AND($M71&gt;=DD$15,$M71&lt;(DD$16+1)),DD$22/(DD$16-DD$15+1),0))</f>
        <v>0</v>
      </c>
      <c r="DE71" s="231">
        <f>IF(SUM(DE$24:DE70)=DE$22,0,IF(AND($M71&gt;=DE$15,$M71&lt;(DE$16+1)),DE$22/(DE$16-DE$15+1),0))</f>
        <v>0</v>
      </c>
      <c r="DF71" s="231">
        <f>IF(SUM(DF$24:DF70)=DF$22,0,IF(AND($M71&gt;=DF$15,$M71&lt;(DF$16+1)),DF$22/(DF$16-DF$15+1),0))</f>
        <v>0</v>
      </c>
      <c r="DG71" s="231">
        <f>IF(SUM(DG$24:DG70)=DG$22,0,IF(AND($M71&gt;=DG$15,$M71&lt;(DG$16+1)),DG$22/(DG$16-DG$15+1),0))</f>
        <v>0</v>
      </c>
      <c r="DH71" s="231">
        <f t="shared" si="72"/>
        <v>0</v>
      </c>
      <c r="DI71" s="231">
        <f t="shared" si="72"/>
        <v>0</v>
      </c>
      <c r="DJ71" s="231">
        <f t="shared" si="72"/>
        <v>0</v>
      </c>
      <c r="DK71" s="231">
        <f t="shared" si="72"/>
        <v>0</v>
      </c>
      <c r="DL71" s="231">
        <f t="shared" si="72"/>
        <v>0</v>
      </c>
      <c r="DM71" s="231">
        <f t="shared" si="72"/>
        <v>0</v>
      </c>
      <c r="DN71" s="231">
        <f t="shared" si="72"/>
        <v>0</v>
      </c>
      <c r="DO71" s="231">
        <f t="shared" si="72"/>
        <v>0</v>
      </c>
      <c r="DP71" s="231">
        <f t="shared" si="72"/>
        <v>0</v>
      </c>
      <c r="DQ71" s="231">
        <f t="shared" si="72"/>
        <v>0</v>
      </c>
      <c r="DR71" s="231">
        <f t="shared" si="72"/>
        <v>0</v>
      </c>
      <c r="DS71" s="231">
        <f t="shared" si="25"/>
        <v>0.29866666666666669</v>
      </c>
      <c r="DT71" s="231">
        <f ca="1">IF(SUM(DT$24:DT70)=DT$22,0,IF(AND($M71&gt;=DT$15,$M71&lt;(DT$16+1)),DT$22/(DT$16-DT$15+1),0))</f>
        <v>0</v>
      </c>
      <c r="DU71" s="231">
        <f ca="1">IF(SUM(DU$24:DU70)=DU$22,0,IF(AND($M71&gt;=DU$15,$M71&lt;(DU$16+1)),DU$22/(DU$16-DU$15+1),0))</f>
        <v>0</v>
      </c>
      <c r="DV71" s="231">
        <f ca="1">IF(SUM(DV$24:DV70)=DV$22,0,IF(AND(M71&gt;=DV$15,M71&lt;(DV$16+1)),DV$22/(DV$16-DV$15+1),0))</f>
        <v>0</v>
      </c>
      <c r="DW71" s="231" t="e">
        <f ca="1">IF(SUM(DW$24:DW70)=DW$22,0,IF(AND($M71&gt;=DW$15,$M71&lt;(DW$16+1)),DW$22/(DW$16-DW$15+1),0))</f>
        <v>#N/A</v>
      </c>
      <c r="DX71" s="231">
        <f ca="1">IF(SUM(DX$24:DX70)=DX$22,0,IF(AND($M71&gt;=DX$15,$M71&lt;(DX$16+1)),DX$22/(DX$16-DX$15+1),0))</f>
        <v>0</v>
      </c>
      <c r="DY71" s="231">
        <f ca="1">IF(SUM(DY$24:DY70)=DY$22,0,IF(AND($M71&gt;=DY$15,$M71&lt;(DY$16+1)),DY$22/(DY$16-DY$15+1),0))</f>
        <v>0</v>
      </c>
      <c r="DZ71" s="231">
        <f ca="1">IF(SUM(DZ$24:DZ70)=DZ$22,0,IF(AND($M71&gt;=DZ$15,$M71&lt;(DZ$16+1)),DZ$22/(DZ$16-DZ$15+1),0))</f>
        <v>0</v>
      </c>
      <c r="EA71" s="231" t="e">
        <f ca="1">IF(SUM(EA$24:EA70)=EA$22,0,IF(AND(M71&gt;=EA$15,M71&lt;(EA$16+1)),EA$22/(EA$16-EA$15+1),0))</f>
        <v>#N/A</v>
      </c>
      <c r="EC71" s="234">
        <f t="shared" si="54"/>
        <v>44</v>
      </c>
      <c r="ED71" s="234" t="e">
        <f t="shared" ca="1" si="55"/>
        <v>#N/A</v>
      </c>
      <c r="EE71" s="235" t="e">
        <f t="shared" ca="1" si="56"/>
        <v>#N/A</v>
      </c>
      <c r="EF71" s="234" t="e">
        <f t="shared" ca="1" si="28"/>
        <v>#N/A</v>
      </c>
      <c r="EG71" s="234" t="e">
        <f t="shared" ca="1" si="29"/>
        <v>#N/A</v>
      </c>
      <c r="EH71" s="234" t="e">
        <f t="shared" ca="1" si="34"/>
        <v>#N/A</v>
      </c>
      <c r="EI71" s="234"/>
      <c r="EJ71" s="234"/>
      <c r="EK71" s="153" t="e">
        <f t="shared" ca="1" si="57"/>
        <v>#N/A</v>
      </c>
      <c r="EL71" s="231" t="e">
        <f ca="1">IF(SUM(EL$24:EL70)=EL$22,0,IF(AND($M71&gt;=EL$15,$M71&lt;(EL$16+1)),EL$22/(EL$16-EL$15+1),0))</f>
        <v>#N/A</v>
      </c>
      <c r="EM71" s="153" t="e">
        <f t="shared" ca="1" si="58"/>
        <v>#N/A</v>
      </c>
      <c r="EO71" s="60"/>
      <c r="EP71" s="60"/>
    </row>
    <row r="72" spans="1:153">
      <c r="A72" s="246" t="s">
        <v>116</v>
      </c>
      <c r="B72" s="236">
        <f t="shared" si="23"/>
        <v>45</v>
      </c>
      <c r="C72" s="221">
        <f t="shared" si="59"/>
        <v>44929.33480000007</v>
      </c>
      <c r="D72" s="222" t="e">
        <f ca="1">'Offshore INT'!R61</f>
        <v>#N/A</v>
      </c>
      <c r="E72" s="223" t="e">
        <f t="shared" ca="1" si="50"/>
        <v>#N/A</v>
      </c>
      <c r="F72" s="224"/>
      <c r="G72" s="225">
        <f>IF(G71=1,1,SUM($F$24:F72))</f>
        <v>0</v>
      </c>
      <c r="H72" s="226" t="e">
        <f ca="1">IF(H71=0,0,SUM($I$24:I72))</f>
        <v>#N/A</v>
      </c>
      <c r="I72" s="227" t="e">
        <f t="shared" ca="1" si="51"/>
        <v>#N/A</v>
      </c>
      <c r="J72" s="222">
        <f t="shared" ca="1" si="20"/>
        <v>0</v>
      </c>
      <c r="K72" s="60"/>
      <c r="L72" s="242" t="str">
        <f>A72</f>
        <v>Yr 5</v>
      </c>
      <c r="M72" s="228">
        <f t="shared" si="52"/>
        <v>45</v>
      </c>
      <c r="N72" s="221">
        <f t="shared" si="53"/>
        <v>44929.33480000007</v>
      </c>
      <c r="O72" s="229">
        <f t="shared" si="44"/>
        <v>0</v>
      </c>
      <c r="P72" s="229">
        <f t="shared" si="44"/>
        <v>0</v>
      </c>
      <c r="Q72" s="229">
        <f t="shared" si="44"/>
        <v>0</v>
      </c>
      <c r="R72" s="229">
        <f t="shared" si="44"/>
        <v>0</v>
      </c>
      <c r="S72" s="229">
        <f t="shared" si="44"/>
        <v>0</v>
      </c>
      <c r="T72" s="229">
        <f t="shared" si="44"/>
        <v>0</v>
      </c>
      <c r="U72" s="229">
        <f t="shared" si="44"/>
        <v>0</v>
      </c>
      <c r="V72" s="229">
        <f t="shared" si="44"/>
        <v>0</v>
      </c>
      <c r="W72" s="229">
        <f t="shared" si="44"/>
        <v>0</v>
      </c>
      <c r="X72" s="229">
        <f t="shared" si="44"/>
        <v>0</v>
      </c>
      <c r="Y72" s="229">
        <f t="shared" si="44"/>
        <v>0</v>
      </c>
      <c r="Z72" s="229">
        <f t="shared" si="44"/>
        <v>0</v>
      </c>
      <c r="AA72" s="229">
        <f t="shared" si="64"/>
        <v>0</v>
      </c>
      <c r="AB72" s="229">
        <f t="shared" si="64"/>
        <v>0</v>
      </c>
      <c r="AC72" s="229">
        <f t="shared" si="64"/>
        <v>0</v>
      </c>
      <c r="AD72" s="229">
        <f t="shared" si="64"/>
        <v>0</v>
      </c>
      <c r="AE72" s="229">
        <f t="shared" si="64"/>
        <v>0</v>
      </c>
      <c r="AF72" s="229">
        <f t="shared" si="64"/>
        <v>0</v>
      </c>
      <c r="AG72" s="229">
        <f t="shared" si="64"/>
        <v>0</v>
      </c>
      <c r="AH72" s="229">
        <f t="shared" si="64"/>
        <v>0</v>
      </c>
      <c r="AI72" s="229">
        <f t="shared" si="64"/>
        <v>0</v>
      </c>
      <c r="AJ72" s="229">
        <f t="shared" si="64"/>
        <v>0</v>
      </c>
      <c r="AK72" s="229">
        <f t="shared" si="64"/>
        <v>0</v>
      </c>
      <c r="AL72" s="229">
        <f t="shared" si="64"/>
        <v>0</v>
      </c>
      <c r="AM72" s="229">
        <f t="shared" si="71"/>
        <v>0</v>
      </c>
      <c r="AN72" s="229">
        <f t="shared" si="71"/>
        <v>0</v>
      </c>
      <c r="AO72" s="229">
        <f t="shared" si="71"/>
        <v>0</v>
      </c>
      <c r="AP72" s="229">
        <f t="shared" si="64"/>
        <v>0</v>
      </c>
      <c r="AQ72" s="229">
        <f t="shared" si="64"/>
        <v>0</v>
      </c>
      <c r="AR72" s="229">
        <f t="shared" si="64"/>
        <v>0</v>
      </c>
      <c r="AS72" s="229">
        <f t="shared" si="60"/>
        <v>0</v>
      </c>
      <c r="AT72" s="229">
        <f t="shared" si="60"/>
        <v>0</v>
      </c>
      <c r="AU72" s="229">
        <f t="shared" si="60"/>
        <v>0</v>
      </c>
      <c r="AV72" s="229">
        <f t="shared" si="60"/>
        <v>0</v>
      </c>
      <c r="AW72" s="229">
        <f t="shared" si="60"/>
        <v>0</v>
      </c>
      <c r="AX72" s="229">
        <f t="shared" si="64"/>
        <v>0</v>
      </c>
      <c r="AY72" s="229">
        <f t="shared" si="64"/>
        <v>0</v>
      </c>
      <c r="AZ72" s="229">
        <f t="shared" si="64"/>
        <v>0</v>
      </c>
      <c r="BA72" s="229">
        <f t="shared" si="64"/>
        <v>0</v>
      </c>
      <c r="BB72" s="229">
        <f t="shared" si="64"/>
        <v>0</v>
      </c>
      <c r="BC72" s="229">
        <f t="shared" si="64"/>
        <v>0</v>
      </c>
      <c r="BD72" s="229">
        <f t="shared" si="65"/>
        <v>0</v>
      </c>
      <c r="BE72" s="229">
        <f t="shared" si="65"/>
        <v>0</v>
      </c>
      <c r="BF72" s="229">
        <f t="shared" si="65"/>
        <v>0</v>
      </c>
      <c r="BG72" s="229">
        <f t="shared" si="65"/>
        <v>0</v>
      </c>
      <c r="BH72" s="229">
        <f t="shared" si="65"/>
        <v>0</v>
      </c>
      <c r="BI72" s="229">
        <f t="shared" si="65"/>
        <v>0</v>
      </c>
      <c r="BJ72" s="229">
        <f t="shared" si="65"/>
        <v>0</v>
      </c>
      <c r="BK72" s="229">
        <f t="shared" si="65"/>
        <v>0</v>
      </c>
      <c r="BL72" s="229">
        <f t="shared" si="65"/>
        <v>0</v>
      </c>
      <c r="BM72" s="229">
        <f t="shared" si="65"/>
        <v>0</v>
      </c>
      <c r="BN72" s="229">
        <f t="shared" si="65"/>
        <v>0</v>
      </c>
      <c r="BO72" s="229">
        <f t="shared" si="65"/>
        <v>0</v>
      </c>
      <c r="BP72" s="229">
        <f t="shared" si="65"/>
        <v>0</v>
      </c>
      <c r="BQ72" s="229">
        <f t="shared" si="66"/>
        <v>0</v>
      </c>
      <c r="BR72" s="229">
        <f t="shared" si="66"/>
        <v>0</v>
      </c>
      <c r="BS72" s="229">
        <f t="shared" si="66"/>
        <v>0</v>
      </c>
      <c r="BT72" s="229">
        <f t="shared" si="66"/>
        <v>0</v>
      </c>
      <c r="BU72" s="229">
        <f t="shared" si="66"/>
        <v>0</v>
      </c>
      <c r="BV72" s="229">
        <f t="shared" si="66"/>
        <v>0</v>
      </c>
      <c r="BW72" s="229">
        <f t="shared" si="66"/>
        <v>0</v>
      </c>
      <c r="BX72" s="229">
        <f t="shared" si="66"/>
        <v>0</v>
      </c>
      <c r="BY72" s="229">
        <f t="shared" si="66"/>
        <v>0</v>
      </c>
      <c r="BZ72" s="229">
        <f t="shared" si="66"/>
        <v>0</v>
      </c>
      <c r="CA72" s="229">
        <f t="shared" si="66"/>
        <v>0</v>
      </c>
      <c r="CB72" s="229">
        <f t="shared" si="66"/>
        <v>0</v>
      </c>
      <c r="CC72" s="229">
        <f t="shared" si="66"/>
        <v>0</v>
      </c>
      <c r="CD72" s="229">
        <f t="shared" si="67"/>
        <v>0</v>
      </c>
      <c r="CE72" s="229">
        <f t="shared" si="69"/>
        <v>0</v>
      </c>
      <c r="CF72" s="229">
        <f t="shared" si="67"/>
        <v>0</v>
      </c>
      <c r="CG72" s="229">
        <f t="shared" si="67"/>
        <v>0</v>
      </c>
      <c r="CH72" s="229">
        <f t="shared" si="67"/>
        <v>0</v>
      </c>
      <c r="CI72" s="229">
        <f t="shared" si="67"/>
        <v>0</v>
      </c>
      <c r="CJ72" s="229">
        <f t="shared" si="70"/>
        <v>0</v>
      </c>
      <c r="CK72" s="229">
        <f t="shared" si="67"/>
        <v>0</v>
      </c>
      <c r="CL72" s="229">
        <f t="shared" si="67"/>
        <v>0</v>
      </c>
      <c r="CM72" s="229">
        <f t="shared" si="67"/>
        <v>0</v>
      </c>
      <c r="CN72" s="229">
        <f t="shared" si="67"/>
        <v>0</v>
      </c>
      <c r="CO72" s="229">
        <f t="shared" si="63"/>
        <v>0</v>
      </c>
      <c r="CP72" s="229">
        <f t="shared" si="63"/>
        <v>0</v>
      </c>
      <c r="CQ72" s="229">
        <f t="shared" si="67"/>
        <v>0</v>
      </c>
      <c r="CR72" s="229">
        <f t="shared" si="67"/>
        <v>0</v>
      </c>
      <c r="CS72" s="229">
        <f t="shared" si="67"/>
        <v>0</v>
      </c>
      <c r="CT72" s="229">
        <f t="shared" si="67"/>
        <v>0</v>
      </c>
      <c r="CU72" s="230"/>
      <c r="CV72" s="243"/>
      <c r="CW72" s="243"/>
      <c r="CX72" s="243"/>
      <c r="CY72" s="243"/>
      <c r="CZ72" s="231" t="e">
        <f t="shared" ca="1" si="68"/>
        <v>#N/A</v>
      </c>
      <c r="DA72" s="243"/>
      <c r="DB72" s="231" t="e">
        <f ca="1">$DB$22/24</f>
        <v>#N/A</v>
      </c>
      <c r="DC72" s="231"/>
      <c r="DD72" s="231">
        <f>IF(SUM(DD$24:DD71)=DD$22,0,IF(AND($M72&gt;=DD$15,$M72&lt;(DD$16+1)),DD$22/(DD$16-DD$15+1),0))</f>
        <v>0</v>
      </c>
      <c r="DE72" s="231">
        <f>IF(SUM(DE$24:DE71)=DE$22,0,IF(AND($M72&gt;=DE$15,$M72&lt;(DE$16+1)),DE$22/(DE$16-DE$15+1),0))</f>
        <v>0</v>
      </c>
      <c r="DF72" s="231">
        <f>IF(SUM(DF$24:DF71)=DF$22,0,IF(AND($M72&gt;=DF$15,$M72&lt;(DF$16+1)),DF$22/(DF$16-DF$15+1),0))</f>
        <v>0</v>
      </c>
      <c r="DG72" s="231">
        <f>IF(SUM(DG$24:DG71)=DG$22,0,IF(AND($M72&gt;=DG$15,$M72&lt;(DG$16+1)),DG$22/(DG$16-DG$15+1),0))</f>
        <v>0</v>
      </c>
      <c r="DH72" s="231">
        <f t="shared" si="72"/>
        <v>0</v>
      </c>
      <c r="DI72" s="231">
        <f t="shared" si="72"/>
        <v>0</v>
      </c>
      <c r="DJ72" s="231">
        <f t="shared" si="72"/>
        <v>0</v>
      </c>
      <c r="DK72" s="231">
        <f t="shared" si="72"/>
        <v>0</v>
      </c>
      <c r="DL72" s="231">
        <f t="shared" si="72"/>
        <v>0</v>
      </c>
      <c r="DM72" s="231">
        <f t="shared" si="72"/>
        <v>0</v>
      </c>
      <c r="DN72" s="231">
        <f t="shared" si="72"/>
        <v>0</v>
      </c>
      <c r="DO72" s="231">
        <f t="shared" si="72"/>
        <v>0</v>
      </c>
      <c r="DP72" s="231">
        <f t="shared" si="72"/>
        <v>0</v>
      </c>
      <c r="DQ72" s="231">
        <f t="shared" si="72"/>
        <v>0</v>
      </c>
      <c r="DR72" s="231">
        <f t="shared" si="72"/>
        <v>0</v>
      </c>
      <c r="DS72" s="231">
        <f t="shared" si="25"/>
        <v>0.29866666666666669</v>
      </c>
      <c r="DT72" s="231">
        <f ca="1">IF(SUM(DT$24:DT71)=DT$22,0,IF(AND($M72&gt;=DT$15,$M72&lt;(DT$16+1)),DT$22/(DT$16-DT$15+1),0))</f>
        <v>0</v>
      </c>
      <c r="DU72" s="231">
        <f ca="1">IF(SUM(DU$24:DU71)=DU$22,0,IF(AND($M72&gt;=DU$15,$M72&lt;(DU$16+1)),DU$22/(DU$16-DU$15+1),0))</f>
        <v>0</v>
      </c>
      <c r="DV72" s="231">
        <f ca="1">IF(SUM(DV$24:DV71)=DV$22,0,IF(AND(M72&gt;=DV$15,M72&lt;(DV$16+1)),DV$22/(DV$16-DV$15+1),0))</f>
        <v>0</v>
      </c>
      <c r="DW72" s="231" t="e">
        <f ca="1">IF(SUM(DW$24:DW71)=DW$22,0,IF(AND($M72&gt;=DW$15,$M72&lt;(DW$16+1)),DW$22/(DW$16-DW$15+1),0))</f>
        <v>#N/A</v>
      </c>
      <c r="DX72" s="231">
        <f ca="1">IF(SUM(DX$24:DX71)=DX$22,0,IF(AND($M72&gt;=DX$15,$M72&lt;(DX$16+1)),DX$22/(DX$16-DX$15+1),0))</f>
        <v>0</v>
      </c>
      <c r="DY72" s="231">
        <f ca="1">IF(SUM(DY$24:DY71)=DY$22,0,IF(AND($M72&gt;=DY$15,$M72&lt;(DY$16+1)),DY$22/(DY$16-DY$15+1),0))</f>
        <v>0</v>
      </c>
      <c r="DZ72" s="231">
        <f ca="1">IF(SUM(DZ$24:DZ71)=DZ$22,0,IF(AND($M72&gt;=DZ$15,$M72&lt;(DZ$16+1)),DZ$22/(DZ$16-DZ$15+1),0))</f>
        <v>0</v>
      </c>
      <c r="EA72" s="231" t="e">
        <f ca="1">IF(SUM(EA$24:EA71)=EA$22,0,IF(AND(M72&gt;=EA$15,M72&lt;(EA$16+1)),EA$22/(EA$16-EA$15+1),0))</f>
        <v>#N/A</v>
      </c>
      <c r="EC72" s="234">
        <f t="shared" si="54"/>
        <v>45</v>
      </c>
      <c r="ED72" s="234" t="e">
        <f t="shared" ca="1" si="55"/>
        <v>#N/A</v>
      </c>
      <c r="EE72" s="235" t="e">
        <f t="shared" ca="1" si="56"/>
        <v>#N/A</v>
      </c>
      <c r="EF72" s="234" t="e">
        <f t="shared" ca="1" si="28"/>
        <v>#N/A</v>
      </c>
      <c r="EG72" s="234" t="e">
        <f t="shared" ca="1" si="29"/>
        <v>#N/A</v>
      </c>
      <c r="EH72" s="234" t="e">
        <f t="shared" ca="1" si="34"/>
        <v>#N/A</v>
      </c>
      <c r="EI72" s="234"/>
      <c r="EJ72" s="234"/>
      <c r="EK72" s="153" t="e">
        <f t="shared" ca="1" si="57"/>
        <v>#N/A</v>
      </c>
      <c r="EL72" s="231" t="e">
        <f ca="1">IF(SUM(EL$24:EL71)=EL$22,0,IF(AND($M72&gt;=EL$15,$M72&lt;(EL$16+1)),EL$22/(EL$16-EL$15+1),0))</f>
        <v>#N/A</v>
      </c>
      <c r="EM72" s="153" t="e">
        <f t="shared" ca="1" si="58"/>
        <v>#N/A</v>
      </c>
      <c r="EO72" s="60"/>
      <c r="EP72" s="60"/>
    </row>
    <row r="73" spans="1:153">
      <c r="A73" s="247"/>
      <c r="B73" s="236">
        <f t="shared" si="23"/>
        <v>46</v>
      </c>
      <c r="C73" s="221">
        <f t="shared" si="59"/>
        <v>44959.751500000071</v>
      </c>
      <c r="D73" s="222" t="e">
        <f ca="1">'Offshore INT'!R62</f>
        <v>#N/A</v>
      </c>
      <c r="E73" s="223" t="e">
        <f t="shared" ca="1" si="50"/>
        <v>#N/A</v>
      </c>
      <c r="F73" s="224"/>
      <c r="G73" s="225">
        <f>IF(G72=1,1,SUM($F$24:F73))</f>
        <v>0</v>
      </c>
      <c r="H73" s="226" t="e">
        <f ca="1">IF(H72=0,0,SUM($I$24:I73))</f>
        <v>#N/A</v>
      </c>
      <c r="I73" s="227" t="e">
        <f t="shared" ca="1" si="51"/>
        <v>#N/A</v>
      </c>
      <c r="J73" s="222">
        <f t="shared" ca="1" si="20"/>
        <v>0</v>
      </c>
      <c r="K73" s="60"/>
      <c r="L73" s="242"/>
      <c r="M73" s="228">
        <f t="shared" si="52"/>
        <v>46</v>
      </c>
      <c r="N73" s="221">
        <f t="shared" si="53"/>
        <v>44959.751500000071</v>
      </c>
      <c r="O73" s="229">
        <f t="shared" ref="O73:Z92" si="73">IF($M73=O$13,O$22*O$3,IF($M73=O$14,O$22*O$4,IF($M73=O$15,O$22*O$5,IF($M73=O$16,O$22*O$6,IF($M73=O$17,O$22*O$7,IF($M73=O$18,O$22*O$8,IF($M73=O$19,O$22*O$9,IF($M73=O$20,O$22*O$10,0))))))))</f>
        <v>0</v>
      </c>
      <c r="P73" s="229">
        <f t="shared" si="73"/>
        <v>0</v>
      </c>
      <c r="Q73" s="229">
        <f t="shared" si="73"/>
        <v>0</v>
      </c>
      <c r="R73" s="229">
        <f t="shared" si="73"/>
        <v>0</v>
      </c>
      <c r="S73" s="229">
        <f t="shared" si="73"/>
        <v>0</v>
      </c>
      <c r="T73" s="229">
        <f t="shared" si="73"/>
        <v>0</v>
      </c>
      <c r="U73" s="229">
        <f t="shared" si="73"/>
        <v>0</v>
      </c>
      <c r="V73" s="229">
        <f t="shared" si="73"/>
        <v>0</v>
      </c>
      <c r="W73" s="229">
        <f t="shared" si="73"/>
        <v>0</v>
      </c>
      <c r="X73" s="229">
        <f t="shared" si="73"/>
        <v>0</v>
      </c>
      <c r="Y73" s="229">
        <f t="shared" si="73"/>
        <v>0</v>
      </c>
      <c r="Z73" s="229">
        <f t="shared" si="73"/>
        <v>0</v>
      </c>
      <c r="AA73" s="229">
        <f>IF($M73=AA$13,AA$22*AA$3,IF($M73=AA$14,AA$22*AA$4,IF($M73=AA$15,AA$22*AA$5,IF($M73=AA$16,AA$22*AA$6,IF($M73=AA$17,AA$22*AA$7,IF($M73=AA$18,AA$22*AA$8,IF($M73=AA$19,AA$22*AA$9,IF($M73=AA$20,AA$22*AA$10,0))))))))</f>
        <v>0</v>
      </c>
      <c r="AB73" s="229">
        <f t="shared" si="64"/>
        <v>0</v>
      </c>
      <c r="AC73" s="229">
        <f t="shared" si="64"/>
        <v>0</v>
      </c>
      <c r="AD73" s="229">
        <f t="shared" si="64"/>
        <v>0</v>
      </c>
      <c r="AE73" s="229">
        <f t="shared" si="64"/>
        <v>0</v>
      </c>
      <c r="AF73" s="229">
        <f t="shared" si="64"/>
        <v>0</v>
      </c>
      <c r="AG73" s="229">
        <f t="shared" si="64"/>
        <v>0</v>
      </c>
      <c r="AH73" s="229">
        <f t="shared" si="64"/>
        <v>0</v>
      </c>
      <c r="AI73" s="229">
        <f t="shared" si="64"/>
        <v>0</v>
      </c>
      <c r="AJ73" s="229">
        <f t="shared" si="64"/>
        <v>0</v>
      </c>
      <c r="AK73" s="229">
        <f t="shared" si="64"/>
        <v>0</v>
      </c>
      <c r="AL73" s="229">
        <f t="shared" si="64"/>
        <v>0</v>
      </c>
      <c r="AM73" s="229">
        <f t="shared" si="71"/>
        <v>0</v>
      </c>
      <c r="AN73" s="229">
        <f t="shared" si="71"/>
        <v>0</v>
      </c>
      <c r="AO73" s="229">
        <f t="shared" si="71"/>
        <v>0</v>
      </c>
      <c r="AP73" s="229">
        <f t="shared" si="64"/>
        <v>0</v>
      </c>
      <c r="AQ73" s="229">
        <f t="shared" si="64"/>
        <v>0</v>
      </c>
      <c r="AR73" s="229">
        <f t="shared" si="64"/>
        <v>0</v>
      </c>
      <c r="AS73" s="229">
        <f t="shared" si="60"/>
        <v>0</v>
      </c>
      <c r="AT73" s="229">
        <f t="shared" si="60"/>
        <v>0</v>
      </c>
      <c r="AU73" s="229">
        <f t="shared" si="60"/>
        <v>0</v>
      </c>
      <c r="AV73" s="229">
        <f t="shared" si="60"/>
        <v>0</v>
      </c>
      <c r="AW73" s="229">
        <f t="shared" si="60"/>
        <v>0</v>
      </c>
      <c r="AX73" s="229">
        <f t="shared" si="64"/>
        <v>0</v>
      </c>
      <c r="AY73" s="229">
        <f t="shared" si="64"/>
        <v>0</v>
      </c>
      <c r="AZ73" s="229">
        <f>IF($M73=AZ$13,AZ$22*AZ$3,IF($M73=AZ$14,AZ$22*AZ$4,IF($M73=AZ$15,AZ$22*AZ$5,IF($M73=AZ$16,AZ$22*AZ$6,IF($M73=AZ$17,AZ$22*AZ$7,IF($M73=AZ$18,AZ$22*AZ$8,IF($M73=AZ$19,AZ$22*AZ$9,IF($M73=AZ$20,AZ$22*AZ$10,0))))))))</f>
        <v>0</v>
      </c>
      <c r="BA73" s="229">
        <f t="shared" si="64"/>
        <v>0</v>
      </c>
      <c r="BB73" s="229">
        <f>IF($M73=BB$13,BB$22*BB$3,IF($M73=BB$14,BB$22*BB$4,IF($M73=BB$15,BB$22*BB$5,IF($M73=BB$16,BB$22*BB$6,IF($M73=BB$17,BB$22*BB$7,IF($M73=BB$18,BB$22*BB$8,IF($M73=BB$19,BB$22*BB$9,IF($M73=BB$20,BB$22*BB$10,0))))))))</f>
        <v>0</v>
      </c>
      <c r="BC73" s="229">
        <f>IF($M73=BC$13,BC$22*BC$3,IF($M73=BC$14,BC$22*BC$4,IF($M73=BC$15,BC$22*BC$5,IF($M73=BC$16,BC$22*BC$6,IF($M73=BC$17,BC$22*BC$7,IF($M73=BC$18,BC$22*BC$8,IF($M73=BC$19,BC$22*BC$9,IF($M73=BC$20,BC$22*BC$10,0))))))))</f>
        <v>0</v>
      </c>
      <c r="BD73" s="229">
        <f t="shared" si="65"/>
        <v>0</v>
      </c>
      <c r="BE73" s="229">
        <f t="shared" si="65"/>
        <v>0</v>
      </c>
      <c r="BF73" s="229">
        <f t="shared" si="65"/>
        <v>0</v>
      </c>
      <c r="BG73" s="229">
        <f t="shared" si="65"/>
        <v>0</v>
      </c>
      <c r="BH73" s="229">
        <f t="shared" si="65"/>
        <v>0</v>
      </c>
      <c r="BI73" s="229">
        <f t="shared" si="65"/>
        <v>0</v>
      </c>
      <c r="BJ73" s="229">
        <f t="shared" si="65"/>
        <v>0</v>
      </c>
      <c r="BK73" s="229">
        <f t="shared" si="65"/>
        <v>0</v>
      </c>
      <c r="BL73" s="229">
        <f t="shared" si="65"/>
        <v>0</v>
      </c>
      <c r="BM73" s="229">
        <f t="shared" si="65"/>
        <v>0</v>
      </c>
      <c r="BN73" s="229">
        <f t="shared" si="65"/>
        <v>0</v>
      </c>
      <c r="BO73" s="229">
        <f t="shared" si="65"/>
        <v>0</v>
      </c>
      <c r="BP73" s="229">
        <f t="shared" si="65"/>
        <v>0</v>
      </c>
      <c r="BQ73" s="229">
        <f t="shared" si="66"/>
        <v>0</v>
      </c>
      <c r="BR73" s="229">
        <f t="shared" si="66"/>
        <v>0</v>
      </c>
      <c r="BS73" s="229">
        <f t="shared" si="66"/>
        <v>0</v>
      </c>
      <c r="BT73" s="229">
        <f t="shared" si="66"/>
        <v>0</v>
      </c>
      <c r="BU73" s="229">
        <f t="shared" si="66"/>
        <v>0</v>
      </c>
      <c r="BV73" s="229">
        <f t="shared" si="66"/>
        <v>0</v>
      </c>
      <c r="BW73" s="229">
        <f t="shared" si="66"/>
        <v>0</v>
      </c>
      <c r="BX73" s="229">
        <f t="shared" si="66"/>
        <v>0</v>
      </c>
      <c r="BY73" s="229">
        <f t="shared" si="66"/>
        <v>0</v>
      </c>
      <c r="BZ73" s="229">
        <f t="shared" si="66"/>
        <v>0</v>
      </c>
      <c r="CA73" s="229">
        <f t="shared" si="66"/>
        <v>0</v>
      </c>
      <c r="CB73" s="229">
        <f t="shared" si="66"/>
        <v>0</v>
      </c>
      <c r="CC73" s="229">
        <f t="shared" si="66"/>
        <v>0</v>
      </c>
      <c r="CD73" s="229">
        <f t="shared" si="67"/>
        <v>0</v>
      </c>
      <c r="CE73" s="229">
        <f t="shared" si="69"/>
        <v>0</v>
      </c>
      <c r="CF73" s="229">
        <f t="shared" si="67"/>
        <v>0</v>
      </c>
      <c r="CG73" s="229">
        <f t="shared" si="67"/>
        <v>0</v>
      </c>
      <c r="CH73" s="229">
        <f t="shared" si="67"/>
        <v>0</v>
      </c>
      <c r="CI73" s="229">
        <f t="shared" si="67"/>
        <v>0</v>
      </c>
      <c r="CJ73" s="229">
        <f t="shared" si="70"/>
        <v>0</v>
      </c>
      <c r="CK73" s="229">
        <f t="shared" si="67"/>
        <v>0</v>
      </c>
      <c r="CL73" s="229">
        <f t="shared" si="67"/>
        <v>0</v>
      </c>
      <c r="CM73" s="229">
        <f t="shared" si="67"/>
        <v>0</v>
      </c>
      <c r="CN73" s="229">
        <f t="shared" si="67"/>
        <v>0</v>
      </c>
      <c r="CO73" s="229">
        <f t="shared" si="63"/>
        <v>0</v>
      </c>
      <c r="CP73" s="229">
        <f t="shared" si="63"/>
        <v>0</v>
      </c>
      <c r="CQ73" s="229">
        <f t="shared" si="67"/>
        <v>0</v>
      </c>
      <c r="CR73" s="229">
        <f t="shared" si="67"/>
        <v>0</v>
      </c>
      <c r="CS73" s="229">
        <f t="shared" si="67"/>
        <v>0</v>
      </c>
      <c r="CT73" s="229">
        <f t="shared" si="67"/>
        <v>0</v>
      </c>
      <c r="CU73" s="230"/>
      <c r="CV73" s="231"/>
      <c r="CW73" s="231"/>
      <c r="CX73" s="231"/>
      <c r="CY73" s="231"/>
      <c r="CZ73" s="231" t="e">
        <f t="shared" ca="1" si="68"/>
        <v>#N/A</v>
      </c>
      <c r="DA73" s="231"/>
      <c r="DB73" s="231" t="e">
        <f t="shared" ref="DB73:DB95" ca="1" si="74">$DB$22/24</f>
        <v>#N/A</v>
      </c>
      <c r="DC73" s="231"/>
      <c r="DD73" s="231">
        <f>IF(SUM(DD$24:DD72)=DD$22,0,IF(AND($M73&gt;=DD$15,$M73&lt;(DD$16+1)),DD$22/(DD$16-DD$15+1),0))</f>
        <v>0</v>
      </c>
      <c r="DE73" s="231">
        <f>IF(SUM(DE$24:DE72)=DE$22,0,IF(AND($M73&gt;=DE$15,$M73&lt;(DE$16+1)),DE$22/(DE$16-DE$15+1),0))</f>
        <v>0</v>
      </c>
      <c r="DF73" s="231">
        <f>IF(SUM(DF$24:DF72)=DF$22,0,IF(AND($M73&gt;=DF$15,$M73&lt;(DF$16+1)),DF$22/(DF$16-DF$15+1),0))</f>
        <v>0</v>
      </c>
      <c r="DG73" s="231">
        <f>IF(SUM(DG$24:DG72)=DG$22,0,IF(AND($M73&gt;=DG$15,$M73&lt;(DG$16+1)),DG$22/(DG$16-DG$15+1),0))</f>
        <v>0</v>
      </c>
      <c r="DH73" s="231">
        <f t="shared" si="72"/>
        <v>0</v>
      </c>
      <c r="DI73" s="231">
        <f t="shared" si="72"/>
        <v>0</v>
      </c>
      <c r="DJ73" s="231">
        <f t="shared" si="72"/>
        <v>0</v>
      </c>
      <c r="DK73" s="231">
        <f t="shared" si="72"/>
        <v>0</v>
      </c>
      <c r="DL73" s="231">
        <f t="shared" si="72"/>
        <v>0</v>
      </c>
      <c r="DM73" s="231">
        <f t="shared" si="72"/>
        <v>0</v>
      </c>
      <c r="DN73" s="231">
        <f t="shared" si="72"/>
        <v>0</v>
      </c>
      <c r="DO73" s="231">
        <f t="shared" si="72"/>
        <v>0</v>
      </c>
      <c r="DP73" s="231">
        <f t="shared" si="72"/>
        <v>0</v>
      </c>
      <c r="DQ73" s="231">
        <f t="shared" si="72"/>
        <v>0</v>
      </c>
      <c r="DR73" s="231">
        <f t="shared" si="72"/>
        <v>0</v>
      </c>
      <c r="DS73" s="231">
        <f t="shared" si="25"/>
        <v>0.29866666666666669</v>
      </c>
      <c r="DT73" s="231">
        <f ca="1">IF(SUM(DT$24:DT72)=DT$22,0,IF(AND($M73&gt;=DT$15,$M73&lt;(DT$16+1)),DT$22/(DT$16-DT$15+1),0))</f>
        <v>0</v>
      </c>
      <c r="DU73" s="231">
        <f ca="1">IF(SUM(DU$24:DU72)=DU$22,0,IF(AND($M73&gt;=DU$15,$M73&lt;(DU$16+1)),DU$22/(DU$16-DU$15+1),0))</f>
        <v>0</v>
      </c>
      <c r="DV73" s="231">
        <f ca="1">IF(SUM(DV$24:DV72)=DV$22,0,IF(AND(M73&gt;=DV$15,M73&lt;(DV$16+1)),DV$22/(DV$16-DV$15+1),0))</f>
        <v>0</v>
      </c>
      <c r="DW73" s="231" t="e">
        <f ca="1">IF(SUM(DW$24:DW72)=DW$22,0,IF(AND($M73&gt;=DW$15,$M73&lt;(DW$16+1)),DW$22/(DW$16-DW$15+1),0))</f>
        <v>#N/A</v>
      </c>
      <c r="DX73" s="231">
        <f ca="1">IF(SUM(DX$24:DX72)=DX$22,0,IF(AND($M73&gt;=DX$15,$M73&lt;(DX$16+1)),DX$22/(DX$16-DX$15+1),0))</f>
        <v>0</v>
      </c>
      <c r="DY73" s="231">
        <f ca="1">IF(SUM(DY$24:DY72)=DY$22,0,IF(AND($M73&gt;=DY$15,$M73&lt;(DY$16+1)),DY$22/(DY$16-DY$15+1),0))</f>
        <v>0</v>
      </c>
      <c r="DZ73" s="231">
        <f ca="1">IF(SUM(DZ$24:DZ72)=DZ$22,0,IF(AND($M73&gt;=DZ$15,$M73&lt;(DZ$16+1)),DZ$22/(DZ$16-DZ$15+1),0))</f>
        <v>0</v>
      </c>
      <c r="EA73" s="231" t="e">
        <f ca="1">IF(SUM(EA$24:EA72)=EA$22,0,IF(AND(M73&gt;=EA$15,M73&lt;(EA$16+1)),EA$22/(EA$16-EA$15+1),0))</f>
        <v>#N/A</v>
      </c>
      <c r="EC73" s="234">
        <f t="shared" si="54"/>
        <v>46</v>
      </c>
      <c r="ED73" s="234" t="e">
        <f t="shared" ca="1" si="55"/>
        <v>#N/A</v>
      </c>
      <c r="EE73" s="235" t="e">
        <f t="shared" ca="1" si="56"/>
        <v>#N/A</v>
      </c>
      <c r="EF73" s="234" t="e">
        <f t="shared" ca="1" si="28"/>
        <v>#N/A</v>
      </c>
      <c r="EG73" s="234" t="e">
        <f t="shared" ca="1" si="29"/>
        <v>#N/A</v>
      </c>
      <c r="EH73" s="234" t="e">
        <f t="shared" ca="1" si="34"/>
        <v>#N/A</v>
      </c>
      <c r="EI73" s="234"/>
      <c r="EJ73" s="234"/>
      <c r="EK73" s="153" t="e">
        <f t="shared" ca="1" si="57"/>
        <v>#N/A</v>
      </c>
      <c r="EL73" s="231" t="e">
        <f ca="1">IF(SUM(EL$24:EL72)=EL$22,0,IF(AND($M73&gt;=EL$15,$M73&lt;(EL$16+1)),EL$22/(EL$16-EL$15+1),0))</f>
        <v>#N/A</v>
      </c>
      <c r="EM73" s="153" t="e">
        <f t="shared" ca="1" si="58"/>
        <v>#N/A</v>
      </c>
      <c r="EO73" s="60"/>
      <c r="EP73" s="60"/>
    </row>
    <row r="74" spans="1:153">
      <c r="A74" s="247"/>
      <c r="B74" s="236">
        <f t="shared" si="23"/>
        <v>47</v>
      </c>
      <c r="C74" s="221">
        <f t="shared" si="59"/>
        <v>44990.168200000073</v>
      </c>
      <c r="D74" s="222" t="e">
        <f ca="1">'Offshore INT'!R63</f>
        <v>#N/A</v>
      </c>
      <c r="E74" s="223" t="e">
        <f t="shared" ca="1" si="50"/>
        <v>#N/A</v>
      </c>
      <c r="F74" s="224"/>
      <c r="G74" s="225">
        <f>IF(G73=1,1,SUM($F$24:F74))</f>
        <v>0</v>
      </c>
      <c r="H74" s="226" t="e">
        <f ca="1">IF(H73=0,0,SUM($I$24:I74))</f>
        <v>#N/A</v>
      </c>
      <c r="I74" s="227" t="e">
        <f t="shared" ca="1" si="51"/>
        <v>#N/A</v>
      </c>
      <c r="J74" s="222">
        <f t="shared" ca="1" si="20"/>
        <v>0</v>
      </c>
      <c r="K74" s="60"/>
      <c r="L74" s="242"/>
      <c r="M74" s="228">
        <f t="shared" si="52"/>
        <v>47</v>
      </c>
      <c r="N74" s="221">
        <f t="shared" si="53"/>
        <v>44990.168200000073</v>
      </c>
      <c r="O74" s="229">
        <f t="shared" si="73"/>
        <v>0</v>
      </c>
      <c r="P74" s="229">
        <f t="shared" si="73"/>
        <v>0</v>
      </c>
      <c r="Q74" s="229">
        <f t="shared" si="73"/>
        <v>0</v>
      </c>
      <c r="R74" s="229">
        <f t="shared" si="73"/>
        <v>0</v>
      </c>
      <c r="S74" s="229">
        <f t="shared" si="73"/>
        <v>0</v>
      </c>
      <c r="T74" s="229">
        <f t="shared" si="73"/>
        <v>0</v>
      </c>
      <c r="U74" s="229">
        <f t="shared" si="73"/>
        <v>0</v>
      </c>
      <c r="V74" s="229">
        <f t="shared" si="73"/>
        <v>0</v>
      </c>
      <c r="W74" s="229">
        <f t="shared" si="73"/>
        <v>0</v>
      </c>
      <c r="X74" s="229">
        <f t="shared" si="73"/>
        <v>0</v>
      </c>
      <c r="Y74" s="229">
        <f t="shared" si="73"/>
        <v>0</v>
      </c>
      <c r="Z74" s="229">
        <f t="shared" si="73"/>
        <v>0</v>
      </c>
      <c r="AA74" s="229">
        <f t="shared" ref="AA74:BC83" si="75">IF($M74=AA$13,AA$22*AA$3,IF($M74=AA$14,AA$22*AA$4,IF($M74=AA$15,AA$22*AA$5,IF($M74=AA$16,AA$22*AA$6,IF($M74=AA$17,AA$22*AA$7,IF($M74=AA$18,AA$22*AA$8,IF($M74=AA$19,AA$22*AA$9,IF($M74=AA$20,AA$22*AA$10,0))))))))</f>
        <v>0</v>
      </c>
      <c r="AB74" s="229">
        <f t="shared" si="75"/>
        <v>0</v>
      </c>
      <c r="AC74" s="229">
        <f t="shared" si="75"/>
        <v>0</v>
      </c>
      <c r="AD74" s="229">
        <f t="shared" si="75"/>
        <v>0</v>
      </c>
      <c r="AE74" s="229">
        <f t="shared" si="75"/>
        <v>0</v>
      </c>
      <c r="AF74" s="229">
        <f t="shared" si="75"/>
        <v>0</v>
      </c>
      <c r="AG74" s="229">
        <f t="shared" si="75"/>
        <v>0</v>
      </c>
      <c r="AH74" s="229">
        <f t="shared" si="75"/>
        <v>0</v>
      </c>
      <c r="AI74" s="229">
        <f t="shared" si="75"/>
        <v>0</v>
      </c>
      <c r="AJ74" s="229">
        <f t="shared" si="75"/>
        <v>0</v>
      </c>
      <c r="AK74" s="229">
        <f t="shared" si="75"/>
        <v>0</v>
      </c>
      <c r="AL74" s="229">
        <f t="shared" si="75"/>
        <v>0</v>
      </c>
      <c r="AM74" s="229">
        <f t="shared" si="75"/>
        <v>0</v>
      </c>
      <c r="AN74" s="229">
        <f t="shared" si="75"/>
        <v>0</v>
      </c>
      <c r="AO74" s="229">
        <f t="shared" si="75"/>
        <v>0</v>
      </c>
      <c r="AP74" s="229">
        <f t="shared" si="75"/>
        <v>0</v>
      </c>
      <c r="AQ74" s="229">
        <f t="shared" si="75"/>
        <v>0</v>
      </c>
      <c r="AR74" s="229">
        <f t="shared" si="75"/>
        <v>0</v>
      </c>
      <c r="AS74" s="229">
        <f t="shared" si="60"/>
        <v>0</v>
      </c>
      <c r="AT74" s="229">
        <f t="shared" si="60"/>
        <v>0</v>
      </c>
      <c r="AU74" s="229">
        <f t="shared" si="60"/>
        <v>0</v>
      </c>
      <c r="AV74" s="229">
        <f t="shared" si="60"/>
        <v>0</v>
      </c>
      <c r="AW74" s="229">
        <f t="shared" si="60"/>
        <v>0</v>
      </c>
      <c r="AX74" s="229">
        <f t="shared" si="75"/>
        <v>0</v>
      </c>
      <c r="AY74" s="229">
        <f t="shared" si="75"/>
        <v>0</v>
      </c>
      <c r="AZ74" s="229">
        <f t="shared" si="75"/>
        <v>0</v>
      </c>
      <c r="BA74" s="229">
        <f t="shared" si="75"/>
        <v>0</v>
      </c>
      <c r="BB74" s="229">
        <f t="shared" si="75"/>
        <v>0</v>
      </c>
      <c r="BC74" s="229">
        <f t="shared" si="75"/>
        <v>0</v>
      </c>
      <c r="BD74" s="229">
        <f t="shared" ref="BD74:BP83" si="76">IF($M74=BD$13,BD$22*BD$3,IF($M74=BD$14,BD$22*BD$4,IF($M74=BD$15,BD$22*BD$5,IF($M74=BD$16,BD$22*BD$6,IF($M74=BD$17,BD$22*BD$7,IF($M74=BD$18,BD$22*BD$8,IF($M74=BD$19,BD$22*BD$9,IF($M74=BD$20,BD$22*BD$10,0))))))))</f>
        <v>0</v>
      </c>
      <c r="BE74" s="229">
        <f t="shared" si="76"/>
        <v>0</v>
      </c>
      <c r="BF74" s="229">
        <f t="shared" si="76"/>
        <v>0</v>
      </c>
      <c r="BG74" s="229">
        <f t="shared" si="76"/>
        <v>0</v>
      </c>
      <c r="BH74" s="229">
        <f t="shared" si="76"/>
        <v>0</v>
      </c>
      <c r="BI74" s="229">
        <f t="shared" si="76"/>
        <v>0</v>
      </c>
      <c r="BJ74" s="229">
        <f t="shared" si="76"/>
        <v>0</v>
      </c>
      <c r="BK74" s="229">
        <f t="shared" si="76"/>
        <v>0</v>
      </c>
      <c r="BL74" s="229">
        <f t="shared" si="76"/>
        <v>0</v>
      </c>
      <c r="BM74" s="229">
        <f t="shared" si="76"/>
        <v>0</v>
      </c>
      <c r="BN74" s="229">
        <f t="shared" si="76"/>
        <v>0</v>
      </c>
      <c r="BO74" s="229">
        <f t="shared" si="76"/>
        <v>0</v>
      </c>
      <c r="BP74" s="229">
        <f t="shared" si="76"/>
        <v>0</v>
      </c>
      <c r="BQ74" s="229">
        <f t="shared" ref="BQ74:CC83" si="77">IF($M74=BQ$13,BQ$22*BQ$3,IF($M74=BQ$14,BQ$22*BQ$4,IF($M74=BQ$15,BQ$22*BQ$5,IF($M74=BQ$16,BQ$22*BQ$6,IF($M74=BQ$17,BQ$22*BQ$7,IF($M74=BQ$18,BQ$22*BQ$8,IF($M74=BQ$19,BQ$22*BQ$9,IF($M74=BQ$20,BQ$22*BQ$10,0))))))))</f>
        <v>0</v>
      </c>
      <c r="BR74" s="229">
        <f t="shared" si="77"/>
        <v>0</v>
      </c>
      <c r="BS74" s="229">
        <f t="shared" si="77"/>
        <v>0</v>
      </c>
      <c r="BT74" s="229">
        <f t="shared" si="77"/>
        <v>0</v>
      </c>
      <c r="BU74" s="229">
        <f t="shared" si="77"/>
        <v>0</v>
      </c>
      <c r="BV74" s="229">
        <f t="shared" si="77"/>
        <v>0</v>
      </c>
      <c r="BW74" s="229">
        <f t="shared" si="77"/>
        <v>0</v>
      </c>
      <c r="BX74" s="229">
        <f t="shared" si="77"/>
        <v>0</v>
      </c>
      <c r="BY74" s="229">
        <f t="shared" si="77"/>
        <v>0</v>
      </c>
      <c r="BZ74" s="229">
        <f t="shared" si="77"/>
        <v>0</v>
      </c>
      <c r="CA74" s="229">
        <f t="shared" si="77"/>
        <v>0</v>
      </c>
      <c r="CB74" s="229">
        <f t="shared" si="77"/>
        <v>0</v>
      </c>
      <c r="CC74" s="229">
        <f t="shared" si="77"/>
        <v>0</v>
      </c>
      <c r="CD74" s="229">
        <f t="shared" ref="CD74:CT83" si="78">IF($M74=CD$13,CD$22*CD$3,IF($M74=CD$14,CD$22*CD$4,IF($M74=CD$15,CD$22*CD$5,IF($M74=CD$16,CD$22*CD$6,IF($M74=CD$17,CD$22*CD$7,IF($M74=CD$18,CD$22*CD$8,IF($M74=CD$19,CD$22*CD$9,IF($M74=CD$20,CD$22*CD$10,0))))))))</f>
        <v>0</v>
      </c>
      <c r="CE74" s="229">
        <f t="shared" si="69"/>
        <v>0</v>
      </c>
      <c r="CF74" s="229">
        <f t="shared" si="78"/>
        <v>0</v>
      </c>
      <c r="CG74" s="229">
        <f t="shared" si="78"/>
        <v>0</v>
      </c>
      <c r="CH74" s="229">
        <f t="shared" si="78"/>
        <v>0</v>
      </c>
      <c r="CI74" s="229">
        <f t="shared" si="78"/>
        <v>0</v>
      </c>
      <c r="CJ74" s="229">
        <f t="shared" si="70"/>
        <v>0</v>
      </c>
      <c r="CK74" s="229">
        <f t="shared" si="78"/>
        <v>0</v>
      </c>
      <c r="CL74" s="229">
        <f t="shared" si="78"/>
        <v>0</v>
      </c>
      <c r="CM74" s="229">
        <f t="shared" si="78"/>
        <v>0</v>
      </c>
      <c r="CN74" s="229">
        <f t="shared" si="78"/>
        <v>0</v>
      </c>
      <c r="CO74" s="229">
        <f t="shared" si="63"/>
        <v>0</v>
      </c>
      <c r="CP74" s="229">
        <f t="shared" si="63"/>
        <v>0</v>
      </c>
      <c r="CQ74" s="229">
        <f t="shared" si="78"/>
        <v>0</v>
      </c>
      <c r="CR74" s="229">
        <f t="shared" si="78"/>
        <v>0</v>
      </c>
      <c r="CS74" s="229">
        <f t="shared" si="78"/>
        <v>0</v>
      </c>
      <c r="CT74" s="229">
        <f t="shared" si="78"/>
        <v>0</v>
      </c>
      <c r="CU74" s="230"/>
      <c r="CV74" s="231"/>
      <c r="CW74" s="231"/>
      <c r="CX74" s="231"/>
      <c r="CY74" s="231"/>
      <c r="CZ74" s="231" t="e">
        <f t="shared" ca="1" si="68"/>
        <v>#N/A</v>
      </c>
      <c r="DA74" s="231"/>
      <c r="DB74" s="231" t="e">
        <f t="shared" ca="1" si="74"/>
        <v>#N/A</v>
      </c>
      <c r="DC74" s="231"/>
      <c r="DD74" s="231">
        <f>IF(SUM(DD$24:DD73)=DD$22,0,IF(AND($M74&gt;=DD$15,$M74&lt;(DD$16+1)),DD$22/(DD$16-DD$15+1),0))</f>
        <v>0</v>
      </c>
      <c r="DE74" s="231">
        <f>IF(SUM(DE$24:DE73)=DE$22,0,IF(AND($M74&gt;=DE$15,$M74&lt;(DE$16+1)),DE$22/(DE$16-DE$15+1),0))</f>
        <v>0</v>
      </c>
      <c r="DF74" s="231">
        <f>IF(SUM(DF$24:DF73)=DF$22,0,IF(AND($M74&gt;=DF$15,$M74&lt;(DF$16+1)),DF$22/(DF$16-DF$15+1),0))</f>
        <v>0</v>
      </c>
      <c r="DG74" s="231">
        <f>IF(SUM(DG$24:DG73)=DG$22,0,IF(AND($M74&gt;=DG$15,$M74&lt;(DG$16+1)),DG$22/(DG$16-DG$15+1),0))</f>
        <v>0</v>
      </c>
      <c r="DH74" s="231">
        <f t="shared" si="72"/>
        <v>0</v>
      </c>
      <c r="DI74" s="231">
        <f t="shared" si="72"/>
        <v>0</v>
      </c>
      <c r="DJ74" s="231">
        <f t="shared" si="72"/>
        <v>0</v>
      </c>
      <c r="DK74" s="231">
        <f t="shared" si="72"/>
        <v>0</v>
      </c>
      <c r="DL74" s="231">
        <f t="shared" si="72"/>
        <v>0</v>
      </c>
      <c r="DM74" s="231">
        <f t="shared" si="72"/>
        <v>0</v>
      </c>
      <c r="DN74" s="231">
        <f t="shared" si="72"/>
        <v>0</v>
      </c>
      <c r="DO74" s="231">
        <f t="shared" si="72"/>
        <v>0</v>
      </c>
      <c r="DP74" s="231">
        <f t="shared" si="72"/>
        <v>0</v>
      </c>
      <c r="DQ74" s="231">
        <f t="shared" si="72"/>
        <v>0</v>
      </c>
      <c r="DR74" s="231">
        <f t="shared" si="72"/>
        <v>0</v>
      </c>
      <c r="DS74" s="231">
        <f t="shared" si="25"/>
        <v>0.29866666666666669</v>
      </c>
      <c r="DT74" s="231">
        <f ca="1">IF(SUM(DT$24:DT73)=DT$22,0,IF(AND($M74&gt;=DT$15,$M74&lt;(DT$16+1)),DT$22/(DT$16-DT$15+1),0))</f>
        <v>0</v>
      </c>
      <c r="DU74" s="231">
        <f ca="1">IF(SUM(DU$24:DU73)=DU$22,0,IF(AND($M74&gt;=DU$15,$M74&lt;(DU$16+1)),DU$22/(DU$16-DU$15+1),0))</f>
        <v>0</v>
      </c>
      <c r="DV74" s="231">
        <f ca="1">IF(SUM(DV$24:DV73)=DV$22,0,IF(AND(M74&gt;=DV$15,M74&lt;(DV$16+1)),DV$22/(DV$16-DV$15+1),0))</f>
        <v>0</v>
      </c>
      <c r="DW74" s="231" t="e">
        <f ca="1">IF(SUM(DW$24:DW73)=DW$22,0,IF(AND($M74&gt;=DW$15,$M74&lt;(DW$16+1)),DW$22/(DW$16-DW$15+1),0))</f>
        <v>#N/A</v>
      </c>
      <c r="DX74" s="231">
        <f ca="1">IF(SUM(DX$24:DX73)=DX$22,0,IF(AND($M74&gt;=DX$15,$M74&lt;(DX$16+1)),DX$22/(DX$16-DX$15+1),0))</f>
        <v>0</v>
      </c>
      <c r="DY74" s="231">
        <f ca="1">IF(SUM(DY$24:DY73)=DY$22,0,IF(AND($M74&gt;=DY$15,$M74&lt;(DY$16+1)),DY$22/(DY$16-DY$15+1),0))</f>
        <v>0</v>
      </c>
      <c r="DZ74" s="231">
        <f ca="1">IF(SUM(DZ$24:DZ73)=DZ$22,0,IF(AND($M74&gt;=DZ$15,$M74&lt;(DZ$16+1)),DZ$22/(DZ$16-DZ$15+1),0))</f>
        <v>0</v>
      </c>
      <c r="EA74" s="231" t="e">
        <f ca="1">IF(SUM(EA$24:EA73)=EA$22,0,IF(AND(M74&gt;=EA$15,M74&lt;(EA$16+1)),EA$22/(EA$16-EA$15+1),0))</f>
        <v>#N/A</v>
      </c>
      <c r="EC74" s="234">
        <f t="shared" si="54"/>
        <v>47</v>
      </c>
      <c r="ED74" s="234" t="e">
        <f t="shared" ca="1" si="55"/>
        <v>#N/A</v>
      </c>
      <c r="EE74" s="235" t="e">
        <f t="shared" ca="1" si="56"/>
        <v>#N/A</v>
      </c>
      <c r="EF74" s="234" t="e">
        <f t="shared" ca="1" si="28"/>
        <v>#N/A</v>
      </c>
      <c r="EG74" s="234" t="e">
        <f t="shared" ca="1" si="29"/>
        <v>#N/A</v>
      </c>
      <c r="EH74" s="234" t="e">
        <f t="shared" ca="1" si="34"/>
        <v>#N/A</v>
      </c>
      <c r="EI74" s="234"/>
      <c r="EJ74" s="234"/>
      <c r="EK74" s="153" t="e">
        <f t="shared" ca="1" si="57"/>
        <v>#N/A</v>
      </c>
      <c r="EL74" s="231" t="e">
        <f ca="1">IF(SUM(EL$24:EL73)=EL$22,0,IF(AND($M74&gt;=EL$15,$M74&lt;(EL$16+1)),EL$22/(EL$16-EL$15+1),0))</f>
        <v>#N/A</v>
      </c>
      <c r="EM74" s="153" t="e">
        <f t="shared" ca="1" si="58"/>
        <v>#N/A</v>
      </c>
      <c r="EO74" s="60"/>
      <c r="EP74" s="60"/>
    </row>
    <row r="75" spans="1:153">
      <c r="A75" s="247"/>
      <c r="B75" s="236">
        <f t="shared" si="23"/>
        <v>48</v>
      </c>
      <c r="C75" s="221">
        <f t="shared" si="59"/>
        <v>45020.584900000074</v>
      </c>
      <c r="D75" s="222" t="e">
        <f ca="1">'Offshore INT'!R64</f>
        <v>#N/A</v>
      </c>
      <c r="E75" s="223" t="e">
        <f t="shared" ca="1" si="50"/>
        <v>#N/A</v>
      </c>
      <c r="F75" s="224"/>
      <c r="G75" s="225">
        <f>IF(G74=1,1,SUM($F$24:F75))</f>
        <v>0</v>
      </c>
      <c r="H75" s="226" t="e">
        <f ca="1">IF(H74=0,0,SUM($I$24:I75))</f>
        <v>#N/A</v>
      </c>
      <c r="I75" s="227" t="e">
        <f t="shared" ca="1" si="51"/>
        <v>#N/A</v>
      </c>
      <c r="J75" s="222">
        <f t="shared" ca="1" si="20"/>
        <v>0</v>
      </c>
      <c r="K75" s="60"/>
      <c r="L75" s="242"/>
      <c r="M75" s="228">
        <f t="shared" si="52"/>
        <v>48</v>
      </c>
      <c r="N75" s="221">
        <f t="shared" si="53"/>
        <v>45020.584900000074</v>
      </c>
      <c r="O75" s="229">
        <f t="shared" si="73"/>
        <v>0</v>
      </c>
      <c r="P75" s="229">
        <f t="shared" si="73"/>
        <v>0</v>
      </c>
      <c r="Q75" s="229">
        <f t="shared" si="73"/>
        <v>0</v>
      </c>
      <c r="R75" s="229">
        <f t="shared" si="73"/>
        <v>0</v>
      </c>
      <c r="S75" s="229">
        <f t="shared" si="73"/>
        <v>0</v>
      </c>
      <c r="T75" s="229">
        <f t="shared" si="73"/>
        <v>0</v>
      </c>
      <c r="U75" s="229">
        <f t="shared" si="73"/>
        <v>0</v>
      </c>
      <c r="V75" s="229">
        <f t="shared" si="73"/>
        <v>0</v>
      </c>
      <c r="W75" s="229">
        <f t="shared" si="73"/>
        <v>0</v>
      </c>
      <c r="X75" s="229">
        <f t="shared" si="73"/>
        <v>0</v>
      </c>
      <c r="Y75" s="229">
        <f t="shared" si="73"/>
        <v>0</v>
      </c>
      <c r="Z75" s="229">
        <f t="shared" si="73"/>
        <v>0</v>
      </c>
      <c r="AA75" s="229">
        <f t="shared" si="75"/>
        <v>0</v>
      </c>
      <c r="AB75" s="229">
        <f t="shared" si="75"/>
        <v>0</v>
      </c>
      <c r="AC75" s="229">
        <f t="shared" si="75"/>
        <v>0</v>
      </c>
      <c r="AD75" s="229">
        <f t="shared" si="75"/>
        <v>0</v>
      </c>
      <c r="AE75" s="229">
        <f t="shared" si="75"/>
        <v>0</v>
      </c>
      <c r="AF75" s="229">
        <f t="shared" si="75"/>
        <v>0</v>
      </c>
      <c r="AG75" s="229">
        <f t="shared" si="75"/>
        <v>0</v>
      </c>
      <c r="AH75" s="229">
        <f t="shared" si="75"/>
        <v>0</v>
      </c>
      <c r="AI75" s="229">
        <f t="shared" si="75"/>
        <v>0</v>
      </c>
      <c r="AJ75" s="229">
        <f t="shared" si="75"/>
        <v>0</v>
      </c>
      <c r="AK75" s="229">
        <f t="shared" si="75"/>
        <v>0</v>
      </c>
      <c r="AL75" s="229">
        <f t="shared" si="75"/>
        <v>0</v>
      </c>
      <c r="AM75" s="229">
        <f t="shared" si="75"/>
        <v>0</v>
      </c>
      <c r="AN75" s="229">
        <f t="shared" si="75"/>
        <v>0</v>
      </c>
      <c r="AO75" s="229">
        <f t="shared" si="75"/>
        <v>0</v>
      </c>
      <c r="AP75" s="229">
        <f t="shared" si="75"/>
        <v>0</v>
      </c>
      <c r="AQ75" s="229">
        <f t="shared" si="75"/>
        <v>0</v>
      </c>
      <c r="AR75" s="229">
        <f t="shared" si="75"/>
        <v>0</v>
      </c>
      <c r="AS75" s="229">
        <f t="shared" ref="AS75:AW90" si="79">IF($M75=AS$13,AS$22*AS$3,IF($M75=AS$14,AS$22*AS$4,IF($M75=AS$15,AS$22*AS$5,IF($M75=AS$16,AS$22*AS$6,IF($M75=AS$17,AS$22*AS$7,IF($M75=AS$18,AS$22*AS$8,IF($M75=AS$19,AS$22*AS$9,IF($M75=AS$20,AS$22*AS$10,0))))))))</f>
        <v>0</v>
      </c>
      <c r="AT75" s="229">
        <f t="shared" si="79"/>
        <v>0</v>
      </c>
      <c r="AU75" s="229">
        <f t="shared" si="79"/>
        <v>0</v>
      </c>
      <c r="AV75" s="229">
        <f t="shared" si="79"/>
        <v>0</v>
      </c>
      <c r="AW75" s="229">
        <f t="shared" si="79"/>
        <v>0</v>
      </c>
      <c r="AX75" s="229">
        <f t="shared" si="75"/>
        <v>0</v>
      </c>
      <c r="AY75" s="229">
        <f t="shared" si="75"/>
        <v>0</v>
      </c>
      <c r="AZ75" s="229">
        <f t="shared" si="75"/>
        <v>0</v>
      </c>
      <c r="BA75" s="229">
        <f t="shared" si="75"/>
        <v>0</v>
      </c>
      <c r="BB75" s="229">
        <f t="shared" si="75"/>
        <v>0</v>
      </c>
      <c r="BC75" s="229">
        <f t="shared" si="75"/>
        <v>0</v>
      </c>
      <c r="BD75" s="229">
        <f t="shared" si="76"/>
        <v>0</v>
      </c>
      <c r="BE75" s="229">
        <f t="shared" si="76"/>
        <v>0</v>
      </c>
      <c r="BF75" s="229">
        <f t="shared" si="76"/>
        <v>0</v>
      </c>
      <c r="BG75" s="229">
        <f t="shared" si="76"/>
        <v>0</v>
      </c>
      <c r="BH75" s="229">
        <f t="shared" si="76"/>
        <v>0</v>
      </c>
      <c r="BI75" s="229">
        <f t="shared" si="76"/>
        <v>0</v>
      </c>
      <c r="BJ75" s="229">
        <f t="shared" si="76"/>
        <v>0</v>
      </c>
      <c r="BK75" s="229">
        <f t="shared" si="76"/>
        <v>0</v>
      </c>
      <c r="BL75" s="229">
        <f t="shared" si="76"/>
        <v>0</v>
      </c>
      <c r="BM75" s="229">
        <f t="shared" si="76"/>
        <v>0</v>
      </c>
      <c r="BN75" s="229">
        <f t="shared" si="76"/>
        <v>0</v>
      </c>
      <c r="BO75" s="229">
        <f t="shared" si="76"/>
        <v>0</v>
      </c>
      <c r="BP75" s="229">
        <f t="shared" si="76"/>
        <v>0</v>
      </c>
      <c r="BQ75" s="229">
        <f t="shared" si="77"/>
        <v>0</v>
      </c>
      <c r="BR75" s="229">
        <f t="shared" si="77"/>
        <v>0</v>
      </c>
      <c r="BS75" s="229">
        <f t="shared" si="77"/>
        <v>0</v>
      </c>
      <c r="BT75" s="229">
        <f t="shared" si="77"/>
        <v>0</v>
      </c>
      <c r="BU75" s="229">
        <f t="shared" si="77"/>
        <v>0</v>
      </c>
      <c r="BV75" s="229">
        <f t="shared" si="77"/>
        <v>0</v>
      </c>
      <c r="BW75" s="229">
        <f t="shared" si="77"/>
        <v>0</v>
      </c>
      <c r="BX75" s="229">
        <f t="shared" si="77"/>
        <v>0</v>
      </c>
      <c r="BY75" s="229">
        <f t="shared" si="77"/>
        <v>0</v>
      </c>
      <c r="BZ75" s="229">
        <f t="shared" si="77"/>
        <v>0</v>
      </c>
      <c r="CA75" s="229">
        <f t="shared" si="77"/>
        <v>0</v>
      </c>
      <c r="CB75" s="229">
        <f t="shared" si="77"/>
        <v>0</v>
      </c>
      <c r="CC75" s="229">
        <f t="shared" si="77"/>
        <v>0</v>
      </c>
      <c r="CD75" s="229">
        <f t="shared" si="78"/>
        <v>0</v>
      </c>
      <c r="CE75" s="229">
        <f t="shared" si="69"/>
        <v>0</v>
      </c>
      <c r="CF75" s="229">
        <f t="shared" si="78"/>
        <v>0</v>
      </c>
      <c r="CG75" s="229">
        <f t="shared" si="78"/>
        <v>0</v>
      </c>
      <c r="CH75" s="229">
        <f t="shared" si="78"/>
        <v>0</v>
      </c>
      <c r="CI75" s="229">
        <f t="shared" si="78"/>
        <v>0</v>
      </c>
      <c r="CJ75" s="229">
        <f t="shared" si="70"/>
        <v>0</v>
      </c>
      <c r="CK75" s="229">
        <f t="shared" si="78"/>
        <v>0</v>
      </c>
      <c r="CL75" s="229">
        <f t="shared" si="78"/>
        <v>0</v>
      </c>
      <c r="CM75" s="229">
        <f t="shared" si="78"/>
        <v>0</v>
      </c>
      <c r="CN75" s="229">
        <f t="shared" si="78"/>
        <v>0</v>
      </c>
      <c r="CO75" s="229">
        <f t="shared" si="63"/>
        <v>0</v>
      </c>
      <c r="CP75" s="229">
        <f t="shared" si="63"/>
        <v>0</v>
      </c>
      <c r="CQ75" s="229">
        <f t="shared" si="78"/>
        <v>0</v>
      </c>
      <c r="CR75" s="229">
        <f t="shared" si="78"/>
        <v>0</v>
      </c>
      <c r="CS75" s="229">
        <f t="shared" si="78"/>
        <v>0</v>
      </c>
      <c r="CT75" s="229">
        <f t="shared" si="78"/>
        <v>0</v>
      </c>
      <c r="CU75" s="230"/>
      <c r="CV75" s="231"/>
      <c r="CW75" s="231"/>
      <c r="CX75" s="231"/>
      <c r="CY75" s="231"/>
      <c r="CZ75" s="231" t="e">
        <f t="shared" ca="1" si="68"/>
        <v>#N/A</v>
      </c>
      <c r="DA75" s="231"/>
      <c r="DB75" s="231" t="e">
        <f t="shared" ca="1" si="74"/>
        <v>#N/A</v>
      </c>
      <c r="DC75" s="231"/>
      <c r="DD75" s="231">
        <f>IF(SUM(DD$24:DD74)=DD$22,0,IF(AND($M75&gt;=DD$15,$M75&lt;(DD$16+1)),DD$22/(DD$16-DD$15+1),0))</f>
        <v>0</v>
      </c>
      <c r="DE75" s="231">
        <f>IF(SUM(DE$24:DE74)=DE$22,0,IF(AND($M75&gt;=DE$15,$M75&lt;(DE$16+1)),DE$22/(DE$16-DE$15+1),0))</f>
        <v>0</v>
      </c>
      <c r="DF75" s="231">
        <f>IF(SUM(DF$24:DF74)=DF$22,0,IF(AND($M75&gt;=DF$15,$M75&lt;(DF$16+1)),DF$22/(DF$16-DF$15+1),0))</f>
        <v>0</v>
      </c>
      <c r="DG75" s="231">
        <f>IF(SUM(DG$24:DG74)=DG$22,0,IF(AND($M75&gt;=DG$15,$M75&lt;(DG$16+1)),DG$22/(DG$16-DG$15+1),0))</f>
        <v>0</v>
      </c>
      <c r="DH75" s="231">
        <f t="shared" si="72"/>
        <v>0</v>
      </c>
      <c r="DI75" s="231">
        <f t="shared" si="72"/>
        <v>0</v>
      </c>
      <c r="DJ75" s="231">
        <f t="shared" si="72"/>
        <v>0</v>
      </c>
      <c r="DK75" s="231">
        <f t="shared" si="72"/>
        <v>0</v>
      </c>
      <c r="DL75" s="231">
        <f t="shared" si="72"/>
        <v>0</v>
      </c>
      <c r="DM75" s="231">
        <f t="shared" si="72"/>
        <v>0</v>
      </c>
      <c r="DN75" s="231">
        <f t="shared" si="72"/>
        <v>0</v>
      </c>
      <c r="DO75" s="231">
        <f t="shared" si="72"/>
        <v>0</v>
      </c>
      <c r="DP75" s="231">
        <f t="shared" si="72"/>
        <v>0</v>
      </c>
      <c r="DQ75" s="231">
        <f t="shared" si="72"/>
        <v>0</v>
      </c>
      <c r="DR75" s="231">
        <f t="shared" si="72"/>
        <v>0</v>
      </c>
      <c r="DS75" s="231">
        <f t="shared" si="25"/>
        <v>0.29866666666666669</v>
      </c>
      <c r="DT75" s="231">
        <f ca="1">IF(SUM(DT$24:DT74)=DT$22,0,IF(AND($M75&gt;=DT$15,$M75&lt;(DT$16+1)),DT$22/(DT$16-DT$15+1),0))</f>
        <v>0</v>
      </c>
      <c r="DU75" s="231">
        <f ca="1">IF(SUM(DU$24:DU74)=DU$22,0,IF(AND($M75&gt;=DU$15,$M75&lt;(DU$16+1)),DU$22/(DU$16-DU$15+1),0))</f>
        <v>0</v>
      </c>
      <c r="DV75" s="231">
        <f ca="1">IF(SUM(DV$24:DV74)=DV$22,0,IF(AND(M75&gt;=DV$15,M75&lt;(DV$16+1)),DV$22/(DV$16-DV$15+1),0))</f>
        <v>0</v>
      </c>
      <c r="DW75" s="231" t="e">
        <f ca="1">IF(SUM(DW$24:DW74)=DW$22,0,IF(AND($M75&gt;=DW$15,$M75&lt;(DW$16+1)),DW$22/(DW$16-DW$15+1),0))</f>
        <v>#N/A</v>
      </c>
      <c r="DX75" s="231">
        <f ca="1">IF(SUM(DX$24:DX74)=DX$22,0,IF(AND($M75&gt;=DX$15,$M75&lt;(DX$16+1)),DX$22/(DX$16-DX$15+1),0))</f>
        <v>0</v>
      </c>
      <c r="DY75" s="231">
        <f ca="1">IF(SUM(DY$24:DY74)=DY$22,0,IF(AND($M75&gt;=DY$15,$M75&lt;(DY$16+1)),DY$22/(DY$16-DY$15+1),0))</f>
        <v>0</v>
      </c>
      <c r="DZ75" s="231">
        <f ca="1">IF(SUM(DZ$24:DZ74)=DZ$22,0,IF(AND($M75&gt;=DZ$15,$M75&lt;(DZ$16+1)),DZ$22/(DZ$16-DZ$15+1),0))</f>
        <v>0</v>
      </c>
      <c r="EA75" s="231" t="e">
        <f ca="1">IF(SUM(EA$24:EA74)=EA$22,0,IF(AND(M75&gt;=EA$15,M75&lt;(EA$16+1)),EA$22/(EA$16-EA$15+1),0))</f>
        <v>#N/A</v>
      </c>
      <c r="EC75" s="234">
        <f t="shared" si="54"/>
        <v>48</v>
      </c>
      <c r="ED75" s="234" t="e">
        <f t="shared" ca="1" si="55"/>
        <v>#N/A</v>
      </c>
      <c r="EE75" s="235" t="e">
        <f t="shared" ca="1" si="56"/>
        <v>#N/A</v>
      </c>
      <c r="EF75" s="234" t="e">
        <f t="shared" ca="1" si="28"/>
        <v>#N/A</v>
      </c>
      <c r="EG75" s="234" t="e">
        <f t="shared" ca="1" si="29"/>
        <v>#N/A</v>
      </c>
      <c r="EH75" s="234" t="e">
        <f t="shared" ca="1" si="34"/>
        <v>#N/A</v>
      </c>
      <c r="EI75" s="234"/>
      <c r="EJ75" s="234"/>
      <c r="EK75" s="153" t="e">
        <f t="shared" ca="1" si="57"/>
        <v>#N/A</v>
      </c>
      <c r="EL75" s="231" t="e">
        <f ca="1">IF(SUM(EL$24:EL74)=EL$22,0,IF(AND($M75&gt;=EL$15,$M75&lt;(EL$16+1)),EL$22/(EL$16-EL$15+1),0))</f>
        <v>#N/A</v>
      </c>
      <c r="EM75" s="153" t="e">
        <f t="shared" ca="1" si="58"/>
        <v>#N/A</v>
      </c>
      <c r="EO75" s="60"/>
      <c r="EP75" s="60"/>
    </row>
    <row r="76" spans="1:153">
      <c r="A76" s="247"/>
      <c r="B76" s="236">
        <f t="shared" si="23"/>
        <v>49</v>
      </c>
      <c r="C76" s="221">
        <f t="shared" si="59"/>
        <v>45051.001600000076</v>
      </c>
      <c r="D76" s="222" t="e">
        <f ca="1">'Offshore INT'!R65</f>
        <v>#N/A</v>
      </c>
      <c r="E76" s="223" t="e">
        <f t="shared" ca="1" si="50"/>
        <v>#N/A</v>
      </c>
      <c r="F76" s="224"/>
      <c r="G76" s="225">
        <f>IF(G75=1,1,SUM($F$24:F76))</f>
        <v>0</v>
      </c>
      <c r="H76" s="226" t="e">
        <f ca="1">IF(H75=0,0,SUM($I$24:I76))</f>
        <v>#N/A</v>
      </c>
      <c r="I76" s="227" t="e">
        <f t="shared" ca="1" si="51"/>
        <v>#N/A</v>
      </c>
      <c r="J76" s="222">
        <f t="shared" ca="1" si="20"/>
        <v>0</v>
      </c>
      <c r="K76" s="60"/>
      <c r="L76" s="242"/>
      <c r="M76" s="228">
        <f t="shared" si="52"/>
        <v>49</v>
      </c>
      <c r="N76" s="221">
        <f t="shared" si="53"/>
        <v>45051.001600000076</v>
      </c>
      <c r="O76" s="229">
        <f t="shared" si="73"/>
        <v>0</v>
      </c>
      <c r="P76" s="229">
        <f t="shared" si="73"/>
        <v>0</v>
      </c>
      <c r="Q76" s="229">
        <f t="shared" si="73"/>
        <v>0</v>
      </c>
      <c r="R76" s="229">
        <f t="shared" si="73"/>
        <v>0</v>
      </c>
      <c r="S76" s="229">
        <f t="shared" si="73"/>
        <v>0</v>
      </c>
      <c r="T76" s="229">
        <f t="shared" si="73"/>
        <v>0</v>
      </c>
      <c r="U76" s="229">
        <f t="shared" si="73"/>
        <v>0</v>
      </c>
      <c r="V76" s="229">
        <f t="shared" si="73"/>
        <v>0</v>
      </c>
      <c r="W76" s="229">
        <f t="shared" si="73"/>
        <v>0</v>
      </c>
      <c r="X76" s="229">
        <f t="shared" si="73"/>
        <v>0</v>
      </c>
      <c r="Y76" s="229">
        <f t="shared" si="73"/>
        <v>0</v>
      </c>
      <c r="Z76" s="229">
        <f t="shared" si="73"/>
        <v>0</v>
      </c>
      <c r="AA76" s="229">
        <f t="shared" si="75"/>
        <v>0</v>
      </c>
      <c r="AB76" s="229">
        <f t="shared" si="75"/>
        <v>0</v>
      </c>
      <c r="AC76" s="229">
        <f t="shared" si="75"/>
        <v>0</v>
      </c>
      <c r="AD76" s="229">
        <f t="shared" si="75"/>
        <v>0</v>
      </c>
      <c r="AE76" s="229">
        <f t="shared" si="75"/>
        <v>0</v>
      </c>
      <c r="AF76" s="229">
        <f t="shared" si="75"/>
        <v>0</v>
      </c>
      <c r="AG76" s="229">
        <f t="shared" si="75"/>
        <v>0</v>
      </c>
      <c r="AH76" s="229">
        <f t="shared" si="75"/>
        <v>0</v>
      </c>
      <c r="AI76" s="229">
        <f t="shared" si="75"/>
        <v>0</v>
      </c>
      <c r="AJ76" s="229">
        <f t="shared" si="75"/>
        <v>0</v>
      </c>
      <c r="AK76" s="229">
        <f t="shared" si="75"/>
        <v>0</v>
      </c>
      <c r="AL76" s="229">
        <f t="shared" si="75"/>
        <v>0</v>
      </c>
      <c r="AM76" s="229">
        <f t="shared" si="75"/>
        <v>0</v>
      </c>
      <c r="AN76" s="229">
        <f t="shared" si="75"/>
        <v>0</v>
      </c>
      <c r="AO76" s="229">
        <f t="shared" si="75"/>
        <v>0</v>
      </c>
      <c r="AP76" s="229">
        <f t="shared" si="75"/>
        <v>0</v>
      </c>
      <c r="AQ76" s="229">
        <f t="shared" si="75"/>
        <v>0</v>
      </c>
      <c r="AR76" s="229">
        <f t="shared" si="75"/>
        <v>0</v>
      </c>
      <c r="AS76" s="229">
        <f t="shared" si="79"/>
        <v>0</v>
      </c>
      <c r="AT76" s="229">
        <f t="shared" si="79"/>
        <v>0</v>
      </c>
      <c r="AU76" s="229">
        <f t="shared" si="79"/>
        <v>0</v>
      </c>
      <c r="AV76" s="229">
        <f t="shared" si="79"/>
        <v>0</v>
      </c>
      <c r="AW76" s="229">
        <f t="shared" si="79"/>
        <v>0</v>
      </c>
      <c r="AX76" s="229">
        <f t="shared" si="75"/>
        <v>0</v>
      </c>
      <c r="AY76" s="229">
        <f t="shared" si="75"/>
        <v>0</v>
      </c>
      <c r="AZ76" s="229">
        <f t="shared" si="75"/>
        <v>0</v>
      </c>
      <c r="BA76" s="229">
        <f t="shared" si="75"/>
        <v>0</v>
      </c>
      <c r="BB76" s="229">
        <f t="shared" si="75"/>
        <v>0</v>
      </c>
      <c r="BC76" s="229">
        <f t="shared" si="75"/>
        <v>0</v>
      </c>
      <c r="BD76" s="229">
        <f t="shared" si="76"/>
        <v>0</v>
      </c>
      <c r="BE76" s="229">
        <f t="shared" si="76"/>
        <v>0</v>
      </c>
      <c r="BF76" s="229">
        <f t="shared" si="76"/>
        <v>0</v>
      </c>
      <c r="BG76" s="229">
        <f t="shared" si="76"/>
        <v>0</v>
      </c>
      <c r="BH76" s="229">
        <f t="shared" si="76"/>
        <v>0</v>
      </c>
      <c r="BI76" s="229">
        <f t="shared" si="76"/>
        <v>0</v>
      </c>
      <c r="BJ76" s="229">
        <f t="shared" si="76"/>
        <v>0</v>
      </c>
      <c r="BK76" s="229">
        <f t="shared" si="76"/>
        <v>0</v>
      </c>
      <c r="BL76" s="229">
        <f t="shared" si="76"/>
        <v>0</v>
      </c>
      <c r="BM76" s="229">
        <f t="shared" si="76"/>
        <v>0</v>
      </c>
      <c r="BN76" s="229">
        <f t="shared" si="76"/>
        <v>0</v>
      </c>
      <c r="BO76" s="229">
        <f t="shared" si="76"/>
        <v>0</v>
      </c>
      <c r="BP76" s="229">
        <f t="shared" si="76"/>
        <v>0</v>
      </c>
      <c r="BQ76" s="229">
        <f t="shared" si="77"/>
        <v>0</v>
      </c>
      <c r="BR76" s="229">
        <f t="shared" si="77"/>
        <v>0</v>
      </c>
      <c r="BS76" s="229">
        <f t="shared" si="77"/>
        <v>0</v>
      </c>
      <c r="BT76" s="229">
        <f t="shared" si="77"/>
        <v>0</v>
      </c>
      <c r="BU76" s="229">
        <f t="shared" si="77"/>
        <v>0</v>
      </c>
      <c r="BV76" s="229">
        <f t="shared" si="77"/>
        <v>0</v>
      </c>
      <c r="BW76" s="229">
        <f t="shared" si="77"/>
        <v>0</v>
      </c>
      <c r="BX76" s="229">
        <f t="shared" si="77"/>
        <v>0</v>
      </c>
      <c r="BY76" s="229">
        <f t="shared" si="77"/>
        <v>0</v>
      </c>
      <c r="BZ76" s="229">
        <f t="shared" si="77"/>
        <v>0</v>
      </c>
      <c r="CA76" s="229">
        <f t="shared" si="77"/>
        <v>0</v>
      </c>
      <c r="CB76" s="229">
        <f t="shared" si="77"/>
        <v>0</v>
      </c>
      <c r="CC76" s="229">
        <f t="shared" si="77"/>
        <v>0</v>
      </c>
      <c r="CD76" s="229">
        <f t="shared" si="78"/>
        <v>0</v>
      </c>
      <c r="CE76" s="229">
        <f t="shared" si="69"/>
        <v>0</v>
      </c>
      <c r="CF76" s="229">
        <f t="shared" si="78"/>
        <v>0</v>
      </c>
      <c r="CG76" s="229">
        <f t="shared" si="78"/>
        <v>0</v>
      </c>
      <c r="CH76" s="229">
        <f t="shared" si="78"/>
        <v>0</v>
      </c>
      <c r="CI76" s="229">
        <f t="shared" si="78"/>
        <v>0</v>
      </c>
      <c r="CJ76" s="229">
        <f t="shared" si="70"/>
        <v>0</v>
      </c>
      <c r="CK76" s="229">
        <f t="shared" si="78"/>
        <v>0</v>
      </c>
      <c r="CL76" s="229">
        <f t="shared" si="78"/>
        <v>0</v>
      </c>
      <c r="CM76" s="229">
        <f t="shared" si="78"/>
        <v>0</v>
      </c>
      <c r="CN76" s="229">
        <f t="shared" si="78"/>
        <v>0</v>
      </c>
      <c r="CO76" s="229">
        <f t="shared" si="63"/>
        <v>0</v>
      </c>
      <c r="CP76" s="229">
        <f t="shared" si="63"/>
        <v>0</v>
      </c>
      <c r="CQ76" s="229">
        <f t="shared" si="78"/>
        <v>0</v>
      </c>
      <c r="CR76" s="229">
        <f t="shared" si="78"/>
        <v>0</v>
      </c>
      <c r="CS76" s="229">
        <f t="shared" si="78"/>
        <v>0</v>
      </c>
      <c r="CT76" s="229">
        <f t="shared" si="78"/>
        <v>0</v>
      </c>
      <c r="CU76" s="230"/>
      <c r="CV76" s="231"/>
      <c r="CW76" s="231"/>
      <c r="CX76" s="231"/>
      <c r="CY76" s="231"/>
      <c r="CZ76" s="231" t="e">
        <f t="shared" ca="1" si="68"/>
        <v>#N/A</v>
      </c>
      <c r="DA76" s="231"/>
      <c r="DB76" s="231" t="e">
        <f t="shared" ca="1" si="74"/>
        <v>#N/A</v>
      </c>
      <c r="DC76" s="231"/>
      <c r="DD76" s="231">
        <f>IF(SUM(DD$24:DD75)=DD$22,0,IF(AND($M76&gt;=DD$15,$M76&lt;(DD$16+1)),DD$22/(DD$16-DD$15+1),0))</f>
        <v>0</v>
      </c>
      <c r="DE76" s="231">
        <f>IF(SUM(DE$24:DE75)=DE$22,0,IF(AND($M76&gt;=DE$15,$M76&lt;(DE$16+1)),DE$22/(DE$16-DE$15+1),0))</f>
        <v>0</v>
      </c>
      <c r="DF76" s="231">
        <f>IF(SUM(DF$24:DF75)=DF$22,0,IF(AND($M76&gt;=DF$15,$M76&lt;(DF$16+1)),DF$22/(DF$16-DF$15+1),0))</f>
        <v>0</v>
      </c>
      <c r="DG76" s="231">
        <f>IF(SUM(DG$24:DG75)=DG$22,0,IF(AND($M76&gt;=DG$15,$M76&lt;(DG$16+1)),DG$22/(DG$16-DG$15+1),0))</f>
        <v>0</v>
      </c>
      <c r="DH76" s="231">
        <f t="shared" si="72"/>
        <v>0</v>
      </c>
      <c r="DI76" s="231">
        <f t="shared" si="72"/>
        <v>0</v>
      </c>
      <c r="DJ76" s="231">
        <f t="shared" si="72"/>
        <v>0</v>
      </c>
      <c r="DK76" s="231">
        <f t="shared" si="72"/>
        <v>0</v>
      </c>
      <c r="DL76" s="231">
        <f t="shared" si="72"/>
        <v>0</v>
      </c>
      <c r="DM76" s="231">
        <f t="shared" si="72"/>
        <v>0</v>
      </c>
      <c r="DN76" s="231">
        <f t="shared" si="72"/>
        <v>0</v>
      </c>
      <c r="DO76" s="231">
        <f t="shared" si="72"/>
        <v>0</v>
      </c>
      <c r="DP76" s="231">
        <f t="shared" si="72"/>
        <v>0</v>
      </c>
      <c r="DQ76" s="231">
        <f t="shared" si="72"/>
        <v>0</v>
      </c>
      <c r="DR76" s="231">
        <f t="shared" si="72"/>
        <v>0</v>
      </c>
      <c r="DS76" s="231">
        <f t="shared" si="25"/>
        <v>0.29866666666666669</v>
      </c>
      <c r="DT76" s="231">
        <f ca="1">IF(SUM(DT$24:DT75)=DT$22,0,IF(AND($M76&gt;=DT$15,$M76&lt;(DT$16+1)),DT$22/(DT$16-DT$15+1),0))</f>
        <v>0</v>
      </c>
      <c r="DU76" s="231">
        <f ca="1">IF(SUM(DU$24:DU75)=DU$22,0,IF(AND($M76&gt;=DU$15,$M76&lt;(DU$16+1)),DU$22/(DU$16-DU$15+1),0))</f>
        <v>0</v>
      </c>
      <c r="DV76" s="231">
        <f ca="1">IF(SUM(DV$24:DV75)=DV$22,0,IF(AND(M76&gt;=DV$15,M76&lt;(DV$16+1)),DV$22/(DV$16-DV$15+1),0))</f>
        <v>0</v>
      </c>
      <c r="DW76" s="231" t="e">
        <f ca="1">IF(SUM(DW$24:DW75)=DW$22,0,IF(AND($M76&gt;=DW$15,$M76&lt;(DW$16+1)),DW$22/(DW$16-DW$15+1),0))</f>
        <v>#N/A</v>
      </c>
      <c r="DX76" s="231">
        <f ca="1">IF(SUM(DX$24:DX75)=DX$22,0,IF(AND($M76&gt;=DX$15,$M76&lt;(DX$16+1)),DX$22/(DX$16-DX$15+1),0))</f>
        <v>0</v>
      </c>
      <c r="DY76" s="231">
        <f ca="1">IF(SUM(DY$24:DY75)=DY$22,0,IF(AND($M76&gt;=DY$15,$M76&lt;(DY$16+1)),DY$22/(DY$16-DY$15+1),0))</f>
        <v>0</v>
      </c>
      <c r="DZ76" s="231">
        <f ca="1">IF(SUM(DZ$24:DZ75)=DZ$22,0,IF(AND($M76&gt;=DZ$15,$M76&lt;(DZ$16+1)),DZ$22/(DZ$16-DZ$15+1),0))</f>
        <v>0</v>
      </c>
      <c r="EA76" s="231" t="e">
        <f ca="1">IF(SUM(EA$24:EA75)=EA$22,0,IF(AND(M76&gt;=EA$15,M76&lt;(EA$16+1)),EA$22/(EA$16-EA$15+1),0))</f>
        <v>#N/A</v>
      </c>
      <c r="EC76" s="234">
        <f t="shared" si="54"/>
        <v>49</v>
      </c>
      <c r="ED76" s="234" t="e">
        <f t="shared" ca="1" si="55"/>
        <v>#N/A</v>
      </c>
      <c r="EE76" s="235" t="e">
        <f t="shared" ca="1" si="56"/>
        <v>#N/A</v>
      </c>
      <c r="EF76" s="234" t="e">
        <f t="shared" ca="1" si="28"/>
        <v>#N/A</v>
      </c>
      <c r="EG76" s="234" t="e">
        <f t="shared" ca="1" si="29"/>
        <v>#N/A</v>
      </c>
      <c r="EH76" s="234" t="e">
        <f t="shared" ca="1" si="34"/>
        <v>#N/A</v>
      </c>
      <c r="EI76" s="234"/>
      <c r="EJ76" s="234"/>
      <c r="EK76" s="153" t="e">
        <f t="shared" ca="1" si="57"/>
        <v>#N/A</v>
      </c>
      <c r="EL76" s="231" t="e">
        <f ca="1">IF(SUM(EL$24:EL75)=EL$22,0,IF(AND($M76&gt;=EL$15,$M76&lt;(EL$16+1)),EL$22/(EL$16-EL$15+1),0))</f>
        <v>#N/A</v>
      </c>
      <c r="EM76" s="153" t="e">
        <f t="shared" ca="1" si="58"/>
        <v>#N/A</v>
      </c>
      <c r="EO76" s="60"/>
      <c r="EP76" s="60"/>
    </row>
    <row r="77" spans="1:153">
      <c r="A77" s="247"/>
      <c r="B77" s="236">
        <f t="shared" si="23"/>
        <v>50</v>
      </c>
      <c r="C77" s="221">
        <f t="shared" si="59"/>
        <v>45081.418300000078</v>
      </c>
      <c r="D77" s="222" t="e">
        <f ca="1">'Offshore INT'!R66</f>
        <v>#N/A</v>
      </c>
      <c r="E77" s="223" t="e">
        <f t="shared" ca="1" si="50"/>
        <v>#N/A</v>
      </c>
      <c r="F77" s="224"/>
      <c r="G77" s="225">
        <f>IF(G76=1,1,SUM($F$24:F77))</f>
        <v>0</v>
      </c>
      <c r="H77" s="226" t="e">
        <f ca="1">IF(H76=0,0,SUM($I$24:I77))</f>
        <v>#N/A</v>
      </c>
      <c r="I77" s="227" t="e">
        <f t="shared" ca="1" si="51"/>
        <v>#N/A</v>
      </c>
      <c r="J77" s="222">
        <f t="shared" ca="1" si="20"/>
        <v>0</v>
      </c>
      <c r="K77" s="60"/>
      <c r="L77" s="242"/>
      <c r="M77" s="228">
        <f t="shared" si="52"/>
        <v>50</v>
      </c>
      <c r="N77" s="221">
        <f t="shared" si="53"/>
        <v>45081.418300000078</v>
      </c>
      <c r="O77" s="229">
        <f t="shared" si="73"/>
        <v>0</v>
      </c>
      <c r="P77" s="229">
        <f t="shared" si="73"/>
        <v>0</v>
      </c>
      <c r="Q77" s="229">
        <f t="shared" si="73"/>
        <v>0</v>
      </c>
      <c r="R77" s="229">
        <f t="shared" si="73"/>
        <v>0</v>
      </c>
      <c r="S77" s="229">
        <f t="shared" si="73"/>
        <v>0</v>
      </c>
      <c r="T77" s="229">
        <f t="shared" si="73"/>
        <v>0</v>
      </c>
      <c r="U77" s="229">
        <f t="shared" si="73"/>
        <v>0</v>
      </c>
      <c r="V77" s="229">
        <f t="shared" si="73"/>
        <v>0</v>
      </c>
      <c r="W77" s="229">
        <f t="shared" si="73"/>
        <v>0</v>
      </c>
      <c r="X77" s="229">
        <f t="shared" si="73"/>
        <v>0</v>
      </c>
      <c r="Y77" s="229">
        <f t="shared" si="73"/>
        <v>0</v>
      </c>
      <c r="Z77" s="229">
        <f t="shared" si="73"/>
        <v>0</v>
      </c>
      <c r="AA77" s="229">
        <f t="shared" si="75"/>
        <v>0</v>
      </c>
      <c r="AB77" s="229">
        <f t="shared" si="75"/>
        <v>0</v>
      </c>
      <c r="AC77" s="229">
        <f t="shared" si="75"/>
        <v>0</v>
      </c>
      <c r="AD77" s="229">
        <f t="shared" si="75"/>
        <v>0</v>
      </c>
      <c r="AE77" s="229">
        <f t="shared" si="75"/>
        <v>0</v>
      </c>
      <c r="AF77" s="229">
        <f t="shared" si="75"/>
        <v>0</v>
      </c>
      <c r="AG77" s="229">
        <f t="shared" si="75"/>
        <v>0</v>
      </c>
      <c r="AH77" s="229">
        <f t="shared" si="75"/>
        <v>0</v>
      </c>
      <c r="AI77" s="229">
        <f t="shared" si="75"/>
        <v>0</v>
      </c>
      <c r="AJ77" s="229">
        <f t="shared" si="75"/>
        <v>0</v>
      </c>
      <c r="AK77" s="229">
        <f t="shared" si="75"/>
        <v>0</v>
      </c>
      <c r="AL77" s="229">
        <f t="shared" si="75"/>
        <v>0</v>
      </c>
      <c r="AM77" s="229">
        <f t="shared" si="75"/>
        <v>0</v>
      </c>
      <c r="AN77" s="229">
        <f t="shared" si="75"/>
        <v>0</v>
      </c>
      <c r="AO77" s="229">
        <f t="shared" si="75"/>
        <v>0</v>
      </c>
      <c r="AP77" s="229">
        <f t="shared" si="75"/>
        <v>0</v>
      </c>
      <c r="AQ77" s="229">
        <f t="shared" si="75"/>
        <v>0</v>
      </c>
      <c r="AR77" s="229">
        <f t="shared" si="75"/>
        <v>0</v>
      </c>
      <c r="AS77" s="229">
        <f t="shared" si="79"/>
        <v>0</v>
      </c>
      <c r="AT77" s="229">
        <f t="shared" si="79"/>
        <v>0</v>
      </c>
      <c r="AU77" s="229">
        <f t="shared" si="79"/>
        <v>0</v>
      </c>
      <c r="AV77" s="229">
        <f t="shared" si="79"/>
        <v>0</v>
      </c>
      <c r="AW77" s="229">
        <f t="shared" si="79"/>
        <v>0</v>
      </c>
      <c r="AX77" s="229">
        <f t="shared" si="75"/>
        <v>0</v>
      </c>
      <c r="AY77" s="229">
        <f t="shared" si="75"/>
        <v>0</v>
      </c>
      <c r="AZ77" s="229">
        <f t="shared" si="75"/>
        <v>0</v>
      </c>
      <c r="BA77" s="229">
        <f t="shared" si="75"/>
        <v>0</v>
      </c>
      <c r="BB77" s="229">
        <f t="shared" si="75"/>
        <v>0</v>
      </c>
      <c r="BC77" s="229">
        <f t="shared" si="75"/>
        <v>0</v>
      </c>
      <c r="BD77" s="229">
        <f t="shared" si="76"/>
        <v>0</v>
      </c>
      <c r="BE77" s="229">
        <f t="shared" si="76"/>
        <v>0</v>
      </c>
      <c r="BF77" s="229">
        <f t="shared" si="76"/>
        <v>0</v>
      </c>
      <c r="BG77" s="229">
        <f t="shared" si="76"/>
        <v>0</v>
      </c>
      <c r="BH77" s="229">
        <f t="shared" si="76"/>
        <v>0</v>
      </c>
      <c r="BI77" s="229">
        <f t="shared" si="76"/>
        <v>0</v>
      </c>
      <c r="BJ77" s="229">
        <f t="shared" si="76"/>
        <v>0</v>
      </c>
      <c r="BK77" s="229">
        <f t="shared" si="76"/>
        <v>0</v>
      </c>
      <c r="BL77" s="229">
        <f t="shared" si="76"/>
        <v>0</v>
      </c>
      <c r="BM77" s="229">
        <f t="shared" si="76"/>
        <v>0</v>
      </c>
      <c r="BN77" s="229">
        <f t="shared" si="76"/>
        <v>0</v>
      </c>
      <c r="BO77" s="229">
        <f t="shared" si="76"/>
        <v>0</v>
      </c>
      <c r="BP77" s="229">
        <f t="shared" si="76"/>
        <v>0</v>
      </c>
      <c r="BQ77" s="229">
        <f t="shared" si="77"/>
        <v>0</v>
      </c>
      <c r="BR77" s="229">
        <f t="shared" si="77"/>
        <v>0</v>
      </c>
      <c r="BS77" s="229">
        <f t="shared" si="77"/>
        <v>0</v>
      </c>
      <c r="BT77" s="229">
        <f t="shared" si="77"/>
        <v>0</v>
      </c>
      <c r="BU77" s="229">
        <f t="shared" si="77"/>
        <v>0</v>
      </c>
      <c r="BV77" s="229">
        <f t="shared" si="77"/>
        <v>0</v>
      </c>
      <c r="BW77" s="229">
        <f t="shared" si="77"/>
        <v>0</v>
      </c>
      <c r="BX77" s="229">
        <f t="shared" si="77"/>
        <v>0</v>
      </c>
      <c r="BY77" s="229">
        <f t="shared" si="77"/>
        <v>0</v>
      </c>
      <c r="BZ77" s="229">
        <f t="shared" si="77"/>
        <v>0</v>
      </c>
      <c r="CA77" s="229">
        <f t="shared" si="77"/>
        <v>0</v>
      </c>
      <c r="CB77" s="229">
        <f t="shared" si="77"/>
        <v>0</v>
      </c>
      <c r="CC77" s="229">
        <f t="shared" si="77"/>
        <v>0</v>
      </c>
      <c r="CD77" s="229">
        <f t="shared" si="78"/>
        <v>0</v>
      </c>
      <c r="CE77" s="229">
        <f t="shared" si="69"/>
        <v>0</v>
      </c>
      <c r="CF77" s="229">
        <f t="shared" si="78"/>
        <v>0</v>
      </c>
      <c r="CG77" s="229">
        <f t="shared" si="78"/>
        <v>0</v>
      </c>
      <c r="CH77" s="229">
        <f t="shared" si="78"/>
        <v>0</v>
      </c>
      <c r="CI77" s="229">
        <f t="shared" si="78"/>
        <v>0</v>
      </c>
      <c r="CJ77" s="229">
        <f t="shared" si="70"/>
        <v>0</v>
      </c>
      <c r="CK77" s="229">
        <f t="shared" si="78"/>
        <v>0</v>
      </c>
      <c r="CL77" s="229">
        <f t="shared" si="78"/>
        <v>0</v>
      </c>
      <c r="CM77" s="229">
        <f t="shared" si="78"/>
        <v>0</v>
      </c>
      <c r="CN77" s="229">
        <f t="shared" si="78"/>
        <v>0</v>
      </c>
      <c r="CO77" s="229">
        <f t="shared" si="63"/>
        <v>0</v>
      </c>
      <c r="CP77" s="229">
        <f t="shared" si="63"/>
        <v>0</v>
      </c>
      <c r="CQ77" s="229">
        <f t="shared" si="78"/>
        <v>0</v>
      </c>
      <c r="CR77" s="229">
        <f t="shared" si="78"/>
        <v>0</v>
      </c>
      <c r="CS77" s="229">
        <f t="shared" si="78"/>
        <v>0</v>
      </c>
      <c r="CT77" s="229">
        <f t="shared" si="78"/>
        <v>0</v>
      </c>
      <c r="CU77" s="230"/>
      <c r="CV77" s="231"/>
      <c r="CW77" s="231"/>
      <c r="CX77" s="231"/>
      <c r="CY77" s="231"/>
      <c r="CZ77" s="231" t="e">
        <f t="shared" ca="1" si="68"/>
        <v>#N/A</v>
      </c>
      <c r="DA77" s="231"/>
      <c r="DB77" s="231" t="e">
        <f t="shared" ca="1" si="74"/>
        <v>#N/A</v>
      </c>
      <c r="DC77" s="231"/>
      <c r="DD77" s="231">
        <f>IF(SUM(DD$24:DD76)=DD$22,0,IF(AND($M77&gt;=DD$15,$M77&lt;(DD$16+1)),DD$22/(DD$16-DD$15+1),0))</f>
        <v>0</v>
      </c>
      <c r="DE77" s="231">
        <f>IF(SUM(DE$24:DE76)=DE$22,0,IF(AND($M77&gt;=DE$15,$M77&lt;(DE$16+1)),DE$22/(DE$16-DE$15+1),0))</f>
        <v>0</v>
      </c>
      <c r="DF77" s="231">
        <f>IF(SUM(DF$24:DF76)=DF$22,0,IF(AND($M77&gt;=DF$15,$M77&lt;(DF$16+1)),DF$22/(DF$16-DF$15+1),0))</f>
        <v>0</v>
      </c>
      <c r="DG77" s="231">
        <f>IF(SUM(DG$24:DG76)=DG$22,0,IF(AND($M77&gt;=DG$15,$M77&lt;(DG$16+1)),DG$22/(DG$16-DG$15+1),0))</f>
        <v>0</v>
      </c>
      <c r="DH77" s="231">
        <f t="shared" si="72"/>
        <v>0</v>
      </c>
      <c r="DI77" s="231">
        <f t="shared" si="72"/>
        <v>0</v>
      </c>
      <c r="DJ77" s="231">
        <f t="shared" si="72"/>
        <v>0</v>
      </c>
      <c r="DK77" s="231">
        <f t="shared" si="72"/>
        <v>0</v>
      </c>
      <c r="DL77" s="231">
        <f t="shared" si="72"/>
        <v>0</v>
      </c>
      <c r="DM77" s="231">
        <f t="shared" si="72"/>
        <v>0</v>
      </c>
      <c r="DN77" s="231">
        <f t="shared" si="72"/>
        <v>0</v>
      </c>
      <c r="DO77" s="231">
        <f t="shared" si="72"/>
        <v>0</v>
      </c>
      <c r="DP77" s="231">
        <f t="shared" si="72"/>
        <v>0</v>
      </c>
      <c r="DQ77" s="231">
        <f t="shared" si="72"/>
        <v>0</v>
      </c>
      <c r="DR77" s="231">
        <f t="shared" si="72"/>
        <v>0</v>
      </c>
      <c r="DS77" s="231">
        <f t="shared" si="25"/>
        <v>0.29866666666666669</v>
      </c>
      <c r="DT77" s="231">
        <f ca="1">IF(SUM(DT$24:DT76)=DT$22,0,IF(AND($M77&gt;=DT$15,$M77&lt;(DT$16+1)),DT$22/(DT$16-DT$15+1),0))</f>
        <v>0</v>
      </c>
      <c r="DU77" s="231">
        <f ca="1">IF(SUM(DU$24:DU76)=DU$22,0,IF(AND($M77&gt;=DU$15,$M77&lt;(DU$16+1)),DU$22/(DU$16-DU$15+1),0))</f>
        <v>0</v>
      </c>
      <c r="DV77" s="231">
        <f ca="1">IF(SUM(DV$24:DV76)=DV$22,0,IF(AND(M77&gt;=DV$15,M77&lt;(DV$16+1)),DV$22/(DV$16-DV$15+1),0))</f>
        <v>0</v>
      </c>
      <c r="DW77" s="231" t="e">
        <f ca="1">IF(SUM(DW$24:DW76)=DW$22,0,IF(AND($M77&gt;=DW$15,$M77&lt;(DW$16+1)),DW$22/(DW$16-DW$15+1),0))</f>
        <v>#N/A</v>
      </c>
      <c r="DX77" s="231">
        <f ca="1">IF(SUM(DX$24:DX76)=DX$22,0,IF(AND($M77&gt;=DX$15,$M77&lt;(DX$16+1)),DX$22/(DX$16-DX$15+1),0))</f>
        <v>0</v>
      </c>
      <c r="DY77" s="231">
        <f ca="1">IF(SUM(DY$24:DY76)=DY$22,0,IF(AND($M77&gt;=DY$15,$M77&lt;(DY$16+1)),DY$22/(DY$16-DY$15+1),0))</f>
        <v>0</v>
      </c>
      <c r="DZ77" s="231">
        <f ca="1">IF(SUM(DZ$24:DZ76)=DZ$22,0,IF(AND($M77&gt;=DZ$15,$M77&lt;(DZ$16+1)),DZ$22/(DZ$16-DZ$15+1),0))</f>
        <v>0</v>
      </c>
      <c r="EA77" s="231" t="e">
        <f ca="1">IF(SUM(EA$24:EA76)=EA$22,0,IF(AND(M77&gt;=EA$15,M77&lt;(EA$16+1)),EA$22/(EA$16-EA$15+1),0))</f>
        <v>#N/A</v>
      </c>
      <c r="EC77" s="234">
        <f t="shared" si="54"/>
        <v>50</v>
      </c>
      <c r="ED77" s="234" t="e">
        <f t="shared" ca="1" si="55"/>
        <v>#N/A</v>
      </c>
      <c r="EE77" s="235" t="e">
        <f t="shared" ca="1" si="56"/>
        <v>#N/A</v>
      </c>
      <c r="EF77" s="234" t="e">
        <f t="shared" ca="1" si="28"/>
        <v>#N/A</v>
      </c>
      <c r="EG77" s="234" t="e">
        <f t="shared" ca="1" si="29"/>
        <v>#N/A</v>
      </c>
      <c r="EH77" s="234" t="e">
        <f t="shared" ca="1" si="34"/>
        <v>#N/A</v>
      </c>
      <c r="EI77" s="234"/>
      <c r="EJ77" s="234"/>
      <c r="EK77" s="153" t="e">
        <f t="shared" ca="1" si="57"/>
        <v>#N/A</v>
      </c>
      <c r="EL77" s="231" t="e">
        <f ca="1">IF(SUM(EL$24:EL76)=EL$22,0,IF(AND($M77&gt;=EL$15,$M77&lt;(EL$16+1)),EL$22/(EL$16-EL$15+1),0))</f>
        <v>#N/A</v>
      </c>
      <c r="EM77" s="153" t="e">
        <f t="shared" ca="1" si="58"/>
        <v>#N/A</v>
      </c>
      <c r="EO77" s="60"/>
      <c r="EP77" s="60"/>
    </row>
    <row r="78" spans="1:153">
      <c r="A78" s="247"/>
      <c r="B78" s="236">
        <f t="shared" si="23"/>
        <v>51</v>
      </c>
      <c r="C78" s="221">
        <f t="shared" si="59"/>
        <v>45111.835000000079</v>
      </c>
      <c r="D78" s="222" t="e">
        <f ca="1">'Offshore INT'!R67</f>
        <v>#N/A</v>
      </c>
      <c r="E78" s="223" t="e">
        <f t="shared" ca="1" si="50"/>
        <v>#N/A</v>
      </c>
      <c r="F78" s="224"/>
      <c r="G78" s="225">
        <f>IF(G77=1,1,SUM($F$24:F78))</f>
        <v>0</v>
      </c>
      <c r="H78" s="226" t="e">
        <f ca="1">IF(H77=0,0,SUM($I$24:I78))</f>
        <v>#N/A</v>
      </c>
      <c r="I78" s="227" t="e">
        <f t="shared" ca="1" si="51"/>
        <v>#N/A</v>
      </c>
      <c r="J78" s="222">
        <f t="shared" ca="1" si="20"/>
        <v>0</v>
      </c>
      <c r="K78" s="60"/>
      <c r="L78" s="242"/>
      <c r="M78" s="228">
        <f t="shared" si="52"/>
        <v>51</v>
      </c>
      <c r="N78" s="221">
        <f t="shared" si="53"/>
        <v>45111.835000000079</v>
      </c>
      <c r="O78" s="229">
        <f t="shared" si="73"/>
        <v>0</v>
      </c>
      <c r="P78" s="229">
        <f t="shared" si="73"/>
        <v>0</v>
      </c>
      <c r="Q78" s="229">
        <f t="shared" si="73"/>
        <v>0</v>
      </c>
      <c r="R78" s="229">
        <f t="shared" si="73"/>
        <v>0</v>
      </c>
      <c r="S78" s="229">
        <f t="shared" si="73"/>
        <v>0</v>
      </c>
      <c r="T78" s="229">
        <f t="shared" si="73"/>
        <v>0</v>
      </c>
      <c r="U78" s="229">
        <f t="shared" si="73"/>
        <v>0</v>
      </c>
      <c r="V78" s="229">
        <f t="shared" si="73"/>
        <v>0</v>
      </c>
      <c r="W78" s="229">
        <f t="shared" si="73"/>
        <v>0</v>
      </c>
      <c r="X78" s="229">
        <f t="shared" si="73"/>
        <v>0</v>
      </c>
      <c r="Y78" s="229">
        <f t="shared" si="73"/>
        <v>0</v>
      </c>
      <c r="Z78" s="229">
        <f t="shared" si="73"/>
        <v>0</v>
      </c>
      <c r="AA78" s="229">
        <f t="shared" si="75"/>
        <v>0</v>
      </c>
      <c r="AB78" s="229">
        <f t="shared" si="75"/>
        <v>0</v>
      </c>
      <c r="AC78" s="229">
        <f t="shared" si="75"/>
        <v>0</v>
      </c>
      <c r="AD78" s="229">
        <f t="shared" si="75"/>
        <v>0</v>
      </c>
      <c r="AE78" s="229">
        <f t="shared" si="75"/>
        <v>0</v>
      </c>
      <c r="AF78" s="229">
        <f t="shared" si="75"/>
        <v>0</v>
      </c>
      <c r="AG78" s="229">
        <f t="shared" si="75"/>
        <v>0</v>
      </c>
      <c r="AH78" s="229">
        <f t="shared" si="75"/>
        <v>0</v>
      </c>
      <c r="AI78" s="229">
        <f t="shared" si="75"/>
        <v>0</v>
      </c>
      <c r="AJ78" s="229">
        <f t="shared" si="75"/>
        <v>0</v>
      </c>
      <c r="AK78" s="229">
        <f t="shared" si="75"/>
        <v>0</v>
      </c>
      <c r="AL78" s="229">
        <f t="shared" si="75"/>
        <v>0</v>
      </c>
      <c r="AM78" s="229">
        <f t="shared" si="75"/>
        <v>0</v>
      </c>
      <c r="AN78" s="229">
        <f t="shared" si="75"/>
        <v>0</v>
      </c>
      <c r="AO78" s="229">
        <f t="shared" si="75"/>
        <v>0</v>
      </c>
      <c r="AP78" s="229">
        <f t="shared" si="75"/>
        <v>0</v>
      </c>
      <c r="AQ78" s="229">
        <f t="shared" si="75"/>
        <v>0</v>
      </c>
      <c r="AR78" s="229">
        <f t="shared" si="75"/>
        <v>0</v>
      </c>
      <c r="AS78" s="229">
        <f t="shared" si="79"/>
        <v>0</v>
      </c>
      <c r="AT78" s="229">
        <f t="shared" si="79"/>
        <v>0</v>
      </c>
      <c r="AU78" s="229">
        <f t="shared" si="79"/>
        <v>0</v>
      </c>
      <c r="AV78" s="229">
        <f t="shared" si="79"/>
        <v>0</v>
      </c>
      <c r="AW78" s="229">
        <f t="shared" si="79"/>
        <v>0</v>
      </c>
      <c r="AX78" s="229">
        <f t="shared" si="75"/>
        <v>0</v>
      </c>
      <c r="AY78" s="229">
        <f t="shared" si="75"/>
        <v>0</v>
      </c>
      <c r="AZ78" s="229">
        <f t="shared" si="75"/>
        <v>0</v>
      </c>
      <c r="BA78" s="229">
        <f t="shared" si="75"/>
        <v>0</v>
      </c>
      <c r="BB78" s="229">
        <f t="shared" si="75"/>
        <v>0</v>
      </c>
      <c r="BC78" s="229">
        <f t="shared" si="75"/>
        <v>0</v>
      </c>
      <c r="BD78" s="229">
        <f t="shared" si="76"/>
        <v>0</v>
      </c>
      <c r="BE78" s="229">
        <f t="shared" si="76"/>
        <v>0</v>
      </c>
      <c r="BF78" s="229">
        <f t="shared" si="76"/>
        <v>0</v>
      </c>
      <c r="BG78" s="229">
        <f t="shared" si="76"/>
        <v>0</v>
      </c>
      <c r="BH78" s="229">
        <f t="shared" si="76"/>
        <v>0</v>
      </c>
      <c r="BI78" s="229">
        <f t="shared" si="76"/>
        <v>0</v>
      </c>
      <c r="BJ78" s="229">
        <f t="shared" si="76"/>
        <v>0</v>
      </c>
      <c r="BK78" s="229">
        <f t="shared" si="76"/>
        <v>0</v>
      </c>
      <c r="BL78" s="229">
        <f t="shared" si="76"/>
        <v>0</v>
      </c>
      <c r="BM78" s="229">
        <f t="shared" si="76"/>
        <v>0</v>
      </c>
      <c r="BN78" s="229">
        <f t="shared" si="76"/>
        <v>0</v>
      </c>
      <c r="BO78" s="229">
        <f t="shared" si="76"/>
        <v>0</v>
      </c>
      <c r="BP78" s="229">
        <f t="shared" si="76"/>
        <v>0</v>
      </c>
      <c r="BQ78" s="229">
        <f t="shared" si="77"/>
        <v>0</v>
      </c>
      <c r="BR78" s="229">
        <f t="shared" si="77"/>
        <v>0</v>
      </c>
      <c r="BS78" s="229">
        <f t="shared" si="77"/>
        <v>0</v>
      </c>
      <c r="BT78" s="229">
        <f t="shared" si="77"/>
        <v>0</v>
      </c>
      <c r="BU78" s="229">
        <f t="shared" si="77"/>
        <v>0</v>
      </c>
      <c r="BV78" s="229">
        <f t="shared" si="77"/>
        <v>0</v>
      </c>
      <c r="BW78" s="229">
        <f t="shared" si="77"/>
        <v>0</v>
      </c>
      <c r="BX78" s="229">
        <f t="shared" si="77"/>
        <v>0</v>
      </c>
      <c r="BY78" s="229">
        <f t="shared" si="77"/>
        <v>0</v>
      </c>
      <c r="BZ78" s="229">
        <f t="shared" si="77"/>
        <v>0</v>
      </c>
      <c r="CA78" s="229">
        <f t="shared" si="77"/>
        <v>0</v>
      </c>
      <c r="CB78" s="229">
        <f t="shared" si="77"/>
        <v>0</v>
      </c>
      <c r="CC78" s="229">
        <f t="shared" si="77"/>
        <v>0</v>
      </c>
      <c r="CD78" s="229">
        <f t="shared" si="78"/>
        <v>0</v>
      </c>
      <c r="CE78" s="229">
        <f t="shared" si="69"/>
        <v>0</v>
      </c>
      <c r="CF78" s="229">
        <f t="shared" si="78"/>
        <v>0</v>
      </c>
      <c r="CG78" s="229">
        <f t="shared" si="78"/>
        <v>0</v>
      </c>
      <c r="CH78" s="229">
        <f t="shared" si="78"/>
        <v>0</v>
      </c>
      <c r="CI78" s="229">
        <f t="shared" si="78"/>
        <v>0</v>
      </c>
      <c r="CJ78" s="229">
        <f t="shared" si="70"/>
        <v>0</v>
      </c>
      <c r="CK78" s="229">
        <f t="shared" si="78"/>
        <v>0</v>
      </c>
      <c r="CL78" s="229">
        <f t="shared" si="78"/>
        <v>0</v>
      </c>
      <c r="CM78" s="229">
        <f t="shared" si="78"/>
        <v>0</v>
      </c>
      <c r="CN78" s="229">
        <f t="shared" si="78"/>
        <v>0</v>
      </c>
      <c r="CO78" s="229">
        <f t="shared" si="63"/>
        <v>0</v>
      </c>
      <c r="CP78" s="229">
        <f t="shared" si="63"/>
        <v>0</v>
      </c>
      <c r="CQ78" s="229">
        <f t="shared" si="78"/>
        <v>0</v>
      </c>
      <c r="CR78" s="229">
        <f t="shared" si="78"/>
        <v>0</v>
      </c>
      <c r="CS78" s="229">
        <f t="shared" si="78"/>
        <v>0</v>
      </c>
      <c r="CT78" s="229">
        <f t="shared" si="78"/>
        <v>0</v>
      </c>
      <c r="CU78" s="230"/>
      <c r="CV78" s="231"/>
      <c r="CW78" s="231"/>
      <c r="CX78" s="231"/>
      <c r="CY78" s="231"/>
      <c r="CZ78" s="231" t="e">
        <f t="shared" ca="1" si="68"/>
        <v>#N/A</v>
      </c>
      <c r="DA78" s="231"/>
      <c r="DB78" s="231" t="e">
        <f t="shared" ca="1" si="74"/>
        <v>#N/A</v>
      </c>
      <c r="DC78" s="231"/>
      <c r="DD78" s="231">
        <f>IF(SUM(DD$24:DD77)=DD$22,0,IF(AND($M78&gt;=DD$15,$M78&lt;(DD$16+1)),DD$22/(DD$16-DD$15+1),0))</f>
        <v>0</v>
      </c>
      <c r="DE78" s="231">
        <f>IF(SUM(DE$24:DE77)=DE$22,0,IF(AND($M78&gt;=DE$15,$M78&lt;(DE$16+1)),DE$22/(DE$16-DE$15+1),0))</f>
        <v>0</v>
      </c>
      <c r="DF78" s="231">
        <f>IF(SUM(DF$24:DF77)=DF$22,0,IF(AND($M78&gt;=DF$15,$M78&lt;(DF$16+1)),DF$22/(DF$16-DF$15+1),0))</f>
        <v>0</v>
      </c>
      <c r="DG78" s="231">
        <f>IF(SUM(DG$24:DG77)=DG$22,0,IF(AND($M78&gt;=DG$15,$M78&lt;(DG$16+1)),DG$22/(DG$16-DG$15+1),0))</f>
        <v>0</v>
      </c>
      <c r="DH78" s="231">
        <f t="shared" si="72"/>
        <v>0</v>
      </c>
      <c r="DI78" s="231">
        <f t="shared" si="72"/>
        <v>0</v>
      </c>
      <c r="DJ78" s="231">
        <f t="shared" si="72"/>
        <v>0</v>
      </c>
      <c r="DK78" s="231">
        <f t="shared" si="72"/>
        <v>0</v>
      </c>
      <c r="DL78" s="231">
        <f t="shared" si="72"/>
        <v>0</v>
      </c>
      <c r="DM78" s="231">
        <f t="shared" si="72"/>
        <v>0</v>
      </c>
      <c r="DN78" s="231">
        <f t="shared" si="72"/>
        <v>0</v>
      </c>
      <c r="DO78" s="231">
        <f t="shared" si="72"/>
        <v>0</v>
      </c>
      <c r="DP78" s="231">
        <f t="shared" si="72"/>
        <v>0</v>
      </c>
      <c r="DQ78" s="231">
        <f t="shared" si="72"/>
        <v>0</v>
      </c>
      <c r="DR78" s="231">
        <f t="shared" si="72"/>
        <v>0</v>
      </c>
      <c r="DS78" s="231">
        <f t="shared" si="25"/>
        <v>0.29866666666666669</v>
      </c>
      <c r="DT78" s="231">
        <f ca="1">IF(SUM(DT$24:DT77)=DT$22,0,IF(AND($M78&gt;=DT$15,$M78&lt;(DT$16+1)),DT$22/(DT$16-DT$15+1),0))</f>
        <v>0</v>
      </c>
      <c r="DU78" s="231">
        <f ca="1">IF(SUM(DU$24:DU77)=DU$22,0,IF(AND($M78&gt;=DU$15,$M78&lt;(DU$16+1)),DU$22/(DU$16-DU$15+1),0))</f>
        <v>0</v>
      </c>
      <c r="DV78" s="231">
        <f ca="1">IF(SUM(DV$24:DV77)=DV$22,0,IF(AND(M78&gt;=DV$15,M78&lt;(DV$16+1)),DV$22/(DV$16-DV$15+1),0))</f>
        <v>0</v>
      </c>
      <c r="DW78" s="231" t="e">
        <f ca="1">IF(SUM(DW$24:DW77)=DW$22,0,IF(AND($M78&gt;=DW$15,$M78&lt;(DW$16+1)),DW$22/(DW$16-DW$15+1),0))</f>
        <v>#N/A</v>
      </c>
      <c r="DX78" s="231">
        <f ca="1">IF(SUM(DX$24:DX77)=DX$22,0,IF(AND($M78&gt;=DX$15,$M78&lt;(DX$16+1)),DX$22/(DX$16-DX$15+1),0))</f>
        <v>0</v>
      </c>
      <c r="DY78" s="231">
        <f ca="1">IF(SUM(DY$24:DY77)=DY$22,0,IF(AND($M78&gt;=DY$15,$M78&lt;(DY$16+1)),DY$22/(DY$16-DY$15+1),0))</f>
        <v>0</v>
      </c>
      <c r="DZ78" s="231">
        <f ca="1">IF(SUM(DZ$24:DZ77)=DZ$22,0,IF(AND($M78&gt;=DZ$15,$M78&lt;(DZ$16+1)),DZ$22/(DZ$16-DZ$15+1),0))</f>
        <v>0</v>
      </c>
      <c r="EA78" s="231" t="e">
        <f ca="1">IF(SUM(EA$24:EA77)=EA$22,0,IF(AND(M78&gt;=EA$15,M78&lt;(EA$16+1)),EA$22/(EA$16-EA$15+1),0))</f>
        <v>#N/A</v>
      </c>
      <c r="EC78" s="234">
        <f t="shared" si="54"/>
        <v>51</v>
      </c>
      <c r="ED78" s="234" t="e">
        <f t="shared" ca="1" si="55"/>
        <v>#N/A</v>
      </c>
      <c r="EE78" s="235" t="e">
        <f t="shared" ca="1" si="56"/>
        <v>#N/A</v>
      </c>
      <c r="EF78" s="234" t="e">
        <f t="shared" ca="1" si="28"/>
        <v>#N/A</v>
      </c>
      <c r="EG78" s="234" t="e">
        <f t="shared" ca="1" si="29"/>
        <v>#N/A</v>
      </c>
      <c r="EH78" s="234" t="e">
        <f t="shared" ca="1" si="34"/>
        <v>#N/A</v>
      </c>
      <c r="EI78" s="234"/>
      <c r="EJ78" s="234"/>
      <c r="EK78" s="153" t="e">
        <f t="shared" ca="1" si="57"/>
        <v>#N/A</v>
      </c>
      <c r="EL78" s="231" t="e">
        <f ca="1">IF(SUM(EL$24:EL77)=EL$22,0,IF(AND($M78&gt;=EL$15,$M78&lt;(EL$16+1)),EL$22/(EL$16-EL$15+1),0))</f>
        <v>#N/A</v>
      </c>
      <c r="EM78" s="153" t="e">
        <f t="shared" ca="1" si="58"/>
        <v>#N/A</v>
      </c>
      <c r="EO78" s="60"/>
      <c r="EP78" s="60"/>
    </row>
    <row r="79" spans="1:153">
      <c r="A79" s="247"/>
      <c r="B79" s="236">
        <f t="shared" si="23"/>
        <v>52</v>
      </c>
      <c r="C79" s="221">
        <f t="shared" si="59"/>
        <v>45142.251700000081</v>
      </c>
      <c r="D79" s="222" t="e">
        <f ca="1">'Offshore INT'!R68</f>
        <v>#N/A</v>
      </c>
      <c r="E79" s="223" t="e">
        <f t="shared" ca="1" si="50"/>
        <v>#N/A</v>
      </c>
      <c r="F79" s="224"/>
      <c r="G79" s="225">
        <f>IF(G78=1,1,SUM($F$24:F79))</f>
        <v>0</v>
      </c>
      <c r="H79" s="226" t="e">
        <f ca="1">IF(H78=0,0,SUM($I$24:I79))</f>
        <v>#N/A</v>
      </c>
      <c r="I79" s="227" t="e">
        <f t="shared" ca="1" si="51"/>
        <v>#N/A</v>
      </c>
      <c r="J79" s="222">
        <f t="shared" ca="1" si="20"/>
        <v>0</v>
      </c>
      <c r="K79" s="60"/>
      <c r="L79" s="242"/>
      <c r="M79" s="228">
        <f t="shared" si="52"/>
        <v>52</v>
      </c>
      <c r="N79" s="221">
        <f t="shared" si="53"/>
        <v>45142.251700000081</v>
      </c>
      <c r="O79" s="229">
        <f t="shared" si="73"/>
        <v>0</v>
      </c>
      <c r="P79" s="229">
        <f t="shared" si="73"/>
        <v>0</v>
      </c>
      <c r="Q79" s="229">
        <f t="shared" si="73"/>
        <v>0</v>
      </c>
      <c r="R79" s="229">
        <f t="shared" si="73"/>
        <v>0</v>
      </c>
      <c r="S79" s="229">
        <f t="shared" si="73"/>
        <v>0</v>
      </c>
      <c r="T79" s="229">
        <f t="shared" si="73"/>
        <v>0</v>
      </c>
      <c r="U79" s="229">
        <f t="shared" si="73"/>
        <v>0</v>
      </c>
      <c r="V79" s="229">
        <f t="shared" si="73"/>
        <v>0</v>
      </c>
      <c r="W79" s="229">
        <f t="shared" si="73"/>
        <v>0</v>
      </c>
      <c r="X79" s="229">
        <f t="shared" si="73"/>
        <v>0</v>
      </c>
      <c r="Y79" s="229">
        <f t="shared" si="73"/>
        <v>0</v>
      </c>
      <c r="Z79" s="229">
        <f t="shared" si="73"/>
        <v>0</v>
      </c>
      <c r="AA79" s="229">
        <f t="shared" si="75"/>
        <v>0</v>
      </c>
      <c r="AB79" s="229">
        <f t="shared" si="75"/>
        <v>0</v>
      </c>
      <c r="AC79" s="229">
        <f t="shared" si="75"/>
        <v>0</v>
      </c>
      <c r="AD79" s="229">
        <f t="shared" si="75"/>
        <v>0</v>
      </c>
      <c r="AE79" s="229">
        <f t="shared" si="75"/>
        <v>0</v>
      </c>
      <c r="AF79" s="229">
        <f t="shared" si="75"/>
        <v>0</v>
      </c>
      <c r="AG79" s="229">
        <f t="shared" si="75"/>
        <v>0</v>
      </c>
      <c r="AH79" s="229">
        <f t="shared" si="75"/>
        <v>0</v>
      </c>
      <c r="AI79" s="229">
        <f t="shared" si="75"/>
        <v>0</v>
      </c>
      <c r="AJ79" s="229">
        <f t="shared" si="75"/>
        <v>0</v>
      </c>
      <c r="AK79" s="229">
        <f t="shared" si="75"/>
        <v>0</v>
      </c>
      <c r="AL79" s="229">
        <f t="shared" si="75"/>
        <v>0</v>
      </c>
      <c r="AM79" s="229">
        <f t="shared" si="75"/>
        <v>0</v>
      </c>
      <c r="AN79" s="229">
        <f t="shared" si="75"/>
        <v>0</v>
      </c>
      <c r="AO79" s="229">
        <f t="shared" si="75"/>
        <v>0</v>
      </c>
      <c r="AP79" s="229">
        <f t="shared" si="75"/>
        <v>0</v>
      </c>
      <c r="AQ79" s="229">
        <f t="shared" si="75"/>
        <v>0</v>
      </c>
      <c r="AR79" s="229">
        <f t="shared" si="75"/>
        <v>0</v>
      </c>
      <c r="AS79" s="229">
        <f t="shared" si="79"/>
        <v>0</v>
      </c>
      <c r="AT79" s="229">
        <f t="shared" si="79"/>
        <v>0</v>
      </c>
      <c r="AU79" s="229">
        <f t="shared" si="79"/>
        <v>0</v>
      </c>
      <c r="AV79" s="229">
        <f t="shared" si="79"/>
        <v>0</v>
      </c>
      <c r="AW79" s="229">
        <f t="shared" si="79"/>
        <v>0</v>
      </c>
      <c r="AX79" s="229">
        <f t="shared" si="75"/>
        <v>0</v>
      </c>
      <c r="AY79" s="229">
        <f t="shared" si="75"/>
        <v>0</v>
      </c>
      <c r="AZ79" s="229">
        <f t="shared" si="75"/>
        <v>0</v>
      </c>
      <c r="BA79" s="229">
        <f t="shared" si="75"/>
        <v>0</v>
      </c>
      <c r="BB79" s="229">
        <f t="shared" si="75"/>
        <v>0</v>
      </c>
      <c r="BC79" s="229">
        <f t="shared" si="75"/>
        <v>0</v>
      </c>
      <c r="BD79" s="229">
        <f t="shared" si="76"/>
        <v>0</v>
      </c>
      <c r="BE79" s="229">
        <f t="shared" si="76"/>
        <v>0</v>
      </c>
      <c r="BF79" s="229">
        <f t="shared" si="76"/>
        <v>0</v>
      </c>
      <c r="BG79" s="229">
        <f t="shared" si="76"/>
        <v>0</v>
      </c>
      <c r="BH79" s="229">
        <f t="shared" si="76"/>
        <v>0</v>
      </c>
      <c r="BI79" s="229">
        <f t="shared" si="76"/>
        <v>0</v>
      </c>
      <c r="BJ79" s="229">
        <f t="shared" si="76"/>
        <v>0</v>
      </c>
      <c r="BK79" s="229">
        <f t="shared" si="76"/>
        <v>0</v>
      </c>
      <c r="BL79" s="229">
        <f t="shared" si="76"/>
        <v>0</v>
      </c>
      <c r="BM79" s="229">
        <f t="shared" si="76"/>
        <v>0</v>
      </c>
      <c r="BN79" s="229">
        <f t="shared" si="76"/>
        <v>0</v>
      </c>
      <c r="BO79" s="229">
        <f t="shared" si="76"/>
        <v>0</v>
      </c>
      <c r="BP79" s="229">
        <f t="shared" si="76"/>
        <v>0</v>
      </c>
      <c r="BQ79" s="229">
        <f t="shared" si="77"/>
        <v>0</v>
      </c>
      <c r="BR79" s="229">
        <f t="shared" si="77"/>
        <v>0</v>
      </c>
      <c r="BS79" s="229">
        <f t="shared" si="77"/>
        <v>0</v>
      </c>
      <c r="BT79" s="229">
        <f t="shared" si="77"/>
        <v>0</v>
      </c>
      <c r="BU79" s="229">
        <f t="shared" si="77"/>
        <v>0</v>
      </c>
      <c r="BV79" s="229">
        <f t="shared" si="77"/>
        <v>0</v>
      </c>
      <c r="BW79" s="229">
        <f t="shared" si="77"/>
        <v>0</v>
      </c>
      <c r="BX79" s="229">
        <f t="shared" si="77"/>
        <v>0</v>
      </c>
      <c r="BY79" s="229">
        <f t="shared" si="77"/>
        <v>0</v>
      </c>
      <c r="BZ79" s="229">
        <f t="shared" si="77"/>
        <v>0</v>
      </c>
      <c r="CA79" s="229">
        <f t="shared" si="77"/>
        <v>0</v>
      </c>
      <c r="CB79" s="229">
        <f t="shared" si="77"/>
        <v>0</v>
      </c>
      <c r="CC79" s="229">
        <f t="shared" si="77"/>
        <v>0</v>
      </c>
      <c r="CD79" s="229">
        <f t="shared" si="78"/>
        <v>0</v>
      </c>
      <c r="CE79" s="229">
        <f t="shared" ref="CE79:CE88" si="80">IF($M79=CE$13,CE$22*CE$3,IF($M79=CE$14,CE$22*CE$4,IF($M79=CE$15,CE$22*CE$5,IF($M79=CE$16,CE$22*CE$6,IF($M79=CE$17,CE$22*CE$7,IF($M79=CE$18,CE$22*CE$8,IF($M79=CE$19,CE$22*CE$9,IF($M79=CE$20,CE$22*CE$10,0))))))))</f>
        <v>0</v>
      </c>
      <c r="CF79" s="229">
        <f t="shared" si="78"/>
        <v>0</v>
      </c>
      <c r="CG79" s="229">
        <f t="shared" si="78"/>
        <v>0</v>
      </c>
      <c r="CH79" s="229">
        <f t="shared" si="78"/>
        <v>0</v>
      </c>
      <c r="CI79" s="229">
        <f t="shared" si="78"/>
        <v>0</v>
      </c>
      <c r="CJ79" s="229">
        <f t="shared" si="70"/>
        <v>0</v>
      </c>
      <c r="CK79" s="229">
        <f t="shared" si="78"/>
        <v>0</v>
      </c>
      <c r="CL79" s="229">
        <f t="shared" si="78"/>
        <v>0</v>
      </c>
      <c r="CM79" s="229">
        <f t="shared" si="78"/>
        <v>0</v>
      </c>
      <c r="CN79" s="229">
        <f t="shared" si="78"/>
        <v>0</v>
      </c>
      <c r="CO79" s="229">
        <f t="shared" ref="CO79:CP94" si="81">IF($M79=CO$13,CO$22*CO$3,IF($M79=CO$14,CO$22*CO$4,IF($M79=CO$15,CO$22*CO$5,IF($M79=CO$16,CO$22*CO$6,IF($M79=CO$17,CO$22*CO$7,IF($M79=CO$18,CO$22*CO$8,IF($M79=CO$19,CO$22*CO$9,IF($M79=CO$20,CO$22*CO$10,0))))))))</f>
        <v>0</v>
      </c>
      <c r="CP79" s="229">
        <f t="shared" si="81"/>
        <v>0</v>
      </c>
      <c r="CQ79" s="229">
        <f t="shared" si="78"/>
        <v>0</v>
      </c>
      <c r="CR79" s="229">
        <f t="shared" si="78"/>
        <v>0</v>
      </c>
      <c r="CS79" s="229">
        <f t="shared" si="78"/>
        <v>0</v>
      </c>
      <c r="CT79" s="229">
        <f t="shared" si="78"/>
        <v>0</v>
      </c>
      <c r="CU79" s="230"/>
      <c r="CV79" s="231"/>
      <c r="CW79" s="231"/>
      <c r="CX79" s="231"/>
      <c r="CY79" s="231"/>
      <c r="CZ79" s="231" t="e">
        <f t="shared" ca="1" si="68"/>
        <v>#N/A</v>
      </c>
      <c r="DA79" s="231"/>
      <c r="DB79" s="231" t="e">
        <f t="shared" ca="1" si="74"/>
        <v>#N/A</v>
      </c>
      <c r="DC79" s="231"/>
      <c r="DD79" s="231">
        <f>IF(SUM(DD$24:DD78)=DD$22,0,IF(AND($M79&gt;=DD$15,$M79&lt;(DD$16+1)),DD$22/(DD$16-DD$15+1),0))</f>
        <v>0</v>
      </c>
      <c r="DE79" s="231">
        <f>IF(SUM(DE$24:DE78)=DE$22,0,IF(AND($M79&gt;=DE$15,$M79&lt;(DE$16+1)),DE$22/(DE$16-DE$15+1),0))</f>
        <v>0</v>
      </c>
      <c r="DF79" s="231">
        <f>IF(SUM(DF$24:DF78)=DF$22,0,IF(AND($M79&gt;=DF$15,$M79&lt;(DF$16+1)),DF$22/(DF$16-DF$15+1),0))</f>
        <v>0</v>
      </c>
      <c r="DG79" s="231">
        <f>IF(SUM(DG$24:DG78)=DG$22,0,IF(AND($M79&gt;=DG$15,$M79&lt;(DG$16+1)),DG$22/(DG$16-DG$15+1),0))</f>
        <v>0</v>
      </c>
      <c r="DH79" s="231">
        <f t="shared" si="72"/>
        <v>0</v>
      </c>
      <c r="DI79" s="231">
        <f t="shared" si="72"/>
        <v>0</v>
      </c>
      <c r="DJ79" s="231">
        <f t="shared" si="72"/>
        <v>0</v>
      </c>
      <c r="DK79" s="231">
        <f t="shared" si="72"/>
        <v>0</v>
      </c>
      <c r="DL79" s="231">
        <f t="shared" si="72"/>
        <v>0</v>
      </c>
      <c r="DM79" s="231">
        <f t="shared" si="72"/>
        <v>0</v>
      </c>
      <c r="DN79" s="231">
        <f t="shared" si="72"/>
        <v>0</v>
      </c>
      <c r="DO79" s="231">
        <f t="shared" si="72"/>
        <v>0</v>
      </c>
      <c r="DP79" s="231">
        <f t="shared" si="72"/>
        <v>0</v>
      </c>
      <c r="DQ79" s="231">
        <f t="shared" si="72"/>
        <v>0</v>
      </c>
      <c r="DR79" s="231">
        <f t="shared" si="72"/>
        <v>0</v>
      </c>
      <c r="DS79" s="231">
        <f t="shared" si="25"/>
        <v>0.29866666666666669</v>
      </c>
      <c r="DT79" s="231">
        <f ca="1">IF(SUM(DT$24:DT78)=DT$22,0,IF(AND($M79&gt;=DT$15,$M79&lt;(DT$16+1)),DT$22/(DT$16-DT$15+1),0))</f>
        <v>0</v>
      </c>
      <c r="DU79" s="231">
        <f ca="1">IF(SUM(DU$24:DU78)=DU$22,0,IF(AND($M79&gt;=DU$15,$M79&lt;(DU$16+1)),DU$22/(DU$16-DU$15+1),0))</f>
        <v>0</v>
      </c>
      <c r="DV79" s="231">
        <f ca="1">IF(SUM(DV$24:DV78)=DV$22,0,IF(AND(M79&gt;=DV$15,M79&lt;(DV$16+1)),DV$22/(DV$16-DV$15+1),0))</f>
        <v>0</v>
      </c>
      <c r="DW79" s="231" t="e">
        <f ca="1">IF(SUM(DW$24:DW78)=DW$22,0,IF(AND($M79&gt;=DW$15,$M79&lt;(DW$16+1)),DW$22/(DW$16-DW$15+1),0))</f>
        <v>#N/A</v>
      </c>
      <c r="DX79" s="231">
        <f ca="1">IF(SUM(DX$24:DX78)=DX$22,0,IF(AND($M79&gt;=DX$15,$M79&lt;(DX$16+1)),DX$22/(DX$16-DX$15+1),0))</f>
        <v>0</v>
      </c>
      <c r="DY79" s="231">
        <f ca="1">IF(SUM(DY$24:DY78)=DY$22,0,IF(AND($M79&gt;=DY$15,$M79&lt;(DY$16+1)),DY$22/(DY$16-DY$15+1),0))</f>
        <v>0</v>
      </c>
      <c r="DZ79" s="231">
        <f ca="1">IF(SUM(DZ$24:DZ78)=DZ$22,0,IF(AND($M79&gt;=DZ$15,$M79&lt;(DZ$16+1)),DZ$22/(DZ$16-DZ$15+1),0))</f>
        <v>0</v>
      </c>
      <c r="EA79" s="231" t="e">
        <f ca="1">IF(SUM(EA$24:EA78)=EA$22,0,IF(AND(M79&gt;=EA$15,M79&lt;(EA$16+1)),EA$22/(EA$16-EA$15+1),0))</f>
        <v>#N/A</v>
      </c>
      <c r="EC79" s="234">
        <f t="shared" si="54"/>
        <v>52</v>
      </c>
      <c r="ED79" s="234" t="e">
        <f t="shared" ca="1" si="55"/>
        <v>#N/A</v>
      </c>
      <c r="EE79" s="235" t="e">
        <f t="shared" ca="1" si="56"/>
        <v>#N/A</v>
      </c>
      <c r="EF79" s="234" t="e">
        <f t="shared" ca="1" si="28"/>
        <v>#N/A</v>
      </c>
      <c r="EG79" s="234" t="e">
        <f t="shared" ca="1" si="29"/>
        <v>#N/A</v>
      </c>
      <c r="EH79" s="234" t="e">
        <f t="shared" ca="1" si="34"/>
        <v>#N/A</v>
      </c>
      <c r="EI79" s="234"/>
      <c r="EJ79" s="234"/>
      <c r="EK79" s="153" t="e">
        <f t="shared" ca="1" si="57"/>
        <v>#N/A</v>
      </c>
      <c r="EL79" s="231" t="e">
        <f ca="1">IF(SUM(EL$24:EL78)=EL$22,0,IF(AND($M79&gt;=EL$15,$M79&lt;(EL$16+1)),EL$22/(EL$16-EL$15+1),0))</f>
        <v>#N/A</v>
      </c>
      <c r="EM79" s="153" t="e">
        <f t="shared" ca="1" si="58"/>
        <v>#N/A</v>
      </c>
      <c r="EO79" s="60"/>
      <c r="EP79" s="60"/>
    </row>
    <row r="80" spans="1:153">
      <c r="A80" s="247"/>
      <c r="B80" s="236">
        <f t="shared" si="23"/>
        <v>53</v>
      </c>
      <c r="C80" s="221">
        <f t="shared" si="59"/>
        <v>45172.668400000082</v>
      </c>
      <c r="D80" s="222" t="e">
        <f ca="1">'Offshore INT'!R69</f>
        <v>#N/A</v>
      </c>
      <c r="E80" s="223" t="e">
        <f t="shared" ca="1" si="50"/>
        <v>#N/A</v>
      </c>
      <c r="F80" s="224"/>
      <c r="G80" s="225">
        <f>IF(G79=1,1,SUM($F$24:F80))</f>
        <v>0</v>
      </c>
      <c r="H80" s="226" t="e">
        <f ca="1">IF(H79=0,0,SUM($I$24:I80))</f>
        <v>#N/A</v>
      </c>
      <c r="I80" s="227" t="e">
        <f t="shared" ca="1" si="51"/>
        <v>#N/A</v>
      </c>
      <c r="J80" s="222">
        <f t="shared" ca="1" si="20"/>
        <v>0</v>
      </c>
      <c r="K80" s="60"/>
      <c r="L80" s="242"/>
      <c r="M80" s="228">
        <f t="shared" si="52"/>
        <v>53</v>
      </c>
      <c r="N80" s="221">
        <f t="shared" si="53"/>
        <v>45172.668400000082</v>
      </c>
      <c r="O80" s="229">
        <f t="shared" si="73"/>
        <v>0</v>
      </c>
      <c r="P80" s="229">
        <f t="shared" si="73"/>
        <v>0</v>
      </c>
      <c r="Q80" s="229">
        <f t="shared" si="73"/>
        <v>0</v>
      </c>
      <c r="R80" s="229">
        <f t="shared" si="73"/>
        <v>0</v>
      </c>
      <c r="S80" s="229">
        <f t="shared" si="73"/>
        <v>0</v>
      </c>
      <c r="T80" s="229">
        <f t="shared" si="73"/>
        <v>0</v>
      </c>
      <c r="U80" s="229">
        <f t="shared" si="73"/>
        <v>0</v>
      </c>
      <c r="V80" s="229">
        <f t="shared" si="73"/>
        <v>0</v>
      </c>
      <c r="W80" s="229">
        <f t="shared" si="73"/>
        <v>0</v>
      </c>
      <c r="X80" s="229">
        <f t="shared" si="73"/>
        <v>0</v>
      </c>
      <c r="Y80" s="229">
        <f t="shared" si="73"/>
        <v>0</v>
      </c>
      <c r="Z80" s="229">
        <f t="shared" si="73"/>
        <v>0</v>
      </c>
      <c r="AA80" s="229">
        <f t="shared" si="75"/>
        <v>0</v>
      </c>
      <c r="AB80" s="229">
        <f t="shared" si="75"/>
        <v>0</v>
      </c>
      <c r="AC80" s="229">
        <f t="shared" si="75"/>
        <v>0</v>
      </c>
      <c r="AD80" s="229">
        <f t="shared" si="75"/>
        <v>0</v>
      </c>
      <c r="AE80" s="229">
        <f t="shared" si="75"/>
        <v>0</v>
      </c>
      <c r="AF80" s="229">
        <f t="shared" si="75"/>
        <v>0</v>
      </c>
      <c r="AG80" s="229">
        <f t="shared" si="75"/>
        <v>0</v>
      </c>
      <c r="AH80" s="229">
        <f t="shared" si="75"/>
        <v>0</v>
      </c>
      <c r="AI80" s="229">
        <f t="shared" si="75"/>
        <v>0</v>
      </c>
      <c r="AJ80" s="229">
        <f t="shared" si="75"/>
        <v>0</v>
      </c>
      <c r="AK80" s="229">
        <f t="shared" si="75"/>
        <v>0</v>
      </c>
      <c r="AL80" s="229">
        <f t="shared" si="75"/>
        <v>0</v>
      </c>
      <c r="AM80" s="229">
        <f t="shared" si="75"/>
        <v>0</v>
      </c>
      <c r="AN80" s="229">
        <f t="shared" si="75"/>
        <v>0</v>
      </c>
      <c r="AO80" s="229">
        <f t="shared" ref="AM80:AO83" si="82">IF($M80=AO$13,AO$22*AO$3,IF($M80=AO$14,AO$22*AO$4,IF($M80=AO$15,AO$22*AO$5,IF($M80=AO$16,AO$22*AO$6,IF($M80=AO$17,AO$22*AO$7,IF($M80=AO$18,AO$22*AO$8,IF($M80=AO$19,AO$22*AO$9,IF($M80=AO$20,AO$22*AO$10,0))))))))</f>
        <v>0</v>
      </c>
      <c r="AP80" s="229">
        <f t="shared" si="75"/>
        <v>0</v>
      </c>
      <c r="AQ80" s="229">
        <f t="shared" si="75"/>
        <v>0</v>
      </c>
      <c r="AR80" s="229">
        <f t="shared" si="75"/>
        <v>0</v>
      </c>
      <c r="AS80" s="229">
        <f t="shared" si="79"/>
        <v>0</v>
      </c>
      <c r="AT80" s="229">
        <f t="shared" si="79"/>
        <v>0</v>
      </c>
      <c r="AU80" s="229">
        <f t="shared" si="79"/>
        <v>0</v>
      </c>
      <c r="AV80" s="229">
        <f t="shared" si="79"/>
        <v>0</v>
      </c>
      <c r="AW80" s="229">
        <f t="shared" si="79"/>
        <v>0</v>
      </c>
      <c r="AX80" s="229">
        <f t="shared" si="75"/>
        <v>0</v>
      </c>
      <c r="AY80" s="229">
        <f t="shared" si="75"/>
        <v>0</v>
      </c>
      <c r="AZ80" s="229">
        <f t="shared" si="75"/>
        <v>0</v>
      </c>
      <c r="BA80" s="229">
        <f t="shared" si="75"/>
        <v>0</v>
      </c>
      <c r="BB80" s="229">
        <f t="shared" si="75"/>
        <v>0</v>
      </c>
      <c r="BC80" s="229">
        <f t="shared" si="75"/>
        <v>0</v>
      </c>
      <c r="BD80" s="229">
        <f t="shared" si="76"/>
        <v>0</v>
      </c>
      <c r="BE80" s="229">
        <f t="shared" si="76"/>
        <v>0</v>
      </c>
      <c r="BF80" s="229">
        <f t="shared" si="76"/>
        <v>0</v>
      </c>
      <c r="BG80" s="229">
        <f t="shared" si="76"/>
        <v>0</v>
      </c>
      <c r="BH80" s="229">
        <f t="shared" si="76"/>
        <v>0</v>
      </c>
      <c r="BI80" s="229">
        <f t="shared" si="76"/>
        <v>0</v>
      </c>
      <c r="BJ80" s="229">
        <f t="shared" si="76"/>
        <v>0</v>
      </c>
      <c r="BK80" s="229">
        <f t="shared" si="76"/>
        <v>0</v>
      </c>
      <c r="BL80" s="229">
        <f t="shared" si="76"/>
        <v>0</v>
      </c>
      <c r="BM80" s="229">
        <f t="shared" si="76"/>
        <v>0</v>
      </c>
      <c r="BN80" s="229">
        <f t="shared" si="76"/>
        <v>0</v>
      </c>
      <c r="BO80" s="229">
        <f t="shared" si="76"/>
        <v>0</v>
      </c>
      <c r="BP80" s="229">
        <f t="shared" si="76"/>
        <v>0</v>
      </c>
      <c r="BQ80" s="229">
        <f t="shared" si="77"/>
        <v>0</v>
      </c>
      <c r="BR80" s="229">
        <f t="shared" si="77"/>
        <v>0</v>
      </c>
      <c r="BS80" s="229">
        <f t="shared" si="77"/>
        <v>0</v>
      </c>
      <c r="BT80" s="229">
        <f t="shared" si="77"/>
        <v>0</v>
      </c>
      <c r="BU80" s="229">
        <f t="shared" si="77"/>
        <v>0</v>
      </c>
      <c r="BV80" s="229">
        <f t="shared" si="77"/>
        <v>0</v>
      </c>
      <c r="BW80" s="229">
        <f t="shared" si="77"/>
        <v>0</v>
      </c>
      <c r="BX80" s="229">
        <f t="shared" si="77"/>
        <v>0</v>
      </c>
      <c r="BY80" s="229">
        <f t="shared" si="77"/>
        <v>0</v>
      </c>
      <c r="BZ80" s="229">
        <f t="shared" si="77"/>
        <v>0</v>
      </c>
      <c r="CA80" s="229">
        <f t="shared" si="77"/>
        <v>0</v>
      </c>
      <c r="CB80" s="229">
        <f t="shared" si="77"/>
        <v>0</v>
      </c>
      <c r="CC80" s="229">
        <f t="shared" si="77"/>
        <v>0</v>
      </c>
      <c r="CD80" s="229">
        <f t="shared" si="78"/>
        <v>0</v>
      </c>
      <c r="CE80" s="229">
        <f t="shared" si="80"/>
        <v>0</v>
      </c>
      <c r="CF80" s="229">
        <f t="shared" si="78"/>
        <v>0</v>
      </c>
      <c r="CG80" s="229">
        <f t="shared" si="78"/>
        <v>0</v>
      </c>
      <c r="CH80" s="229">
        <f t="shared" si="78"/>
        <v>0</v>
      </c>
      <c r="CI80" s="229">
        <f t="shared" si="78"/>
        <v>0</v>
      </c>
      <c r="CJ80" s="229">
        <f t="shared" si="70"/>
        <v>0</v>
      </c>
      <c r="CK80" s="229">
        <f t="shared" si="78"/>
        <v>0</v>
      </c>
      <c r="CL80" s="229">
        <f t="shared" si="78"/>
        <v>0</v>
      </c>
      <c r="CM80" s="229">
        <f t="shared" si="78"/>
        <v>0</v>
      </c>
      <c r="CN80" s="229">
        <f t="shared" si="78"/>
        <v>0</v>
      </c>
      <c r="CO80" s="229">
        <f t="shared" si="81"/>
        <v>0</v>
      </c>
      <c r="CP80" s="229">
        <f t="shared" si="81"/>
        <v>0</v>
      </c>
      <c r="CQ80" s="229">
        <f t="shared" si="78"/>
        <v>0</v>
      </c>
      <c r="CR80" s="229">
        <f t="shared" si="78"/>
        <v>0</v>
      </c>
      <c r="CS80" s="229">
        <f t="shared" si="78"/>
        <v>0</v>
      </c>
      <c r="CT80" s="229">
        <f t="shared" si="78"/>
        <v>0</v>
      </c>
      <c r="CU80" s="230"/>
      <c r="CV80" s="231"/>
      <c r="CW80" s="231"/>
      <c r="CX80" s="231"/>
      <c r="CY80" s="231"/>
      <c r="CZ80" s="231" t="e">
        <f t="shared" ca="1" si="68"/>
        <v>#N/A</v>
      </c>
      <c r="DA80" s="231"/>
      <c r="DB80" s="231" t="e">
        <f t="shared" ca="1" si="74"/>
        <v>#N/A</v>
      </c>
      <c r="DC80" s="231"/>
      <c r="DD80" s="231">
        <f>IF(SUM(DD$24:DD79)=DD$22,0,IF(AND($M80&gt;=DD$15,$M80&lt;(DD$16+1)),DD$22/(DD$16-DD$15+1),0))</f>
        <v>0</v>
      </c>
      <c r="DE80" s="231">
        <f>IF(SUM(DE$24:DE79)=DE$22,0,IF(AND($M80&gt;=DE$15,$M80&lt;(DE$16+1)),DE$22/(DE$16-DE$15+1),0))</f>
        <v>0</v>
      </c>
      <c r="DF80" s="231">
        <f>IF(SUM(DF$24:DF79)=DF$22,0,IF(AND($M80&gt;=DF$15,$M80&lt;(DF$16+1)),DF$22/(DF$16-DF$15+1),0))</f>
        <v>0</v>
      </c>
      <c r="DG80" s="231">
        <f>IF(SUM(DG$24:DG79)=DG$22,0,IF(AND($M80&gt;=DG$15,$M80&lt;(DG$16+1)),DG$22/(DG$16-DG$15+1),0))</f>
        <v>0</v>
      </c>
      <c r="DH80" s="231">
        <f t="shared" si="72"/>
        <v>0</v>
      </c>
      <c r="DI80" s="231">
        <f t="shared" si="72"/>
        <v>0</v>
      </c>
      <c r="DJ80" s="231">
        <f t="shared" si="72"/>
        <v>0</v>
      </c>
      <c r="DK80" s="231">
        <f t="shared" si="72"/>
        <v>0</v>
      </c>
      <c r="DL80" s="231">
        <f t="shared" si="72"/>
        <v>0</v>
      </c>
      <c r="DM80" s="231">
        <f t="shared" si="72"/>
        <v>0</v>
      </c>
      <c r="DN80" s="231">
        <f t="shared" ref="DN80:DN104" si="83">IF(AND($M80&gt;=DN$15,$M80&lt;(DN$16+1)),DN$22/(DN$16-DN$15+1),0)</f>
        <v>0</v>
      </c>
      <c r="DO80" s="231">
        <f t="shared" si="72"/>
        <v>0</v>
      </c>
      <c r="DP80" s="231">
        <f t="shared" si="72"/>
        <v>0</v>
      </c>
      <c r="DQ80" s="231">
        <f t="shared" si="72"/>
        <v>0</v>
      </c>
      <c r="DR80" s="231">
        <f t="shared" si="72"/>
        <v>0</v>
      </c>
      <c r="DS80" s="231">
        <f t="shared" si="25"/>
        <v>0.29866666666666669</v>
      </c>
      <c r="DT80" s="231">
        <f ca="1">IF(SUM(DT$24:DT79)=DT$22,0,IF(AND($M80&gt;=DT$15,$M80&lt;(DT$16+1)),DT$22/(DT$16-DT$15+1),0))</f>
        <v>0</v>
      </c>
      <c r="DU80" s="231">
        <f ca="1">IF(SUM(DU$24:DU79)=DU$22,0,IF(AND($M80&gt;=DU$15,$M80&lt;(DU$16+1)),DU$22/(DU$16-DU$15+1),0))</f>
        <v>0</v>
      </c>
      <c r="DV80" s="231">
        <f ca="1">IF(SUM(DV$24:DV79)=DV$22,0,IF(AND(M80&gt;=DV$15,M80&lt;(DV$16+1)),DV$22/(DV$16-DV$15+1),0))</f>
        <v>0</v>
      </c>
      <c r="DW80" s="231" t="e">
        <f ca="1">IF(SUM(DW$24:DW79)=DW$22,0,IF(AND($M80&gt;=DW$15,$M80&lt;(DW$16+1)),DW$22/(DW$16-DW$15+1),0))</f>
        <v>#N/A</v>
      </c>
      <c r="DX80" s="231">
        <f ca="1">IF(SUM(DX$24:DX79)=DX$22,0,IF(AND($M80&gt;=DX$15,$M80&lt;(DX$16+1)),DX$22/(DX$16-DX$15+1),0))</f>
        <v>0</v>
      </c>
      <c r="DY80" s="231">
        <f ca="1">IF(SUM(DY$24:DY79)=DY$22,0,IF(AND($M80&gt;=DY$15,$M80&lt;(DY$16+1)),DY$22/(DY$16-DY$15+1),0))</f>
        <v>0</v>
      </c>
      <c r="DZ80" s="231">
        <f ca="1">IF(SUM(DZ$24:DZ79)=DZ$22,0,IF(AND($M80&gt;=DZ$15,$M80&lt;(DZ$16+1)),DZ$22/(DZ$16-DZ$15+1),0))</f>
        <v>0</v>
      </c>
      <c r="EA80" s="231" t="e">
        <f ca="1">IF(SUM(EA$24:EA79)=EA$22,0,IF(AND(M80&gt;=EA$15,M80&lt;(EA$16+1)),EA$22/(EA$16-EA$15+1),0))</f>
        <v>#N/A</v>
      </c>
      <c r="EC80" s="234">
        <f t="shared" si="54"/>
        <v>53</v>
      </c>
      <c r="ED80" s="234" t="e">
        <f t="shared" ca="1" si="55"/>
        <v>#N/A</v>
      </c>
      <c r="EE80" s="235" t="e">
        <f t="shared" ca="1" si="56"/>
        <v>#N/A</v>
      </c>
      <c r="EF80" s="234" t="e">
        <f t="shared" ca="1" si="28"/>
        <v>#N/A</v>
      </c>
      <c r="EG80" s="234" t="e">
        <f t="shared" ca="1" si="29"/>
        <v>#N/A</v>
      </c>
      <c r="EH80" s="234" t="e">
        <f t="shared" ca="1" si="34"/>
        <v>#N/A</v>
      </c>
      <c r="EI80" s="234"/>
      <c r="EJ80" s="234"/>
      <c r="EK80" s="153" t="e">
        <f t="shared" ca="1" si="57"/>
        <v>#N/A</v>
      </c>
      <c r="EL80" s="231" t="e">
        <f ca="1">IF(SUM(EL$24:EL79)=EL$22,0,IF(AND($M80&gt;=EL$15,$M80&lt;(EL$16+1)),EL$22/(EL$16-EL$15+1),0))</f>
        <v>#N/A</v>
      </c>
      <c r="EM80" s="153" t="e">
        <f t="shared" ca="1" si="58"/>
        <v>#N/A</v>
      </c>
      <c r="EO80" s="60"/>
      <c r="EP80" s="60"/>
    </row>
    <row r="81" spans="1:146">
      <c r="A81" s="247"/>
      <c r="B81" s="236">
        <f t="shared" si="23"/>
        <v>54</v>
      </c>
      <c r="C81" s="221">
        <f t="shared" si="59"/>
        <v>45203.085100000084</v>
      </c>
      <c r="D81" s="222" t="e">
        <f ca="1">'Offshore INT'!R70</f>
        <v>#N/A</v>
      </c>
      <c r="E81" s="223" t="e">
        <f t="shared" ca="1" si="50"/>
        <v>#N/A</v>
      </c>
      <c r="F81" s="224"/>
      <c r="G81" s="225">
        <f>IF(G80=1,1,SUM($F$24:F81))</f>
        <v>0</v>
      </c>
      <c r="H81" s="226" t="e">
        <f ca="1">IF(H80=0,0,SUM($I$24:I81))</f>
        <v>#N/A</v>
      </c>
      <c r="I81" s="227" t="e">
        <f t="shared" ca="1" si="51"/>
        <v>#N/A</v>
      </c>
      <c r="J81" s="222">
        <f t="shared" ca="1" si="20"/>
        <v>0</v>
      </c>
      <c r="K81" s="60"/>
      <c r="L81" s="242"/>
      <c r="M81" s="228">
        <f t="shared" si="52"/>
        <v>54</v>
      </c>
      <c r="N81" s="221">
        <f t="shared" si="53"/>
        <v>45203.085100000084</v>
      </c>
      <c r="O81" s="229">
        <f t="shared" si="73"/>
        <v>0</v>
      </c>
      <c r="P81" s="229">
        <f t="shared" si="73"/>
        <v>0</v>
      </c>
      <c r="Q81" s="229">
        <f t="shared" si="73"/>
        <v>0</v>
      </c>
      <c r="R81" s="229">
        <f t="shared" si="73"/>
        <v>0</v>
      </c>
      <c r="S81" s="229">
        <f t="shared" si="73"/>
        <v>0</v>
      </c>
      <c r="T81" s="229">
        <f t="shared" si="73"/>
        <v>0</v>
      </c>
      <c r="U81" s="229">
        <f t="shared" si="73"/>
        <v>0</v>
      </c>
      <c r="V81" s="229">
        <f t="shared" si="73"/>
        <v>0</v>
      </c>
      <c r="W81" s="229">
        <f t="shared" si="73"/>
        <v>0</v>
      </c>
      <c r="X81" s="229">
        <f t="shared" si="73"/>
        <v>0</v>
      </c>
      <c r="Y81" s="229">
        <f t="shared" si="73"/>
        <v>0</v>
      </c>
      <c r="Z81" s="229">
        <f t="shared" si="73"/>
        <v>0</v>
      </c>
      <c r="AA81" s="229">
        <f t="shared" si="75"/>
        <v>0</v>
      </c>
      <c r="AB81" s="229">
        <f t="shared" si="75"/>
        <v>0</v>
      </c>
      <c r="AC81" s="229">
        <f t="shared" si="75"/>
        <v>0</v>
      </c>
      <c r="AD81" s="229">
        <f t="shared" si="75"/>
        <v>0</v>
      </c>
      <c r="AE81" s="229">
        <f t="shared" si="75"/>
        <v>0</v>
      </c>
      <c r="AF81" s="229">
        <f t="shared" si="75"/>
        <v>0</v>
      </c>
      <c r="AG81" s="229">
        <f t="shared" si="75"/>
        <v>0</v>
      </c>
      <c r="AH81" s="229">
        <f t="shared" si="75"/>
        <v>0</v>
      </c>
      <c r="AI81" s="229">
        <f t="shared" si="75"/>
        <v>0</v>
      </c>
      <c r="AJ81" s="229">
        <f t="shared" si="75"/>
        <v>0</v>
      </c>
      <c r="AK81" s="229">
        <f t="shared" si="75"/>
        <v>0</v>
      </c>
      <c r="AL81" s="229">
        <f t="shared" si="75"/>
        <v>0</v>
      </c>
      <c r="AM81" s="229">
        <f t="shared" si="82"/>
        <v>0</v>
      </c>
      <c r="AN81" s="229">
        <f t="shared" si="82"/>
        <v>0</v>
      </c>
      <c r="AO81" s="229">
        <f t="shared" si="82"/>
        <v>0</v>
      </c>
      <c r="AP81" s="229">
        <f t="shared" si="75"/>
        <v>0</v>
      </c>
      <c r="AQ81" s="229">
        <f t="shared" si="75"/>
        <v>0</v>
      </c>
      <c r="AR81" s="229">
        <f t="shared" si="75"/>
        <v>0</v>
      </c>
      <c r="AS81" s="229">
        <f t="shared" si="79"/>
        <v>0</v>
      </c>
      <c r="AT81" s="229">
        <f t="shared" si="79"/>
        <v>0</v>
      </c>
      <c r="AU81" s="229">
        <f t="shared" si="79"/>
        <v>0</v>
      </c>
      <c r="AV81" s="229">
        <f t="shared" si="79"/>
        <v>0</v>
      </c>
      <c r="AW81" s="229">
        <f t="shared" si="79"/>
        <v>0</v>
      </c>
      <c r="AX81" s="229">
        <f t="shared" si="75"/>
        <v>0</v>
      </c>
      <c r="AY81" s="229">
        <f t="shared" si="75"/>
        <v>0</v>
      </c>
      <c r="AZ81" s="229">
        <f t="shared" si="75"/>
        <v>0</v>
      </c>
      <c r="BA81" s="229">
        <f t="shared" si="75"/>
        <v>0</v>
      </c>
      <c r="BB81" s="229">
        <f t="shared" si="75"/>
        <v>0</v>
      </c>
      <c r="BC81" s="229">
        <f t="shared" si="75"/>
        <v>0</v>
      </c>
      <c r="BD81" s="229">
        <f t="shared" si="76"/>
        <v>0</v>
      </c>
      <c r="BE81" s="229">
        <f t="shared" si="76"/>
        <v>0</v>
      </c>
      <c r="BF81" s="229">
        <f t="shared" si="76"/>
        <v>0</v>
      </c>
      <c r="BG81" s="229">
        <f t="shared" si="76"/>
        <v>0</v>
      </c>
      <c r="BH81" s="229">
        <f t="shared" si="76"/>
        <v>0</v>
      </c>
      <c r="BI81" s="229">
        <f t="shared" si="76"/>
        <v>0</v>
      </c>
      <c r="BJ81" s="229">
        <f t="shared" si="76"/>
        <v>0</v>
      </c>
      <c r="BK81" s="229">
        <f t="shared" si="76"/>
        <v>0</v>
      </c>
      <c r="BL81" s="229">
        <f t="shared" si="76"/>
        <v>0</v>
      </c>
      <c r="BM81" s="229">
        <f t="shared" si="76"/>
        <v>0</v>
      </c>
      <c r="BN81" s="229">
        <f t="shared" si="76"/>
        <v>0</v>
      </c>
      <c r="BO81" s="229">
        <f t="shared" si="76"/>
        <v>0</v>
      </c>
      <c r="BP81" s="229">
        <f t="shared" si="76"/>
        <v>0</v>
      </c>
      <c r="BQ81" s="229">
        <f t="shared" si="77"/>
        <v>0</v>
      </c>
      <c r="BR81" s="229">
        <f t="shared" si="77"/>
        <v>0</v>
      </c>
      <c r="BS81" s="229">
        <f t="shared" si="77"/>
        <v>0</v>
      </c>
      <c r="BT81" s="229">
        <f t="shared" si="77"/>
        <v>0</v>
      </c>
      <c r="BU81" s="229">
        <f t="shared" si="77"/>
        <v>0</v>
      </c>
      <c r="BV81" s="229">
        <f t="shared" si="77"/>
        <v>0</v>
      </c>
      <c r="BW81" s="229">
        <f t="shared" si="77"/>
        <v>0</v>
      </c>
      <c r="BX81" s="229">
        <f t="shared" si="77"/>
        <v>0</v>
      </c>
      <c r="BY81" s="229">
        <f t="shared" si="77"/>
        <v>0</v>
      </c>
      <c r="BZ81" s="229">
        <f t="shared" si="77"/>
        <v>0</v>
      </c>
      <c r="CA81" s="229">
        <f t="shared" si="77"/>
        <v>0</v>
      </c>
      <c r="CB81" s="229">
        <f t="shared" si="77"/>
        <v>0</v>
      </c>
      <c r="CC81" s="229">
        <f t="shared" si="77"/>
        <v>0</v>
      </c>
      <c r="CD81" s="229">
        <f t="shared" si="78"/>
        <v>0</v>
      </c>
      <c r="CE81" s="229">
        <f t="shared" si="80"/>
        <v>0</v>
      </c>
      <c r="CF81" s="229">
        <f t="shared" si="78"/>
        <v>0</v>
      </c>
      <c r="CG81" s="229">
        <f t="shared" si="78"/>
        <v>0</v>
      </c>
      <c r="CH81" s="229">
        <f t="shared" si="78"/>
        <v>0</v>
      </c>
      <c r="CI81" s="229">
        <f t="shared" si="78"/>
        <v>0</v>
      </c>
      <c r="CJ81" s="229">
        <f t="shared" si="70"/>
        <v>0</v>
      </c>
      <c r="CK81" s="229">
        <f t="shared" si="78"/>
        <v>0</v>
      </c>
      <c r="CL81" s="229">
        <f t="shared" si="78"/>
        <v>0</v>
      </c>
      <c r="CM81" s="229">
        <f t="shared" si="78"/>
        <v>0</v>
      </c>
      <c r="CN81" s="229">
        <f t="shared" si="78"/>
        <v>0</v>
      </c>
      <c r="CO81" s="229">
        <f t="shared" si="81"/>
        <v>0</v>
      </c>
      <c r="CP81" s="229">
        <f t="shared" si="81"/>
        <v>0</v>
      </c>
      <c r="CQ81" s="229">
        <f t="shared" si="78"/>
        <v>0</v>
      </c>
      <c r="CR81" s="229">
        <f t="shared" si="78"/>
        <v>0</v>
      </c>
      <c r="CS81" s="229">
        <f t="shared" si="78"/>
        <v>0</v>
      </c>
      <c r="CT81" s="229">
        <f t="shared" si="78"/>
        <v>0</v>
      </c>
      <c r="CU81" s="230"/>
      <c r="CV81" s="231"/>
      <c r="CW81" s="231"/>
      <c r="CX81" s="231"/>
      <c r="CY81" s="231"/>
      <c r="CZ81" s="231" t="e">
        <f t="shared" ca="1" si="68"/>
        <v>#N/A</v>
      </c>
      <c r="DA81" s="231"/>
      <c r="DB81" s="231" t="e">
        <f t="shared" ca="1" si="74"/>
        <v>#N/A</v>
      </c>
      <c r="DC81" s="231"/>
      <c r="DD81" s="231">
        <f>IF(SUM(DD$24:DD80)=DD$22,0,IF(AND($M81&gt;=DD$15,$M81&lt;(DD$16+1)),DD$22/(DD$16-DD$15+1),0))</f>
        <v>0</v>
      </c>
      <c r="DE81" s="231">
        <f>IF(SUM(DE$24:DE80)=DE$22,0,IF(AND($M81&gt;=DE$15,$M81&lt;(DE$16+1)),DE$22/(DE$16-DE$15+1),0))</f>
        <v>0</v>
      </c>
      <c r="DF81" s="231">
        <f>IF(SUM(DF$24:DF80)=DF$22,0,IF(AND($M81&gt;=DF$15,$M81&lt;(DF$16+1)),DF$22/(DF$16-DF$15+1),0))</f>
        <v>0</v>
      </c>
      <c r="DG81" s="231">
        <f>IF(SUM(DG$24:DG80)=DG$22,0,IF(AND($M81&gt;=DG$15,$M81&lt;(DG$16+1)),DG$22/(DG$16-DG$15+1),0))</f>
        <v>0</v>
      </c>
      <c r="DH81" s="231">
        <f t="shared" si="72"/>
        <v>0</v>
      </c>
      <c r="DI81" s="231">
        <f t="shared" si="72"/>
        <v>0</v>
      </c>
      <c r="DJ81" s="231">
        <f t="shared" si="72"/>
        <v>0</v>
      </c>
      <c r="DK81" s="231">
        <f t="shared" si="72"/>
        <v>0</v>
      </c>
      <c r="DL81" s="231">
        <f t="shared" si="72"/>
        <v>0</v>
      </c>
      <c r="DM81" s="231">
        <f t="shared" si="72"/>
        <v>0</v>
      </c>
      <c r="DN81" s="231">
        <f t="shared" si="83"/>
        <v>0</v>
      </c>
      <c r="DO81" s="231">
        <f t="shared" si="72"/>
        <v>0</v>
      </c>
      <c r="DP81" s="231">
        <f t="shared" si="72"/>
        <v>0</v>
      </c>
      <c r="DQ81" s="231">
        <f t="shared" si="72"/>
        <v>0</v>
      </c>
      <c r="DR81" s="231">
        <f t="shared" si="72"/>
        <v>0</v>
      </c>
      <c r="DS81" s="231">
        <f t="shared" si="25"/>
        <v>0.29866666666666669</v>
      </c>
      <c r="DT81" s="231">
        <f ca="1">IF(SUM(DT$24:DT80)=DT$22,0,IF(AND($M81&gt;=DT$15,$M81&lt;(DT$16+1)),DT$22/(DT$16-DT$15+1),0))</f>
        <v>0</v>
      </c>
      <c r="DU81" s="231">
        <f ca="1">IF(SUM(DU$24:DU80)=DU$22,0,IF(AND($M81&gt;=DU$15,$M81&lt;(DU$16+1)),DU$22/(DU$16-DU$15+1),0))</f>
        <v>0</v>
      </c>
      <c r="DV81" s="231">
        <f ca="1">IF(SUM(DV$24:DV80)=DV$22,0,IF(AND(M81&gt;=DV$15,M81&lt;(DV$16+1)),DV$22/(DV$16-DV$15+1),0))</f>
        <v>0</v>
      </c>
      <c r="DW81" s="231" t="e">
        <f ca="1">IF(SUM(DW$24:DW80)=DW$22,0,IF(AND($M81&gt;=DW$15,$M81&lt;(DW$16+1)),DW$22/(DW$16-DW$15+1),0))</f>
        <v>#N/A</v>
      </c>
      <c r="DX81" s="231">
        <f ca="1">IF(SUM(DX$24:DX80)=DX$22,0,IF(AND($M81&gt;=DX$15,$M81&lt;(DX$16+1)),DX$22/(DX$16-DX$15+1),0))</f>
        <v>0</v>
      </c>
      <c r="DY81" s="231">
        <f ca="1">IF(SUM(DY$24:DY80)=DY$22,0,IF(AND($M81&gt;=DY$15,$M81&lt;(DY$16+1)),DY$22/(DY$16-DY$15+1),0))</f>
        <v>0</v>
      </c>
      <c r="DZ81" s="231">
        <f ca="1">IF(SUM(DZ$24:DZ80)=DZ$22,0,IF(AND($M81&gt;=DZ$15,$M81&lt;(DZ$16+1)),DZ$22/(DZ$16-DZ$15+1),0))</f>
        <v>0</v>
      </c>
      <c r="EA81" s="231" t="e">
        <f ca="1">IF(SUM(EA$24:EA80)=EA$22,0,IF(AND(M81&gt;=EA$15,M81&lt;(EA$16+1)),EA$22/(EA$16-EA$15+1),0))</f>
        <v>#N/A</v>
      </c>
      <c r="EC81" s="234">
        <f t="shared" si="54"/>
        <v>54</v>
      </c>
      <c r="ED81" s="234" t="e">
        <f t="shared" ca="1" si="55"/>
        <v>#N/A</v>
      </c>
      <c r="EE81" s="235" t="e">
        <f t="shared" ca="1" si="56"/>
        <v>#N/A</v>
      </c>
      <c r="EF81" s="234" t="e">
        <f t="shared" ca="1" si="28"/>
        <v>#N/A</v>
      </c>
      <c r="EG81" s="234" t="e">
        <f t="shared" ca="1" si="29"/>
        <v>#N/A</v>
      </c>
      <c r="EH81" s="234" t="e">
        <f t="shared" ca="1" si="34"/>
        <v>#N/A</v>
      </c>
      <c r="EI81" s="234"/>
      <c r="EJ81" s="234"/>
      <c r="EK81" s="153" t="e">
        <f t="shared" ca="1" si="57"/>
        <v>#N/A</v>
      </c>
      <c r="EL81" s="231" t="e">
        <f ca="1">IF(SUM(EL$24:EL80)=EL$22,0,IF(AND($M81&gt;=EL$15,$M81&lt;(EL$16+1)),EL$22/(EL$16-EL$15+1),0))</f>
        <v>#N/A</v>
      </c>
      <c r="EM81" s="153" t="e">
        <f t="shared" ca="1" si="58"/>
        <v>#N/A</v>
      </c>
      <c r="EO81" s="60"/>
      <c r="EP81" s="60"/>
    </row>
    <row r="82" spans="1:146">
      <c r="A82" s="247"/>
      <c r="B82" s="236">
        <f t="shared" si="23"/>
        <v>55</v>
      </c>
      <c r="C82" s="221">
        <f t="shared" si="59"/>
        <v>45233.501800000085</v>
      </c>
      <c r="D82" s="222" t="e">
        <f ca="1">'Offshore INT'!R71</f>
        <v>#N/A</v>
      </c>
      <c r="E82" s="223" t="e">
        <f t="shared" ca="1" si="50"/>
        <v>#N/A</v>
      </c>
      <c r="F82" s="224"/>
      <c r="G82" s="225">
        <f>IF(G81=1,1,SUM($F$24:F82))</f>
        <v>0</v>
      </c>
      <c r="H82" s="226" t="e">
        <f ca="1">IF(H81=0,0,SUM($I$24:I82))</f>
        <v>#N/A</v>
      </c>
      <c r="I82" s="227" t="e">
        <f t="shared" ca="1" si="51"/>
        <v>#N/A</v>
      </c>
      <c r="J82" s="222">
        <f t="shared" ca="1" si="20"/>
        <v>0</v>
      </c>
      <c r="K82" s="60"/>
      <c r="L82" s="242"/>
      <c r="M82" s="228">
        <f t="shared" si="52"/>
        <v>55</v>
      </c>
      <c r="N82" s="221">
        <f t="shared" si="53"/>
        <v>45233.501800000085</v>
      </c>
      <c r="O82" s="229">
        <f t="shared" si="73"/>
        <v>0</v>
      </c>
      <c r="P82" s="229">
        <f t="shared" si="73"/>
        <v>0</v>
      </c>
      <c r="Q82" s="229">
        <f t="shared" si="73"/>
        <v>0</v>
      </c>
      <c r="R82" s="229">
        <f t="shared" si="73"/>
        <v>0</v>
      </c>
      <c r="S82" s="229">
        <f t="shared" si="73"/>
        <v>0</v>
      </c>
      <c r="T82" s="229">
        <f t="shared" si="73"/>
        <v>0</v>
      </c>
      <c r="U82" s="229">
        <f t="shared" si="73"/>
        <v>0</v>
      </c>
      <c r="V82" s="229">
        <f t="shared" si="73"/>
        <v>0</v>
      </c>
      <c r="W82" s="229">
        <f t="shared" si="73"/>
        <v>0</v>
      </c>
      <c r="X82" s="229">
        <f t="shared" si="73"/>
        <v>0</v>
      </c>
      <c r="Y82" s="229">
        <f t="shared" si="73"/>
        <v>0</v>
      </c>
      <c r="Z82" s="229">
        <f t="shared" si="73"/>
        <v>0</v>
      </c>
      <c r="AA82" s="229">
        <f t="shared" si="75"/>
        <v>0</v>
      </c>
      <c r="AB82" s="229">
        <f t="shared" si="75"/>
        <v>0</v>
      </c>
      <c r="AC82" s="229">
        <f t="shared" si="75"/>
        <v>0</v>
      </c>
      <c r="AD82" s="229">
        <f t="shared" si="75"/>
        <v>0</v>
      </c>
      <c r="AE82" s="229">
        <f t="shared" si="75"/>
        <v>0</v>
      </c>
      <c r="AF82" s="229">
        <f t="shared" si="75"/>
        <v>0</v>
      </c>
      <c r="AG82" s="229">
        <f t="shared" si="75"/>
        <v>0</v>
      </c>
      <c r="AH82" s="229">
        <f t="shared" si="75"/>
        <v>0</v>
      </c>
      <c r="AI82" s="229">
        <f t="shared" si="75"/>
        <v>0</v>
      </c>
      <c r="AJ82" s="229">
        <f t="shared" si="75"/>
        <v>0</v>
      </c>
      <c r="AK82" s="229">
        <f t="shared" si="75"/>
        <v>0</v>
      </c>
      <c r="AL82" s="229">
        <f t="shared" si="75"/>
        <v>0</v>
      </c>
      <c r="AM82" s="229">
        <f t="shared" si="82"/>
        <v>0</v>
      </c>
      <c r="AN82" s="229">
        <f t="shared" si="82"/>
        <v>0</v>
      </c>
      <c r="AO82" s="229">
        <f t="shared" si="82"/>
        <v>0</v>
      </c>
      <c r="AP82" s="229">
        <f t="shared" si="75"/>
        <v>0</v>
      </c>
      <c r="AQ82" s="229">
        <f t="shared" si="75"/>
        <v>0</v>
      </c>
      <c r="AR82" s="229">
        <f t="shared" si="75"/>
        <v>0</v>
      </c>
      <c r="AS82" s="229">
        <f t="shared" si="79"/>
        <v>0</v>
      </c>
      <c r="AT82" s="229">
        <f t="shared" si="79"/>
        <v>0</v>
      </c>
      <c r="AU82" s="229">
        <f t="shared" si="79"/>
        <v>0</v>
      </c>
      <c r="AV82" s="229">
        <f t="shared" si="79"/>
        <v>0</v>
      </c>
      <c r="AW82" s="229">
        <f t="shared" si="79"/>
        <v>0</v>
      </c>
      <c r="AX82" s="229">
        <f t="shared" si="75"/>
        <v>0</v>
      </c>
      <c r="AY82" s="229">
        <f t="shared" si="75"/>
        <v>0</v>
      </c>
      <c r="AZ82" s="229">
        <f t="shared" si="75"/>
        <v>0</v>
      </c>
      <c r="BA82" s="229">
        <f t="shared" si="75"/>
        <v>0</v>
      </c>
      <c r="BB82" s="229">
        <f t="shared" si="75"/>
        <v>0</v>
      </c>
      <c r="BC82" s="229">
        <f t="shared" si="75"/>
        <v>0</v>
      </c>
      <c r="BD82" s="229">
        <f t="shared" si="76"/>
        <v>0</v>
      </c>
      <c r="BE82" s="229">
        <f t="shared" si="76"/>
        <v>0</v>
      </c>
      <c r="BF82" s="229">
        <f t="shared" si="76"/>
        <v>0</v>
      </c>
      <c r="BG82" s="229">
        <f t="shared" si="76"/>
        <v>0</v>
      </c>
      <c r="BH82" s="229">
        <f t="shared" si="76"/>
        <v>0</v>
      </c>
      <c r="BI82" s="229">
        <f t="shared" si="76"/>
        <v>0</v>
      </c>
      <c r="BJ82" s="229">
        <f t="shared" si="76"/>
        <v>0</v>
      </c>
      <c r="BK82" s="229">
        <f t="shared" si="76"/>
        <v>0</v>
      </c>
      <c r="BL82" s="229">
        <f t="shared" si="76"/>
        <v>0</v>
      </c>
      <c r="BM82" s="229">
        <f t="shared" si="76"/>
        <v>0</v>
      </c>
      <c r="BN82" s="229">
        <f t="shared" si="76"/>
        <v>0</v>
      </c>
      <c r="BO82" s="229">
        <f t="shared" si="76"/>
        <v>0</v>
      </c>
      <c r="BP82" s="229">
        <f t="shared" si="76"/>
        <v>0</v>
      </c>
      <c r="BQ82" s="229">
        <f t="shared" si="77"/>
        <v>0</v>
      </c>
      <c r="BR82" s="229">
        <f t="shared" si="77"/>
        <v>0</v>
      </c>
      <c r="BS82" s="229">
        <f t="shared" si="77"/>
        <v>0</v>
      </c>
      <c r="BT82" s="229">
        <f t="shared" si="77"/>
        <v>0</v>
      </c>
      <c r="BU82" s="229">
        <f t="shared" si="77"/>
        <v>0</v>
      </c>
      <c r="BV82" s="229">
        <f t="shared" si="77"/>
        <v>0</v>
      </c>
      <c r="BW82" s="229">
        <f t="shared" si="77"/>
        <v>0</v>
      </c>
      <c r="BX82" s="229">
        <f t="shared" si="77"/>
        <v>0</v>
      </c>
      <c r="BY82" s="229">
        <f t="shared" si="77"/>
        <v>0</v>
      </c>
      <c r="BZ82" s="229">
        <f t="shared" si="77"/>
        <v>0</v>
      </c>
      <c r="CA82" s="229">
        <f t="shared" si="77"/>
        <v>0</v>
      </c>
      <c r="CB82" s="229">
        <f t="shared" si="77"/>
        <v>0</v>
      </c>
      <c r="CC82" s="229">
        <f t="shared" si="77"/>
        <v>0</v>
      </c>
      <c r="CD82" s="229">
        <f t="shared" si="78"/>
        <v>0</v>
      </c>
      <c r="CE82" s="229">
        <f t="shared" si="80"/>
        <v>0</v>
      </c>
      <c r="CF82" s="229">
        <f t="shared" si="78"/>
        <v>0</v>
      </c>
      <c r="CG82" s="229">
        <f t="shared" si="78"/>
        <v>0</v>
      </c>
      <c r="CH82" s="229">
        <f t="shared" si="78"/>
        <v>0</v>
      </c>
      <c r="CI82" s="229">
        <f t="shared" si="78"/>
        <v>0</v>
      </c>
      <c r="CJ82" s="229">
        <f t="shared" si="70"/>
        <v>0</v>
      </c>
      <c r="CK82" s="229">
        <f t="shared" si="78"/>
        <v>0</v>
      </c>
      <c r="CL82" s="229">
        <f t="shared" si="78"/>
        <v>0</v>
      </c>
      <c r="CM82" s="229">
        <f t="shared" si="78"/>
        <v>0</v>
      </c>
      <c r="CN82" s="229">
        <f t="shared" si="78"/>
        <v>0</v>
      </c>
      <c r="CO82" s="229">
        <f t="shared" si="81"/>
        <v>0</v>
      </c>
      <c r="CP82" s="229">
        <f t="shared" si="81"/>
        <v>0</v>
      </c>
      <c r="CQ82" s="229">
        <f t="shared" si="78"/>
        <v>0</v>
      </c>
      <c r="CR82" s="229">
        <f t="shared" si="78"/>
        <v>0</v>
      </c>
      <c r="CS82" s="229">
        <f t="shared" si="78"/>
        <v>0</v>
      </c>
      <c r="CT82" s="229">
        <f t="shared" si="78"/>
        <v>0</v>
      </c>
      <c r="CU82" s="230"/>
      <c r="CV82" s="231"/>
      <c r="CW82" s="231"/>
      <c r="CX82" s="231"/>
      <c r="CY82" s="231"/>
      <c r="CZ82" s="231" t="e">
        <f t="shared" ca="1" si="68"/>
        <v>#N/A</v>
      </c>
      <c r="DA82" s="231"/>
      <c r="DB82" s="231" t="e">
        <f t="shared" ca="1" si="74"/>
        <v>#N/A</v>
      </c>
      <c r="DC82" s="231"/>
      <c r="DD82" s="231">
        <f>IF(SUM(DD$24:DD81)=DD$22,0,IF(AND($M82&gt;=DD$15,$M82&lt;(DD$16+1)),DD$22/(DD$16-DD$15+1),0))</f>
        <v>0</v>
      </c>
      <c r="DE82" s="231">
        <f>IF(SUM(DE$24:DE81)=DE$22,0,IF(AND($M82&gt;=DE$15,$M82&lt;(DE$16+1)),DE$22/(DE$16-DE$15+1),0))</f>
        <v>0</v>
      </c>
      <c r="DF82" s="231">
        <f>IF(SUM(DF$24:DF81)=DF$22,0,IF(AND($M82&gt;=DF$15,$M82&lt;(DF$16+1)),DF$22/(DF$16-DF$15+1),0))</f>
        <v>0</v>
      </c>
      <c r="DG82" s="231">
        <f>IF(SUM(DG$24:DG81)=DG$22,0,IF(AND($M82&gt;=DG$15,$M82&lt;(DG$16+1)),DG$22/(DG$16-DG$15+1),0))</f>
        <v>0</v>
      </c>
      <c r="DH82" s="231">
        <f t="shared" si="72"/>
        <v>0</v>
      </c>
      <c r="DI82" s="231">
        <f t="shared" si="72"/>
        <v>0</v>
      </c>
      <c r="DJ82" s="231">
        <f t="shared" si="72"/>
        <v>0</v>
      </c>
      <c r="DK82" s="231">
        <f t="shared" si="72"/>
        <v>0</v>
      </c>
      <c r="DL82" s="231">
        <f t="shared" si="72"/>
        <v>0</v>
      </c>
      <c r="DM82" s="231">
        <f t="shared" si="72"/>
        <v>0</v>
      </c>
      <c r="DN82" s="231">
        <f t="shared" si="83"/>
        <v>0</v>
      </c>
      <c r="DO82" s="231">
        <f t="shared" si="72"/>
        <v>0</v>
      </c>
      <c r="DP82" s="231">
        <f t="shared" si="72"/>
        <v>0</v>
      </c>
      <c r="DQ82" s="231">
        <f t="shared" si="72"/>
        <v>0</v>
      </c>
      <c r="DR82" s="231">
        <f t="shared" si="72"/>
        <v>0</v>
      </c>
      <c r="DS82" s="231">
        <f t="shared" si="25"/>
        <v>0.29866666666666669</v>
      </c>
      <c r="DT82" s="231">
        <f ca="1">IF(SUM(DT$24:DT81)=DT$22,0,IF(AND($M82&gt;=DT$15,$M82&lt;(DT$16+1)),DT$22/(DT$16-DT$15+1),0))</f>
        <v>0</v>
      </c>
      <c r="DU82" s="231">
        <f ca="1">IF(SUM(DU$24:DU81)=DU$22,0,IF(AND($M82&gt;=DU$15,$M82&lt;(DU$16+1)),DU$22/(DU$16-DU$15+1),0))</f>
        <v>0</v>
      </c>
      <c r="DV82" s="231">
        <f ca="1">IF(SUM(DV$24:DV81)=DV$22,0,IF(AND(M82&gt;=DV$15,M82&lt;(DV$16+1)),DV$22/(DV$16-DV$15+1),0))</f>
        <v>0</v>
      </c>
      <c r="DW82" s="231" t="e">
        <f ca="1">IF(SUM(DW$24:DW81)=DW$22,0,IF(AND($M82&gt;=DW$15,$M82&lt;(DW$16+1)),DW$22/(DW$16-DW$15+1),0))</f>
        <v>#N/A</v>
      </c>
      <c r="DX82" s="231">
        <f ca="1">IF(SUM(DX$24:DX81)=DX$22,0,IF(AND($M82&gt;=DX$15,$M82&lt;(DX$16+1)),DX$22/(DX$16-DX$15+1),0))</f>
        <v>0</v>
      </c>
      <c r="DY82" s="231">
        <f ca="1">IF(SUM(DY$24:DY81)=DY$22,0,IF(AND($M82&gt;=DY$15,$M82&lt;(DY$16+1)),DY$22/(DY$16-DY$15+1),0))</f>
        <v>0</v>
      </c>
      <c r="DZ82" s="231">
        <f ca="1">IF(SUM(DZ$24:DZ81)=DZ$22,0,IF(AND($M82&gt;=DZ$15,$M82&lt;(DZ$16+1)),DZ$22/(DZ$16-DZ$15+1),0))</f>
        <v>0</v>
      </c>
      <c r="EA82" s="231" t="e">
        <f ca="1">IF(SUM(EA$24:EA81)=EA$22,0,IF(AND(M82&gt;=EA$15,M82&lt;(EA$16+1)),EA$22/(EA$16-EA$15+1),0))</f>
        <v>#N/A</v>
      </c>
      <c r="EC82" s="234">
        <f t="shared" si="54"/>
        <v>55</v>
      </c>
      <c r="ED82" s="234" t="e">
        <f t="shared" ca="1" si="55"/>
        <v>#N/A</v>
      </c>
      <c r="EE82" s="235" t="e">
        <f t="shared" ca="1" si="56"/>
        <v>#N/A</v>
      </c>
      <c r="EF82" s="234" t="e">
        <f t="shared" ca="1" si="28"/>
        <v>#N/A</v>
      </c>
      <c r="EG82" s="234" t="e">
        <f t="shared" ca="1" si="29"/>
        <v>#N/A</v>
      </c>
      <c r="EH82" s="234" t="e">
        <f t="shared" ca="1" si="34"/>
        <v>#N/A</v>
      </c>
      <c r="EI82" s="234"/>
      <c r="EJ82" s="234"/>
      <c r="EK82" s="153" t="e">
        <f t="shared" ca="1" si="57"/>
        <v>#N/A</v>
      </c>
      <c r="EL82" s="231" t="e">
        <f ca="1">IF(SUM(EL$24:EL81)=EL$22,0,IF(AND($M82&gt;=EL$15,$M82&lt;(EL$16+1)),EL$22/(EL$16-EL$15+1),0))</f>
        <v>#N/A</v>
      </c>
      <c r="EM82" s="153" t="e">
        <f t="shared" ca="1" si="58"/>
        <v>#N/A</v>
      </c>
      <c r="EO82" s="60"/>
      <c r="EP82" s="60"/>
    </row>
    <row r="83" spans="1:146">
      <c r="A83" s="248"/>
      <c r="B83" s="236">
        <f t="shared" si="23"/>
        <v>56</v>
      </c>
      <c r="C83" s="221">
        <f t="shared" si="59"/>
        <v>45263.918500000087</v>
      </c>
      <c r="D83" s="222" t="e">
        <f ca="1">'Offshore INT'!R72</f>
        <v>#N/A</v>
      </c>
      <c r="E83" s="223" t="e">
        <f t="shared" ca="1" si="50"/>
        <v>#N/A</v>
      </c>
      <c r="F83" s="224"/>
      <c r="G83" s="225">
        <f>IF(G82=1,1,SUM($F$24:F83))</f>
        <v>0</v>
      </c>
      <c r="H83" s="226" t="e">
        <f ca="1">IF(H82=0,0,SUM($I$24:I83))</f>
        <v>#N/A</v>
      </c>
      <c r="I83" s="227" t="e">
        <f t="shared" ca="1" si="51"/>
        <v>#N/A</v>
      </c>
      <c r="J83" s="222">
        <f t="shared" ca="1" si="20"/>
        <v>0</v>
      </c>
      <c r="K83" s="250"/>
      <c r="L83" s="251"/>
      <c r="M83" s="251">
        <f t="shared" si="52"/>
        <v>56</v>
      </c>
      <c r="N83" s="252">
        <f t="shared" si="53"/>
        <v>45263.918500000087</v>
      </c>
      <c r="O83" s="229">
        <f t="shared" si="73"/>
        <v>0</v>
      </c>
      <c r="P83" s="229">
        <f t="shared" si="73"/>
        <v>0</v>
      </c>
      <c r="Q83" s="229">
        <f t="shared" si="73"/>
        <v>0</v>
      </c>
      <c r="R83" s="229">
        <f t="shared" si="73"/>
        <v>0</v>
      </c>
      <c r="S83" s="229">
        <f t="shared" si="73"/>
        <v>0</v>
      </c>
      <c r="T83" s="229">
        <f t="shared" si="73"/>
        <v>0</v>
      </c>
      <c r="U83" s="229">
        <f t="shared" si="73"/>
        <v>0</v>
      </c>
      <c r="V83" s="229">
        <f t="shared" si="73"/>
        <v>0</v>
      </c>
      <c r="W83" s="229">
        <f t="shared" si="73"/>
        <v>0</v>
      </c>
      <c r="X83" s="229">
        <f t="shared" si="73"/>
        <v>0</v>
      </c>
      <c r="Y83" s="229">
        <f t="shared" si="73"/>
        <v>0</v>
      </c>
      <c r="Z83" s="229">
        <f t="shared" si="73"/>
        <v>0</v>
      </c>
      <c r="AA83" s="229">
        <f>IF($M83=AA$13,AA$22*AA$3,IF($M83=AA$14,AA$22*AA$4,IF($M83=AA$15,AA$22*AA$5,IF($M83=AA$16,AA$22*AA$6,IF($M83=AA$17,AA$22*AA$7,IF($M83=AA$18,AA$22*AA$8,IF($M83=AA$19,AA$22*AA$9,IF($M83=AA$20,AA$22*AA$10,0))))))))</f>
        <v>0</v>
      </c>
      <c r="AB83" s="229">
        <f t="shared" si="75"/>
        <v>0</v>
      </c>
      <c r="AC83" s="229">
        <f t="shared" si="75"/>
        <v>0</v>
      </c>
      <c r="AD83" s="229">
        <f t="shared" si="75"/>
        <v>0</v>
      </c>
      <c r="AE83" s="229">
        <f t="shared" si="75"/>
        <v>0</v>
      </c>
      <c r="AF83" s="229">
        <f t="shared" si="75"/>
        <v>0</v>
      </c>
      <c r="AG83" s="229">
        <f t="shared" si="75"/>
        <v>0</v>
      </c>
      <c r="AH83" s="229">
        <f t="shared" si="75"/>
        <v>0</v>
      </c>
      <c r="AI83" s="229">
        <f t="shared" si="75"/>
        <v>0</v>
      </c>
      <c r="AJ83" s="229">
        <f t="shared" si="75"/>
        <v>0</v>
      </c>
      <c r="AK83" s="229">
        <f t="shared" si="75"/>
        <v>0</v>
      </c>
      <c r="AL83" s="229">
        <f t="shared" si="75"/>
        <v>0</v>
      </c>
      <c r="AM83" s="229">
        <f t="shared" si="82"/>
        <v>0</v>
      </c>
      <c r="AN83" s="229">
        <f t="shared" si="82"/>
        <v>0</v>
      </c>
      <c r="AO83" s="229">
        <f t="shared" si="82"/>
        <v>0</v>
      </c>
      <c r="AP83" s="229">
        <f t="shared" si="75"/>
        <v>0</v>
      </c>
      <c r="AQ83" s="229">
        <f t="shared" si="75"/>
        <v>0</v>
      </c>
      <c r="AR83" s="229">
        <f t="shared" si="75"/>
        <v>0</v>
      </c>
      <c r="AS83" s="229">
        <f t="shared" si="79"/>
        <v>0</v>
      </c>
      <c r="AT83" s="229">
        <f t="shared" si="79"/>
        <v>0</v>
      </c>
      <c r="AU83" s="229">
        <f t="shared" si="79"/>
        <v>0</v>
      </c>
      <c r="AV83" s="229">
        <f t="shared" si="79"/>
        <v>0</v>
      </c>
      <c r="AW83" s="229">
        <f t="shared" si="79"/>
        <v>0</v>
      </c>
      <c r="AX83" s="229">
        <f t="shared" si="75"/>
        <v>0</v>
      </c>
      <c r="AY83" s="229">
        <f t="shared" si="75"/>
        <v>0</v>
      </c>
      <c r="AZ83" s="229">
        <f>IF($M83=AZ$13,AZ$22*AZ$3,IF($M83=AZ$14,AZ$22*AZ$4,IF($M83=AZ$15,AZ$22*AZ$5,IF($M83=AZ$16,AZ$22*AZ$6,IF($M83=AZ$17,AZ$22*AZ$7,IF($M83=AZ$18,AZ$22*AZ$8,IF($M83=AZ$19,AZ$22*AZ$9,IF($M83=AZ$20,AZ$22*AZ$10,0))))))))</f>
        <v>0</v>
      </c>
      <c r="BA83" s="229">
        <f t="shared" si="75"/>
        <v>0</v>
      </c>
      <c r="BB83" s="229">
        <f>IF($M83=BB$13,BB$22*BB$3,IF($M83=BB$14,BB$22*BB$4,IF($M83=BB$15,BB$22*BB$5,IF($M83=BB$16,BB$22*BB$6,IF($M83=BB$17,BB$22*BB$7,IF($M83=BB$18,BB$22*BB$8,IF($M83=BB$19,BB$22*BB$9,IF($M83=BB$20,BB$22*BB$10,0))))))))</f>
        <v>0</v>
      </c>
      <c r="BC83" s="229">
        <f>IF($M83=BC$13,BC$22*BC$3,IF($M83=BC$14,BC$22*BC$4,IF($M83=BC$15,BC$22*BC$5,IF($M83=BC$16,BC$22*BC$6,IF($M83=BC$17,BC$22*BC$7,IF($M83=BC$18,BC$22*BC$8,IF($M83=BC$19,BC$22*BC$9,IF($M83=BC$20,BC$22*BC$10,0))))))))</f>
        <v>0</v>
      </c>
      <c r="BD83" s="229">
        <f t="shared" si="76"/>
        <v>0</v>
      </c>
      <c r="BE83" s="229">
        <f t="shared" si="76"/>
        <v>0</v>
      </c>
      <c r="BF83" s="229">
        <f t="shared" si="76"/>
        <v>0</v>
      </c>
      <c r="BG83" s="229">
        <f t="shared" si="76"/>
        <v>0</v>
      </c>
      <c r="BH83" s="229">
        <f t="shared" si="76"/>
        <v>0</v>
      </c>
      <c r="BI83" s="229">
        <f t="shared" si="76"/>
        <v>0</v>
      </c>
      <c r="BJ83" s="229">
        <f t="shared" si="76"/>
        <v>0</v>
      </c>
      <c r="BK83" s="229">
        <f t="shared" si="76"/>
        <v>0</v>
      </c>
      <c r="BL83" s="229">
        <f t="shared" si="76"/>
        <v>0</v>
      </c>
      <c r="BM83" s="229">
        <f t="shared" si="76"/>
        <v>0</v>
      </c>
      <c r="BN83" s="229">
        <f t="shared" si="76"/>
        <v>0</v>
      </c>
      <c r="BO83" s="229">
        <f t="shared" si="76"/>
        <v>0</v>
      </c>
      <c r="BP83" s="229">
        <f t="shared" si="76"/>
        <v>0</v>
      </c>
      <c r="BQ83" s="229">
        <f t="shared" si="77"/>
        <v>0</v>
      </c>
      <c r="BR83" s="229">
        <f t="shared" si="77"/>
        <v>0</v>
      </c>
      <c r="BS83" s="229">
        <f t="shared" si="77"/>
        <v>0</v>
      </c>
      <c r="BT83" s="229">
        <f t="shared" si="77"/>
        <v>0</v>
      </c>
      <c r="BU83" s="229">
        <f t="shared" si="77"/>
        <v>0</v>
      </c>
      <c r="BV83" s="229">
        <f t="shared" si="77"/>
        <v>0</v>
      </c>
      <c r="BW83" s="229">
        <f t="shared" si="77"/>
        <v>0</v>
      </c>
      <c r="BX83" s="229">
        <f t="shared" si="77"/>
        <v>0</v>
      </c>
      <c r="BY83" s="229">
        <f t="shared" si="77"/>
        <v>0</v>
      </c>
      <c r="BZ83" s="229">
        <f t="shared" si="77"/>
        <v>0</v>
      </c>
      <c r="CA83" s="229">
        <f t="shared" si="77"/>
        <v>0</v>
      </c>
      <c r="CB83" s="229">
        <f t="shared" si="77"/>
        <v>0</v>
      </c>
      <c r="CC83" s="229">
        <f t="shared" si="77"/>
        <v>0</v>
      </c>
      <c r="CD83" s="229">
        <f t="shared" si="78"/>
        <v>0</v>
      </c>
      <c r="CE83" s="229">
        <f t="shared" si="80"/>
        <v>0</v>
      </c>
      <c r="CF83" s="229">
        <f t="shared" si="78"/>
        <v>0</v>
      </c>
      <c r="CG83" s="229">
        <f t="shared" si="78"/>
        <v>0</v>
      </c>
      <c r="CH83" s="229">
        <f t="shared" si="78"/>
        <v>0</v>
      </c>
      <c r="CI83" s="229">
        <f t="shared" si="78"/>
        <v>0</v>
      </c>
      <c r="CJ83" s="229">
        <f t="shared" si="70"/>
        <v>0</v>
      </c>
      <c r="CK83" s="229">
        <f t="shared" si="78"/>
        <v>0</v>
      </c>
      <c r="CL83" s="229">
        <f t="shared" si="78"/>
        <v>0</v>
      </c>
      <c r="CM83" s="229">
        <f t="shared" si="78"/>
        <v>0</v>
      </c>
      <c r="CN83" s="229">
        <f t="shared" si="78"/>
        <v>0</v>
      </c>
      <c r="CO83" s="229">
        <f t="shared" si="81"/>
        <v>0</v>
      </c>
      <c r="CP83" s="229">
        <f t="shared" si="81"/>
        <v>0</v>
      </c>
      <c r="CQ83" s="229">
        <f t="shared" si="78"/>
        <v>0</v>
      </c>
      <c r="CR83" s="229">
        <f t="shared" si="78"/>
        <v>0</v>
      </c>
      <c r="CS83" s="229">
        <f t="shared" si="78"/>
        <v>0</v>
      </c>
      <c r="CT83" s="229">
        <f t="shared" si="78"/>
        <v>0</v>
      </c>
      <c r="CU83" s="230"/>
      <c r="CV83" s="231"/>
      <c r="CW83" s="231"/>
      <c r="CX83" s="231"/>
      <c r="CY83" s="231"/>
      <c r="CZ83" s="231" t="e">
        <f t="shared" ca="1" si="68"/>
        <v>#N/A</v>
      </c>
      <c r="DA83" s="231"/>
      <c r="DB83" s="231" t="e">
        <f t="shared" ca="1" si="74"/>
        <v>#N/A</v>
      </c>
      <c r="DC83" s="231"/>
      <c r="DD83" s="231">
        <f>IF(SUM(DD$24:DD82)=DD$22,0,IF(AND($M83&gt;=DD$15,$M83&lt;(DD$16+1)),DD$22/(DD$16-DD$15+1),0))</f>
        <v>0</v>
      </c>
      <c r="DE83" s="231">
        <f>IF(SUM(DE$24:DE82)=DE$22,0,IF(AND($M83&gt;=DE$15,$M83&lt;(DE$16+1)),DE$22/(DE$16-DE$15+1),0))</f>
        <v>0</v>
      </c>
      <c r="DF83" s="231">
        <f>IF(SUM(DF$24:DF82)=DF$22,0,IF(AND($M83&gt;=DF$15,$M83&lt;(DF$16+1)),DF$22/(DF$16-DF$15+1),0))</f>
        <v>0</v>
      </c>
      <c r="DG83" s="231">
        <f>IF(SUM(DG$24:DG82)=DG$22,0,IF(AND($M83&gt;=DG$15,$M83&lt;(DG$16+1)),DG$22/(DG$16-DG$15+1),0))</f>
        <v>0</v>
      </c>
      <c r="DH83" s="231">
        <f t="shared" si="72"/>
        <v>0</v>
      </c>
      <c r="DI83" s="231">
        <f t="shared" si="72"/>
        <v>0</v>
      </c>
      <c r="DJ83" s="231">
        <f t="shared" si="72"/>
        <v>0</v>
      </c>
      <c r="DK83" s="231">
        <f t="shared" si="72"/>
        <v>0</v>
      </c>
      <c r="DL83" s="231">
        <f t="shared" si="72"/>
        <v>0</v>
      </c>
      <c r="DM83" s="231">
        <f t="shared" si="72"/>
        <v>0</v>
      </c>
      <c r="DN83" s="231">
        <f t="shared" si="83"/>
        <v>0</v>
      </c>
      <c r="DO83" s="231">
        <f t="shared" si="72"/>
        <v>0</v>
      </c>
      <c r="DP83" s="231">
        <f t="shared" si="72"/>
        <v>0</v>
      </c>
      <c r="DQ83" s="231">
        <f t="shared" si="72"/>
        <v>0</v>
      </c>
      <c r="DR83" s="231">
        <f t="shared" si="72"/>
        <v>0</v>
      </c>
      <c r="DS83" s="231">
        <f t="shared" si="25"/>
        <v>0.29866666666666669</v>
      </c>
      <c r="DT83" s="231">
        <f ca="1">IF(SUM(DT$24:DT82)=DT$22,0,IF(AND($M83&gt;=DT$15,$M83&lt;(DT$16+1)),DT$22/(DT$16-DT$15+1),0))</f>
        <v>0</v>
      </c>
      <c r="DU83" s="231">
        <f ca="1">IF(SUM(DU$24:DU82)=DU$22,0,IF(AND($M83&gt;=DU$15,$M83&lt;(DU$16+1)),DU$22/(DU$16-DU$15+1),0))</f>
        <v>0</v>
      </c>
      <c r="DV83" s="231">
        <f ca="1">IF(SUM(DV$24:DV82)=DV$22,0,IF(AND(M83&gt;=DV$15,M83&lt;(DV$16+1)),DV$22/(DV$16-DV$15+1),0))</f>
        <v>0</v>
      </c>
      <c r="DW83" s="231" t="e">
        <f ca="1">IF(SUM(DW$24:DW82)=DW$22,0,IF(AND($M83&gt;=DW$15,$M83&lt;(DW$16+1)),DW$22/(DW$16-DW$15+1),0))</f>
        <v>#N/A</v>
      </c>
      <c r="DX83" s="231">
        <f ca="1">IF(SUM(DX$24:DX82)=DX$22,0,IF(AND($M83&gt;=DX$15,$M83&lt;(DX$16+1)),DX$22/(DX$16-DX$15+1),0))</f>
        <v>0</v>
      </c>
      <c r="DY83" s="231">
        <f ca="1">IF(SUM(DY$24:DY82)=DY$22,0,IF(AND($M83&gt;=DY$15,$M83&lt;(DY$16+1)),DY$22/(DY$16-DY$15+1),0))</f>
        <v>0</v>
      </c>
      <c r="DZ83" s="231">
        <f ca="1">IF(SUM(DZ$24:DZ82)=DZ$22,0,IF(AND($M83&gt;=DZ$15,$M83&lt;(DZ$16+1)),DZ$22/(DZ$16-DZ$15+1),0))</f>
        <v>0</v>
      </c>
      <c r="EA83" s="231" t="e">
        <f ca="1">IF(SUM(EA$24:EA82)=EA$22,0,IF(AND(M83&gt;=EA$15,M83&lt;(EA$16+1)),EA$22/(EA$16-EA$15+1),0))</f>
        <v>#N/A</v>
      </c>
      <c r="EC83" s="234">
        <f t="shared" si="54"/>
        <v>56</v>
      </c>
      <c r="ED83" s="234" t="e">
        <f t="shared" ca="1" si="55"/>
        <v>#N/A</v>
      </c>
      <c r="EE83" s="235" t="e">
        <f t="shared" ca="1" si="56"/>
        <v>#N/A</v>
      </c>
      <c r="EF83" s="234" t="e">
        <f t="shared" ca="1" si="28"/>
        <v>#N/A</v>
      </c>
      <c r="EG83" s="234" t="e">
        <f t="shared" ca="1" si="29"/>
        <v>#N/A</v>
      </c>
      <c r="EH83" s="234" t="e">
        <f t="shared" ca="1" si="34"/>
        <v>#N/A</v>
      </c>
      <c r="EI83" s="234"/>
      <c r="EJ83" s="234"/>
      <c r="EK83" s="153" t="e">
        <f t="shared" ca="1" si="57"/>
        <v>#N/A</v>
      </c>
      <c r="EL83" s="231" t="e">
        <f ca="1">IF(SUM(EL$24:EL82)=EL$22,0,IF(AND($M83&gt;=EL$15,$M83&lt;(EL$16+1)),EL$22/(EL$16-EL$15+1),0))</f>
        <v>#N/A</v>
      </c>
      <c r="EM83" s="153" t="e">
        <f t="shared" ca="1" si="58"/>
        <v>#N/A</v>
      </c>
      <c r="EO83" s="60"/>
      <c r="EP83" s="60"/>
    </row>
    <row r="84" spans="1:146">
      <c r="A84" s="253" t="s">
        <v>117</v>
      </c>
      <c r="B84" s="236">
        <f t="shared" si="23"/>
        <v>57</v>
      </c>
      <c r="C84" s="221">
        <f t="shared" si="59"/>
        <v>45294.335200000089</v>
      </c>
      <c r="D84" s="222" t="e">
        <f ca="1">'Offshore INT'!R73</f>
        <v>#N/A</v>
      </c>
      <c r="E84" s="223" t="e">
        <f t="shared" ca="1" si="50"/>
        <v>#N/A</v>
      </c>
      <c r="F84" s="224"/>
      <c r="G84" s="225">
        <f>IF(G83=1,1,SUM($F$24:F84))</f>
        <v>0</v>
      </c>
      <c r="H84" s="226" t="e">
        <f ca="1">IF(H83=0,0,SUM($I$24:I84))</f>
        <v>#N/A</v>
      </c>
      <c r="I84" s="227" t="e">
        <f t="shared" ca="1" si="51"/>
        <v>#N/A</v>
      </c>
      <c r="J84" s="222">
        <f t="shared" ca="1" si="20"/>
        <v>0</v>
      </c>
      <c r="K84" s="60"/>
      <c r="L84" s="253" t="s">
        <v>117</v>
      </c>
      <c r="M84" s="228">
        <f t="shared" si="52"/>
        <v>57</v>
      </c>
      <c r="N84" s="221">
        <f t="shared" si="53"/>
        <v>45294.335200000089</v>
      </c>
      <c r="O84" s="229">
        <f t="shared" si="73"/>
        <v>0</v>
      </c>
      <c r="P84" s="229">
        <f t="shared" si="73"/>
        <v>0</v>
      </c>
      <c r="Q84" s="229">
        <f t="shared" si="73"/>
        <v>0</v>
      </c>
      <c r="R84" s="229">
        <f t="shared" si="73"/>
        <v>0</v>
      </c>
      <c r="S84" s="229">
        <f t="shared" si="73"/>
        <v>0</v>
      </c>
      <c r="T84" s="229">
        <f t="shared" si="73"/>
        <v>0</v>
      </c>
      <c r="U84" s="229">
        <f t="shared" si="73"/>
        <v>0</v>
      </c>
      <c r="V84" s="229">
        <f t="shared" si="73"/>
        <v>0</v>
      </c>
      <c r="W84" s="229">
        <f t="shared" si="73"/>
        <v>0</v>
      </c>
      <c r="X84" s="229">
        <f t="shared" si="73"/>
        <v>0</v>
      </c>
      <c r="Y84" s="229">
        <f t="shared" si="73"/>
        <v>0</v>
      </c>
      <c r="Z84" s="229">
        <f t="shared" si="73"/>
        <v>0</v>
      </c>
      <c r="AA84" s="229">
        <f t="shared" ref="AA84:BC93" si="84">IF($M84=AA$13,AA$22*AA$3,IF($M84=AA$14,AA$22*AA$4,IF($M84=AA$15,AA$22*AA$5,IF($M84=AA$16,AA$22*AA$6,IF($M84=AA$17,AA$22*AA$7,IF($M84=AA$18,AA$22*AA$8,IF($M84=AA$19,AA$22*AA$9,IF($M84=AA$20,AA$22*AA$10,0))))))))</f>
        <v>0</v>
      </c>
      <c r="AB84" s="229">
        <f t="shared" si="84"/>
        <v>0</v>
      </c>
      <c r="AC84" s="229">
        <f t="shared" si="84"/>
        <v>0</v>
      </c>
      <c r="AD84" s="229">
        <f t="shared" si="84"/>
        <v>0</v>
      </c>
      <c r="AE84" s="229">
        <f t="shared" si="84"/>
        <v>0</v>
      </c>
      <c r="AF84" s="229">
        <f t="shared" si="84"/>
        <v>0</v>
      </c>
      <c r="AG84" s="229">
        <f t="shared" si="84"/>
        <v>0</v>
      </c>
      <c r="AH84" s="229">
        <f t="shared" si="84"/>
        <v>0</v>
      </c>
      <c r="AI84" s="229">
        <f t="shared" si="84"/>
        <v>0</v>
      </c>
      <c r="AJ84" s="229">
        <f t="shared" si="84"/>
        <v>0</v>
      </c>
      <c r="AK84" s="229">
        <f t="shared" si="84"/>
        <v>0</v>
      </c>
      <c r="AL84" s="229">
        <f t="shared" si="84"/>
        <v>0</v>
      </c>
      <c r="AM84" s="229">
        <f t="shared" si="84"/>
        <v>0</v>
      </c>
      <c r="AN84" s="229">
        <f t="shared" si="84"/>
        <v>0</v>
      </c>
      <c r="AO84" s="229">
        <f t="shared" si="84"/>
        <v>0</v>
      </c>
      <c r="AP84" s="229">
        <f t="shared" si="84"/>
        <v>0</v>
      </c>
      <c r="AQ84" s="229">
        <f t="shared" si="84"/>
        <v>0</v>
      </c>
      <c r="AR84" s="229">
        <f t="shared" si="84"/>
        <v>0</v>
      </c>
      <c r="AS84" s="229">
        <f t="shared" si="79"/>
        <v>0</v>
      </c>
      <c r="AT84" s="229">
        <f t="shared" si="79"/>
        <v>0</v>
      </c>
      <c r="AU84" s="229">
        <f t="shared" si="79"/>
        <v>0</v>
      </c>
      <c r="AV84" s="229">
        <f t="shared" si="79"/>
        <v>0</v>
      </c>
      <c r="AW84" s="229">
        <f t="shared" si="79"/>
        <v>0</v>
      </c>
      <c r="AX84" s="229">
        <f t="shared" si="84"/>
        <v>0</v>
      </c>
      <c r="AY84" s="229">
        <f t="shared" si="84"/>
        <v>0</v>
      </c>
      <c r="AZ84" s="229">
        <f t="shared" si="84"/>
        <v>0</v>
      </c>
      <c r="BA84" s="229">
        <f t="shared" si="84"/>
        <v>0</v>
      </c>
      <c r="BB84" s="229">
        <f t="shared" si="84"/>
        <v>0</v>
      </c>
      <c r="BC84" s="229">
        <f t="shared" si="84"/>
        <v>0</v>
      </c>
      <c r="BD84" s="229">
        <f t="shared" ref="BD84:BP93" si="85">IF($M84=BD$13,BD$22*BD$3,IF($M84=BD$14,BD$22*BD$4,IF($M84=BD$15,BD$22*BD$5,IF($M84=BD$16,BD$22*BD$6,IF($M84=BD$17,BD$22*BD$7,IF($M84=BD$18,BD$22*BD$8,IF($M84=BD$19,BD$22*BD$9,IF($M84=BD$20,BD$22*BD$10,0))))))))</f>
        <v>0</v>
      </c>
      <c r="BE84" s="229">
        <f t="shared" si="85"/>
        <v>0</v>
      </c>
      <c r="BF84" s="229">
        <f t="shared" si="85"/>
        <v>0</v>
      </c>
      <c r="BG84" s="229">
        <f t="shared" si="85"/>
        <v>0</v>
      </c>
      <c r="BH84" s="229">
        <f t="shared" si="85"/>
        <v>0</v>
      </c>
      <c r="BI84" s="229">
        <f t="shared" si="85"/>
        <v>0</v>
      </c>
      <c r="BJ84" s="229">
        <f t="shared" si="85"/>
        <v>0</v>
      </c>
      <c r="BK84" s="229">
        <f t="shared" si="85"/>
        <v>0</v>
      </c>
      <c r="BL84" s="229">
        <f t="shared" si="85"/>
        <v>0</v>
      </c>
      <c r="BM84" s="229">
        <f t="shared" si="85"/>
        <v>0</v>
      </c>
      <c r="BN84" s="229">
        <f t="shared" si="85"/>
        <v>0</v>
      </c>
      <c r="BO84" s="229">
        <f t="shared" si="85"/>
        <v>0</v>
      </c>
      <c r="BP84" s="229">
        <f t="shared" si="85"/>
        <v>0</v>
      </c>
      <c r="BQ84" s="229">
        <f t="shared" ref="BQ84:CC93" si="86">IF($M84=BQ$13,BQ$22*BQ$3,IF($M84=BQ$14,BQ$22*BQ$4,IF($M84=BQ$15,BQ$22*BQ$5,IF($M84=BQ$16,BQ$22*BQ$6,IF($M84=BQ$17,BQ$22*BQ$7,IF($M84=BQ$18,BQ$22*BQ$8,IF($M84=BQ$19,BQ$22*BQ$9,IF($M84=BQ$20,BQ$22*BQ$10,0))))))))</f>
        <v>0</v>
      </c>
      <c r="BR84" s="229">
        <f t="shared" si="86"/>
        <v>0</v>
      </c>
      <c r="BS84" s="229">
        <f t="shared" si="86"/>
        <v>0</v>
      </c>
      <c r="BT84" s="229">
        <f t="shared" si="86"/>
        <v>0</v>
      </c>
      <c r="BU84" s="229">
        <f t="shared" si="86"/>
        <v>0</v>
      </c>
      <c r="BV84" s="229">
        <f t="shared" si="86"/>
        <v>0</v>
      </c>
      <c r="BW84" s="229">
        <f t="shared" si="86"/>
        <v>0</v>
      </c>
      <c r="BX84" s="229">
        <f t="shared" si="86"/>
        <v>0</v>
      </c>
      <c r="BY84" s="229">
        <f t="shared" si="86"/>
        <v>0</v>
      </c>
      <c r="BZ84" s="229">
        <f t="shared" si="86"/>
        <v>0</v>
      </c>
      <c r="CA84" s="229">
        <f t="shared" si="86"/>
        <v>0</v>
      </c>
      <c r="CB84" s="229">
        <f t="shared" si="86"/>
        <v>0</v>
      </c>
      <c r="CC84" s="229">
        <f t="shared" si="86"/>
        <v>0</v>
      </c>
      <c r="CD84" s="229">
        <f t="shared" ref="CD84:CT93" si="87">IF($M84=CD$13,CD$22*CD$3,IF($M84=CD$14,CD$22*CD$4,IF($M84=CD$15,CD$22*CD$5,IF($M84=CD$16,CD$22*CD$6,IF($M84=CD$17,CD$22*CD$7,IF($M84=CD$18,CD$22*CD$8,IF($M84=CD$19,CD$22*CD$9,IF($M84=CD$20,CD$22*CD$10,0))))))))</f>
        <v>0</v>
      </c>
      <c r="CE84" s="229">
        <f t="shared" si="80"/>
        <v>0</v>
      </c>
      <c r="CF84" s="229">
        <f t="shared" si="87"/>
        <v>0</v>
      </c>
      <c r="CG84" s="229">
        <f t="shared" si="87"/>
        <v>0</v>
      </c>
      <c r="CH84" s="229">
        <f t="shared" si="87"/>
        <v>0</v>
      </c>
      <c r="CI84" s="229">
        <f t="shared" si="87"/>
        <v>0</v>
      </c>
      <c r="CJ84" s="229">
        <f t="shared" si="70"/>
        <v>0</v>
      </c>
      <c r="CK84" s="229">
        <f t="shared" si="87"/>
        <v>0</v>
      </c>
      <c r="CL84" s="229">
        <f t="shared" si="87"/>
        <v>0</v>
      </c>
      <c r="CM84" s="229">
        <f t="shared" si="87"/>
        <v>0</v>
      </c>
      <c r="CN84" s="229">
        <f t="shared" si="87"/>
        <v>0</v>
      </c>
      <c r="CO84" s="229">
        <f t="shared" si="81"/>
        <v>0</v>
      </c>
      <c r="CP84" s="229">
        <f t="shared" si="81"/>
        <v>0</v>
      </c>
      <c r="CQ84" s="229">
        <f t="shared" si="87"/>
        <v>0</v>
      </c>
      <c r="CR84" s="229">
        <f t="shared" si="87"/>
        <v>0</v>
      </c>
      <c r="CS84" s="229">
        <f t="shared" si="87"/>
        <v>0</v>
      </c>
      <c r="CT84" s="229">
        <f t="shared" si="87"/>
        <v>0</v>
      </c>
      <c r="CU84" s="230"/>
      <c r="CV84" s="243"/>
      <c r="CW84" s="243"/>
      <c r="CX84" s="243"/>
      <c r="CY84" s="243"/>
      <c r="CZ84" s="231" t="e">
        <f t="shared" ca="1" si="68"/>
        <v>#N/A</v>
      </c>
      <c r="DA84" s="243"/>
      <c r="DB84" s="231" t="e">
        <f t="shared" ca="1" si="74"/>
        <v>#N/A</v>
      </c>
      <c r="DC84" s="231"/>
      <c r="DD84" s="231">
        <f>IF(SUM(DD$24:DD83)=DD$22,0,IF(AND($M84&gt;=DD$15,$M84&lt;(DD$16+1)),DD$22/(DD$16-DD$15+1),0))</f>
        <v>0</v>
      </c>
      <c r="DE84" s="231">
        <f>IF(SUM(DE$24:DE83)=DE$22,0,IF(AND($M84&gt;=DE$15,$M84&lt;(DE$16+1)),DE$22/(DE$16-DE$15+1),0))</f>
        <v>0</v>
      </c>
      <c r="DF84" s="231">
        <f>IF(SUM(DF$24:DF83)=DF$22,0,IF(AND($M84&gt;=DF$15,$M84&lt;(DF$16+1)),DF$22/(DF$16-DF$15+1),0))</f>
        <v>0</v>
      </c>
      <c r="DG84" s="231">
        <f>IF(SUM(DG$24:DG83)=DG$22,0,IF(AND($M84&gt;=DG$15,$M84&lt;(DG$16+1)),DG$22/(DG$16-DG$15+1),0))</f>
        <v>0</v>
      </c>
      <c r="DH84" s="231">
        <f t="shared" si="72"/>
        <v>0</v>
      </c>
      <c r="DI84" s="231">
        <f t="shared" si="72"/>
        <v>0</v>
      </c>
      <c r="DJ84" s="231">
        <f t="shared" si="72"/>
        <v>0</v>
      </c>
      <c r="DK84" s="231">
        <f t="shared" si="72"/>
        <v>0</v>
      </c>
      <c r="DL84" s="231">
        <f t="shared" si="72"/>
        <v>0</v>
      </c>
      <c r="DM84" s="231">
        <f t="shared" si="72"/>
        <v>0</v>
      </c>
      <c r="DN84" s="231">
        <f t="shared" si="83"/>
        <v>0</v>
      </c>
      <c r="DO84" s="231">
        <f t="shared" si="72"/>
        <v>0</v>
      </c>
      <c r="DP84" s="231">
        <f t="shared" si="72"/>
        <v>0</v>
      </c>
      <c r="DQ84" s="231">
        <f t="shared" si="72"/>
        <v>0</v>
      </c>
      <c r="DR84" s="231">
        <f t="shared" si="72"/>
        <v>0</v>
      </c>
      <c r="DS84" s="231">
        <f t="shared" si="25"/>
        <v>0.29866666666666669</v>
      </c>
      <c r="DT84" s="231">
        <f ca="1">IF(SUM(DT$24:DT83)=DT$22,0,IF(AND($M84&gt;=DT$15,$M84&lt;(DT$16+1)),DT$22/(DT$16-DT$15+1),0))</f>
        <v>0</v>
      </c>
      <c r="DU84" s="231">
        <f ca="1">IF(SUM(DU$24:DU83)=DU$22,0,IF(AND($M84&gt;=DU$15,$M84&lt;(DU$16+1)),DU$22/(DU$16-DU$15+1),0))</f>
        <v>0</v>
      </c>
      <c r="DV84" s="231">
        <f ca="1">IF(SUM(DV$24:DV83)=DV$22,0,IF(AND(M84&gt;=DV$15,M84&lt;(DV$16+1)),DV$22/(DV$16-DV$15+1),0))</f>
        <v>0</v>
      </c>
      <c r="DW84" s="231" t="e">
        <f ca="1">IF(SUM(DW$24:DW83)=DW$22,0,IF(AND($M84&gt;=DW$15,$M84&lt;(DW$16+1)),DW$22/(DW$16-DW$15+1),0))</f>
        <v>#N/A</v>
      </c>
      <c r="DX84" s="231">
        <f ca="1">IF(SUM(DX$24:DX83)=DX$22,0,IF(AND($M84&gt;=DX$15,$M84&lt;(DX$16+1)),DX$22/(DX$16-DX$15+1),0))</f>
        <v>0</v>
      </c>
      <c r="DY84" s="231">
        <f ca="1">IF(SUM(DY$24:DY83)=DY$22,0,IF(AND($M84&gt;=DY$15,$M84&lt;(DY$16+1)),DY$22/(DY$16-DY$15+1),0))</f>
        <v>0</v>
      </c>
      <c r="DZ84" s="231">
        <f ca="1">IF(SUM(DZ$24:DZ83)=DZ$22,0,IF(AND($M84&gt;=DZ$15,$M84&lt;(DZ$16+1)),DZ$22/(DZ$16-DZ$15+1),0))</f>
        <v>0</v>
      </c>
      <c r="EA84" s="231" t="e">
        <f ca="1">IF(SUM(EA$24:EA83)=EA$22,0,IF(AND(M84&gt;=EA$15,M84&lt;(EA$16+1)),EA$22/(EA$16-EA$15+1),0))</f>
        <v>#N/A</v>
      </c>
      <c r="EC84" s="234">
        <f t="shared" si="54"/>
        <v>57</v>
      </c>
      <c r="ED84" s="234" t="e">
        <f t="shared" ca="1" si="55"/>
        <v>#N/A</v>
      </c>
      <c r="EE84" s="235" t="e">
        <f t="shared" ca="1" si="56"/>
        <v>#N/A</v>
      </c>
      <c r="EF84" s="234" t="e">
        <f t="shared" ca="1" si="28"/>
        <v>#N/A</v>
      </c>
      <c r="EG84" s="234" t="e">
        <f t="shared" ca="1" si="29"/>
        <v>#N/A</v>
      </c>
      <c r="EH84" s="234" t="e">
        <f t="shared" ca="1" si="34"/>
        <v>#N/A</v>
      </c>
      <c r="EI84" s="234"/>
      <c r="EJ84" s="234"/>
      <c r="EK84" s="153" t="e">
        <f t="shared" ca="1" si="57"/>
        <v>#N/A</v>
      </c>
      <c r="EL84" s="231" t="e">
        <f ca="1">IF(SUM(EL$24:EL83)=EL$22,0,IF(AND($M84&gt;=EL$15,$M84&lt;(EL$16+1)),EL$22/(EL$16-EL$15+1),0))</f>
        <v>#N/A</v>
      </c>
      <c r="EM84" s="153" t="e">
        <f t="shared" ca="1" si="58"/>
        <v>#N/A</v>
      </c>
      <c r="EO84" s="60"/>
      <c r="EP84" s="60"/>
    </row>
    <row r="85" spans="1:146">
      <c r="A85" s="254"/>
      <c r="B85" s="236">
        <f t="shared" si="23"/>
        <v>58</v>
      </c>
      <c r="C85" s="221">
        <f t="shared" si="59"/>
        <v>45324.75190000009</v>
      </c>
      <c r="D85" s="222" t="e">
        <f ca="1">'Offshore INT'!R74</f>
        <v>#N/A</v>
      </c>
      <c r="E85" s="223" t="e">
        <f t="shared" ca="1" si="50"/>
        <v>#N/A</v>
      </c>
      <c r="F85" s="224"/>
      <c r="G85" s="225">
        <f>IF(G84=1,1,SUM($F$24:F85))</f>
        <v>0</v>
      </c>
      <c r="H85" s="226" t="e">
        <f ca="1">IF(H84=0,0,SUM($I$24:I85))</f>
        <v>#N/A</v>
      </c>
      <c r="I85" s="227" t="e">
        <f t="shared" ca="1" si="51"/>
        <v>#N/A</v>
      </c>
      <c r="J85" s="222">
        <f t="shared" ca="1" si="20"/>
        <v>0</v>
      </c>
      <c r="K85" s="60"/>
      <c r="L85" s="228"/>
      <c r="M85" s="228">
        <f t="shared" si="52"/>
        <v>58</v>
      </c>
      <c r="N85" s="221">
        <f t="shared" si="53"/>
        <v>45324.75190000009</v>
      </c>
      <c r="O85" s="229">
        <f t="shared" si="73"/>
        <v>0</v>
      </c>
      <c r="P85" s="229">
        <f t="shared" si="73"/>
        <v>0</v>
      </c>
      <c r="Q85" s="229">
        <f t="shared" si="73"/>
        <v>0</v>
      </c>
      <c r="R85" s="229">
        <f t="shared" si="73"/>
        <v>0</v>
      </c>
      <c r="S85" s="229">
        <f t="shared" si="73"/>
        <v>0</v>
      </c>
      <c r="T85" s="229">
        <f t="shared" si="73"/>
        <v>0</v>
      </c>
      <c r="U85" s="229">
        <f t="shared" si="73"/>
        <v>0</v>
      </c>
      <c r="V85" s="229">
        <f t="shared" si="73"/>
        <v>0</v>
      </c>
      <c r="W85" s="229">
        <f t="shared" si="73"/>
        <v>0</v>
      </c>
      <c r="X85" s="229">
        <f t="shared" si="73"/>
        <v>0</v>
      </c>
      <c r="Y85" s="229">
        <f t="shared" si="73"/>
        <v>0</v>
      </c>
      <c r="Z85" s="229">
        <f t="shared" si="73"/>
        <v>0</v>
      </c>
      <c r="AA85" s="229">
        <f t="shared" si="84"/>
        <v>0</v>
      </c>
      <c r="AB85" s="229">
        <f t="shared" si="84"/>
        <v>0</v>
      </c>
      <c r="AC85" s="229">
        <f t="shared" si="84"/>
        <v>0</v>
      </c>
      <c r="AD85" s="229">
        <f t="shared" si="84"/>
        <v>0</v>
      </c>
      <c r="AE85" s="229">
        <f t="shared" si="84"/>
        <v>0</v>
      </c>
      <c r="AF85" s="229">
        <f t="shared" si="84"/>
        <v>0</v>
      </c>
      <c r="AG85" s="229">
        <f t="shared" si="84"/>
        <v>0</v>
      </c>
      <c r="AH85" s="229">
        <f t="shared" si="84"/>
        <v>0</v>
      </c>
      <c r="AI85" s="229">
        <f t="shared" si="84"/>
        <v>0</v>
      </c>
      <c r="AJ85" s="229">
        <f t="shared" si="84"/>
        <v>0</v>
      </c>
      <c r="AK85" s="229">
        <f t="shared" si="84"/>
        <v>0</v>
      </c>
      <c r="AL85" s="229">
        <f t="shared" si="84"/>
        <v>0</v>
      </c>
      <c r="AM85" s="229">
        <f t="shared" si="84"/>
        <v>0</v>
      </c>
      <c r="AN85" s="229">
        <f t="shared" si="84"/>
        <v>0</v>
      </c>
      <c r="AO85" s="229">
        <f t="shared" si="84"/>
        <v>0</v>
      </c>
      <c r="AP85" s="229">
        <f t="shared" si="84"/>
        <v>0</v>
      </c>
      <c r="AQ85" s="229">
        <f t="shared" si="84"/>
        <v>0</v>
      </c>
      <c r="AR85" s="229">
        <f t="shared" si="84"/>
        <v>0</v>
      </c>
      <c r="AS85" s="229">
        <f t="shared" si="79"/>
        <v>0</v>
      </c>
      <c r="AT85" s="229">
        <f t="shared" si="79"/>
        <v>0</v>
      </c>
      <c r="AU85" s="229">
        <f t="shared" si="79"/>
        <v>0</v>
      </c>
      <c r="AV85" s="229">
        <f t="shared" si="79"/>
        <v>0</v>
      </c>
      <c r="AW85" s="229">
        <f t="shared" si="79"/>
        <v>0</v>
      </c>
      <c r="AX85" s="229">
        <f t="shared" si="84"/>
        <v>0</v>
      </c>
      <c r="AY85" s="229">
        <f t="shared" si="84"/>
        <v>0</v>
      </c>
      <c r="AZ85" s="229">
        <f t="shared" si="84"/>
        <v>0</v>
      </c>
      <c r="BA85" s="229">
        <f t="shared" si="84"/>
        <v>0</v>
      </c>
      <c r="BB85" s="229">
        <f t="shared" si="84"/>
        <v>0</v>
      </c>
      <c r="BC85" s="229">
        <f t="shared" si="84"/>
        <v>0</v>
      </c>
      <c r="BD85" s="229">
        <f t="shared" si="85"/>
        <v>0</v>
      </c>
      <c r="BE85" s="229">
        <f t="shared" si="85"/>
        <v>0</v>
      </c>
      <c r="BF85" s="229">
        <f t="shared" si="85"/>
        <v>0</v>
      </c>
      <c r="BG85" s="229">
        <f t="shared" si="85"/>
        <v>0</v>
      </c>
      <c r="BH85" s="229">
        <f t="shared" si="85"/>
        <v>0</v>
      </c>
      <c r="BI85" s="229">
        <f t="shared" si="85"/>
        <v>0</v>
      </c>
      <c r="BJ85" s="229">
        <f t="shared" si="85"/>
        <v>0</v>
      </c>
      <c r="BK85" s="229">
        <f t="shared" si="85"/>
        <v>0</v>
      </c>
      <c r="BL85" s="229">
        <f t="shared" si="85"/>
        <v>0</v>
      </c>
      <c r="BM85" s="229">
        <f t="shared" si="85"/>
        <v>0</v>
      </c>
      <c r="BN85" s="229">
        <f t="shared" si="85"/>
        <v>0</v>
      </c>
      <c r="BO85" s="229">
        <f t="shared" si="85"/>
        <v>0</v>
      </c>
      <c r="BP85" s="229">
        <f t="shared" si="85"/>
        <v>0</v>
      </c>
      <c r="BQ85" s="229">
        <f t="shared" si="86"/>
        <v>0</v>
      </c>
      <c r="BR85" s="229">
        <f t="shared" si="86"/>
        <v>0</v>
      </c>
      <c r="BS85" s="229">
        <f t="shared" si="86"/>
        <v>0</v>
      </c>
      <c r="BT85" s="229">
        <f t="shared" si="86"/>
        <v>0</v>
      </c>
      <c r="BU85" s="229">
        <f t="shared" si="86"/>
        <v>0</v>
      </c>
      <c r="BV85" s="229">
        <f t="shared" si="86"/>
        <v>0</v>
      </c>
      <c r="BW85" s="229">
        <f t="shared" si="86"/>
        <v>0</v>
      </c>
      <c r="BX85" s="229">
        <f t="shared" si="86"/>
        <v>0</v>
      </c>
      <c r="BY85" s="229">
        <f t="shared" si="86"/>
        <v>0</v>
      </c>
      <c r="BZ85" s="229">
        <f t="shared" si="86"/>
        <v>0</v>
      </c>
      <c r="CA85" s="229">
        <f t="shared" si="86"/>
        <v>0</v>
      </c>
      <c r="CB85" s="229">
        <f t="shared" si="86"/>
        <v>0</v>
      </c>
      <c r="CC85" s="229">
        <f t="shared" si="86"/>
        <v>0</v>
      </c>
      <c r="CD85" s="229">
        <f t="shared" si="87"/>
        <v>0</v>
      </c>
      <c r="CE85" s="229">
        <f t="shared" si="80"/>
        <v>0</v>
      </c>
      <c r="CF85" s="229">
        <f t="shared" si="87"/>
        <v>0</v>
      </c>
      <c r="CG85" s="229">
        <f t="shared" si="87"/>
        <v>0</v>
      </c>
      <c r="CH85" s="229">
        <f t="shared" si="87"/>
        <v>0</v>
      </c>
      <c r="CI85" s="229">
        <f t="shared" si="87"/>
        <v>0</v>
      </c>
      <c r="CJ85" s="229">
        <f t="shared" si="70"/>
        <v>0</v>
      </c>
      <c r="CK85" s="229">
        <f t="shared" si="87"/>
        <v>0</v>
      </c>
      <c r="CL85" s="229">
        <f t="shared" si="87"/>
        <v>0</v>
      </c>
      <c r="CM85" s="229">
        <f t="shared" si="87"/>
        <v>0</v>
      </c>
      <c r="CN85" s="229">
        <f t="shared" si="87"/>
        <v>0</v>
      </c>
      <c r="CO85" s="229">
        <f t="shared" si="81"/>
        <v>0</v>
      </c>
      <c r="CP85" s="229">
        <f t="shared" si="81"/>
        <v>0</v>
      </c>
      <c r="CQ85" s="229">
        <f t="shared" si="87"/>
        <v>0</v>
      </c>
      <c r="CR85" s="229">
        <f t="shared" si="87"/>
        <v>0</v>
      </c>
      <c r="CS85" s="229">
        <f t="shared" si="87"/>
        <v>0</v>
      </c>
      <c r="CT85" s="229">
        <f t="shared" si="87"/>
        <v>0</v>
      </c>
      <c r="CU85" s="230"/>
      <c r="CV85" s="231"/>
      <c r="CW85" s="231"/>
      <c r="CX85" s="231"/>
      <c r="CY85" s="231"/>
      <c r="CZ85" s="231" t="e">
        <f t="shared" ca="1" si="68"/>
        <v>#N/A</v>
      </c>
      <c r="DA85" s="231"/>
      <c r="DB85" s="231" t="e">
        <f t="shared" ca="1" si="74"/>
        <v>#N/A</v>
      </c>
      <c r="DC85" s="231"/>
      <c r="DD85" s="231">
        <f>IF(SUM(DD$24:DD84)=DD$22,0,IF(AND($M85&gt;=DD$15,$M85&lt;(DD$16+1)),DD$22/(DD$16-DD$15+1),0))</f>
        <v>0</v>
      </c>
      <c r="DE85" s="231">
        <f>IF(SUM(DE$24:DE84)=DE$22,0,IF(AND($M85&gt;=DE$15,$M85&lt;(DE$16+1)),DE$22/(DE$16-DE$15+1),0))</f>
        <v>0</v>
      </c>
      <c r="DF85" s="231">
        <f>IF(SUM(DF$24:DF84)=DF$22,0,IF(AND($M85&gt;=DF$15,$M85&lt;(DF$16+1)),DF$22/(DF$16-DF$15+1),0))</f>
        <v>0</v>
      </c>
      <c r="DG85" s="231">
        <f>IF(SUM(DG$24:DG84)=DG$22,0,IF(AND($M85&gt;=DG$15,$M85&lt;(DG$16+1)),DG$22/(DG$16-DG$15+1),0))</f>
        <v>0</v>
      </c>
      <c r="DH85" s="231">
        <f t="shared" si="72"/>
        <v>0</v>
      </c>
      <c r="DI85" s="231">
        <f t="shared" si="72"/>
        <v>0</v>
      </c>
      <c r="DJ85" s="231">
        <f t="shared" si="72"/>
        <v>0</v>
      </c>
      <c r="DK85" s="231">
        <f t="shared" si="72"/>
        <v>0</v>
      </c>
      <c r="DL85" s="231">
        <f t="shared" si="72"/>
        <v>0</v>
      </c>
      <c r="DM85" s="231">
        <f t="shared" si="72"/>
        <v>0</v>
      </c>
      <c r="DN85" s="231">
        <f t="shared" si="83"/>
        <v>0</v>
      </c>
      <c r="DO85" s="231">
        <f t="shared" si="72"/>
        <v>0</v>
      </c>
      <c r="DP85" s="231">
        <f t="shared" si="72"/>
        <v>0</v>
      </c>
      <c r="DQ85" s="231">
        <f t="shared" si="72"/>
        <v>0</v>
      </c>
      <c r="DR85" s="231">
        <f t="shared" si="72"/>
        <v>0</v>
      </c>
      <c r="DS85" s="231">
        <f t="shared" si="25"/>
        <v>0.29866666666666669</v>
      </c>
      <c r="DT85" s="231">
        <f ca="1">IF(SUM(DT$24:DT84)=DT$22,0,IF(AND($M85&gt;=DT$15,$M85&lt;(DT$16+1)),DT$22/(DT$16-DT$15+1),0))</f>
        <v>0</v>
      </c>
      <c r="DU85" s="231">
        <f ca="1">IF(SUM(DU$24:DU84)=DU$22,0,IF(AND($M85&gt;=DU$15,$M85&lt;(DU$16+1)),DU$22/(DU$16-DU$15+1),0))</f>
        <v>0</v>
      </c>
      <c r="DV85" s="231">
        <f ca="1">IF(SUM(DV$24:DV84)=DV$22,0,IF(AND(M85&gt;=DV$15,M85&lt;(DV$16+1)),DV$22/(DV$16-DV$15+1),0))</f>
        <v>0</v>
      </c>
      <c r="DW85" s="231" t="e">
        <f ca="1">IF(SUM(DW$24:DW84)=DW$22,0,IF(AND($M85&gt;=DW$15,$M85&lt;(DW$16+1)),DW$22/(DW$16-DW$15+1),0))</f>
        <v>#N/A</v>
      </c>
      <c r="DX85" s="231">
        <f ca="1">IF(SUM(DX$24:DX84)=DX$22,0,IF(AND($M85&gt;=DX$15,$M85&lt;(DX$16+1)),DX$22/(DX$16-DX$15+1),0))</f>
        <v>0</v>
      </c>
      <c r="DY85" s="231">
        <f ca="1">IF(SUM(DY$24:DY84)=DY$22,0,IF(AND($M85&gt;=DY$15,$M85&lt;(DY$16+1)),DY$22/(DY$16-DY$15+1),0))</f>
        <v>0</v>
      </c>
      <c r="DZ85" s="231">
        <f ca="1">IF(SUM(DZ$24:DZ84)=DZ$22,0,IF(AND($M85&gt;=DZ$15,$M85&lt;(DZ$16+1)),DZ$22/(DZ$16-DZ$15+1),0))</f>
        <v>0</v>
      </c>
      <c r="EA85" s="231" t="e">
        <f ca="1">IF(SUM(EA$24:EA84)=EA$22,0,IF(AND(M85&gt;=EA$15,M85&lt;(EA$16+1)),EA$22/(EA$16-EA$15+1),0))</f>
        <v>#N/A</v>
      </c>
      <c r="EC85" s="234">
        <f t="shared" si="54"/>
        <v>58</v>
      </c>
      <c r="ED85" s="234" t="e">
        <f t="shared" ca="1" si="55"/>
        <v>#N/A</v>
      </c>
      <c r="EE85" s="235" t="e">
        <f t="shared" ca="1" si="56"/>
        <v>#N/A</v>
      </c>
      <c r="EF85" s="234" t="e">
        <f t="shared" ca="1" si="28"/>
        <v>#N/A</v>
      </c>
      <c r="EG85" s="234" t="e">
        <f t="shared" ca="1" si="29"/>
        <v>#N/A</v>
      </c>
      <c r="EH85" s="234" t="e">
        <f t="shared" ca="1" si="34"/>
        <v>#N/A</v>
      </c>
      <c r="EI85" s="234"/>
      <c r="EJ85" s="234"/>
      <c r="EK85" s="153" t="e">
        <f t="shared" ca="1" si="57"/>
        <v>#N/A</v>
      </c>
      <c r="EL85" s="231" t="e">
        <f ca="1">IF(SUM(EL$24:EL84)=EL$22,0,IF(AND($M85&gt;=EL$15,$M85&lt;(EL$16+1)),EL$22/(EL$16-EL$15+1),0))</f>
        <v>#N/A</v>
      </c>
      <c r="EM85" s="153" t="e">
        <f t="shared" ca="1" si="58"/>
        <v>#N/A</v>
      </c>
      <c r="EO85" s="60"/>
      <c r="EP85" s="60"/>
    </row>
    <row r="86" spans="1:146">
      <c r="A86" s="220"/>
      <c r="B86" s="236">
        <f t="shared" si="23"/>
        <v>59</v>
      </c>
      <c r="C86" s="221">
        <f t="shared" si="59"/>
        <v>45355.168600000092</v>
      </c>
      <c r="D86" s="222" t="e">
        <f ca="1">'Offshore INT'!R75</f>
        <v>#N/A</v>
      </c>
      <c r="E86" s="223" t="e">
        <f t="shared" ca="1" si="50"/>
        <v>#N/A</v>
      </c>
      <c r="F86" s="224"/>
      <c r="G86" s="225">
        <f>IF(G85=1,1,SUM($F$24:F86))</f>
        <v>0</v>
      </c>
      <c r="H86" s="226" t="e">
        <f ca="1">IF(H85=0,0,SUM($I$24:I86))</f>
        <v>#N/A</v>
      </c>
      <c r="I86" s="227" t="e">
        <f t="shared" ca="1" si="51"/>
        <v>#N/A</v>
      </c>
      <c r="J86" s="222">
        <f t="shared" ca="1" si="20"/>
        <v>0</v>
      </c>
      <c r="K86" s="60"/>
      <c r="L86" s="228"/>
      <c r="M86" s="228">
        <f t="shared" si="52"/>
        <v>59</v>
      </c>
      <c r="N86" s="221">
        <f t="shared" si="53"/>
        <v>45355.168600000092</v>
      </c>
      <c r="O86" s="229">
        <f t="shared" si="73"/>
        <v>0</v>
      </c>
      <c r="P86" s="229">
        <f t="shared" si="73"/>
        <v>0</v>
      </c>
      <c r="Q86" s="229">
        <f t="shared" si="73"/>
        <v>0</v>
      </c>
      <c r="R86" s="229">
        <f t="shared" si="73"/>
        <v>0</v>
      </c>
      <c r="S86" s="229">
        <f t="shared" si="73"/>
        <v>0</v>
      </c>
      <c r="T86" s="229">
        <f t="shared" si="73"/>
        <v>0</v>
      </c>
      <c r="U86" s="229">
        <f t="shared" si="73"/>
        <v>0</v>
      </c>
      <c r="V86" s="229">
        <f t="shared" si="73"/>
        <v>0</v>
      </c>
      <c r="W86" s="229">
        <f t="shared" si="73"/>
        <v>0</v>
      </c>
      <c r="X86" s="229">
        <f t="shared" si="73"/>
        <v>0</v>
      </c>
      <c r="Y86" s="229">
        <f t="shared" si="73"/>
        <v>0</v>
      </c>
      <c r="Z86" s="229">
        <f t="shared" si="73"/>
        <v>0</v>
      </c>
      <c r="AA86" s="229">
        <f t="shared" si="84"/>
        <v>0</v>
      </c>
      <c r="AB86" s="229">
        <f t="shared" si="84"/>
        <v>0</v>
      </c>
      <c r="AC86" s="229">
        <f t="shared" si="84"/>
        <v>0</v>
      </c>
      <c r="AD86" s="229">
        <f t="shared" si="84"/>
        <v>0</v>
      </c>
      <c r="AE86" s="229">
        <f t="shared" si="84"/>
        <v>0</v>
      </c>
      <c r="AF86" s="229">
        <f t="shared" si="84"/>
        <v>0</v>
      </c>
      <c r="AG86" s="229">
        <f t="shared" si="84"/>
        <v>0</v>
      </c>
      <c r="AH86" s="229">
        <f t="shared" si="84"/>
        <v>0</v>
      </c>
      <c r="AI86" s="229">
        <f t="shared" si="84"/>
        <v>0</v>
      </c>
      <c r="AJ86" s="229">
        <f t="shared" si="84"/>
        <v>0</v>
      </c>
      <c r="AK86" s="229">
        <f t="shared" si="84"/>
        <v>0</v>
      </c>
      <c r="AL86" s="229">
        <f t="shared" si="84"/>
        <v>0</v>
      </c>
      <c r="AM86" s="229">
        <f t="shared" si="84"/>
        <v>0</v>
      </c>
      <c r="AN86" s="229">
        <f t="shared" si="84"/>
        <v>0</v>
      </c>
      <c r="AO86" s="229">
        <f t="shared" si="84"/>
        <v>0</v>
      </c>
      <c r="AP86" s="229">
        <f t="shared" si="84"/>
        <v>0</v>
      </c>
      <c r="AQ86" s="229">
        <f t="shared" si="84"/>
        <v>0</v>
      </c>
      <c r="AR86" s="229">
        <f t="shared" si="84"/>
        <v>0</v>
      </c>
      <c r="AS86" s="229">
        <f t="shared" si="79"/>
        <v>0</v>
      </c>
      <c r="AT86" s="229">
        <f t="shared" si="79"/>
        <v>0</v>
      </c>
      <c r="AU86" s="229">
        <f t="shared" si="79"/>
        <v>0</v>
      </c>
      <c r="AV86" s="229">
        <f t="shared" si="79"/>
        <v>0</v>
      </c>
      <c r="AW86" s="229">
        <f t="shared" si="79"/>
        <v>0</v>
      </c>
      <c r="AX86" s="229">
        <f t="shared" si="84"/>
        <v>0</v>
      </c>
      <c r="AY86" s="229">
        <f t="shared" si="84"/>
        <v>0</v>
      </c>
      <c r="AZ86" s="229">
        <f t="shared" si="84"/>
        <v>0</v>
      </c>
      <c r="BA86" s="229">
        <f t="shared" si="84"/>
        <v>0</v>
      </c>
      <c r="BB86" s="229">
        <f t="shared" si="84"/>
        <v>0</v>
      </c>
      <c r="BC86" s="229">
        <f t="shared" si="84"/>
        <v>0</v>
      </c>
      <c r="BD86" s="229">
        <f t="shared" si="85"/>
        <v>0</v>
      </c>
      <c r="BE86" s="229">
        <f t="shared" si="85"/>
        <v>0</v>
      </c>
      <c r="BF86" s="229">
        <f t="shared" si="85"/>
        <v>0</v>
      </c>
      <c r="BG86" s="229">
        <f t="shared" si="85"/>
        <v>0</v>
      </c>
      <c r="BH86" s="229">
        <f t="shared" si="85"/>
        <v>0</v>
      </c>
      <c r="BI86" s="229">
        <f t="shared" si="85"/>
        <v>0</v>
      </c>
      <c r="BJ86" s="229">
        <f t="shared" si="85"/>
        <v>0</v>
      </c>
      <c r="BK86" s="229">
        <f t="shared" si="85"/>
        <v>0</v>
      </c>
      <c r="BL86" s="229">
        <f t="shared" si="85"/>
        <v>0</v>
      </c>
      <c r="BM86" s="229">
        <f t="shared" si="85"/>
        <v>0</v>
      </c>
      <c r="BN86" s="229">
        <f t="shared" si="85"/>
        <v>0</v>
      </c>
      <c r="BO86" s="229">
        <f t="shared" si="85"/>
        <v>0</v>
      </c>
      <c r="BP86" s="229">
        <f t="shared" si="85"/>
        <v>0</v>
      </c>
      <c r="BQ86" s="229">
        <f t="shared" si="86"/>
        <v>0</v>
      </c>
      <c r="BR86" s="229">
        <f t="shared" si="86"/>
        <v>0</v>
      </c>
      <c r="BS86" s="229">
        <f t="shared" si="86"/>
        <v>0</v>
      </c>
      <c r="BT86" s="229">
        <f t="shared" si="86"/>
        <v>0</v>
      </c>
      <c r="BU86" s="229">
        <f t="shared" si="86"/>
        <v>0</v>
      </c>
      <c r="BV86" s="229">
        <f t="shared" si="86"/>
        <v>0</v>
      </c>
      <c r="BW86" s="229">
        <f t="shared" si="86"/>
        <v>0</v>
      </c>
      <c r="BX86" s="229">
        <f t="shared" si="86"/>
        <v>0</v>
      </c>
      <c r="BY86" s="229">
        <f t="shared" si="86"/>
        <v>0</v>
      </c>
      <c r="BZ86" s="229">
        <f t="shared" si="86"/>
        <v>0</v>
      </c>
      <c r="CA86" s="229">
        <f t="shared" si="86"/>
        <v>0</v>
      </c>
      <c r="CB86" s="229">
        <f t="shared" si="86"/>
        <v>0</v>
      </c>
      <c r="CC86" s="229">
        <f t="shared" si="86"/>
        <v>0</v>
      </c>
      <c r="CD86" s="229">
        <f t="shared" si="87"/>
        <v>0</v>
      </c>
      <c r="CE86" s="229">
        <f t="shared" si="80"/>
        <v>0</v>
      </c>
      <c r="CF86" s="229">
        <f t="shared" si="87"/>
        <v>0</v>
      </c>
      <c r="CG86" s="229">
        <f t="shared" si="87"/>
        <v>0</v>
      </c>
      <c r="CH86" s="229">
        <f t="shared" si="87"/>
        <v>0</v>
      </c>
      <c r="CI86" s="229">
        <f t="shared" si="87"/>
        <v>0</v>
      </c>
      <c r="CJ86" s="229">
        <f t="shared" si="70"/>
        <v>0</v>
      </c>
      <c r="CK86" s="229">
        <f t="shared" si="87"/>
        <v>0</v>
      </c>
      <c r="CL86" s="229">
        <f t="shared" si="87"/>
        <v>0</v>
      </c>
      <c r="CM86" s="229">
        <f t="shared" si="87"/>
        <v>0</v>
      </c>
      <c r="CN86" s="229">
        <f t="shared" si="87"/>
        <v>0</v>
      </c>
      <c r="CO86" s="229">
        <f t="shared" si="81"/>
        <v>0</v>
      </c>
      <c r="CP86" s="229">
        <f t="shared" si="81"/>
        <v>0</v>
      </c>
      <c r="CQ86" s="229">
        <f t="shared" si="87"/>
        <v>0</v>
      </c>
      <c r="CR86" s="229">
        <f t="shared" si="87"/>
        <v>0</v>
      </c>
      <c r="CS86" s="229">
        <f t="shared" si="87"/>
        <v>0</v>
      </c>
      <c r="CT86" s="229">
        <f t="shared" si="87"/>
        <v>0</v>
      </c>
      <c r="CU86" s="230"/>
      <c r="CV86" s="231"/>
      <c r="CW86" s="231"/>
      <c r="CX86" s="231"/>
      <c r="CY86" s="231"/>
      <c r="CZ86" s="231" t="e">
        <f t="shared" ca="1" si="68"/>
        <v>#N/A</v>
      </c>
      <c r="DA86" s="231"/>
      <c r="DB86" s="231" t="e">
        <f t="shared" ca="1" si="74"/>
        <v>#N/A</v>
      </c>
      <c r="DC86" s="231"/>
      <c r="DD86" s="231">
        <f>IF(SUM(DD$24:DD85)=DD$22,0,IF(AND($M86&gt;=DD$15,$M86&lt;(DD$16+1)),DD$22/(DD$16-DD$15+1),0))</f>
        <v>0</v>
      </c>
      <c r="DE86" s="231">
        <f>IF(SUM(DE$24:DE85)=DE$22,0,IF(AND($M86&gt;=DE$15,$M86&lt;(DE$16+1)),DE$22/(DE$16-DE$15+1),0))</f>
        <v>0</v>
      </c>
      <c r="DF86" s="231">
        <f>IF(SUM(DF$24:DF85)=DF$22,0,IF(AND($M86&gt;=DF$15,$M86&lt;(DF$16+1)),DF$22/(DF$16-DF$15+1),0))</f>
        <v>0</v>
      </c>
      <c r="DG86" s="231">
        <f>IF(SUM(DG$24:DG85)=DG$22,0,IF(AND($M86&gt;=DG$15,$M86&lt;(DG$16+1)),DG$22/(DG$16-DG$15+1),0))</f>
        <v>0</v>
      </c>
      <c r="DH86" s="231">
        <f t="shared" si="72"/>
        <v>0</v>
      </c>
      <c r="DI86" s="231">
        <f t="shared" si="72"/>
        <v>0</v>
      </c>
      <c r="DJ86" s="231">
        <f t="shared" si="72"/>
        <v>0</v>
      </c>
      <c r="DK86" s="231">
        <f t="shared" si="72"/>
        <v>0</v>
      </c>
      <c r="DL86" s="231">
        <f t="shared" si="72"/>
        <v>0</v>
      </c>
      <c r="DM86" s="231">
        <f t="shared" si="72"/>
        <v>0</v>
      </c>
      <c r="DN86" s="231">
        <f t="shared" si="83"/>
        <v>0</v>
      </c>
      <c r="DO86" s="231">
        <f t="shared" si="72"/>
        <v>0</v>
      </c>
      <c r="DP86" s="231">
        <f t="shared" si="72"/>
        <v>0</v>
      </c>
      <c r="DQ86" s="231">
        <f t="shared" si="72"/>
        <v>0</v>
      </c>
      <c r="DR86" s="231">
        <f t="shared" si="72"/>
        <v>0</v>
      </c>
      <c r="DS86" s="231">
        <f t="shared" si="25"/>
        <v>0.29866666666666669</v>
      </c>
      <c r="DT86" s="231">
        <f ca="1">IF(SUM(DT$24:DT85)=DT$22,0,IF(AND($M86&gt;=DT$15,$M86&lt;(DT$16+1)),DT$22/(DT$16-DT$15+1),0))</f>
        <v>0</v>
      </c>
      <c r="DU86" s="231">
        <f ca="1">IF(SUM(DU$24:DU85)=DU$22,0,IF(AND($M86&gt;=DU$15,$M86&lt;(DU$16+1)),DU$22/(DU$16-DU$15+1),0))</f>
        <v>0</v>
      </c>
      <c r="DV86" s="231">
        <f ca="1">IF(SUM(DV$24:DV85)=DV$22,0,IF(AND(M86&gt;=DV$15,M86&lt;(DV$16+1)),DV$22/(DV$16-DV$15+1),0))</f>
        <v>0</v>
      </c>
      <c r="DW86" s="231" t="e">
        <f ca="1">IF(SUM(DW$24:DW85)=DW$22,0,IF(AND($M86&gt;=DW$15,$M86&lt;(DW$16+1)),DW$22/(DW$16-DW$15+1),0))</f>
        <v>#N/A</v>
      </c>
      <c r="DX86" s="231">
        <f ca="1">IF(SUM(DX$24:DX85)=DX$22,0,IF(AND($M86&gt;=DX$15,$M86&lt;(DX$16+1)),DX$22/(DX$16-DX$15+1),0))</f>
        <v>0</v>
      </c>
      <c r="DY86" s="231">
        <f ca="1">IF(SUM(DY$24:DY85)=DY$22,0,IF(AND($M86&gt;=DY$15,$M86&lt;(DY$16+1)),DY$22/(DY$16-DY$15+1),0))</f>
        <v>0</v>
      </c>
      <c r="DZ86" s="231">
        <f ca="1">IF(SUM(DZ$24:DZ85)=DZ$22,0,IF(AND($M86&gt;=DZ$15,$M86&lt;(DZ$16+1)),DZ$22/(DZ$16-DZ$15+1),0))</f>
        <v>0</v>
      </c>
      <c r="EA86" s="231" t="e">
        <f ca="1">IF(SUM(EA$24:EA85)=EA$22,0,IF(AND(M86&gt;=EA$15,M86&lt;(EA$16+1)),EA$22/(EA$16-EA$15+1),0))</f>
        <v>#N/A</v>
      </c>
      <c r="EC86" s="234">
        <f t="shared" si="54"/>
        <v>59</v>
      </c>
      <c r="ED86" s="234" t="e">
        <f t="shared" ca="1" si="55"/>
        <v>#N/A</v>
      </c>
      <c r="EE86" s="235" t="e">
        <f t="shared" ca="1" si="56"/>
        <v>#N/A</v>
      </c>
      <c r="EF86" s="234" t="e">
        <f t="shared" ca="1" si="28"/>
        <v>#N/A</v>
      </c>
      <c r="EG86" s="234" t="e">
        <f t="shared" ca="1" si="29"/>
        <v>#N/A</v>
      </c>
      <c r="EH86" s="234" t="e">
        <f t="shared" ca="1" si="34"/>
        <v>#N/A</v>
      </c>
      <c r="EI86" s="234"/>
      <c r="EJ86" s="234"/>
      <c r="EK86" s="153" t="e">
        <f t="shared" ca="1" si="57"/>
        <v>#N/A</v>
      </c>
      <c r="EL86" s="231" t="e">
        <f ca="1">IF(SUM(EL$24:EL85)=EL$22,0,IF(AND($M86&gt;=EL$15,$M86&lt;(EL$16+1)),EL$22/(EL$16-EL$15+1),0))</f>
        <v>#N/A</v>
      </c>
      <c r="EM86" s="153" t="e">
        <f t="shared" ca="1" si="58"/>
        <v>#N/A</v>
      </c>
      <c r="EO86" s="60"/>
      <c r="EP86" s="60"/>
    </row>
    <row r="87" spans="1:146">
      <c r="A87" s="220"/>
      <c r="B87" s="1351">
        <f t="shared" si="23"/>
        <v>60</v>
      </c>
      <c r="C87" s="807">
        <f t="shared" si="59"/>
        <v>45385.585300000093</v>
      </c>
      <c r="D87" s="222" t="e">
        <f ca="1">'Offshore INT'!R76</f>
        <v>#N/A</v>
      </c>
      <c r="E87" s="223" t="e">
        <f t="shared" ca="1" si="50"/>
        <v>#N/A</v>
      </c>
      <c r="F87" s="224"/>
      <c r="G87" s="225">
        <f>IF(G86=1,1,SUM($F$24:F87))</f>
        <v>0</v>
      </c>
      <c r="H87" s="226" t="e">
        <f ca="1">IF(H86=0,0,SUM($I$24:I87))</f>
        <v>#N/A</v>
      </c>
      <c r="I87" s="227" t="e">
        <f t="shared" ca="1" si="51"/>
        <v>#N/A</v>
      </c>
      <c r="J87" s="222">
        <f t="shared" ca="1" si="20"/>
        <v>0</v>
      </c>
      <c r="K87" s="60"/>
      <c r="L87" s="228"/>
      <c r="M87" s="228">
        <f t="shared" si="52"/>
        <v>60</v>
      </c>
      <c r="N87" s="221">
        <f t="shared" si="53"/>
        <v>45385.585300000093</v>
      </c>
      <c r="O87" s="229">
        <f t="shared" si="73"/>
        <v>0</v>
      </c>
      <c r="P87" s="229">
        <f t="shared" si="73"/>
        <v>0</v>
      </c>
      <c r="Q87" s="229">
        <f t="shared" si="73"/>
        <v>0</v>
      </c>
      <c r="R87" s="229">
        <f t="shared" si="73"/>
        <v>0</v>
      </c>
      <c r="S87" s="229">
        <f t="shared" si="73"/>
        <v>0</v>
      </c>
      <c r="T87" s="229">
        <f t="shared" si="73"/>
        <v>0</v>
      </c>
      <c r="U87" s="229">
        <f t="shared" si="73"/>
        <v>0</v>
      </c>
      <c r="V87" s="229">
        <f t="shared" si="73"/>
        <v>0</v>
      </c>
      <c r="W87" s="229">
        <f t="shared" si="73"/>
        <v>0</v>
      </c>
      <c r="X87" s="229">
        <f t="shared" si="73"/>
        <v>0</v>
      </c>
      <c r="Y87" s="229">
        <f t="shared" si="73"/>
        <v>0</v>
      </c>
      <c r="Z87" s="229">
        <f t="shared" si="73"/>
        <v>0</v>
      </c>
      <c r="AA87" s="229">
        <f t="shared" si="84"/>
        <v>0</v>
      </c>
      <c r="AB87" s="229">
        <f t="shared" si="84"/>
        <v>0</v>
      </c>
      <c r="AC87" s="229">
        <f t="shared" si="84"/>
        <v>0</v>
      </c>
      <c r="AD87" s="229">
        <f t="shared" si="84"/>
        <v>0</v>
      </c>
      <c r="AE87" s="229">
        <f t="shared" si="84"/>
        <v>0</v>
      </c>
      <c r="AF87" s="229">
        <f t="shared" si="84"/>
        <v>0</v>
      </c>
      <c r="AG87" s="229">
        <f t="shared" si="84"/>
        <v>0</v>
      </c>
      <c r="AH87" s="229">
        <f t="shared" si="84"/>
        <v>0</v>
      </c>
      <c r="AI87" s="229">
        <f t="shared" si="84"/>
        <v>0</v>
      </c>
      <c r="AJ87" s="229">
        <f t="shared" si="84"/>
        <v>0</v>
      </c>
      <c r="AK87" s="229">
        <f t="shared" si="84"/>
        <v>0</v>
      </c>
      <c r="AL87" s="229">
        <f t="shared" si="84"/>
        <v>0</v>
      </c>
      <c r="AM87" s="229">
        <f t="shared" si="84"/>
        <v>0</v>
      </c>
      <c r="AN87" s="229">
        <f t="shared" si="84"/>
        <v>0</v>
      </c>
      <c r="AO87" s="229">
        <f t="shared" si="84"/>
        <v>0</v>
      </c>
      <c r="AP87" s="229">
        <f t="shared" si="84"/>
        <v>0</v>
      </c>
      <c r="AQ87" s="229">
        <f t="shared" si="84"/>
        <v>0</v>
      </c>
      <c r="AR87" s="229">
        <f t="shared" si="84"/>
        <v>0</v>
      </c>
      <c r="AS87" s="229">
        <f t="shared" si="79"/>
        <v>0</v>
      </c>
      <c r="AT87" s="229">
        <f t="shared" si="79"/>
        <v>0</v>
      </c>
      <c r="AU87" s="229">
        <f t="shared" si="79"/>
        <v>0</v>
      </c>
      <c r="AV87" s="229">
        <f t="shared" si="79"/>
        <v>0</v>
      </c>
      <c r="AW87" s="229">
        <f t="shared" si="79"/>
        <v>0</v>
      </c>
      <c r="AX87" s="229">
        <f t="shared" si="84"/>
        <v>0</v>
      </c>
      <c r="AY87" s="229">
        <f t="shared" si="84"/>
        <v>0</v>
      </c>
      <c r="AZ87" s="229">
        <f t="shared" si="84"/>
        <v>0</v>
      </c>
      <c r="BA87" s="229">
        <f t="shared" si="84"/>
        <v>0</v>
      </c>
      <c r="BB87" s="229">
        <f t="shared" si="84"/>
        <v>0</v>
      </c>
      <c r="BC87" s="229">
        <f t="shared" si="84"/>
        <v>0</v>
      </c>
      <c r="BD87" s="229">
        <f t="shared" si="85"/>
        <v>0</v>
      </c>
      <c r="BE87" s="229">
        <f t="shared" si="85"/>
        <v>0</v>
      </c>
      <c r="BF87" s="229">
        <f t="shared" si="85"/>
        <v>0</v>
      </c>
      <c r="BG87" s="229">
        <f t="shared" si="85"/>
        <v>0</v>
      </c>
      <c r="BH87" s="229">
        <f t="shared" si="85"/>
        <v>0</v>
      </c>
      <c r="BI87" s="229">
        <f t="shared" si="85"/>
        <v>0</v>
      </c>
      <c r="BJ87" s="229">
        <f t="shared" si="85"/>
        <v>0</v>
      </c>
      <c r="BK87" s="229">
        <f t="shared" si="85"/>
        <v>0</v>
      </c>
      <c r="BL87" s="229">
        <f t="shared" si="85"/>
        <v>0</v>
      </c>
      <c r="BM87" s="229">
        <f t="shared" si="85"/>
        <v>0</v>
      </c>
      <c r="BN87" s="229">
        <f t="shared" si="85"/>
        <v>0</v>
      </c>
      <c r="BO87" s="229">
        <f t="shared" si="85"/>
        <v>0</v>
      </c>
      <c r="BP87" s="229">
        <f t="shared" si="85"/>
        <v>0</v>
      </c>
      <c r="BQ87" s="229">
        <f t="shared" si="86"/>
        <v>0</v>
      </c>
      <c r="BR87" s="229">
        <f t="shared" si="86"/>
        <v>0</v>
      </c>
      <c r="BS87" s="229">
        <f t="shared" si="86"/>
        <v>0</v>
      </c>
      <c r="BT87" s="229">
        <f t="shared" si="86"/>
        <v>0</v>
      </c>
      <c r="BU87" s="229">
        <f t="shared" si="86"/>
        <v>0</v>
      </c>
      <c r="BV87" s="229">
        <f t="shared" si="86"/>
        <v>0</v>
      </c>
      <c r="BW87" s="229">
        <f t="shared" si="86"/>
        <v>0</v>
      </c>
      <c r="BX87" s="229">
        <f t="shared" si="86"/>
        <v>0</v>
      </c>
      <c r="BY87" s="229">
        <f t="shared" si="86"/>
        <v>0</v>
      </c>
      <c r="BZ87" s="229">
        <f t="shared" si="86"/>
        <v>0</v>
      </c>
      <c r="CA87" s="229">
        <f t="shared" si="86"/>
        <v>0</v>
      </c>
      <c r="CB87" s="229">
        <f t="shared" si="86"/>
        <v>0</v>
      </c>
      <c r="CC87" s="229">
        <f t="shared" si="86"/>
        <v>0</v>
      </c>
      <c r="CD87" s="229">
        <f t="shared" si="87"/>
        <v>0</v>
      </c>
      <c r="CE87" s="229">
        <f t="shared" si="80"/>
        <v>0</v>
      </c>
      <c r="CF87" s="229">
        <f t="shared" si="87"/>
        <v>0</v>
      </c>
      <c r="CG87" s="229">
        <f t="shared" si="87"/>
        <v>0</v>
      </c>
      <c r="CH87" s="229">
        <f t="shared" si="87"/>
        <v>0</v>
      </c>
      <c r="CI87" s="229">
        <f t="shared" si="87"/>
        <v>0</v>
      </c>
      <c r="CJ87" s="229">
        <f t="shared" si="70"/>
        <v>0</v>
      </c>
      <c r="CK87" s="229">
        <f t="shared" si="87"/>
        <v>0</v>
      </c>
      <c r="CL87" s="229">
        <f t="shared" si="87"/>
        <v>0</v>
      </c>
      <c r="CM87" s="229">
        <f t="shared" si="87"/>
        <v>0</v>
      </c>
      <c r="CN87" s="229">
        <f t="shared" si="87"/>
        <v>0</v>
      </c>
      <c r="CO87" s="229">
        <f t="shared" si="81"/>
        <v>0</v>
      </c>
      <c r="CP87" s="229">
        <f t="shared" si="81"/>
        <v>0</v>
      </c>
      <c r="CQ87" s="229">
        <f t="shared" si="87"/>
        <v>0</v>
      </c>
      <c r="CR87" s="229">
        <f t="shared" si="87"/>
        <v>0</v>
      </c>
      <c r="CS87" s="229">
        <f t="shared" si="87"/>
        <v>0</v>
      </c>
      <c r="CT87" s="229">
        <f t="shared" si="87"/>
        <v>0</v>
      </c>
      <c r="CU87" s="230"/>
      <c r="CV87" s="231"/>
      <c r="CW87" s="231"/>
      <c r="CX87" s="231"/>
      <c r="CY87" s="231"/>
      <c r="CZ87" s="231" t="e">
        <f t="shared" ca="1" si="68"/>
        <v>#N/A</v>
      </c>
      <c r="DA87" s="231"/>
      <c r="DB87" s="231" t="e">
        <f t="shared" ca="1" si="74"/>
        <v>#N/A</v>
      </c>
      <c r="DC87" s="231"/>
      <c r="DD87" s="231">
        <f>IF(SUM(DD$24:DD86)=DD$22,0,IF(AND($M87&gt;=DD$15,$M87&lt;(DD$16+1)),DD$22/(DD$16-DD$15+1),0))</f>
        <v>0</v>
      </c>
      <c r="DE87" s="231">
        <f>IF(SUM(DE$24:DE86)=DE$22,0,IF(AND($M87&gt;=DE$15,$M87&lt;(DE$16+1)),DE$22/(DE$16-DE$15+1),0))</f>
        <v>0</v>
      </c>
      <c r="DF87" s="231">
        <f>IF(SUM(DF$24:DF86)=DF$22,0,IF(AND($M87&gt;=DF$15,$M87&lt;(DF$16+1)),DF$22/(DF$16-DF$15+1),0))</f>
        <v>0</v>
      </c>
      <c r="DG87" s="231">
        <f>IF(SUM(DG$24:DG86)=DG$22,0,IF(AND($M87&gt;=DG$15,$M87&lt;(DG$16+1)),DG$22/(DG$16-DG$15+1),0))</f>
        <v>0</v>
      </c>
      <c r="DH87" s="231">
        <f t="shared" si="72"/>
        <v>0</v>
      </c>
      <c r="DI87" s="231">
        <f t="shared" si="72"/>
        <v>0</v>
      </c>
      <c r="DJ87" s="231">
        <f t="shared" si="72"/>
        <v>0</v>
      </c>
      <c r="DK87" s="231">
        <f t="shared" si="72"/>
        <v>0</v>
      </c>
      <c r="DL87" s="231">
        <f t="shared" si="72"/>
        <v>0</v>
      </c>
      <c r="DM87" s="231">
        <f t="shared" si="72"/>
        <v>0</v>
      </c>
      <c r="DN87" s="231">
        <f t="shared" si="83"/>
        <v>0</v>
      </c>
      <c r="DO87" s="231">
        <f t="shared" si="72"/>
        <v>0</v>
      </c>
      <c r="DP87" s="231">
        <f t="shared" si="72"/>
        <v>0</v>
      </c>
      <c r="DQ87" s="231">
        <f t="shared" si="72"/>
        <v>0</v>
      </c>
      <c r="DR87" s="231">
        <f t="shared" si="72"/>
        <v>0</v>
      </c>
      <c r="DS87" s="231">
        <f t="shared" si="25"/>
        <v>0.29866666666666669</v>
      </c>
      <c r="DT87" s="231">
        <f ca="1">IF(SUM(DT$24:DT86)=DT$22,0,IF(AND($M87&gt;=DT$15,$M87&lt;(DT$16+1)),DT$22/(DT$16-DT$15+1),0))</f>
        <v>0</v>
      </c>
      <c r="DU87" s="231">
        <f ca="1">IF(SUM(DU$24:DU86)=DU$22,0,IF(AND($M87&gt;=DU$15,$M87&lt;(DU$16+1)),DU$22/(DU$16-DU$15+1),0))</f>
        <v>0</v>
      </c>
      <c r="DV87" s="231">
        <f ca="1">IF(SUM(DV$24:DV86)=DV$22,0,IF(AND(M87&gt;=DV$15,M87&lt;(DV$16+1)),DV$22/(DV$16-DV$15+1),0))</f>
        <v>0</v>
      </c>
      <c r="DW87" s="231" t="e">
        <f ca="1">IF(SUM(DW$24:DW86)=DW$22,0,IF(AND($M87&gt;=DW$15,$M87&lt;(DW$16+1)),DW$22/(DW$16-DW$15+1),0))</f>
        <v>#N/A</v>
      </c>
      <c r="DX87" s="231">
        <f ca="1">IF(SUM(DX$24:DX86)=DX$22,0,IF(AND($M87&gt;=DX$15,$M87&lt;(DX$16+1)),DX$22/(DX$16-DX$15+1),0))</f>
        <v>0</v>
      </c>
      <c r="DY87" s="231">
        <f ca="1">IF(SUM(DY$24:DY86)=DY$22,0,IF(AND($M87&gt;=DY$15,$M87&lt;(DY$16+1)),DY$22/(DY$16-DY$15+1),0))</f>
        <v>0</v>
      </c>
      <c r="DZ87" s="231">
        <f ca="1">IF(SUM(DZ$24:DZ86)=DZ$22,0,IF(AND($M87&gt;=DZ$15,$M87&lt;(DZ$16+1)),DZ$22/(DZ$16-DZ$15+1),0))</f>
        <v>0</v>
      </c>
      <c r="EA87" s="231" t="e">
        <f ca="1">IF(SUM(EA$24:EA86)=EA$22,0,IF(AND(M87&gt;=EA$15,M87&lt;(EA$16+1)),EA$22/(EA$16-EA$15+1),0))</f>
        <v>#N/A</v>
      </c>
      <c r="EC87" s="234">
        <f t="shared" si="54"/>
        <v>60</v>
      </c>
      <c r="ED87" s="234" t="e">
        <f t="shared" ca="1" si="55"/>
        <v>#N/A</v>
      </c>
      <c r="EE87" s="235" t="e">
        <f t="shared" ca="1" si="56"/>
        <v>#N/A</v>
      </c>
      <c r="EF87" s="234" t="e">
        <f t="shared" ca="1" si="28"/>
        <v>#N/A</v>
      </c>
      <c r="EG87" s="234" t="e">
        <f t="shared" ca="1" si="29"/>
        <v>#N/A</v>
      </c>
      <c r="EH87" s="234" t="e">
        <f t="shared" ca="1" si="34"/>
        <v>#N/A</v>
      </c>
      <c r="EI87" s="234"/>
      <c r="EJ87" s="234"/>
      <c r="EK87" s="153" t="e">
        <f t="shared" ca="1" si="57"/>
        <v>#N/A</v>
      </c>
      <c r="EL87" s="231" t="e">
        <f ca="1">IF(SUM(EL$24:EL86)=EL$22,0,IF(AND($M87&gt;=EL$15,$M87&lt;(EL$16+1)),EL$22/(EL$16-EL$15+1),0))</f>
        <v>#N/A</v>
      </c>
      <c r="EM87" s="153" t="e">
        <f t="shared" ca="1" si="58"/>
        <v>#N/A</v>
      </c>
      <c r="EO87" s="60"/>
      <c r="EP87" s="60"/>
    </row>
    <row r="88" spans="1:146">
      <c r="A88" s="220"/>
      <c r="B88" s="236">
        <f t="shared" si="23"/>
        <v>61</v>
      </c>
      <c r="C88" s="221">
        <f t="shared" si="59"/>
        <v>45416.002000000095</v>
      </c>
      <c r="D88" s="222" t="e">
        <f ca="1">'Offshore INT'!R77</f>
        <v>#N/A</v>
      </c>
      <c r="E88" s="223" t="e">
        <f t="shared" ref="E88:E119" ca="1" si="88">F88*I$4</f>
        <v>#N/A</v>
      </c>
      <c r="F88" s="224"/>
      <c r="G88" s="225">
        <f>IF(G87=1,1,SUM($F$24:F88))</f>
        <v>0</v>
      </c>
      <c r="H88" s="226" t="e">
        <f ca="1">IF(H87=0,0,SUM($I$24:I88))</f>
        <v>#N/A</v>
      </c>
      <c r="I88" s="227" t="e">
        <f t="shared" ref="I88:I119" ca="1" si="89">IF(I$3=0,0,J88/I$3)</f>
        <v>#N/A</v>
      </c>
      <c r="J88" s="222">
        <f t="shared" ca="1" si="20"/>
        <v>0</v>
      </c>
      <c r="K88" s="60"/>
      <c r="L88" s="228"/>
      <c r="M88" s="228">
        <f t="shared" ref="M88:M119" si="90">B88</f>
        <v>61</v>
      </c>
      <c r="N88" s="221">
        <f t="shared" ref="N88:N119" si="91">C88</f>
        <v>45416.002000000095</v>
      </c>
      <c r="O88" s="229">
        <f t="shared" si="73"/>
        <v>0</v>
      </c>
      <c r="P88" s="229">
        <f t="shared" si="73"/>
        <v>0</v>
      </c>
      <c r="Q88" s="229">
        <f t="shared" si="73"/>
        <v>0</v>
      </c>
      <c r="R88" s="229">
        <f t="shared" si="73"/>
        <v>0</v>
      </c>
      <c r="S88" s="229">
        <f t="shared" si="73"/>
        <v>0</v>
      </c>
      <c r="T88" s="229">
        <f t="shared" si="73"/>
        <v>0</v>
      </c>
      <c r="U88" s="229">
        <f t="shared" si="73"/>
        <v>0</v>
      </c>
      <c r="V88" s="229">
        <f t="shared" si="73"/>
        <v>0</v>
      </c>
      <c r="W88" s="229">
        <f t="shared" si="73"/>
        <v>0</v>
      </c>
      <c r="X88" s="229">
        <f t="shared" si="73"/>
        <v>0</v>
      </c>
      <c r="Y88" s="229">
        <f t="shared" si="73"/>
        <v>0</v>
      </c>
      <c r="Z88" s="229">
        <f t="shared" si="73"/>
        <v>0</v>
      </c>
      <c r="AA88" s="229">
        <f t="shared" si="84"/>
        <v>0</v>
      </c>
      <c r="AB88" s="229">
        <f t="shared" si="84"/>
        <v>0</v>
      </c>
      <c r="AC88" s="229">
        <f t="shared" si="84"/>
        <v>0</v>
      </c>
      <c r="AD88" s="229">
        <f t="shared" si="84"/>
        <v>0</v>
      </c>
      <c r="AE88" s="229">
        <f t="shared" si="84"/>
        <v>0</v>
      </c>
      <c r="AF88" s="229">
        <f t="shared" si="84"/>
        <v>0</v>
      </c>
      <c r="AG88" s="229">
        <f t="shared" si="84"/>
        <v>0</v>
      </c>
      <c r="AH88" s="229">
        <f t="shared" si="84"/>
        <v>0</v>
      </c>
      <c r="AI88" s="229">
        <f t="shared" si="84"/>
        <v>0</v>
      </c>
      <c r="AJ88" s="229">
        <f t="shared" si="84"/>
        <v>0</v>
      </c>
      <c r="AK88" s="229">
        <f t="shared" si="84"/>
        <v>0</v>
      </c>
      <c r="AL88" s="229">
        <f t="shared" si="84"/>
        <v>0</v>
      </c>
      <c r="AM88" s="229">
        <f t="shared" si="84"/>
        <v>0</v>
      </c>
      <c r="AN88" s="229">
        <f t="shared" si="84"/>
        <v>0</v>
      </c>
      <c r="AO88" s="229">
        <f t="shared" si="84"/>
        <v>0</v>
      </c>
      <c r="AP88" s="229">
        <f t="shared" si="84"/>
        <v>0</v>
      </c>
      <c r="AQ88" s="229">
        <f t="shared" si="84"/>
        <v>0</v>
      </c>
      <c r="AR88" s="229">
        <f t="shared" si="84"/>
        <v>0</v>
      </c>
      <c r="AS88" s="229">
        <f t="shared" si="79"/>
        <v>0</v>
      </c>
      <c r="AT88" s="229">
        <f t="shared" si="79"/>
        <v>0</v>
      </c>
      <c r="AU88" s="229">
        <f t="shared" si="79"/>
        <v>0</v>
      </c>
      <c r="AV88" s="229">
        <f t="shared" si="79"/>
        <v>0</v>
      </c>
      <c r="AW88" s="229">
        <f t="shared" si="79"/>
        <v>0</v>
      </c>
      <c r="AX88" s="229">
        <f t="shared" si="84"/>
        <v>0</v>
      </c>
      <c r="AY88" s="229">
        <f t="shared" si="84"/>
        <v>0</v>
      </c>
      <c r="AZ88" s="229">
        <f t="shared" si="84"/>
        <v>0</v>
      </c>
      <c r="BA88" s="229">
        <f t="shared" si="84"/>
        <v>0</v>
      </c>
      <c r="BB88" s="229">
        <f t="shared" si="84"/>
        <v>0</v>
      </c>
      <c r="BC88" s="229">
        <f t="shared" si="84"/>
        <v>0</v>
      </c>
      <c r="BD88" s="229">
        <f t="shared" si="85"/>
        <v>0</v>
      </c>
      <c r="BE88" s="229">
        <f t="shared" si="85"/>
        <v>0</v>
      </c>
      <c r="BF88" s="229">
        <f t="shared" si="85"/>
        <v>0</v>
      </c>
      <c r="BG88" s="229">
        <f t="shared" si="85"/>
        <v>0</v>
      </c>
      <c r="BH88" s="229">
        <f t="shared" si="85"/>
        <v>0</v>
      </c>
      <c r="BI88" s="229">
        <f t="shared" si="85"/>
        <v>0</v>
      </c>
      <c r="BJ88" s="229">
        <f t="shared" si="85"/>
        <v>0</v>
      </c>
      <c r="BK88" s="229">
        <f t="shared" si="85"/>
        <v>0</v>
      </c>
      <c r="BL88" s="229">
        <f t="shared" si="85"/>
        <v>0</v>
      </c>
      <c r="BM88" s="229">
        <f t="shared" si="85"/>
        <v>0</v>
      </c>
      <c r="BN88" s="229">
        <f t="shared" si="85"/>
        <v>0</v>
      </c>
      <c r="BO88" s="229">
        <f t="shared" si="85"/>
        <v>0</v>
      </c>
      <c r="BP88" s="229">
        <f t="shared" si="85"/>
        <v>0</v>
      </c>
      <c r="BQ88" s="229">
        <f t="shared" si="86"/>
        <v>0</v>
      </c>
      <c r="BR88" s="229">
        <f t="shared" si="86"/>
        <v>0</v>
      </c>
      <c r="BS88" s="229">
        <f t="shared" si="86"/>
        <v>0</v>
      </c>
      <c r="BT88" s="229">
        <f t="shared" si="86"/>
        <v>0</v>
      </c>
      <c r="BU88" s="229">
        <f t="shared" si="86"/>
        <v>0</v>
      </c>
      <c r="BV88" s="229">
        <f t="shared" si="86"/>
        <v>0</v>
      </c>
      <c r="BW88" s="229">
        <f t="shared" si="86"/>
        <v>0</v>
      </c>
      <c r="BX88" s="229">
        <f t="shared" si="86"/>
        <v>0</v>
      </c>
      <c r="BY88" s="229">
        <f t="shared" si="86"/>
        <v>0</v>
      </c>
      <c r="BZ88" s="229">
        <f t="shared" si="86"/>
        <v>0</v>
      </c>
      <c r="CA88" s="229">
        <f t="shared" si="86"/>
        <v>0</v>
      </c>
      <c r="CB88" s="229">
        <f t="shared" si="86"/>
        <v>0</v>
      </c>
      <c r="CC88" s="229">
        <f t="shared" si="86"/>
        <v>0</v>
      </c>
      <c r="CD88" s="229">
        <f t="shared" si="87"/>
        <v>0</v>
      </c>
      <c r="CE88" s="229">
        <f t="shared" si="80"/>
        <v>0</v>
      </c>
      <c r="CF88" s="229">
        <f t="shared" si="87"/>
        <v>0</v>
      </c>
      <c r="CG88" s="229">
        <f t="shared" si="87"/>
        <v>0</v>
      </c>
      <c r="CH88" s="229">
        <f t="shared" si="87"/>
        <v>0</v>
      </c>
      <c r="CI88" s="229">
        <f t="shared" si="87"/>
        <v>0</v>
      </c>
      <c r="CJ88" s="229">
        <f t="shared" si="70"/>
        <v>0</v>
      </c>
      <c r="CK88" s="229">
        <f t="shared" si="87"/>
        <v>0</v>
      </c>
      <c r="CL88" s="229">
        <f t="shared" si="87"/>
        <v>0</v>
      </c>
      <c r="CM88" s="229">
        <f t="shared" si="87"/>
        <v>0</v>
      </c>
      <c r="CN88" s="229">
        <f t="shared" si="87"/>
        <v>0</v>
      </c>
      <c r="CO88" s="229">
        <f t="shared" si="81"/>
        <v>0</v>
      </c>
      <c r="CP88" s="229">
        <f t="shared" si="81"/>
        <v>0</v>
      </c>
      <c r="CQ88" s="229">
        <f t="shared" si="87"/>
        <v>0</v>
      </c>
      <c r="CR88" s="229">
        <f t="shared" si="87"/>
        <v>0</v>
      </c>
      <c r="CS88" s="229">
        <f t="shared" si="87"/>
        <v>0</v>
      </c>
      <c r="CT88" s="229">
        <f t="shared" si="87"/>
        <v>0</v>
      </c>
      <c r="CU88" s="230"/>
      <c r="CV88" s="231"/>
      <c r="CW88" s="231"/>
      <c r="CX88" s="231"/>
      <c r="CY88" s="231"/>
      <c r="CZ88" s="231"/>
      <c r="DA88" s="231"/>
      <c r="DB88" s="231" t="e">
        <f t="shared" ca="1" si="74"/>
        <v>#N/A</v>
      </c>
      <c r="DC88" s="231"/>
      <c r="DD88" s="231">
        <f>IF(SUM(DD$24:DD87)=DD$22,0,IF(AND($M88&gt;=DD$15,$M88&lt;(DD$16+1)),DD$22/(DD$16-DD$15+1),0))</f>
        <v>0</v>
      </c>
      <c r="DE88" s="231">
        <f>IF(SUM(DE$24:DE87)=DE$22,0,IF(AND($M88&gt;=DE$15,$M88&lt;(DE$16+1)),DE$22/(DE$16-DE$15+1),0))</f>
        <v>0</v>
      </c>
      <c r="DF88" s="231">
        <f>IF(SUM(DF$24:DF87)=DF$22,0,IF(AND($M88&gt;=DF$15,$M88&lt;(DF$16+1)),DF$22/(DF$16-DF$15+1),0))</f>
        <v>0</v>
      </c>
      <c r="DG88" s="231">
        <f>IF(SUM(DG$24:DG87)=DG$22,0,IF(AND($M88&gt;=DG$15,$M88&lt;(DG$16+1)),DG$22/(DG$16-DG$15+1),0))</f>
        <v>0</v>
      </c>
      <c r="DH88" s="231">
        <f t="shared" si="72"/>
        <v>0</v>
      </c>
      <c r="DI88" s="231">
        <f t="shared" si="72"/>
        <v>0</v>
      </c>
      <c r="DJ88" s="231">
        <f t="shared" si="72"/>
        <v>0</v>
      </c>
      <c r="DK88" s="231">
        <f t="shared" si="72"/>
        <v>0</v>
      </c>
      <c r="DL88" s="231">
        <f t="shared" si="72"/>
        <v>0</v>
      </c>
      <c r="DM88" s="231">
        <f t="shared" si="72"/>
        <v>0</v>
      </c>
      <c r="DN88" s="231">
        <f t="shared" si="83"/>
        <v>0</v>
      </c>
      <c r="DO88" s="231">
        <f t="shared" si="72"/>
        <v>0</v>
      </c>
      <c r="DP88" s="231">
        <f t="shared" si="72"/>
        <v>0</v>
      </c>
      <c r="DQ88" s="231">
        <f t="shared" si="72"/>
        <v>0</v>
      </c>
      <c r="DR88" s="231">
        <f t="shared" si="72"/>
        <v>0</v>
      </c>
      <c r="DS88" s="231">
        <f t="shared" si="72"/>
        <v>0</v>
      </c>
      <c r="DT88" s="231">
        <f ca="1">IF(SUM(DT$24:DT87)=DT$22,0,IF(AND($M88&gt;=DT$15,$M88&lt;(DT$16+1)),DT$22/(DT$16-DT$15+1),0))</f>
        <v>0</v>
      </c>
      <c r="DU88" s="231">
        <f ca="1">IF(SUM(DU$24:DU87)=DU$22,0,IF(AND($M88&gt;=DU$15,$M88&lt;(DU$16+1)),DU$22/(DU$16-DU$15+1),0))</f>
        <v>0</v>
      </c>
      <c r="DV88" s="231">
        <f ca="1">IF(SUM(DV$24:DV87)=DV$22,0,IF(AND(M88&gt;=DV$15,M88&lt;(DV$16+1)),DV$22/(DV$16-DV$15+1),0))</f>
        <v>0</v>
      </c>
      <c r="DW88" s="231" t="e">
        <f ca="1">IF(SUM(DW$24:DW87)=DW$22,0,IF(AND($M88&gt;=DW$15,$M88&lt;(DW$16+1)),DW$22/(DW$16-DW$15+1),0))</f>
        <v>#N/A</v>
      </c>
      <c r="DX88" s="231">
        <f ca="1">IF(SUM(DX$24:DX87)=DX$22,0,IF(AND($M88&gt;=DX$15,$M88&lt;(DX$16+1)),DX$22/(DX$16-DX$15+1),0))</f>
        <v>0</v>
      </c>
      <c r="DY88" s="231">
        <f ca="1">IF(SUM(DY$24:DY87)=DY$22,0,IF(AND($M88&gt;=DY$15,$M88&lt;(DY$16+1)),DY$22/(DY$16-DY$15+1),0))</f>
        <v>0</v>
      </c>
      <c r="DZ88" s="231">
        <f ca="1">IF(SUM(DZ$24:DZ87)=DZ$22,0,IF(AND($M88&gt;=DZ$15,$M88&lt;(DZ$16+1)),DZ$22/(DZ$16-DZ$15+1),0))</f>
        <v>0</v>
      </c>
      <c r="EA88" s="231" t="e">
        <f ca="1">IF(SUM(EA$24:EA87)=EA$22,0,IF(AND(M88&gt;=EA$15,M88&lt;(EA$16+1)),EA$22/(EA$16-EA$15+1),0))</f>
        <v>#N/A</v>
      </c>
      <c r="EC88" s="234">
        <f t="shared" ref="EC88:EC119" si="92">M88</f>
        <v>61</v>
      </c>
      <c r="ED88" s="234" t="e">
        <f t="shared" ref="ED88:ED119" ca="1" si="93">SUM(O88:EA88)</f>
        <v>#N/A</v>
      </c>
      <c r="EE88" s="235" t="e">
        <f t="shared" ref="EE88:EE119" ca="1" si="94">ED88/ED$22</f>
        <v>#N/A</v>
      </c>
      <c r="EF88" s="234" t="e">
        <f t="shared" ca="1" si="28"/>
        <v>#N/A</v>
      </c>
      <c r="EG88" s="234" t="e">
        <f t="shared" ca="1" si="29"/>
        <v>#N/A</v>
      </c>
      <c r="EH88" s="234" t="e">
        <f t="shared" ca="1" si="34"/>
        <v>#N/A</v>
      </c>
      <c r="EI88" s="234"/>
      <c r="EJ88" s="234"/>
      <c r="EK88" s="153" t="e">
        <f t="shared" ref="EK88:EK119" ca="1" si="95">SUM(ED88,EF88:EJ88)</f>
        <v>#N/A</v>
      </c>
      <c r="EL88" s="231" t="e">
        <f ca="1">IF(SUM(EL$24:EL87)=EL$22,0,IF(AND($M88&gt;=EL$15,$M88&lt;(EL$16+1)),EL$22/(EL$16-EL$15+1),0))</f>
        <v>#N/A</v>
      </c>
      <c r="EM88" s="153" t="e">
        <f t="shared" ref="EM88:EM119" ca="1" si="96">SUM(EK88:EL88)</f>
        <v>#N/A</v>
      </c>
      <c r="EO88" s="60"/>
      <c r="EP88" s="60"/>
    </row>
    <row r="89" spans="1:146">
      <c r="A89" s="220"/>
      <c r="B89" s="236">
        <f t="shared" si="23"/>
        <v>62</v>
      </c>
      <c r="C89" s="221">
        <f t="shared" ref="C89:C120" si="97">C88+30.4167</f>
        <v>45446.418700000097</v>
      </c>
      <c r="D89" s="222" t="e">
        <f ca="1">'Offshore INT'!R78</f>
        <v>#N/A</v>
      </c>
      <c r="E89" s="223" t="e">
        <f t="shared" ca="1" si="88"/>
        <v>#N/A</v>
      </c>
      <c r="F89" s="224"/>
      <c r="G89" s="225">
        <f>IF(G88=1,1,SUM($F$24:F89))</f>
        <v>0</v>
      </c>
      <c r="H89" s="226" t="e">
        <f ca="1">IF(H88=0,0,SUM($I$24:I89))</f>
        <v>#N/A</v>
      </c>
      <c r="I89" s="227" t="e">
        <f t="shared" ca="1" si="89"/>
        <v>#N/A</v>
      </c>
      <c r="J89" s="222">
        <f t="shared" ref="J89:J133" ca="1" si="98">IF(ISERROR(SUM(EM89)),0,SUM(EM89))</f>
        <v>0</v>
      </c>
      <c r="K89" s="60"/>
      <c r="L89" s="228"/>
      <c r="M89" s="228">
        <f t="shared" si="90"/>
        <v>62</v>
      </c>
      <c r="N89" s="221">
        <f t="shared" si="91"/>
        <v>45446.418700000097</v>
      </c>
      <c r="O89" s="229">
        <f t="shared" si="73"/>
        <v>0</v>
      </c>
      <c r="P89" s="229">
        <f t="shared" si="73"/>
        <v>0</v>
      </c>
      <c r="Q89" s="229">
        <f t="shared" si="73"/>
        <v>0</v>
      </c>
      <c r="R89" s="229">
        <f t="shared" si="73"/>
        <v>0</v>
      </c>
      <c r="S89" s="229">
        <f t="shared" si="73"/>
        <v>0</v>
      </c>
      <c r="T89" s="229">
        <f t="shared" si="73"/>
        <v>0</v>
      </c>
      <c r="U89" s="229">
        <f t="shared" si="73"/>
        <v>0</v>
      </c>
      <c r="V89" s="229">
        <f t="shared" si="73"/>
        <v>0</v>
      </c>
      <c r="W89" s="229">
        <f t="shared" si="73"/>
        <v>0</v>
      </c>
      <c r="X89" s="229">
        <f t="shared" si="73"/>
        <v>0</v>
      </c>
      <c r="Y89" s="229">
        <f t="shared" si="73"/>
        <v>0</v>
      </c>
      <c r="Z89" s="229">
        <f t="shared" si="73"/>
        <v>0</v>
      </c>
      <c r="AA89" s="229">
        <f t="shared" si="84"/>
        <v>0</v>
      </c>
      <c r="AB89" s="229">
        <f t="shared" si="84"/>
        <v>0</v>
      </c>
      <c r="AC89" s="229">
        <f t="shared" si="84"/>
        <v>0</v>
      </c>
      <c r="AD89" s="229">
        <f t="shared" si="84"/>
        <v>0</v>
      </c>
      <c r="AE89" s="229">
        <f t="shared" si="84"/>
        <v>0</v>
      </c>
      <c r="AF89" s="229">
        <f t="shared" si="84"/>
        <v>0</v>
      </c>
      <c r="AG89" s="229">
        <f t="shared" si="84"/>
        <v>0</v>
      </c>
      <c r="AH89" s="229">
        <f t="shared" si="84"/>
        <v>0</v>
      </c>
      <c r="AI89" s="229">
        <f t="shared" si="84"/>
        <v>0</v>
      </c>
      <c r="AJ89" s="229">
        <f t="shared" si="84"/>
        <v>0</v>
      </c>
      <c r="AK89" s="229">
        <f t="shared" si="84"/>
        <v>0</v>
      </c>
      <c r="AL89" s="229">
        <f t="shared" si="84"/>
        <v>0</v>
      </c>
      <c r="AM89" s="229">
        <f t="shared" si="84"/>
        <v>0</v>
      </c>
      <c r="AN89" s="229">
        <f t="shared" si="84"/>
        <v>0</v>
      </c>
      <c r="AO89" s="229">
        <f t="shared" si="84"/>
        <v>0</v>
      </c>
      <c r="AP89" s="229">
        <f t="shared" si="84"/>
        <v>0</v>
      </c>
      <c r="AQ89" s="229">
        <f t="shared" si="84"/>
        <v>0</v>
      </c>
      <c r="AR89" s="229">
        <f t="shared" si="84"/>
        <v>0</v>
      </c>
      <c r="AS89" s="229">
        <f t="shared" si="79"/>
        <v>0</v>
      </c>
      <c r="AT89" s="229">
        <f t="shared" si="79"/>
        <v>0</v>
      </c>
      <c r="AU89" s="229">
        <f t="shared" si="79"/>
        <v>0</v>
      </c>
      <c r="AV89" s="229">
        <f t="shared" si="79"/>
        <v>0</v>
      </c>
      <c r="AW89" s="229">
        <f t="shared" si="79"/>
        <v>0</v>
      </c>
      <c r="AX89" s="229">
        <f t="shared" si="84"/>
        <v>0</v>
      </c>
      <c r="AY89" s="229">
        <f t="shared" si="84"/>
        <v>0</v>
      </c>
      <c r="AZ89" s="229">
        <f t="shared" si="84"/>
        <v>0</v>
      </c>
      <c r="BA89" s="229">
        <f t="shared" si="84"/>
        <v>0</v>
      </c>
      <c r="BB89" s="229">
        <f t="shared" si="84"/>
        <v>0</v>
      </c>
      <c r="BC89" s="229">
        <f t="shared" si="84"/>
        <v>0</v>
      </c>
      <c r="BD89" s="229">
        <f t="shared" si="85"/>
        <v>0</v>
      </c>
      <c r="BE89" s="229">
        <f t="shared" si="85"/>
        <v>0</v>
      </c>
      <c r="BF89" s="229">
        <f t="shared" si="85"/>
        <v>0</v>
      </c>
      <c r="BG89" s="229">
        <f t="shared" si="85"/>
        <v>0</v>
      </c>
      <c r="BH89" s="229">
        <f t="shared" si="85"/>
        <v>0</v>
      </c>
      <c r="BI89" s="229">
        <f t="shared" si="85"/>
        <v>0</v>
      </c>
      <c r="BJ89" s="229">
        <f t="shared" si="85"/>
        <v>0</v>
      </c>
      <c r="BK89" s="229">
        <f t="shared" si="85"/>
        <v>0</v>
      </c>
      <c r="BL89" s="229">
        <f t="shared" si="85"/>
        <v>0</v>
      </c>
      <c r="BM89" s="229">
        <f t="shared" si="85"/>
        <v>0</v>
      </c>
      <c r="BN89" s="229">
        <f t="shared" si="85"/>
        <v>0</v>
      </c>
      <c r="BO89" s="229">
        <f t="shared" si="85"/>
        <v>0</v>
      </c>
      <c r="BP89" s="229">
        <f t="shared" si="85"/>
        <v>0</v>
      </c>
      <c r="BQ89" s="229">
        <f t="shared" si="86"/>
        <v>0</v>
      </c>
      <c r="BR89" s="229">
        <f t="shared" si="86"/>
        <v>0</v>
      </c>
      <c r="BS89" s="229">
        <f t="shared" si="86"/>
        <v>0</v>
      </c>
      <c r="BT89" s="229">
        <f t="shared" si="86"/>
        <v>0</v>
      </c>
      <c r="BU89" s="229">
        <f t="shared" si="86"/>
        <v>0</v>
      </c>
      <c r="BV89" s="229">
        <f t="shared" si="86"/>
        <v>0</v>
      </c>
      <c r="BW89" s="229">
        <f t="shared" si="86"/>
        <v>0</v>
      </c>
      <c r="BX89" s="229">
        <f t="shared" si="86"/>
        <v>0</v>
      </c>
      <c r="BY89" s="229">
        <f t="shared" si="86"/>
        <v>0</v>
      </c>
      <c r="BZ89" s="229">
        <f t="shared" si="86"/>
        <v>0</v>
      </c>
      <c r="CA89" s="229">
        <f t="shared" si="86"/>
        <v>0</v>
      </c>
      <c r="CB89" s="229">
        <f t="shared" si="86"/>
        <v>0</v>
      </c>
      <c r="CC89" s="229">
        <f t="shared" si="86"/>
        <v>0</v>
      </c>
      <c r="CD89" s="229">
        <f t="shared" si="87"/>
        <v>0</v>
      </c>
      <c r="CE89" s="229">
        <f t="shared" ref="CE89:CE98" si="99">IF($M89=CE$13,CE$22*CE$3,IF($M89=CE$14,CE$22*CE$4,IF($M89=CE$15,CE$22*CE$5,IF($M89=CE$16,CE$22*CE$6,IF($M89=CE$17,CE$22*CE$7,IF($M89=CE$18,CE$22*CE$8,IF($M89=CE$19,CE$22*CE$9,IF($M89=CE$20,CE$22*CE$10,0))))))))</f>
        <v>0</v>
      </c>
      <c r="CF89" s="229">
        <f t="shared" si="87"/>
        <v>0</v>
      </c>
      <c r="CG89" s="229">
        <f t="shared" si="87"/>
        <v>0</v>
      </c>
      <c r="CH89" s="229">
        <f t="shared" si="87"/>
        <v>0</v>
      </c>
      <c r="CI89" s="229">
        <f t="shared" si="87"/>
        <v>0</v>
      </c>
      <c r="CJ89" s="229">
        <f t="shared" si="70"/>
        <v>0</v>
      </c>
      <c r="CK89" s="229">
        <f t="shared" si="87"/>
        <v>0</v>
      </c>
      <c r="CL89" s="229">
        <f t="shared" si="87"/>
        <v>0</v>
      </c>
      <c r="CM89" s="229">
        <f t="shared" si="87"/>
        <v>0</v>
      </c>
      <c r="CN89" s="229">
        <f t="shared" si="87"/>
        <v>0</v>
      </c>
      <c r="CO89" s="229">
        <f t="shared" si="81"/>
        <v>0</v>
      </c>
      <c r="CP89" s="229">
        <f t="shared" si="81"/>
        <v>0</v>
      </c>
      <c r="CQ89" s="229">
        <f t="shared" si="87"/>
        <v>0</v>
      </c>
      <c r="CR89" s="229">
        <f t="shared" si="87"/>
        <v>0</v>
      </c>
      <c r="CS89" s="229">
        <f t="shared" si="87"/>
        <v>0</v>
      </c>
      <c r="CT89" s="229">
        <f t="shared" si="87"/>
        <v>0</v>
      </c>
      <c r="CU89" s="230"/>
      <c r="CV89" s="231"/>
      <c r="CW89" s="231"/>
      <c r="CX89" s="231"/>
      <c r="CY89" s="231"/>
      <c r="CZ89" s="231"/>
      <c r="DA89" s="231"/>
      <c r="DB89" s="231" t="e">
        <f t="shared" ca="1" si="74"/>
        <v>#N/A</v>
      </c>
      <c r="DC89" s="231"/>
      <c r="DD89" s="231">
        <f>IF(SUM(DD$24:DD88)=DD$22,0,IF(AND($M89&gt;=DD$15,$M89&lt;(DD$16+1)),DD$22/(DD$16-DD$15+1),0))</f>
        <v>0</v>
      </c>
      <c r="DE89" s="231">
        <f>IF(SUM(DE$24:DE88)=DE$22,0,IF(AND($M89&gt;=DE$15,$M89&lt;(DE$16+1)),DE$22/(DE$16-DE$15+1),0))</f>
        <v>0</v>
      </c>
      <c r="DF89" s="231">
        <f>IF(SUM(DF$24:DF88)=DF$22,0,IF(AND($M89&gt;=DF$15,$M89&lt;(DF$16+1)),DF$22/(DF$16-DF$15+1),0))</f>
        <v>0</v>
      </c>
      <c r="DG89" s="231">
        <f>IF(SUM(DG$24:DG88)=DG$22,0,IF(AND($M89&gt;=DG$15,$M89&lt;(DG$16+1)),DG$22/(DG$16-DG$15+1),0))</f>
        <v>0</v>
      </c>
      <c r="DH89" s="231">
        <f t="shared" si="72"/>
        <v>0</v>
      </c>
      <c r="DI89" s="231">
        <f t="shared" si="72"/>
        <v>0</v>
      </c>
      <c r="DJ89" s="231">
        <f t="shared" si="72"/>
        <v>0</v>
      </c>
      <c r="DK89" s="231">
        <f t="shared" si="72"/>
        <v>0</v>
      </c>
      <c r="DL89" s="231">
        <f t="shared" si="72"/>
        <v>0</v>
      </c>
      <c r="DM89" s="231">
        <f t="shared" si="72"/>
        <v>0</v>
      </c>
      <c r="DN89" s="231">
        <f t="shared" si="83"/>
        <v>0</v>
      </c>
      <c r="DO89" s="231">
        <f t="shared" si="72"/>
        <v>0</v>
      </c>
      <c r="DP89" s="231">
        <f t="shared" si="72"/>
        <v>0</v>
      </c>
      <c r="DQ89" s="231">
        <f t="shared" si="72"/>
        <v>0</v>
      </c>
      <c r="DR89" s="231">
        <f t="shared" si="72"/>
        <v>0</v>
      </c>
      <c r="DS89" s="231">
        <f t="shared" si="72"/>
        <v>0</v>
      </c>
      <c r="DT89" s="231">
        <f ca="1">IF(SUM(DT$24:DT88)=DT$22,0,IF(AND($M89&gt;=DT$15,$M89&lt;(DT$16+1)),DT$22/(DT$16-DT$15+1),0))</f>
        <v>0</v>
      </c>
      <c r="DU89" s="231">
        <f ca="1">IF(SUM(DU$24:DU88)=DU$22,0,IF(AND($M89&gt;=DU$15,$M89&lt;(DU$16+1)),DU$22/(DU$16-DU$15+1),0))</f>
        <v>0</v>
      </c>
      <c r="DV89" s="231">
        <f ca="1">IF(SUM(DV$24:DV88)=DV$22,0,IF(AND(M89&gt;=DV$15,M89&lt;(DV$16+1)),DV$22/(DV$16-DV$15+1),0))</f>
        <v>0</v>
      </c>
      <c r="DW89" s="231" t="e">
        <f ca="1">IF(SUM(DW$24:DW88)=DW$22,0,IF(AND($M89&gt;=DW$15,$M89&lt;(DW$16+1)),DW$22/(DW$16-DW$15+1),0))</f>
        <v>#N/A</v>
      </c>
      <c r="DX89" s="231">
        <f ca="1">IF(SUM(DX$24:DX88)=DX$22,0,IF(AND($M89&gt;=DX$15,$M89&lt;(DX$16+1)),DX$22/(DX$16-DX$15+1),0))</f>
        <v>0</v>
      </c>
      <c r="DY89" s="231">
        <f ca="1">IF(SUM(DY$24:DY88)=DY$22,0,IF(AND($M89&gt;=DY$15,$M89&lt;(DY$16+1)),DY$22/(DY$16-DY$15+1),0))</f>
        <v>0</v>
      </c>
      <c r="DZ89" s="231">
        <f ca="1">IF(SUM(DZ$24:DZ88)=DZ$22,0,IF(AND($M89&gt;=DZ$15,$M89&lt;(DZ$16+1)),DZ$22/(DZ$16-DZ$15+1),0))</f>
        <v>0</v>
      </c>
      <c r="EA89" s="231" t="e">
        <f ca="1">IF(SUM(EA$24:EA88)=EA$22,0,IF(AND(M89&gt;=EA$15,M89&lt;(EA$16+1)),EA$22/(EA$16-EA$15+1),0))</f>
        <v>#N/A</v>
      </c>
      <c r="EC89" s="234">
        <f t="shared" si="92"/>
        <v>62</v>
      </c>
      <c r="ED89" s="234" t="e">
        <f t="shared" ca="1" si="93"/>
        <v>#N/A</v>
      </c>
      <c r="EE89" s="235" t="e">
        <f t="shared" ca="1" si="94"/>
        <v>#N/A</v>
      </c>
      <c r="EF89" s="234" t="e">
        <f t="shared" ca="1" si="28"/>
        <v>#N/A</v>
      </c>
      <c r="EG89" s="234" t="e">
        <f t="shared" ca="1" si="29"/>
        <v>#N/A</v>
      </c>
      <c r="EH89" s="234" t="e">
        <f t="shared" ca="1" si="34"/>
        <v>#N/A</v>
      </c>
      <c r="EI89" s="234"/>
      <c r="EJ89" s="234"/>
      <c r="EK89" s="153" t="e">
        <f t="shared" ca="1" si="95"/>
        <v>#N/A</v>
      </c>
      <c r="EL89" s="231" t="e">
        <f ca="1">IF(SUM(EL$24:EL88)=EL$22,0,IF(AND($M89&gt;=EL$15,$M89&lt;(EL$16+1)),EL$22/(EL$16-EL$15+1),0))</f>
        <v>#N/A</v>
      </c>
      <c r="EM89" s="153" t="e">
        <f t="shared" ca="1" si="96"/>
        <v>#N/A</v>
      </c>
      <c r="EO89" s="60"/>
      <c r="EP89" s="60"/>
    </row>
    <row r="90" spans="1:146">
      <c r="A90" s="220"/>
      <c r="B90" s="236">
        <f t="shared" ref="B90:B153" si="100">B89+1</f>
        <v>63</v>
      </c>
      <c r="C90" s="221">
        <f t="shared" si="97"/>
        <v>45476.835400000098</v>
      </c>
      <c r="D90" s="222" t="e">
        <f ca="1">'Offshore INT'!R79</f>
        <v>#N/A</v>
      </c>
      <c r="E90" s="223" t="e">
        <f t="shared" ca="1" si="88"/>
        <v>#N/A</v>
      </c>
      <c r="F90" s="224"/>
      <c r="G90" s="225">
        <f>IF(G89=1,1,SUM($F$24:F90))</f>
        <v>0</v>
      </c>
      <c r="H90" s="226" t="e">
        <f ca="1">IF(H89=0,0,SUM($I$24:I90))</f>
        <v>#N/A</v>
      </c>
      <c r="I90" s="227" t="e">
        <f t="shared" ca="1" si="89"/>
        <v>#N/A</v>
      </c>
      <c r="J90" s="222">
        <f t="shared" ca="1" si="98"/>
        <v>0</v>
      </c>
      <c r="K90" s="60"/>
      <c r="L90" s="228"/>
      <c r="M90" s="228">
        <f t="shared" si="90"/>
        <v>63</v>
      </c>
      <c r="N90" s="221">
        <f t="shared" si="91"/>
        <v>45476.835400000098</v>
      </c>
      <c r="O90" s="229">
        <f t="shared" si="73"/>
        <v>0</v>
      </c>
      <c r="P90" s="229">
        <f t="shared" si="73"/>
        <v>0</v>
      </c>
      <c r="Q90" s="229">
        <f t="shared" si="73"/>
        <v>0</v>
      </c>
      <c r="R90" s="229">
        <f t="shared" si="73"/>
        <v>0</v>
      </c>
      <c r="S90" s="229">
        <f t="shared" si="73"/>
        <v>0</v>
      </c>
      <c r="T90" s="229">
        <f t="shared" si="73"/>
        <v>0</v>
      </c>
      <c r="U90" s="229">
        <f t="shared" si="73"/>
        <v>0</v>
      </c>
      <c r="V90" s="229">
        <f t="shared" si="73"/>
        <v>0</v>
      </c>
      <c r="W90" s="229">
        <f t="shared" si="73"/>
        <v>0</v>
      </c>
      <c r="X90" s="229">
        <f t="shared" si="73"/>
        <v>0</v>
      </c>
      <c r="Y90" s="229">
        <f t="shared" si="73"/>
        <v>0</v>
      </c>
      <c r="Z90" s="229">
        <f t="shared" si="73"/>
        <v>0</v>
      </c>
      <c r="AA90" s="229">
        <f t="shared" si="84"/>
        <v>0</v>
      </c>
      <c r="AB90" s="229">
        <f t="shared" si="84"/>
        <v>0</v>
      </c>
      <c r="AC90" s="229">
        <f t="shared" si="84"/>
        <v>0</v>
      </c>
      <c r="AD90" s="229">
        <f t="shared" si="84"/>
        <v>0</v>
      </c>
      <c r="AE90" s="229">
        <f t="shared" si="84"/>
        <v>0</v>
      </c>
      <c r="AF90" s="229">
        <f t="shared" si="84"/>
        <v>0</v>
      </c>
      <c r="AG90" s="229">
        <f t="shared" si="84"/>
        <v>0</v>
      </c>
      <c r="AH90" s="229">
        <f t="shared" si="84"/>
        <v>0</v>
      </c>
      <c r="AI90" s="229">
        <f t="shared" si="84"/>
        <v>0</v>
      </c>
      <c r="AJ90" s="229">
        <f t="shared" si="84"/>
        <v>0</v>
      </c>
      <c r="AK90" s="229">
        <f t="shared" si="84"/>
        <v>0</v>
      </c>
      <c r="AL90" s="229">
        <f t="shared" si="84"/>
        <v>0</v>
      </c>
      <c r="AM90" s="229">
        <f t="shared" si="84"/>
        <v>0</v>
      </c>
      <c r="AN90" s="229">
        <f t="shared" si="84"/>
        <v>0</v>
      </c>
      <c r="AO90" s="229">
        <f t="shared" ref="AM90:AO93" si="101">IF($M90=AO$13,AO$22*AO$3,IF($M90=AO$14,AO$22*AO$4,IF($M90=AO$15,AO$22*AO$5,IF($M90=AO$16,AO$22*AO$6,IF($M90=AO$17,AO$22*AO$7,IF($M90=AO$18,AO$22*AO$8,IF($M90=AO$19,AO$22*AO$9,IF($M90=AO$20,AO$22*AO$10,0))))))))</f>
        <v>0</v>
      </c>
      <c r="AP90" s="229">
        <f t="shared" si="84"/>
        <v>0</v>
      </c>
      <c r="AQ90" s="229">
        <f t="shared" si="84"/>
        <v>0</v>
      </c>
      <c r="AR90" s="229">
        <f t="shared" si="84"/>
        <v>0</v>
      </c>
      <c r="AS90" s="229">
        <f t="shared" si="79"/>
        <v>0</v>
      </c>
      <c r="AT90" s="229">
        <f t="shared" si="79"/>
        <v>0</v>
      </c>
      <c r="AU90" s="229">
        <f t="shared" si="79"/>
        <v>0</v>
      </c>
      <c r="AV90" s="229">
        <f t="shared" si="79"/>
        <v>0</v>
      </c>
      <c r="AW90" s="229">
        <f t="shared" si="79"/>
        <v>0</v>
      </c>
      <c r="AX90" s="229">
        <f t="shared" si="84"/>
        <v>0</v>
      </c>
      <c r="AY90" s="229">
        <f t="shared" si="84"/>
        <v>0</v>
      </c>
      <c r="AZ90" s="229">
        <f t="shared" si="84"/>
        <v>0</v>
      </c>
      <c r="BA90" s="229">
        <f t="shared" si="84"/>
        <v>0</v>
      </c>
      <c r="BB90" s="229">
        <f t="shared" si="84"/>
        <v>0</v>
      </c>
      <c r="BC90" s="229">
        <f t="shared" si="84"/>
        <v>0</v>
      </c>
      <c r="BD90" s="229">
        <f t="shared" si="85"/>
        <v>0</v>
      </c>
      <c r="BE90" s="229">
        <f t="shared" si="85"/>
        <v>0</v>
      </c>
      <c r="BF90" s="229">
        <f t="shared" si="85"/>
        <v>0</v>
      </c>
      <c r="BG90" s="229">
        <f t="shared" si="85"/>
        <v>0</v>
      </c>
      <c r="BH90" s="229">
        <f t="shared" si="85"/>
        <v>0</v>
      </c>
      <c r="BI90" s="229">
        <f t="shared" si="85"/>
        <v>0</v>
      </c>
      <c r="BJ90" s="229">
        <f t="shared" si="85"/>
        <v>0</v>
      </c>
      <c r="BK90" s="229">
        <f t="shared" si="85"/>
        <v>0</v>
      </c>
      <c r="BL90" s="229">
        <f t="shared" si="85"/>
        <v>0</v>
      </c>
      <c r="BM90" s="229">
        <f t="shared" si="85"/>
        <v>0</v>
      </c>
      <c r="BN90" s="229">
        <f t="shared" si="85"/>
        <v>0</v>
      </c>
      <c r="BO90" s="229">
        <f t="shared" si="85"/>
        <v>0</v>
      </c>
      <c r="BP90" s="229">
        <f t="shared" si="85"/>
        <v>0</v>
      </c>
      <c r="BQ90" s="229">
        <f t="shared" si="86"/>
        <v>0</v>
      </c>
      <c r="BR90" s="229">
        <f t="shared" si="86"/>
        <v>0</v>
      </c>
      <c r="BS90" s="229">
        <f t="shared" si="86"/>
        <v>0</v>
      </c>
      <c r="BT90" s="229">
        <f t="shared" si="86"/>
        <v>0</v>
      </c>
      <c r="BU90" s="229">
        <f t="shared" si="86"/>
        <v>0</v>
      </c>
      <c r="BV90" s="229">
        <f t="shared" si="86"/>
        <v>0</v>
      </c>
      <c r="BW90" s="229">
        <f t="shared" si="86"/>
        <v>0</v>
      </c>
      <c r="BX90" s="229">
        <f t="shared" si="86"/>
        <v>0</v>
      </c>
      <c r="BY90" s="229">
        <f t="shared" si="86"/>
        <v>0</v>
      </c>
      <c r="BZ90" s="229">
        <f t="shared" si="86"/>
        <v>0</v>
      </c>
      <c r="CA90" s="229">
        <f t="shared" si="86"/>
        <v>0</v>
      </c>
      <c r="CB90" s="229">
        <f t="shared" si="86"/>
        <v>0</v>
      </c>
      <c r="CC90" s="229">
        <f t="shared" si="86"/>
        <v>0</v>
      </c>
      <c r="CD90" s="229">
        <f t="shared" si="87"/>
        <v>0</v>
      </c>
      <c r="CE90" s="229">
        <f t="shared" si="99"/>
        <v>0</v>
      </c>
      <c r="CF90" s="229">
        <f t="shared" si="87"/>
        <v>0</v>
      </c>
      <c r="CG90" s="229">
        <f t="shared" si="87"/>
        <v>0</v>
      </c>
      <c r="CH90" s="229">
        <f t="shared" si="87"/>
        <v>0</v>
      </c>
      <c r="CI90" s="229">
        <f t="shared" si="87"/>
        <v>0</v>
      </c>
      <c r="CJ90" s="229">
        <f t="shared" si="70"/>
        <v>0</v>
      </c>
      <c r="CK90" s="229">
        <f t="shared" si="87"/>
        <v>0</v>
      </c>
      <c r="CL90" s="229">
        <f t="shared" si="87"/>
        <v>0</v>
      </c>
      <c r="CM90" s="229">
        <f t="shared" si="87"/>
        <v>0</v>
      </c>
      <c r="CN90" s="229">
        <f t="shared" si="87"/>
        <v>0</v>
      </c>
      <c r="CO90" s="229">
        <f t="shared" si="81"/>
        <v>0</v>
      </c>
      <c r="CP90" s="229">
        <f t="shared" si="81"/>
        <v>0</v>
      </c>
      <c r="CQ90" s="229">
        <f t="shared" si="87"/>
        <v>0</v>
      </c>
      <c r="CR90" s="229">
        <f t="shared" si="87"/>
        <v>0</v>
      </c>
      <c r="CS90" s="229">
        <f t="shared" si="87"/>
        <v>0</v>
      </c>
      <c r="CT90" s="229">
        <f t="shared" si="87"/>
        <v>0</v>
      </c>
      <c r="CU90" s="230"/>
      <c r="CV90" s="231"/>
      <c r="CW90" s="231"/>
      <c r="CX90" s="231"/>
      <c r="CY90" s="231"/>
      <c r="CZ90" s="231"/>
      <c r="DA90" s="231"/>
      <c r="DB90" s="231" t="e">
        <f t="shared" ca="1" si="74"/>
        <v>#N/A</v>
      </c>
      <c r="DC90" s="231"/>
      <c r="DD90" s="231">
        <f>IF(SUM(DD$24:DD89)=DD$22,0,IF(AND($M90&gt;=DD$15,$M90&lt;(DD$16+1)),DD$22/(DD$16-DD$15+1),0))</f>
        <v>0</v>
      </c>
      <c r="DE90" s="231">
        <f>IF(SUM(DE$24:DE89)=DE$22,0,IF(AND($M90&gt;=DE$15,$M90&lt;(DE$16+1)),DE$22/(DE$16-DE$15+1),0))</f>
        <v>0</v>
      </c>
      <c r="DF90" s="231">
        <f>IF(SUM(DF$24:DF89)=DF$22,0,IF(AND($M90&gt;=DF$15,$M90&lt;(DF$16+1)),DF$22/(DF$16-DF$15+1),0))</f>
        <v>0</v>
      </c>
      <c r="DG90" s="231">
        <f>IF(SUM(DG$24:DG89)=DG$22,0,IF(AND($M90&gt;=DG$15,$M90&lt;(DG$16+1)),DG$22/(DG$16-DG$15+1),0))</f>
        <v>0</v>
      </c>
      <c r="DH90" s="231">
        <f t="shared" ref="DH90:DS109" si="102">IF(AND($M90&gt;=DH$15,$M90&lt;(DH$16+1)),DH$22/(DH$16-DH$15+1),0)</f>
        <v>0</v>
      </c>
      <c r="DI90" s="231">
        <f t="shared" si="102"/>
        <v>0</v>
      </c>
      <c r="DJ90" s="231">
        <f t="shared" si="102"/>
        <v>0</v>
      </c>
      <c r="DK90" s="231">
        <f t="shared" si="102"/>
        <v>0</v>
      </c>
      <c r="DL90" s="231">
        <f t="shared" si="102"/>
        <v>0</v>
      </c>
      <c r="DM90" s="231">
        <f t="shared" si="102"/>
        <v>0</v>
      </c>
      <c r="DN90" s="231">
        <f t="shared" si="83"/>
        <v>0</v>
      </c>
      <c r="DO90" s="231">
        <f t="shared" si="102"/>
        <v>0</v>
      </c>
      <c r="DP90" s="231">
        <f t="shared" si="102"/>
        <v>0</v>
      </c>
      <c r="DQ90" s="231">
        <f t="shared" si="102"/>
        <v>0</v>
      </c>
      <c r="DR90" s="231">
        <f t="shared" si="102"/>
        <v>0</v>
      </c>
      <c r="DS90" s="231">
        <f t="shared" si="102"/>
        <v>0</v>
      </c>
      <c r="DT90" s="231">
        <f ca="1">IF(SUM(DT$24:DT89)=DT$22,0,IF(AND($M90&gt;=DT$15,$M90&lt;(DT$16+1)),DT$22/(DT$16-DT$15+1),0))</f>
        <v>0</v>
      </c>
      <c r="DU90" s="231">
        <f ca="1">IF(SUM(DU$24:DU89)=DU$22,0,IF(AND($M90&gt;=DU$15,$M90&lt;(DU$16+1)),DU$22/(DU$16-DU$15+1),0))</f>
        <v>0</v>
      </c>
      <c r="DV90" s="231">
        <f ca="1">IF(SUM(DV$24:DV89)=DV$22,0,IF(AND(M90&gt;=DV$15,M90&lt;(DV$16+1)),DV$22/(DV$16-DV$15+1),0))</f>
        <v>0</v>
      </c>
      <c r="DW90" s="231" t="e">
        <f ca="1">IF(SUM(DW$24:DW89)=DW$22,0,IF(AND($M90&gt;=DW$15,$M90&lt;(DW$16+1)),DW$22/(DW$16-DW$15+1),0))</f>
        <v>#N/A</v>
      </c>
      <c r="DX90" s="231">
        <f ca="1">IF(SUM(DX$24:DX89)=DX$22,0,IF(AND($M90&gt;=DX$15,$M90&lt;(DX$16+1)),DX$22/(DX$16-DX$15+1),0))</f>
        <v>0</v>
      </c>
      <c r="DY90" s="231">
        <f ca="1">IF(SUM(DY$24:DY89)=DY$22,0,IF(AND($M90&gt;=DY$15,$M90&lt;(DY$16+1)),DY$22/(DY$16-DY$15+1),0))</f>
        <v>0</v>
      </c>
      <c r="DZ90" s="231">
        <f ca="1">IF(SUM(DZ$24:DZ89)=DZ$22,0,IF(AND($M90&gt;=DZ$15,$M90&lt;(DZ$16+1)),DZ$22/(DZ$16-DZ$15+1),0))</f>
        <v>0</v>
      </c>
      <c r="EA90" s="231" t="e">
        <f ca="1">IF(SUM(EA$24:EA89)=EA$22,0,IF(AND(M90&gt;=EA$15,M90&lt;(EA$16+1)),EA$22/(EA$16-EA$15+1),0))</f>
        <v>#N/A</v>
      </c>
      <c r="EC90" s="234">
        <f t="shared" si="92"/>
        <v>63</v>
      </c>
      <c r="ED90" s="234" t="e">
        <f t="shared" ca="1" si="93"/>
        <v>#N/A</v>
      </c>
      <c r="EE90" s="235" t="e">
        <f t="shared" ca="1" si="94"/>
        <v>#N/A</v>
      </c>
      <c r="EF90" s="234" t="e">
        <f t="shared" ca="1" si="28"/>
        <v>#N/A</v>
      </c>
      <c r="EG90" s="234" t="e">
        <f t="shared" ca="1" si="29"/>
        <v>#N/A</v>
      </c>
      <c r="EH90" s="234" t="e">
        <f t="shared" ca="1" si="34"/>
        <v>#N/A</v>
      </c>
      <c r="EI90" s="234"/>
      <c r="EJ90" s="234"/>
      <c r="EK90" s="153" t="e">
        <f t="shared" ca="1" si="95"/>
        <v>#N/A</v>
      </c>
      <c r="EL90" s="231" t="e">
        <f ca="1">IF(SUM(EL$24:EL89)=EL$22,0,IF(AND($M90&gt;=EL$15,$M90&lt;(EL$16+1)),EL$22/(EL$16-EL$15+1),0))</f>
        <v>#N/A</v>
      </c>
      <c r="EM90" s="153" t="e">
        <f t="shared" ca="1" si="96"/>
        <v>#N/A</v>
      </c>
      <c r="EO90" s="60"/>
      <c r="EP90" s="60"/>
    </row>
    <row r="91" spans="1:146">
      <c r="A91" s="255"/>
      <c r="B91" s="236">
        <f t="shared" si="100"/>
        <v>64</v>
      </c>
      <c r="C91" s="221">
        <f t="shared" si="97"/>
        <v>45507.2521000001</v>
      </c>
      <c r="D91" s="222" t="e">
        <f ca="1">'Offshore INT'!R80</f>
        <v>#N/A</v>
      </c>
      <c r="E91" s="223" t="e">
        <f t="shared" ca="1" si="88"/>
        <v>#N/A</v>
      </c>
      <c r="F91" s="224"/>
      <c r="G91" s="225">
        <f>IF(G90=1,1,SUM($F$24:F91))</f>
        <v>0</v>
      </c>
      <c r="H91" s="226" t="e">
        <f ca="1">IF(H90=0,0,SUM($I$24:I91))</f>
        <v>#N/A</v>
      </c>
      <c r="I91" s="227" t="e">
        <f t="shared" ca="1" si="89"/>
        <v>#N/A</v>
      </c>
      <c r="J91" s="222">
        <f t="shared" ca="1" si="98"/>
        <v>0</v>
      </c>
      <c r="K91" s="60"/>
      <c r="L91" s="228"/>
      <c r="M91" s="228">
        <f t="shared" si="90"/>
        <v>64</v>
      </c>
      <c r="N91" s="221">
        <f t="shared" si="91"/>
        <v>45507.2521000001</v>
      </c>
      <c r="O91" s="229">
        <f t="shared" si="73"/>
        <v>0</v>
      </c>
      <c r="P91" s="229">
        <f t="shared" si="73"/>
        <v>0</v>
      </c>
      <c r="Q91" s="229">
        <f t="shared" si="73"/>
        <v>0</v>
      </c>
      <c r="R91" s="229">
        <f t="shared" si="73"/>
        <v>0</v>
      </c>
      <c r="S91" s="229">
        <f t="shared" si="73"/>
        <v>0</v>
      </c>
      <c r="T91" s="229">
        <f t="shared" si="73"/>
        <v>0</v>
      </c>
      <c r="U91" s="229">
        <f t="shared" si="73"/>
        <v>0</v>
      </c>
      <c r="V91" s="229">
        <f t="shared" si="73"/>
        <v>0</v>
      </c>
      <c r="W91" s="229">
        <f t="shared" si="73"/>
        <v>0</v>
      </c>
      <c r="X91" s="229">
        <f t="shared" si="73"/>
        <v>0</v>
      </c>
      <c r="Y91" s="229">
        <f t="shared" si="73"/>
        <v>0</v>
      </c>
      <c r="Z91" s="229">
        <f t="shared" si="73"/>
        <v>0</v>
      </c>
      <c r="AA91" s="229">
        <f t="shared" si="84"/>
        <v>0</v>
      </c>
      <c r="AB91" s="229">
        <f t="shared" si="84"/>
        <v>0</v>
      </c>
      <c r="AC91" s="229">
        <f t="shared" si="84"/>
        <v>0</v>
      </c>
      <c r="AD91" s="229">
        <f t="shared" si="84"/>
        <v>0</v>
      </c>
      <c r="AE91" s="229">
        <f t="shared" si="84"/>
        <v>0</v>
      </c>
      <c r="AF91" s="229">
        <f t="shared" si="84"/>
        <v>0</v>
      </c>
      <c r="AG91" s="229">
        <f t="shared" si="84"/>
        <v>0</v>
      </c>
      <c r="AH91" s="229">
        <f t="shared" si="84"/>
        <v>0</v>
      </c>
      <c r="AI91" s="229">
        <f t="shared" si="84"/>
        <v>0</v>
      </c>
      <c r="AJ91" s="229">
        <f t="shared" si="84"/>
        <v>0</v>
      </c>
      <c r="AK91" s="229">
        <f t="shared" si="84"/>
        <v>0</v>
      </c>
      <c r="AL91" s="229">
        <f t="shared" si="84"/>
        <v>0</v>
      </c>
      <c r="AM91" s="229">
        <f t="shared" si="101"/>
        <v>0</v>
      </c>
      <c r="AN91" s="229">
        <f t="shared" si="101"/>
        <v>0</v>
      </c>
      <c r="AO91" s="229">
        <f t="shared" si="101"/>
        <v>0</v>
      </c>
      <c r="AP91" s="229">
        <f t="shared" si="84"/>
        <v>0</v>
      </c>
      <c r="AQ91" s="229">
        <f t="shared" si="84"/>
        <v>0</v>
      </c>
      <c r="AR91" s="229">
        <f t="shared" si="84"/>
        <v>0</v>
      </c>
      <c r="AS91" s="229">
        <f t="shared" ref="AS91:AW106" si="103">IF($M91=AS$13,AS$22*AS$3,IF($M91=AS$14,AS$22*AS$4,IF($M91=AS$15,AS$22*AS$5,IF($M91=AS$16,AS$22*AS$6,IF($M91=AS$17,AS$22*AS$7,IF($M91=AS$18,AS$22*AS$8,IF($M91=AS$19,AS$22*AS$9,IF($M91=AS$20,AS$22*AS$10,0))))))))</f>
        <v>0</v>
      </c>
      <c r="AT91" s="229">
        <f t="shared" si="103"/>
        <v>0</v>
      </c>
      <c r="AU91" s="229">
        <f t="shared" si="103"/>
        <v>0</v>
      </c>
      <c r="AV91" s="229">
        <f t="shared" si="103"/>
        <v>0</v>
      </c>
      <c r="AW91" s="229">
        <f t="shared" si="103"/>
        <v>0</v>
      </c>
      <c r="AX91" s="229">
        <f t="shared" si="84"/>
        <v>0</v>
      </c>
      <c r="AY91" s="229">
        <f t="shared" si="84"/>
        <v>0</v>
      </c>
      <c r="AZ91" s="229">
        <f t="shared" si="84"/>
        <v>0</v>
      </c>
      <c r="BA91" s="229">
        <f t="shared" si="84"/>
        <v>0</v>
      </c>
      <c r="BB91" s="229">
        <f t="shared" si="84"/>
        <v>0</v>
      </c>
      <c r="BC91" s="229">
        <f t="shared" si="84"/>
        <v>0</v>
      </c>
      <c r="BD91" s="229">
        <f t="shared" si="85"/>
        <v>0</v>
      </c>
      <c r="BE91" s="229">
        <f t="shared" si="85"/>
        <v>0</v>
      </c>
      <c r="BF91" s="229">
        <f t="shared" si="85"/>
        <v>0</v>
      </c>
      <c r="BG91" s="229">
        <f t="shared" si="85"/>
        <v>0</v>
      </c>
      <c r="BH91" s="229">
        <f t="shared" si="85"/>
        <v>0</v>
      </c>
      <c r="BI91" s="229">
        <f t="shared" si="85"/>
        <v>0</v>
      </c>
      <c r="BJ91" s="229">
        <f t="shared" si="85"/>
        <v>0</v>
      </c>
      <c r="BK91" s="229">
        <f t="shared" si="85"/>
        <v>0</v>
      </c>
      <c r="BL91" s="229">
        <f t="shared" si="85"/>
        <v>0</v>
      </c>
      <c r="BM91" s="229">
        <f t="shared" si="85"/>
        <v>0</v>
      </c>
      <c r="BN91" s="229">
        <f t="shared" si="85"/>
        <v>0</v>
      </c>
      <c r="BO91" s="229">
        <f t="shared" si="85"/>
        <v>0</v>
      </c>
      <c r="BP91" s="229">
        <f t="shared" si="85"/>
        <v>0</v>
      </c>
      <c r="BQ91" s="229">
        <f t="shared" si="86"/>
        <v>0</v>
      </c>
      <c r="BR91" s="229">
        <f t="shared" si="86"/>
        <v>0</v>
      </c>
      <c r="BS91" s="229">
        <f t="shared" si="86"/>
        <v>0</v>
      </c>
      <c r="BT91" s="229">
        <f t="shared" si="86"/>
        <v>0</v>
      </c>
      <c r="BU91" s="229">
        <f t="shared" si="86"/>
        <v>0</v>
      </c>
      <c r="BV91" s="229">
        <f t="shared" si="86"/>
        <v>0</v>
      </c>
      <c r="BW91" s="229">
        <f t="shared" si="86"/>
        <v>0</v>
      </c>
      <c r="BX91" s="229">
        <f t="shared" si="86"/>
        <v>0</v>
      </c>
      <c r="BY91" s="229">
        <f t="shared" si="86"/>
        <v>0</v>
      </c>
      <c r="BZ91" s="229">
        <f t="shared" si="86"/>
        <v>0</v>
      </c>
      <c r="CA91" s="229">
        <f t="shared" si="86"/>
        <v>0</v>
      </c>
      <c r="CB91" s="229">
        <f t="shared" si="86"/>
        <v>0</v>
      </c>
      <c r="CC91" s="229">
        <f t="shared" si="86"/>
        <v>0</v>
      </c>
      <c r="CD91" s="229">
        <f t="shared" si="87"/>
        <v>0</v>
      </c>
      <c r="CE91" s="229">
        <f t="shared" si="99"/>
        <v>0</v>
      </c>
      <c r="CF91" s="229">
        <f t="shared" si="87"/>
        <v>0</v>
      </c>
      <c r="CG91" s="229">
        <f t="shared" si="87"/>
        <v>0</v>
      </c>
      <c r="CH91" s="229">
        <f t="shared" si="87"/>
        <v>0</v>
      </c>
      <c r="CI91" s="229">
        <f t="shared" si="87"/>
        <v>0</v>
      </c>
      <c r="CJ91" s="229">
        <f t="shared" si="70"/>
        <v>0</v>
      </c>
      <c r="CK91" s="229">
        <f t="shared" si="87"/>
        <v>0</v>
      </c>
      <c r="CL91" s="229">
        <f t="shared" si="87"/>
        <v>0</v>
      </c>
      <c r="CM91" s="229">
        <f t="shared" si="87"/>
        <v>0</v>
      </c>
      <c r="CN91" s="229">
        <f t="shared" si="87"/>
        <v>0</v>
      </c>
      <c r="CO91" s="229">
        <f t="shared" si="81"/>
        <v>0</v>
      </c>
      <c r="CP91" s="229">
        <f t="shared" si="81"/>
        <v>0</v>
      </c>
      <c r="CQ91" s="229">
        <f t="shared" si="87"/>
        <v>0</v>
      </c>
      <c r="CR91" s="229">
        <f t="shared" si="87"/>
        <v>0</v>
      </c>
      <c r="CS91" s="229">
        <f t="shared" si="87"/>
        <v>0</v>
      </c>
      <c r="CT91" s="229">
        <f t="shared" si="87"/>
        <v>0</v>
      </c>
      <c r="CU91" s="230"/>
      <c r="CV91" s="231"/>
      <c r="CW91" s="231"/>
      <c r="CX91" s="231"/>
      <c r="CY91" s="231"/>
      <c r="CZ91" s="231"/>
      <c r="DA91" s="231"/>
      <c r="DB91" s="231" t="e">
        <f t="shared" ca="1" si="74"/>
        <v>#N/A</v>
      </c>
      <c r="DC91" s="231"/>
      <c r="DD91" s="231">
        <f>IF(SUM(DD$24:DD90)=DD$22,0,IF(AND($M91&gt;=DD$15,$M91&lt;(DD$16+1)),DD$22/(DD$16-DD$15+1),0))</f>
        <v>0</v>
      </c>
      <c r="DE91" s="231">
        <f>IF(SUM(DE$24:DE90)=DE$22,0,IF(AND($M91&gt;=DE$15,$M91&lt;(DE$16+1)),DE$22/(DE$16-DE$15+1),0))</f>
        <v>0</v>
      </c>
      <c r="DF91" s="231">
        <f>IF(SUM(DF$24:DF90)=DF$22,0,IF(AND($M91&gt;=DF$15,$M91&lt;(DF$16+1)),DF$22/(DF$16-DF$15+1),0))</f>
        <v>0</v>
      </c>
      <c r="DG91" s="231">
        <f>IF(SUM(DG$24:DG90)=DG$22,0,IF(AND($M91&gt;=DG$15,$M91&lt;(DG$16+1)),DG$22/(DG$16-DG$15+1),0))</f>
        <v>0</v>
      </c>
      <c r="DH91" s="231">
        <f t="shared" si="102"/>
        <v>0</v>
      </c>
      <c r="DI91" s="231">
        <f t="shared" si="102"/>
        <v>0</v>
      </c>
      <c r="DJ91" s="231">
        <f t="shared" si="102"/>
        <v>0</v>
      </c>
      <c r="DK91" s="231">
        <f t="shared" si="102"/>
        <v>0</v>
      </c>
      <c r="DL91" s="231">
        <f t="shared" si="102"/>
        <v>0</v>
      </c>
      <c r="DM91" s="231">
        <f t="shared" si="102"/>
        <v>0</v>
      </c>
      <c r="DN91" s="231">
        <f t="shared" si="83"/>
        <v>0</v>
      </c>
      <c r="DO91" s="231">
        <f t="shared" si="102"/>
        <v>0</v>
      </c>
      <c r="DP91" s="231">
        <f t="shared" si="102"/>
        <v>0</v>
      </c>
      <c r="DQ91" s="231">
        <f t="shared" si="102"/>
        <v>0</v>
      </c>
      <c r="DR91" s="231">
        <f t="shared" si="102"/>
        <v>0</v>
      </c>
      <c r="DS91" s="231">
        <f t="shared" si="102"/>
        <v>0</v>
      </c>
      <c r="DT91" s="231">
        <f ca="1">IF(SUM(DT$24:DT90)=DT$22,0,IF(AND($M91&gt;=DT$15,$M91&lt;(DT$16+1)),DT$22/(DT$16-DT$15+1),0))</f>
        <v>0</v>
      </c>
      <c r="DU91" s="231">
        <f ca="1">IF(SUM(DU$24:DU90)=DU$22,0,IF(AND($M91&gt;=DU$15,$M91&lt;(DU$16+1)),DU$22/(DU$16-DU$15+1),0))</f>
        <v>0</v>
      </c>
      <c r="DV91" s="231">
        <f ca="1">IF(SUM(DV$24:DV90)=DV$22,0,IF(AND(M91&gt;=DV$15,M91&lt;(DV$16+1)),DV$22/(DV$16-DV$15+1),0))</f>
        <v>0</v>
      </c>
      <c r="DW91" s="231" t="e">
        <f ca="1">IF(SUM(DW$24:DW90)=DW$22,0,IF(AND($M91&gt;=DW$15,$M91&lt;(DW$16+1)),DW$22/(DW$16-DW$15+1),0))</f>
        <v>#N/A</v>
      </c>
      <c r="DX91" s="231">
        <f ca="1">IF(SUM(DX$24:DX90)=DX$22,0,IF(AND($M91&gt;=DX$15,$M91&lt;(DX$16+1)),DX$22/(DX$16-DX$15+1),0))</f>
        <v>0</v>
      </c>
      <c r="DY91" s="231">
        <f ca="1">IF(SUM(DY$24:DY90)=DY$22,0,IF(AND($M91&gt;=DY$15,$M91&lt;(DY$16+1)),DY$22/(DY$16-DY$15+1),0))</f>
        <v>0</v>
      </c>
      <c r="DZ91" s="231">
        <f ca="1">IF(SUM(DZ$24:DZ90)=DZ$22,0,IF(AND($M91&gt;=DZ$15,$M91&lt;(DZ$16+1)),DZ$22/(DZ$16-DZ$15+1),0))</f>
        <v>0</v>
      </c>
      <c r="EA91" s="231" t="e">
        <f ca="1">IF(SUM(EA$24:EA90)=EA$22,0,IF(AND(M91&gt;=EA$15,M91&lt;(EA$16+1)),EA$22/(EA$16-EA$15+1),0))</f>
        <v>#N/A</v>
      </c>
      <c r="EC91" s="234">
        <f t="shared" si="92"/>
        <v>64</v>
      </c>
      <c r="ED91" s="234" t="e">
        <f t="shared" ca="1" si="93"/>
        <v>#N/A</v>
      </c>
      <c r="EE91" s="235" t="e">
        <f t="shared" ca="1" si="94"/>
        <v>#N/A</v>
      </c>
      <c r="EF91" s="234" t="e">
        <f t="shared" ref="EF91:EF153" ca="1" si="104">$EE89*$EF$22</f>
        <v>#N/A</v>
      </c>
      <c r="EG91" s="234" t="e">
        <f t="shared" ca="1" si="29"/>
        <v>#N/A</v>
      </c>
      <c r="EH91" s="234" t="e">
        <f t="shared" ca="1" si="34"/>
        <v>#N/A</v>
      </c>
      <c r="EI91" s="234"/>
      <c r="EJ91" s="234"/>
      <c r="EK91" s="153" t="e">
        <f t="shared" ca="1" si="95"/>
        <v>#N/A</v>
      </c>
      <c r="EL91" s="231" t="e">
        <f ca="1">IF(SUM(EL$24:EL90)=EL$22,0,IF(AND($M91&gt;=EL$15,$M91&lt;(EL$16+1)),EL$22/(EL$16-EL$15+1),0))</f>
        <v>#N/A</v>
      </c>
      <c r="EM91" s="153" t="e">
        <f t="shared" ca="1" si="96"/>
        <v>#N/A</v>
      </c>
      <c r="EO91" s="60"/>
      <c r="EP91" s="60"/>
    </row>
    <row r="92" spans="1:146">
      <c r="A92" s="255"/>
      <c r="B92" s="236">
        <f t="shared" si="100"/>
        <v>65</v>
      </c>
      <c r="C92" s="221">
        <f t="shared" si="97"/>
        <v>45537.668800000101</v>
      </c>
      <c r="D92" s="222" t="e">
        <f ca="1">'Offshore INT'!R81</f>
        <v>#N/A</v>
      </c>
      <c r="E92" s="223" t="e">
        <f t="shared" ca="1" si="88"/>
        <v>#N/A</v>
      </c>
      <c r="F92" s="224"/>
      <c r="G92" s="225">
        <f>IF(G91=1,1,SUM($F$24:F92))</f>
        <v>0</v>
      </c>
      <c r="H92" s="226" t="e">
        <f ca="1">IF(H91=0,0,SUM($I$24:I92))</f>
        <v>#N/A</v>
      </c>
      <c r="I92" s="227" t="e">
        <f t="shared" ca="1" si="89"/>
        <v>#N/A</v>
      </c>
      <c r="J92" s="222">
        <f t="shared" ca="1" si="98"/>
        <v>0</v>
      </c>
      <c r="K92" s="60"/>
      <c r="L92" s="228"/>
      <c r="M92" s="228">
        <f t="shared" si="90"/>
        <v>65</v>
      </c>
      <c r="N92" s="221">
        <f t="shared" si="91"/>
        <v>45537.668800000101</v>
      </c>
      <c r="O92" s="229">
        <f t="shared" si="73"/>
        <v>0</v>
      </c>
      <c r="P92" s="229">
        <f t="shared" si="73"/>
        <v>0</v>
      </c>
      <c r="Q92" s="229">
        <f t="shared" si="73"/>
        <v>0</v>
      </c>
      <c r="R92" s="229">
        <f t="shared" si="73"/>
        <v>0</v>
      </c>
      <c r="S92" s="229">
        <f t="shared" si="73"/>
        <v>0</v>
      </c>
      <c r="T92" s="229">
        <f t="shared" si="73"/>
        <v>0</v>
      </c>
      <c r="U92" s="229">
        <f t="shared" si="73"/>
        <v>0</v>
      </c>
      <c r="V92" s="229">
        <f t="shared" si="73"/>
        <v>0</v>
      </c>
      <c r="W92" s="229">
        <f t="shared" si="73"/>
        <v>0</v>
      </c>
      <c r="X92" s="229">
        <f t="shared" si="73"/>
        <v>0</v>
      </c>
      <c r="Y92" s="229">
        <f t="shared" si="73"/>
        <v>0</v>
      </c>
      <c r="Z92" s="229">
        <f t="shared" si="73"/>
        <v>0</v>
      </c>
      <c r="AA92" s="229">
        <f t="shared" si="84"/>
        <v>0</v>
      </c>
      <c r="AB92" s="229">
        <f t="shared" si="84"/>
        <v>0</v>
      </c>
      <c r="AC92" s="229">
        <f t="shared" si="84"/>
        <v>0</v>
      </c>
      <c r="AD92" s="229">
        <f t="shared" si="84"/>
        <v>0</v>
      </c>
      <c r="AE92" s="229">
        <f t="shared" si="84"/>
        <v>0</v>
      </c>
      <c r="AF92" s="229">
        <f t="shared" si="84"/>
        <v>0</v>
      </c>
      <c r="AG92" s="229">
        <f t="shared" si="84"/>
        <v>0</v>
      </c>
      <c r="AH92" s="229">
        <f t="shared" si="84"/>
        <v>0</v>
      </c>
      <c r="AI92" s="229">
        <f t="shared" si="84"/>
        <v>0</v>
      </c>
      <c r="AJ92" s="229">
        <f t="shared" si="84"/>
        <v>0</v>
      </c>
      <c r="AK92" s="229">
        <f t="shared" si="84"/>
        <v>0</v>
      </c>
      <c r="AL92" s="229">
        <f t="shared" si="84"/>
        <v>0</v>
      </c>
      <c r="AM92" s="229">
        <f t="shared" si="101"/>
        <v>0</v>
      </c>
      <c r="AN92" s="229">
        <f t="shared" si="101"/>
        <v>0</v>
      </c>
      <c r="AO92" s="229">
        <f t="shared" si="101"/>
        <v>0</v>
      </c>
      <c r="AP92" s="229">
        <f t="shared" si="84"/>
        <v>0</v>
      </c>
      <c r="AQ92" s="229">
        <f t="shared" si="84"/>
        <v>0</v>
      </c>
      <c r="AR92" s="229">
        <f t="shared" si="84"/>
        <v>0</v>
      </c>
      <c r="AS92" s="229">
        <f t="shared" si="103"/>
        <v>0</v>
      </c>
      <c r="AT92" s="229">
        <f t="shared" si="103"/>
        <v>0</v>
      </c>
      <c r="AU92" s="229">
        <f t="shared" si="103"/>
        <v>0</v>
      </c>
      <c r="AV92" s="229">
        <f t="shared" si="103"/>
        <v>0</v>
      </c>
      <c r="AW92" s="229">
        <f t="shared" si="103"/>
        <v>0</v>
      </c>
      <c r="AX92" s="229">
        <f t="shared" si="84"/>
        <v>0</v>
      </c>
      <c r="AY92" s="229">
        <f t="shared" si="84"/>
        <v>0</v>
      </c>
      <c r="AZ92" s="229">
        <f t="shared" si="84"/>
        <v>0</v>
      </c>
      <c r="BA92" s="229">
        <f t="shared" si="84"/>
        <v>0</v>
      </c>
      <c r="BB92" s="229">
        <f t="shared" si="84"/>
        <v>0</v>
      </c>
      <c r="BC92" s="229">
        <f t="shared" si="84"/>
        <v>0</v>
      </c>
      <c r="BD92" s="229">
        <f t="shared" si="85"/>
        <v>0</v>
      </c>
      <c r="BE92" s="229">
        <f t="shared" si="85"/>
        <v>0</v>
      </c>
      <c r="BF92" s="229">
        <f t="shared" si="85"/>
        <v>0</v>
      </c>
      <c r="BG92" s="229">
        <f t="shared" si="85"/>
        <v>0</v>
      </c>
      <c r="BH92" s="229">
        <f t="shared" si="85"/>
        <v>0</v>
      </c>
      <c r="BI92" s="229">
        <f t="shared" si="85"/>
        <v>0</v>
      </c>
      <c r="BJ92" s="229">
        <f t="shared" si="85"/>
        <v>0</v>
      </c>
      <c r="BK92" s="229">
        <f t="shared" si="85"/>
        <v>0</v>
      </c>
      <c r="BL92" s="229">
        <f t="shared" si="85"/>
        <v>0</v>
      </c>
      <c r="BM92" s="229">
        <f t="shared" si="85"/>
        <v>0</v>
      </c>
      <c r="BN92" s="229">
        <f t="shared" si="85"/>
        <v>0</v>
      </c>
      <c r="BO92" s="229">
        <f t="shared" si="85"/>
        <v>0</v>
      </c>
      <c r="BP92" s="229">
        <f t="shared" si="85"/>
        <v>0</v>
      </c>
      <c r="BQ92" s="229">
        <f t="shared" si="86"/>
        <v>0</v>
      </c>
      <c r="BR92" s="229">
        <f t="shared" si="86"/>
        <v>0</v>
      </c>
      <c r="BS92" s="229">
        <f t="shared" si="86"/>
        <v>0</v>
      </c>
      <c r="BT92" s="229">
        <f t="shared" si="86"/>
        <v>0</v>
      </c>
      <c r="BU92" s="229">
        <f t="shared" si="86"/>
        <v>0</v>
      </c>
      <c r="BV92" s="229">
        <f t="shared" si="86"/>
        <v>0</v>
      </c>
      <c r="BW92" s="229">
        <f t="shared" si="86"/>
        <v>0</v>
      </c>
      <c r="BX92" s="229">
        <f t="shared" si="86"/>
        <v>0</v>
      </c>
      <c r="BY92" s="229">
        <f t="shared" si="86"/>
        <v>0</v>
      </c>
      <c r="BZ92" s="229">
        <f t="shared" si="86"/>
        <v>0</v>
      </c>
      <c r="CA92" s="229">
        <f t="shared" si="86"/>
        <v>0</v>
      </c>
      <c r="CB92" s="229">
        <f t="shared" si="86"/>
        <v>0</v>
      </c>
      <c r="CC92" s="229">
        <f t="shared" si="86"/>
        <v>0</v>
      </c>
      <c r="CD92" s="229">
        <f t="shared" si="87"/>
        <v>0</v>
      </c>
      <c r="CE92" s="229">
        <f t="shared" si="99"/>
        <v>0</v>
      </c>
      <c r="CF92" s="229">
        <f t="shared" si="87"/>
        <v>0</v>
      </c>
      <c r="CG92" s="229">
        <f t="shared" si="87"/>
        <v>0</v>
      </c>
      <c r="CH92" s="229">
        <f t="shared" si="87"/>
        <v>0</v>
      </c>
      <c r="CI92" s="229">
        <f t="shared" si="87"/>
        <v>0</v>
      </c>
      <c r="CJ92" s="229">
        <f t="shared" si="70"/>
        <v>0</v>
      </c>
      <c r="CK92" s="229">
        <f t="shared" si="87"/>
        <v>0</v>
      </c>
      <c r="CL92" s="229">
        <f t="shared" si="87"/>
        <v>0</v>
      </c>
      <c r="CM92" s="229">
        <f t="shared" si="87"/>
        <v>0</v>
      </c>
      <c r="CN92" s="229">
        <f t="shared" si="87"/>
        <v>0</v>
      </c>
      <c r="CO92" s="229">
        <f t="shared" si="81"/>
        <v>0</v>
      </c>
      <c r="CP92" s="229">
        <f t="shared" si="81"/>
        <v>0</v>
      </c>
      <c r="CQ92" s="229">
        <f t="shared" si="87"/>
        <v>0</v>
      </c>
      <c r="CR92" s="229">
        <f t="shared" si="87"/>
        <v>0</v>
      </c>
      <c r="CS92" s="229">
        <f t="shared" si="87"/>
        <v>0</v>
      </c>
      <c r="CT92" s="229">
        <f t="shared" si="87"/>
        <v>0</v>
      </c>
      <c r="CU92" s="230"/>
      <c r="CV92" s="231"/>
      <c r="CW92" s="231"/>
      <c r="CX92" s="231"/>
      <c r="CY92" s="231"/>
      <c r="CZ92" s="231"/>
      <c r="DA92" s="231"/>
      <c r="DB92" s="231" t="e">
        <f t="shared" ca="1" si="74"/>
        <v>#N/A</v>
      </c>
      <c r="DC92" s="231"/>
      <c r="DD92" s="231">
        <f>IF(SUM(DD$24:DD91)=DD$22,0,IF(AND($M92&gt;=DD$15,$M92&lt;(DD$16+1)),DD$22/(DD$16-DD$15+1),0))</f>
        <v>0</v>
      </c>
      <c r="DE92" s="231">
        <f>IF(SUM(DE$24:DE91)=DE$22,0,IF(AND($M92&gt;=DE$15,$M92&lt;(DE$16+1)),DE$22/(DE$16-DE$15+1),0))</f>
        <v>0</v>
      </c>
      <c r="DF92" s="231">
        <f>IF(SUM(DF$24:DF91)=DF$22,0,IF(AND($M92&gt;=DF$15,$M92&lt;(DF$16+1)),DF$22/(DF$16-DF$15+1),0))</f>
        <v>0</v>
      </c>
      <c r="DG92" s="231">
        <f>IF(SUM(DG$24:DG91)=DG$22,0,IF(AND($M92&gt;=DG$15,$M92&lt;(DG$16+1)),DG$22/(DG$16-DG$15+1),0))</f>
        <v>0</v>
      </c>
      <c r="DH92" s="231">
        <f t="shared" si="102"/>
        <v>0</v>
      </c>
      <c r="DI92" s="231">
        <f t="shared" si="102"/>
        <v>0</v>
      </c>
      <c r="DJ92" s="231">
        <f t="shared" si="102"/>
        <v>0</v>
      </c>
      <c r="DK92" s="231">
        <f t="shared" si="102"/>
        <v>0</v>
      </c>
      <c r="DL92" s="231">
        <f t="shared" si="102"/>
        <v>0</v>
      </c>
      <c r="DM92" s="231">
        <f t="shared" si="102"/>
        <v>0</v>
      </c>
      <c r="DN92" s="231">
        <f t="shared" si="83"/>
        <v>0</v>
      </c>
      <c r="DO92" s="231">
        <f t="shared" si="102"/>
        <v>0</v>
      </c>
      <c r="DP92" s="231">
        <f t="shared" si="102"/>
        <v>0</v>
      </c>
      <c r="DQ92" s="231">
        <f t="shared" si="102"/>
        <v>0</v>
      </c>
      <c r="DR92" s="231">
        <f t="shared" si="102"/>
        <v>0</v>
      </c>
      <c r="DS92" s="231">
        <f t="shared" si="102"/>
        <v>0</v>
      </c>
      <c r="DT92" s="231">
        <f ca="1">IF(SUM(DT$24:DT91)=DT$22,0,IF(AND($M92&gt;=DT$15,$M92&lt;(DT$16+1)),DT$22/(DT$16-DT$15+1),0))</f>
        <v>0</v>
      </c>
      <c r="DU92" s="231">
        <f ca="1">IF(SUM(DU$24:DU91)=DU$22,0,IF(AND($M92&gt;=DU$15,$M92&lt;(DU$16+1)),DU$22/(DU$16-DU$15+1),0))</f>
        <v>0</v>
      </c>
      <c r="DV92" s="231">
        <f ca="1">IF(SUM(DV$24:DV91)=DV$22,0,IF(AND(M92&gt;=DV$15,M92&lt;(DV$16+1)),DV$22/(DV$16-DV$15+1),0))</f>
        <v>0</v>
      </c>
      <c r="DW92" s="231" t="e">
        <f ca="1">IF(SUM(DW$24:DW91)=DW$22,0,IF(AND($M92&gt;=DW$15,$M92&lt;(DW$16+1)),DW$22/(DW$16-DW$15+1),0))</f>
        <v>#N/A</v>
      </c>
      <c r="DX92" s="231">
        <f ca="1">IF(SUM(DX$24:DX91)=DX$22,0,IF(AND($M92&gt;=DX$15,$M92&lt;(DX$16+1)),DX$22/(DX$16-DX$15+1),0))</f>
        <v>0</v>
      </c>
      <c r="DY92" s="231">
        <f ca="1">IF(SUM(DY$24:DY91)=DY$22,0,IF(AND($M92&gt;=DY$15,$M92&lt;(DY$16+1)),DY$22/(DY$16-DY$15+1),0))</f>
        <v>0</v>
      </c>
      <c r="DZ92" s="231">
        <f ca="1">IF(SUM(DZ$24:DZ91)=DZ$22,0,IF(AND($M92&gt;=DZ$15,$M92&lt;(DZ$16+1)),DZ$22/(DZ$16-DZ$15+1),0))</f>
        <v>0</v>
      </c>
      <c r="EA92" s="231" t="e">
        <f ca="1">IF(SUM(EA$24:EA91)=EA$22,0,IF(AND(M92&gt;=EA$15,M92&lt;(EA$16+1)),EA$22/(EA$16-EA$15+1),0))</f>
        <v>#N/A</v>
      </c>
      <c r="EC92" s="234">
        <f t="shared" si="92"/>
        <v>65</v>
      </c>
      <c r="ED92" s="234" t="e">
        <f t="shared" ca="1" si="93"/>
        <v>#N/A</v>
      </c>
      <c r="EE92" s="235" t="e">
        <f t="shared" ca="1" si="94"/>
        <v>#N/A</v>
      </c>
      <c r="EF92" s="234" t="e">
        <f t="shared" ca="1" si="104"/>
        <v>#N/A</v>
      </c>
      <c r="EG92" s="234" t="e">
        <f t="shared" ca="1" si="29"/>
        <v>#N/A</v>
      </c>
      <c r="EH92" s="234" t="e">
        <f t="shared" ca="1" si="34"/>
        <v>#N/A</v>
      </c>
      <c r="EI92" s="234"/>
      <c r="EJ92" s="234"/>
      <c r="EK92" s="153" t="e">
        <f t="shared" ca="1" si="95"/>
        <v>#N/A</v>
      </c>
      <c r="EL92" s="231" t="e">
        <f ca="1">IF(SUM(EL$24:EL91)=EL$22,0,IF(AND($M92&gt;=EL$15,$M92&lt;(EL$16+1)),EL$22/(EL$16-EL$15+1),0))</f>
        <v>#N/A</v>
      </c>
      <c r="EM92" s="153" t="e">
        <f t="shared" ca="1" si="96"/>
        <v>#N/A</v>
      </c>
      <c r="EO92" s="60"/>
      <c r="EP92" s="60"/>
    </row>
    <row r="93" spans="1:146">
      <c r="A93" s="220"/>
      <c r="B93" s="236">
        <f t="shared" si="100"/>
        <v>66</v>
      </c>
      <c r="C93" s="221">
        <f t="shared" si="97"/>
        <v>45568.085500000103</v>
      </c>
      <c r="D93" s="222" t="e">
        <f ca="1">'Offshore INT'!R82</f>
        <v>#N/A</v>
      </c>
      <c r="E93" s="223" t="e">
        <f t="shared" ca="1" si="88"/>
        <v>#N/A</v>
      </c>
      <c r="F93" s="224"/>
      <c r="G93" s="225">
        <f>IF(G92=1,1,SUM($F$24:F93))</f>
        <v>0</v>
      </c>
      <c r="H93" s="226" t="e">
        <f ca="1">IF(H92=0,0,SUM($I$24:I93))</f>
        <v>#N/A</v>
      </c>
      <c r="I93" s="227" t="e">
        <f t="shared" ca="1" si="89"/>
        <v>#N/A</v>
      </c>
      <c r="J93" s="222">
        <f t="shared" ca="1" si="98"/>
        <v>0</v>
      </c>
      <c r="K93" s="60"/>
      <c r="L93" s="228"/>
      <c r="M93" s="228">
        <f t="shared" si="90"/>
        <v>66</v>
      </c>
      <c r="N93" s="221">
        <f t="shared" si="91"/>
        <v>45568.085500000103</v>
      </c>
      <c r="O93" s="229">
        <f t="shared" ref="O93:Z112" si="105">IF($M93=O$13,O$22*O$3,IF($M93=O$14,O$22*O$4,IF($M93=O$15,O$22*O$5,IF($M93=O$16,O$22*O$6,IF($M93=O$17,O$22*O$7,IF($M93=O$18,O$22*O$8,IF($M93=O$19,O$22*O$9,IF($M93=O$20,O$22*O$10,0))))))))</f>
        <v>0</v>
      </c>
      <c r="P93" s="229">
        <f t="shared" si="105"/>
        <v>0</v>
      </c>
      <c r="Q93" s="229">
        <f t="shared" si="105"/>
        <v>0</v>
      </c>
      <c r="R93" s="229">
        <f t="shared" si="105"/>
        <v>0</v>
      </c>
      <c r="S93" s="229">
        <f t="shared" si="105"/>
        <v>0</v>
      </c>
      <c r="T93" s="229">
        <f t="shared" si="105"/>
        <v>0</v>
      </c>
      <c r="U93" s="229">
        <f t="shared" si="105"/>
        <v>0</v>
      </c>
      <c r="V93" s="229">
        <f t="shared" si="105"/>
        <v>0</v>
      </c>
      <c r="W93" s="229">
        <f t="shared" si="105"/>
        <v>0</v>
      </c>
      <c r="X93" s="229">
        <f t="shared" si="105"/>
        <v>0</v>
      </c>
      <c r="Y93" s="229">
        <f t="shared" si="105"/>
        <v>0</v>
      </c>
      <c r="Z93" s="229">
        <f t="shared" si="105"/>
        <v>0</v>
      </c>
      <c r="AA93" s="229">
        <f>IF($M93=AA$13,AA$22*AA$3,IF($M93=AA$14,AA$22*AA$4,IF($M93=AA$15,AA$22*AA$5,IF($M93=AA$16,AA$22*AA$6,IF($M93=AA$17,AA$22*AA$7,IF($M93=AA$18,AA$22*AA$8,IF($M93=AA$19,AA$22*AA$9,IF($M93=AA$20,AA$22*AA$10,0))))))))</f>
        <v>0</v>
      </c>
      <c r="AB93" s="229">
        <f t="shared" si="84"/>
        <v>0</v>
      </c>
      <c r="AC93" s="229">
        <f t="shared" si="84"/>
        <v>0</v>
      </c>
      <c r="AD93" s="229">
        <f t="shared" si="84"/>
        <v>0</v>
      </c>
      <c r="AE93" s="229">
        <f t="shared" si="84"/>
        <v>0</v>
      </c>
      <c r="AF93" s="229">
        <f t="shared" si="84"/>
        <v>0</v>
      </c>
      <c r="AG93" s="229">
        <f t="shared" si="84"/>
        <v>0</v>
      </c>
      <c r="AH93" s="229">
        <f t="shared" si="84"/>
        <v>0</v>
      </c>
      <c r="AI93" s="229">
        <f t="shared" si="84"/>
        <v>0</v>
      </c>
      <c r="AJ93" s="229">
        <f t="shared" si="84"/>
        <v>0</v>
      </c>
      <c r="AK93" s="229">
        <f t="shared" si="84"/>
        <v>0</v>
      </c>
      <c r="AL93" s="229">
        <f t="shared" si="84"/>
        <v>0</v>
      </c>
      <c r="AM93" s="229">
        <f t="shared" si="101"/>
        <v>0</v>
      </c>
      <c r="AN93" s="229">
        <f t="shared" si="101"/>
        <v>0</v>
      </c>
      <c r="AO93" s="229">
        <f t="shared" si="101"/>
        <v>0</v>
      </c>
      <c r="AP93" s="229">
        <f t="shared" si="84"/>
        <v>0</v>
      </c>
      <c r="AQ93" s="229">
        <f t="shared" si="84"/>
        <v>0</v>
      </c>
      <c r="AR93" s="229">
        <f t="shared" si="84"/>
        <v>0</v>
      </c>
      <c r="AS93" s="229">
        <f t="shared" si="103"/>
        <v>0</v>
      </c>
      <c r="AT93" s="229">
        <f t="shared" si="103"/>
        <v>0</v>
      </c>
      <c r="AU93" s="229">
        <f t="shared" si="103"/>
        <v>0</v>
      </c>
      <c r="AV93" s="229">
        <f t="shared" si="103"/>
        <v>0</v>
      </c>
      <c r="AW93" s="229">
        <f t="shared" si="103"/>
        <v>0</v>
      </c>
      <c r="AX93" s="229">
        <f t="shared" si="84"/>
        <v>0</v>
      </c>
      <c r="AY93" s="229">
        <f t="shared" si="84"/>
        <v>0</v>
      </c>
      <c r="AZ93" s="229">
        <f>IF($M93=AZ$13,AZ$22*AZ$3,IF($M93=AZ$14,AZ$22*AZ$4,IF($M93=AZ$15,AZ$22*AZ$5,IF($M93=AZ$16,AZ$22*AZ$6,IF($M93=AZ$17,AZ$22*AZ$7,IF($M93=AZ$18,AZ$22*AZ$8,IF($M93=AZ$19,AZ$22*AZ$9,IF($M93=AZ$20,AZ$22*AZ$10,0))))))))</f>
        <v>0</v>
      </c>
      <c r="BA93" s="229">
        <f t="shared" si="84"/>
        <v>0</v>
      </c>
      <c r="BB93" s="229">
        <f>IF($M93=BB$13,BB$22*BB$3,IF($M93=BB$14,BB$22*BB$4,IF($M93=BB$15,BB$22*BB$5,IF($M93=BB$16,BB$22*BB$6,IF($M93=BB$17,BB$22*BB$7,IF($M93=BB$18,BB$22*BB$8,IF($M93=BB$19,BB$22*BB$9,IF($M93=BB$20,BB$22*BB$10,0))))))))</f>
        <v>0</v>
      </c>
      <c r="BC93" s="229">
        <f>IF($M93=BC$13,BC$22*BC$3,IF($M93=BC$14,BC$22*BC$4,IF($M93=BC$15,BC$22*BC$5,IF($M93=BC$16,BC$22*BC$6,IF($M93=BC$17,BC$22*BC$7,IF($M93=BC$18,BC$22*BC$8,IF($M93=BC$19,BC$22*BC$9,IF($M93=BC$20,BC$22*BC$10,0))))))))</f>
        <v>0</v>
      </c>
      <c r="BD93" s="229">
        <f t="shared" si="85"/>
        <v>0</v>
      </c>
      <c r="BE93" s="229">
        <f t="shared" si="85"/>
        <v>0</v>
      </c>
      <c r="BF93" s="229">
        <f t="shared" si="85"/>
        <v>0</v>
      </c>
      <c r="BG93" s="229">
        <f t="shared" si="85"/>
        <v>0</v>
      </c>
      <c r="BH93" s="229">
        <f t="shared" si="85"/>
        <v>0</v>
      </c>
      <c r="BI93" s="229">
        <f t="shared" si="85"/>
        <v>0</v>
      </c>
      <c r="BJ93" s="229">
        <f t="shared" si="85"/>
        <v>0</v>
      </c>
      <c r="BK93" s="229">
        <f t="shared" si="85"/>
        <v>0</v>
      </c>
      <c r="BL93" s="229">
        <f t="shared" si="85"/>
        <v>0</v>
      </c>
      <c r="BM93" s="229">
        <f t="shared" si="85"/>
        <v>0</v>
      </c>
      <c r="BN93" s="229">
        <f t="shared" si="85"/>
        <v>0</v>
      </c>
      <c r="BO93" s="229">
        <f t="shared" si="85"/>
        <v>0</v>
      </c>
      <c r="BP93" s="229">
        <f t="shared" si="85"/>
        <v>0</v>
      </c>
      <c r="BQ93" s="229">
        <f t="shared" si="86"/>
        <v>0</v>
      </c>
      <c r="BR93" s="229">
        <f t="shared" si="86"/>
        <v>0</v>
      </c>
      <c r="BS93" s="229">
        <f t="shared" si="86"/>
        <v>0</v>
      </c>
      <c r="BT93" s="229">
        <f t="shared" si="86"/>
        <v>0</v>
      </c>
      <c r="BU93" s="229">
        <f t="shared" si="86"/>
        <v>0</v>
      </c>
      <c r="BV93" s="229">
        <f t="shared" si="86"/>
        <v>0</v>
      </c>
      <c r="BW93" s="229">
        <f t="shared" si="86"/>
        <v>0</v>
      </c>
      <c r="BX93" s="229">
        <f t="shared" si="86"/>
        <v>0</v>
      </c>
      <c r="BY93" s="229">
        <f t="shared" si="86"/>
        <v>0</v>
      </c>
      <c r="BZ93" s="229">
        <f t="shared" si="86"/>
        <v>0</v>
      </c>
      <c r="CA93" s="229">
        <f t="shared" si="86"/>
        <v>0</v>
      </c>
      <c r="CB93" s="229">
        <f t="shared" si="86"/>
        <v>0</v>
      </c>
      <c r="CC93" s="229">
        <f t="shared" si="86"/>
        <v>0</v>
      </c>
      <c r="CD93" s="229">
        <f t="shared" si="87"/>
        <v>0</v>
      </c>
      <c r="CE93" s="229">
        <f t="shared" si="99"/>
        <v>0</v>
      </c>
      <c r="CF93" s="229">
        <f t="shared" si="87"/>
        <v>0</v>
      </c>
      <c r="CG93" s="229">
        <f t="shared" si="87"/>
        <v>0</v>
      </c>
      <c r="CH93" s="229">
        <f t="shared" si="87"/>
        <v>0</v>
      </c>
      <c r="CI93" s="229">
        <f t="shared" si="87"/>
        <v>0</v>
      </c>
      <c r="CJ93" s="229">
        <f t="shared" si="70"/>
        <v>0</v>
      </c>
      <c r="CK93" s="229">
        <f t="shared" si="87"/>
        <v>0</v>
      </c>
      <c r="CL93" s="229">
        <f t="shared" si="87"/>
        <v>0</v>
      </c>
      <c r="CM93" s="229">
        <f t="shared" si="87"/>
        <v>0</v>
      </c>
      <c r="CN93" s="229">
        <f t="shared" si="87"/>
        <v>0</v>
      </c>
      <c r="CO93" s="229">
        <f t="shared" si="81"/>
        <v>0</v>
      </c>
      <c r="CP93" s="229">
        <f t="shared" si="81"/>
        <v>0</v>
      </c>
      <c r="CQ93" s="229">
        <f t="shared" si="87"/>
        <v>0</v>
      </c>
      <c r="CR93" s="229">
        <f t="shared" si="87"/>
        <v>0</v>
      </c>
      <c r="CS93" s="229">
        <f t="shared" si="87"/>
        <v>0</v>
      </c>
      <c r="CT93" s="229">
        <f t="shared" si="87"/>
        <v>0</v>
      </c>
      <c r="CU93" s="230"/>
      <c r="CV93" s="231"/>
      <c r="CW93" s="231"/>
      <c r="CX93" s="231"/>
      <c r="CY93" s="231"/>
      <c r="CZ93" s="231"/>
      <c r="DA93" s="231"/>
      <c r="DB93" s="231" t="e">
        <f t="shared" ca="1" si="74"/>
        <v>#N/A</v>
      </c>
      <c r="DC93" s="231"/>
      <c r="DD93" s="231">
        <f>IF(SUM(DD$24:DD92)=DD$22,0,IF(AND($M93&gt;=DD$15,$M93&lt;(DD$16+1)),DD$22/(DD$16-DD$15+1),0))</f>
        <v>0</v>
      </c>
      <c r="DE93" s="231">
        <f>IF(SUM(DE$24:DE92)=DE$22,0,IF(AND($M93&gt;=DE$15,$M93&lt;(DE$16+1)),DE$22/(DE$16-DE$15+1),0))</f>
        <v>0</v>
      </c>
      <c r="DF93" s="231">
        <f>IF(SUM(DF$24:DF92)=DF$22,0,IF(AND($M93&gt;=DF$15,$M93&lt;(DF$16+1)),DF$22/(DF$16-DF$15+1),0))</f>
        <v>0</v>
      </c>
      <c r="DG93" s="231">
        <f>IF(SUM(DG$24:DG92)=DG$22,0,IF(AND($M93&gt;=DG$15,$M93&lt;(DG$16+1)),DG$22/(DG$16-DG$15+1),0))</f>
        <v>0</v>
      </c>
      <c r="DH93" s="231">
        <f t="shared" si="102"/>
        <v>0</v>
      </c>
      <c r="DI93" s="231">
        <f t="shared" si="102"/>
        <v>0</v>
      </c>
      <c r="DJ93" s="231">
        <f t="shared" si="102"/>
        <v>0</v>
      </c>
      <c r="DK93" s="231">
        <f t="shared" si="102"/>
        <v>0</v>
      </c>
      <c r="DL93" s="231">
        <f t="shared" si="102"/>
        <v>0</v>
      </c>
      <c r="DM93" s="231">
        <f t="shared" si="102"/>
        <v>0</v>
      </c>
      <c r="DN93" s="231">
        <f t="shared" si="83"/>
        <v>0</v>
      </c>
      <c r="DO93" s="231">
        <f t="shared" si="102"/>
        <v>0</v>
      </c>
      <c r="DP93" s="231">
        <f t="shared" si="102"/>
        <v>0</v>
      </c>
      <c r="DQ93" s="231">
        <f t="shared" si="102"/>
        <v>0</v>
      </c>
      <c r="DR93" s="231">
        <f t="shared" si="102"/>
        <v>0</v>
      </c>
      <c r="DS93" s="231">
        <f t="shared" si="102"/>
        <v>0</v>
      </c>
      <c r="DT93" s="231">
        <f ca="1">IF(SUM(DT$24:DT92)=DT$22,0,IF(AND($M93&gt;=DT$15,$M93&lt;(DT$16+1)),DT$22/(DT$16-DT$15+1),0))</f>
        <v>0</v>
      </c>
      <c r="DU93" s="231">
        <f ca="1">IF(SUM(DU$24:DU92)=DU$22,0,IF(AND($M93&gt;=DU$15,$M93&lt;(DU$16+1)),DU$22/(DU$16-DU$15+1),0))</f>
        <v>0</v>
      </c>
      <c r="DV93" s="231">
        <f ca="1">IF(SUM(DV$24:DV92)=DV$22,0,IF(AND(M93&gt;=DV$15,M93&lt;(DV$16+1)),DV$22/(DV$16-DV$15+1),0))</f>
        <v>0</v>
      </c>
      <c r="DW93" s="231" t="e">
        <f ca="1">IF(SUM(DW$24:DW92)=DW$22,0,IF(AND($M93&gt;=DW$15,$M93&lt;(DW$16+1)),DW$22/(DW$16-DW$15+1),0))</f>
        <v>#N/A</v>
      </c>
      <c r="DX93" s="231">
        <f ca="1">IF(SUM(DX$24:DX92)=DX$22,0,IF(AND($M93&gt;=DX$15,$M93&lt;(DX$16+1)),DX$22/(DX$16-DX$15+1),0))</f>
        <v>0</v>
      </c>
      <c r="DY93" s="231">
        <f ca="1">IF(SUM(DY$24:DY92)=DY$22,0,IF(AND($M93&gt;=DY$15,$M93&lt;(DY$16+1)),DY$22/(DY$16-DY$15+1),0))</f>
        <v>0</v>
      </c>
      <c r="DZ93" s="231">
        <f ca="1">IF(SUM(DZ$24:DZ92)=DZ$22,0,IF(AND($M93&gt;=DZ$15,$M93&lt;(DZ$16+1)),DZ$22/(DZ$16-DZ$15+1),0))</f>
        <v>0</v>
      </c>
      <c r="EA93" s="231" t="e">
        <f ca="1">IF(SUM(EA$24:EA92)=EA$22,0,IF(AND(M93&gt;=EA$15,M93&lt;(EA$16+1)),EA$22/(EA$16-EA$15+1),0))</f>
        <v>#N/A</v>
      </c>
      <c r="EC93" s="234">
        <f t="shared" si="92"/>
        <v>66</v>
      </c>
      <c r="ED93" s="234" t="e">
        <f t="shared" ca="1" si="93"/>
        <v>#N/A</v>
      </c>
      <c r="EE93" s="235" t="e">
        <f t="shared" ca="1" si="94"/>
        <v>#N/A</v>
      </c>
      <c r="EF93" s="234" t="e">
        <f t="shared" ca="1" si="104"/>
        <v>#N/A</v>
      </c>
      <c r="EG93" s="234" t="e">
        <f t="shared" ref="EG93:EG153" ca="1" si="106">$EE89*EG$22</f>
        <v>#N/A</v>
      </c>
      <c r="EH93" s="234" t="e">
        <f t="shared" ca="1" si="34"/>
        <v>#N/A</v>
      </c>
      <c r="EI93" s="234"/>
      <c r="EJ93" s="234"/>
      <c r="EK93" s="153" t="e">
        <f t="shared" ca="1" si="95"/>
        <v>#N/A</v>
      </c>
      <c r="EL93" s="231" t="e">
        <f ca="1">IF(SUM(EL$24:EL92)=EL$22,0,IF(AND($M93&gt;=EL$15,$M93&lt;(EL$16+1)),EL$22/(EL$16-EL$15+1),0))</f>
        <v>#N/A</v>
      </c>
      <c r="EM93" s="153" t="e">
        <f t="shared" ca="1" si="96"/>
        <v>#N/A</v>
      </c>
      <c r="EO93" s="60"/>
      <c r="EP93" s="60"/>
    </row>
    <row r="94" spans="1:146" ht="13.9" customHeight="1">
      <c r="A94" s="220"/>
      <c r="B94" s="236">
        <f t="shared" si="100"/>
        <v>67</v>
      </c>
      <c r="C94" s="221">
        <f t="shared" si="97"/>
        <v>45598.502200000104</v>
      </c>
      <c r="D94" s="222" t="e">
        <f ca="1">'Offshore INT'!R83</f>
        <v>#N/A</v>
      </c>
      <c r="E94" s="223" t="e">
        <f t="shared" ca="1" si="88"/>
        <v>#N/A</v>
      </c>
      <c r="F94" s="224"/>
      <c r="G94" s="225">
        <f>IF(G93=1,1,SUM($F$24:F94))</f>
        <v>0</v>
      </c>
      <c r="H94" s="226" t="e">
        <f ca="1">IF(H93=0,0,SUM($I$24:I94))</f>
        <v>#N/A</v>
      </c>
      <c r="I94" s="227" t="e">
        <f t="shared" ca="1" si="89"/>
        <v>#N/A</v>
      </c>
      <c r="J94" s="222">
        <f t="shared" ca="1" si="98"/>
        <v>0</v>
      </c>
      <c r="K94" s="60"/>
      <c r="L94" s="228"/>
      <c r="M94" s="228">
        <f t="shared" si="90"/>
        <v>67</v>
      </c>
      <c r="N94" s="221">
        <f t="shared" si="91"/>
        <v>45598.502200000104</v>
      </c>
      <c r="O94" s="229">
        <f t="shared" si="105"/>
        <v>0</v>
      </c>
      <c r="P94" s="229">
        <f t="shared" si="105"/>
        <v>0</v>
      </c>
      <c r="Q94" s="229">
        <f t="shared" si="105"/>
        <v>0</v>
      </c>
      <c r="R94" s="229">
        <f t="shared" si="105"/>
        <v>0</v>
      </c>
      <c r="S94" s="229">
        <f t="shared" si="105"/>
        <v>0</v>
      </c>
      <c r="T94" s="229">
        <f t="shared" si="105"/>
        <v>0</v>
      </c>
      <c r="U94" s="229">
        <f t="shared" si="105"/>
        <v>0</v>
      </c>
      <c r="V94" s="229">
        <f t="shared" si="105"/>
        <v>0</v>
      </c>
      <c r="W94" s="229">
        <f t="shared" si="105"/>
        <v>0</v>
      </c>
      <c r="X94" s="229">
        <f t="shared" si="105"/>
        <v>0</v>
      </c>
      <c r="Y94" s="229">
        <f t="shared" si="105"/>
        <v>0</v>
      </c>
      <c r="Z94" s="229">
        <f t="shared" si="105"/>
        <v>0</v>
      </c>
      <c r="AA94" s="229">
        <f t="shared" ref="AA94:BC103" si="107">IF($M94=AA$13,AA$22*AA$3,IF($M94=AA$14,AA$22*AA$4,IF($M94=AA$15,AA$22*AA$5,IF($M94=AA$16,AA$22*AA$6,IF($M94=AA$17,AA$22*AA$7,IF($M94=AA$18,AA$22*AA$8,IF($M94=AA$19,AA$22*AA$9,IF($M94=AA$20,AA$22*AA$10,0))))))))</f>
        <v>0</v>
      </c>
      <c r="AB94" s="229">
        <f t="shared" si="107"/>
        <v>0</v>
      </c>
      <c r="AC94" s="229">
        <f t="shared" si="107"/>
        <v>0</v>
      </c>
      <c r="AD94" s="229">
        <f t="shared" si="107"/>
        <v>0</v>
      </c>
      <c r="AE94" s="229">
        <f t="shared" si="107"/>
        <v>0</v>
      </c>
      <c r="AF94" s="229">
        <f t="shared" si="107"/>
        <v>0</v>
      </c>
      <c r="AG94" s="229">
        <f t="shared" si="107"/>
        <v>0</v>
      </c>
      <c r="AH94" s="229">
        <f t="shared" si="107"/>
        <v>0</v>
      </c>
      <c r="AI94" s="229">
        <f t="shared" si="107"/>
        <v>0</v>
      </c>
      <c r="AJ94" s="229">
        <f t="shared" si="107"/>
        <v>0</v>
      </c>
      <c r="AK94" s="229">
        <f t="shared" si="107"/>
        <v>0</v>
      </c>
      <c r="AL94" s="229">
        <f t="shared" si="107"/>
        <v>0</v>
      </c>
      <c r="AM94" s="229">
        <f t="shared" si="107"/>
        <v>0</v>
      </c>
      <c r="AN94" s="229">
        <f t="shared" si="107"/>
        <v>0</v>
      </c>
      <c r="AO94" s="229">
        <f t="shared" si="107"/>
        <v>0</v>
      </c>
      <c r="AP94" s="229">
        <f t="shared" si="107"/>
        <v>0</v>
      </c>
      <c r="AQ94" s="229">
        <f t="shared" si="107"/>
        <v>0</v>
      </c>
      <c r="AR94" s="229">
        <f t="shared" si="107"/>
        <v>0</v>
      </c>
      <c r="AS94" s="229">
        <f t="shared" si="103"/>
        <v>0</v>
      </c>
      <c r="AT94" s="229">
        <f t="shared" si="103"/>
        <v>0</v>
      </c>
      <c r="AU94" s="229">
        <f t="shared" si="103"/>
        <v>0</v>
      </c>
      <c r="AV94" s="229">
        <f t="shared" si="103"/>
        <v>0</v>
      </c>
      <c r="AW94" s="229">
        <f t="shared" si="103"/>
        <v>0</v>
      </c>
      <c r="AX94" s="229">
        <f t="shared" si="107"/>
        <v>0</v>
      </c>
      <c r="AY94" s="229">
        <f t="shared" si="107"/>
        <v>0</v>
      </c>
      <c r="AZ94" s="229">
        <f t="shared" si="107"/>
        <v>0</v>
      </c>
      <c r="BA94" s="229">
        <f t="shared" si="107"/>
        <v>0</v>
      </c>
      <c r="BB94" s="229">
        <f t="shared" si="107"/>
        <v>0</v>
      </c>
      <c r="BC94" s="229">
        <f t="shared" si="107"/>
        <v>0</v>
      </c>
      <c r="BD94" s="229">
        <f t="shared" ref="BD94:BP103" si="108">IF($M94=BD$13,BD$22*BD$3,IF($M94=BD$14,BD$22*BD$4,IF($M94=BD$15,BD$22*BD$5,IF($M94=BD$16,BD$22*BD$6,IF($M94=BD$17,BD$22*BD$7,IF($M94=BD$18,BD$22*BD$8,IF($M94=BD$19,BD$22*BD$9,IF($M94=BD$20,BD$22*BD$10,0))))))))</f>
        <v>0</v>
      </c>
      <c r="BE94" s="229">
        <f t="shared" si="108"/>
        <v>0</v>
      </c>
      <c r="BF94" s="229">
        <f t="shared" si="108"/>
        <v>0</v>
      </c>
      <c r="BG94" s="229">
        <f t="shared" si="108"/>
        <v>0</v>
      </c>
      <c r="BH94" s="229">
        <f t="shared" si="108"/>
        <v>0</v>
      </c>
      <c r="BI94" s="229">
        <f t="shared" si="108"/>
        <v>0</v>
      </c>
      <c r="BJ94" s="229">
        <f t="shared" si="108"/>
        <v>0</v>
      </c>
      <c r="BK94" s="229">
        <f t="shared" si="108"/>
        <v>0</v>
      </c>
      <c r="BL94" s="229">
        <f t="shared" si="108"/>
        <v>0</v>
      </c>
      <c r="BM94" s="229">
        <f t="shared" si="108"/>
        <v>0</v>
      </c>
      <c r="BN94" s="229">
        <f t="shared" si="108"/>
        <v>0</v>
      </c>
      <c r="BO94" s="229">
        <f t="shared" si="108"/>
        <v>0</v>
      </c>
      <c r="BP94" s="229">
        <f t="shared" si="108"/>
        <v>0</v>
      </c>
      <c r="BQ94" s="229">
        <f t="shared" ref="BQ94:CC103" si="109">IF($M94=BQ$13,BQ$22*BQ$3,IF($M94=BQ$14,BQ$22*BQ$4,IF($M94=BQ$15,BQ$22*BQ$5,IF($M94=BQ$16,BQ$22*BQ$6,IF($M94=BQ$17,BQ$22*BQ$7,IF($M94=BQ$18,BQ$22*BQ$8,IF($M94=BQ$19,BQ$22*BQ$9,IF($M94=BQ$20,BQ$22*BQ$10,0))))))))</f>
        <v>0</v>
      </c>
      <c r="BR94" s="229">
        <f t="shared" si="109"/>
        <v>0</v>
      </c>
      <c r="BS94" s="229">
        <f t="shared" si="109"/>
        <v>0</v>
      </c>
      <c r="BT94" s="229">
        <f t="shared" si="109"/>
        <v>0</v>
      </c>
      <c r="BU94" s="229">
        <f t="shared" si="109"/>
        <v>0</v>
      </c>
      <c r="BV94" s="229">
        <f t="shared" si="109"/>
        <v>0</v>
      </c>
      <c r="BW94" s="229">
        <f t="shared" si="109"/>
        <v>0</v>
      </c>
      <c r="BX94" s="229">
        <f t="shared" si="109"/>
        <v>0</v>
      </c>
      <c r="BY94" s="229">
        <f t="shared" si="109"/>
        <v>0</v>
      </c>
      <c r="BZ94" s="229">
        <f t="shared" si="109"/>
        <v>0</v>
      </c>
      <c r="CA94" s="229">
        <f t="shared" si="109"/>
        <v>0</v>
      </c>
      <c r="CB94" s="229">
        <f t="shared" si="109"/>
        <v>0</v>
      </c>
      <c r="CC94" s="229">
        <f t="shared" si="109"/>
        <v>0</v>
      </c>
      <c r="CD94" s="229">
        <f t="shared" ref="CD94:CT103" si="110">IF($M94=CD$13,CD$22*CD$3,IF($M94=CD$14,CD$22*CD$4,IF($M94=CD$15,CD$22*CD$5,IF($M94=CD$16,CD$22*CD$6,IF($M94=CD$17,CD$22*CD$7,IF($M94=CD$18,CD$22*CD$8,IF($M94=CD$19,CD$22*CD$9,IF($M94=CD$20,CD$22*CD$10,0))))))))</f>
        <v>0</v>
      </c>
      <c r="CE94" s="229">
        <f t="shared" si="99"/>
        <v>0</v>
      </c>
      <c r="CF94" s="229">
        <f t="shared" si="110"/>
        <v>0</v>
      </c>
      <c r="CG94" s="229">
        <f t="shared" si="110"/>
        <v>0</v>
      </c>
      <c r="CH94" s="229">
        <f t="shared" si="110"/>
        <v>0</v>
      </c>
      <c r="CI94" s="229">
        <f t="shared" si="110"/>
        <v>0</v>
      </c>
      <c r="CJ94" s="229">
        <f t="shared" si="70"/>
        <v>0</v>
      </c>
      <c r="CK94" s="229">
        <f t="shared" si="110"/>
        <v>0</v>
      </c>
      <c r="CL94" s="229">
        <f t="shared" si="110"/>
        <v>0</v>
      </c>
      <c r="CM94" s="229">
        <f t="shared" si="110"/>
        <v>0</v>
      </c>
      <c r="CN94" s="229">
        <f t="shared" si="110"/>
        <v>0</v>
      </c>
      <c r="CO94" s="229">
        <f t="shared" si="81"/>
        <v>0</v>
      </c>
      <c r="CP94" s="229">
        <f t="shared" si="81"/>
        <v>0</v>
      </c>
      <c r="CQ94" s="229">
        <f t="shared" si="110"/>
        <v>0</v>
      </c>
      <c r="CR94" s="229">
        <f t="shared" si="110"/>
        <v>0</v>
      </c>
      <c r="CS94" s="229">
        <f t="shared" si="110"/>
        <v>0</v>
      </c>
      <c r="CT94" s="229">
        <f t="shared" si="110"/>
        <v>0</v>
      </c>
      <c r="CU94" s="230"/>
      <c r="CV94" s="231"/>
      <c r="CW94" s="231"/>
      <c r="CX94" s="231"/>
      <c r="CY94" s="231"/>
      <c r="CZ94" s="231"/>
      <c r="DA94" s="231"/>
      <c r="DB94" s="231" t="e">
        <f t="shared" ca="1" si="74"/>
        <v>#N/A</v>
      </c>
      <c r="DC94" s="231"/>
      <c r="DD94" s="231">
        <f>IF(SUM(DD$24:DD93)=DD$22,0,IF(AND($M94&gt;=DD$15,$M94&lt;(DD$16+1)),DD$22/(DD$16-DD$15+1),0))</f>
        <v>0</v>
      </c>
      <c r="DE94" s="231">
        <f>IF(SUM(DE$24:DE93)=DE$22,0,IF(AND($M94&gt;=DE$15,$M94&lt;(DE$16+1)),DE$22/(DE$16-DE$15+1),0))</f>
        <v>0</v>
      </c>
      <c r="DF94" s="231">
        <f>IF(SUM(DF$24:DF93)=DF$22,0,IF(AND($M94&gt;=DF$15,$M94&lt;(DF$16+1)),DF$22/(DF$16-DF$15+1),0))</f>
        <v>0</v>
      </c>
      <c r="DG94" s="231">
        <f>IF(SUM(DG$24:DG93)=DG$22,0,IF(AND($M94&gt;=DG$15,$M94&lt;(DG$16+1)),DG$22/(DG$16-DG$15+1),0))</f>
        <v>0</v>
      </c>
      <c r="DH94" s="231">
        <f t="shared" si="102"/>
        <v>0</v>
      </c>
      <c r="DI94" s="231">
        <f t="shared" si="102"/>
        <v>0</v>
      </c>
      <c r="DJ94" s="231">
        <f t="shared" si="102"/>
        <v>0</v>
      </c>
      <c r="DK94" s="231">
        <f t="shared" si="102"/>
        <v>0</v>
      </c>
      <c r="DL94" s="231">
        <f t="shared" si="102"/>
        <v>0</v>
      </c>
      <c r="DM94" s="231">
        <f t="shared" si="102"/>
        <v>0</v>
      </c>
      <c r="DN94" s="231">
        <f t="shared" si="83"/>
        <v>0</v>
      </c>
      <c r="DO94" s="231">
        <f t="shared" si="102"/>
        <v>0</v>
      </c>
      <c r="DP94" s="231">
        <f t="shared" si="102"/>
        <v>0</v>
      </c>
      <c r="DQ94" s="231">
        <f t="shared" si="102"/>
        <v>0</v>
      </c>
      <c r="DR94" s="231">
        <f t="shared" si="102"/>
        <v>0</v>
      </c>
      <c r="DS94" s="231">
        <f t="shared" si="102"/>
        <v>0</v>
      </c>
      <c r="DT94" s="231">
        <f ca="1">IF(SUM(DT$24:DT93)=DT$22,0,IF(AND($M94&gt;=DT$15,$M94&lt;(DT$16+1)),DT$22/(DT$16-DT$15+1),0))</f>
        <v>0</v>
      </c>
      <c r="DU94" s="231">
        <f ca="1">IF(SUM(DU$24:DU93)=DU$22,0,IF(AND($M94&gt;=DU$15,$M94&lt;(DU$16+1)),DU$22/(DU$16-DU$15+1),0))</f>
        <v>0</v>
      </c>
      <c r="DV94" s="231">
        <f ca="1">IF(SUM(DV$24:DV93)=DV$22,0,IF(AND(M94&gt;=DV$15,M94&lt;(DV$16+1)),DV$22/(DV$16-DV$15+1),0))</f>
        <v>0</v>
      </c>
      <c r="DW94" s="231" t="e">
        <f ca="1">IF(SUM(DW$24:DW93)=DW$22,0,IF(AND($M94&gt;=DW$15,$M94&lt;(DW$16+1)),DW$22/(DW$16-DW$15+1),0))</f>
        <v>#N/A</v>
      </c>
      <c r="DX94" s="231">
        <f ca="1">IF(SUM(DX$24:DX93)=DX$22,0,IF(AND($M94&gt;=DX$15,$M94&lt;(DX$16+1)),DX$22/(DX$16-DX$15+1),0))</f>
        <v>0</v>
      </c>
      <c r="DY94" s="231">
        <f ca="1">IF(SUM(DY$24:DY93)=DY$22,0,IF(AND($M94&gt;=DY$15,$M94&lt;(DY$16+1)),DY$22/(DY$16-DY$15+1),0))</f>
        <v>0</v>
      </c>
      <c r="DZ94" s="231">
        <f ca="1">IF(SUM(DZ$24:DZ93)=DZ$22,0,IF(AND($M94&gt;=DZ$15,$M94&lt;(DZ$16+1)),DZ$22/(DZ$16-DZ$15+1),0))</f>
        <v>0</v>
      </c>
      <c r="EA94" s="231" t="e">
        <f ca="1">IF(SUM(EA$24:EA93)=EA$22,0,IF(AND(M94&gt;=EA$15,M94&lt;(EA$16+1)),EA$22/(EA$16-EA$15+1),0))</f>
        <v>#N/A</v>
      </c>
      <c r="EC94" s="234">
        <f t="shared" si="92"/>
        <v>67</v>
      </c>
      <c r="ED94" s="234" t="e">
        <f t="shared" ca="1" si="93"/>
        <v>#N/A</v>
      </c>
      <c r="EE94" s="235" t="e">
        <f t="shared" ca="1" si="94"/>
        <v>#N/A</v>
      </c>
      <c r="EF94" s="234" t="e">
        <f t="shared" ca="1" si="104"/>
        <v>#N/A</v>
      </c>
      <c r="EG94" s="234" t="e">
        <f t="shared" ca="1" si="106"/>
        <v>#N/A</v>
      </c>
      <c r="EH94" s="234" t="e">
        <f t="shared" ca="1" si="34"/>
        <v>#N/A</v>
      </c>
      <c r="EI94" s="234"/>
      <c r="EJ94" s="234"/>
      <c r="EK94" s="153" t="e">
        <f t="shared" ca="1" si="95"/>
        <v>#N/A</v>
      </c>
      <c r="EL94" s="231" t="e">
        <f ca="1">IF(SUM(EL$24:EL93)=EL$22,0,IF(AND($M94&gt;=EL$15,$M94&lt;(EL$16+1)),EL$22/(EL$16-EL$15+1),0))</f>
        <v>#N/A</v>
      </c>
      <c r="EM94" s="153" t="e">
        <f t="shared" ca="1" si="96"/>
        <v>#N/A</v>
      </c>
      <c r="EO94" s="60"/>
      <c r="EP94" s="60"/>
    </row>
    <row r="95" spans="1:146" ht="13.9" customHeight="1">
      <c r="A95" s="220"/>
      <c r="B95" s="236">
        <f t="shared" si="100"/>
        <v>68</v>
      </c>
      <c r="C95" s="221">
        <f t="shared" si="97"/>
        <v>45628.918900000106</v>
      </c>
      <c r="D95" s="222" t="e">
        <f ca="1">'Offshore INT'!R84</f>
        <v>#N/A</v>
      </c>
      <c r="E95" s="223" t="e">
        <f t="shared" ca="1" si="88"/>
        <v>#N/A</v>
      </c>
      <c r="F95" s="224"/>
      <c r="G95" s="225">
        <f>IF(G94=1,1,SUM($F$24:F95))</f>
        <v>0</v>
      </c>
      <c r="H95" s="226" t="e">
        <f ca="1">IF(H94=0,0,SUM($I$24:I95))</f>
        <v>#N/A</v>
      </c>
      <c r="I95" s="227" t="e">
        <f t="shared" ca="1" si="89"/>
        <v>#N/A</v>
      </c>
      <c r="J95" s="222">
        <f t="shared" ca="1" si="98"/>
        <v>0</v>
      </c>
      <c r="K95" s="60"/>
      <c r="L95" s="228"/>
      <c r="M95" s="228">
        <f t="shared" si="90"/>
        <v>68</v>
      </c>
      <c r="N95" s="221">
        <f t="shared" si="91"/>
        <v>45628.918900000106</v>
      </c>
      <c r="O95" s="229">
        <f t="shared" si="105"/>
        <v>0</v>
      </c>
      <c r="P95" s="229">
        <f t="shared" si="105"/>
        <v>0</v>
      </c>
      <c r="Q95" s="229">
        <f t="shared" si="105"/>
        <v>0</v>
      </c>
      <c r="R95" s="229">
        <f t="shared" si="105"/>
        <v>0</v>
      </c>
      <c r="S95" s="229">
        <f t="shared" si="105"/>
        <v>0</v>
      </c>
      <c r="T95" s="229">
        <f t="shared" si="105"/>
        <v>0</v>
      </c>
      <c r="U95" s="229">
        <f t="shared" si="105"/>
        <v>0</v>
      </c>
      <c r="V95" s="229">
        <f t="shared" si="105"/>
        <v>0</v>
      </c>
      <c r="W95" s="229">
        <f t="shared" si="105"/>
        <v>0</v>
      </c>
      <c r="X95" s="229">
        <f t="shared" si="105"/>
        <v>0</v>
      </c>
      <c r="Y95" s="229">
        <f t="shared" si="105"/>
        <v>0</v>
      </c>
      <c r="Z95" s="229">
        <f t="shared" si="105"/>
        <v>0</v>
      </c>
      <c r="AA95" s="229">
        <f t="shared" si="107"/>
        <v>0</v>
      </c>
      <c r="AB95" s="229">
        <f t="shared" si="107"/>
        <v>0</v>
      </c>
      <c r="AC95" s="229">
        <f t="shared" si="107"/>
        <v>0</v>
      </c>
      <c r="AD95" s="229">
        <f t="shared" si="107"/>
        <v>0</v>
      </c>
      <c r="AE95" s="229">
        <f t="shared" si="107"/>
        <v>0</v>
      </c>
      <c r="AF95" s="229">
        <f t="shared" si="107"/>
        <v>0</v>
      </c>
      <c r="AG95" s="229">
        <f t="shared" si="107"/>
        <v>0</v>
      </c>
      <c r="AH95" s="229">
        <f t="shared" si="107"/>
        <v>0</v>
      </c>
      <c r="AI95" s="229">
        <f t="shared" si="107"/>
        <v>0</v>
      </c>
      <c r="AJ95" s="229">
        <f t="shared" si="107"/>
        <v>0</v>
      </c>
      <c r="AK95" s="229">
        <f t="shared" si="107"/>
        <v>0</v>
      </c>
      <c r="AL95" s="229">
        <f t="shared" si="107"/>
        <v>0</v>
      </c>
      <c r="AM95" s="229">
        <f t="shared" si="107"/>
        <v>0</v>
      </c>
      <c r="AN95" s="229">
        <f t="shared" si="107"/>
        <v>0</v>
      </c>
      <c r="AO95" s="229">
        <f t="shared" si="107"/>
        <v>0</v>
      </c>
      <c r="AP95" s="229">
        <f t="shared" si="107"/>
        <v>0</v>
      </c>
      <c r="AQ95" s="229">
        <f t="shared" si="107"/>
        <v>0</v>
      </c>
      <c r="AR95" s="229">
        <f t="shared" si="107"/>
        <v>0</v>
      </c>
      <c r="AS95" s="229">
        <f t="shared" si="103"/>
        <v>0</v>
      </c>
      <c r="AT95" s="229">
        <f t="shared" si="103"/>
        <v>0</v>
      </c>
      <c r="AU95" s="229">
        <f t="shared" si="103"/>
        <v>0</v>
      </c>
      <c r="AV95" s="229">
        <f t="shared" si="103"/>
        <v>0</v>
      </c>
      <c r="AW95" s="229">
        <f t="shared" si="103"/>
        <v>0</v>
      </c>
      <c r="AX95" s="229">
        <f t="shared" si="107"/>
        <v>0</v>
      </c>
      <c r="AY95" s="229">
        <f t="shared" si="107"/>
        <v>0</v>
      </c>
      <c r="AZ95" s="229">
        <f t="shared" si="107"/>
        <v>0</v>
      </c>
      <c r="BA95" s="229">
        <f t="shared" si="107"/>
        <v>0</v>
      </c>
      <c r="BB95" s="229">
        <f t="shared" si="107"/>
        <v>0</v>
      </c>
      <c r="BC95" s="229">
        <f t="shared" si="107"/>
        <v>0</v>
      </c>
      <c r="BD95" s="229">
        <f t="shared" si="108"/>
        <v>0</v>
      </c>
      <c r="BE95" s="229">
        <f t="shared" si="108"/>
        <v>0</v>
      </c>
      <c r="BF95" s="229">
        <f t="shared" si="108"/>
        <v>0</v>
      </c>
      <c r="BG95" s="229">
        <f t="shared" si="108"/>
        <v>0</v>
      </c>
      <c r="BH95" s="229">
        <f t="shared" si="108"/>
        <v>0</v>
      </c>
      <c r="BI95" s="229">
        <f t="shared" si="108"/>
        <v>0</v>
      </c>
      <c r="BJ95" s="229">
        <f t="shared" si="108"/>
        <v>0</v>
      </c>
      <c r="BK95" s="229">
        <f t="shared" si="108"/>
        <v>0</v>
      </c>
      <c r="BL95" s="229">
        <f t="shared" si="108"/>
        <v>0</v>
      </c>
      <c r="BM95" s="229">
        <f t="shared" si="108"/>
        <v>0</v>
      </c>
      <c r="BN95" s="229">
        <f t="shared" si="108"/>
        <v>0</v>
      </c>
      <c r="BO95" s="229">
        <f t="shared" si="108"/>
        <v>0</v>
      </c>
      <c r="BP95" s="229">
        <f t="shared" si="108"/>
        <v>0</v>
      </c>
      <c r="BQ95" s="229">
        <f t="shared" si="109"/>
        <v>0</v>
      </c>
      <c r="BR95" s="229">
        <f t="shared" si="109"/>
        <v>0</v>
      </c>
      <c r="BS95" s="229">
        <f t="shared" si="109"/>
        <v>0</v>
      </c>
      <c r="BT95" s="229">
        <f t="shared" si="109"/>
        <v>0</v>
      </c>
      <c r="BU95" s="229">
        <f t="shared" si="109"/>
        <v>0</v>
      </c>
      <c r="BV95" s="229">
        <f t="shared" si="109"/>
        <v>0</v>
      </c>
      <c r="BW95" s="229">
        <f t="shared" si="109"/>
        <v>0</v>
      </c>
      <c r="BX95" s="229">
        <f t="shared" si="109"/>
        <v>0</v>
      </c>
      <c r="BY95" s="229">
        <f t="shared" si="109"/>
        <v>0</v>
      </c>
      <c r="BZ95" s="229">
        <f t="shared" si="109"/>
        <v>0</v>
      </c>
      <c r="CA95" s="229">
        <f t="shared" si="109"/>
        <v>0</v>
      </c>
      <c r="CB95" s="229">
        <f t="shared" si="109"/>
        <v>0</v>
      </c>
      <c r="CC95" s="229">
        <f t="shared" si="109"/>
        <v>0</v>
      </c>
      <c r="CD95" s="229">
        <f t="shared" si="110"/>
        <v>0</v>
      </c>
      <c r="CE95" s="229">
        <f t="shared" si="99"/>
        <v>0</v>
      </c>
      <c r="CF95" s="229">
        <f t="shared" si="110"/>
        <v>0</v>
      </c>
      <c r="CG95" s="229">
        <f t="shared" si="110"/>
        <v>0</v>
      </c>
      <c r="CH95" s="229">
        <f t="shared" si="110"/>
        <v>0</v>
      </c>
      <c r="CI95" s="229">
        <f t="shared" si="110"/>
        <v>0</v>
      </c>
      <c r="CJ95" s="229">
        <f t="shared" si="70"/>
        <v>0</v>
      </c>
      <c r="CK95" s="229">
        <f t="shared" si="110"/>
        <v>0</v>
      </c>
      <c r="CL95" s="229">
        <f t="shared" si="110"/>
        <v>0</v>
      </c>
      <c r="CM95" s="229">
        <f t="shared" si="110"/>
        <v>0</v>
      </c>
      <c r="CN95" s="229">
        <f t="shared" si="110"/>
        <v>0</v>
      </c>
      <c r="CO95" s="229">
        <f t="shared" ref="CO95:CP110" si="111">IF($M95=CO$13,CO$22*CO$3,IF($M95=CO$14,CO$22*CO$4,IF($M95=CO$15,CO$22*CO$5,IF($M95=CO$16,CO$22*CO$6,IF($M95=CO$17,CO$22*CO$7,IF($M95=CO$18,CO$22*CO$8,IF($M95=CO$19,CO$22*CO$9,IF($M95=CO$20,CO$22*CO$10,0))))))))</f>
        <v>0</v>
      </c>
      <c r="CP95" s="229">
        <f t="shared" si="111"/>
        <v>0</v>
      </c>
      <c r="CQ95" s="229">
        <f t="shared" si="110"/>
        <v>0</v>
      </c>
      <c r="CR95" s="229">
        <f t="shared" si="110"/>
        <v>0</v>
      </c>
      <c r="CS95" s="229">
        <f t="shared" si="110"/>
        <v>0</v>
      </c>
      <c r="CT95" s="229">
        <f t="shared" si="110"/>
        <v>0</v>
      </c>
      <c r="CU95" s="230"/>
      <c r="CV95" s="231"/>
      <c r="CW95" s="231"/>
      <c r="CX95" s="231"/>
      <c r="CY95" s="231"/>
      <c r="CZ95" s="231"/>
      <c r="DA95" s="231"/>
      <c r="DB95" s="231" t="e">
        <f t="shared" ca="1" si="74"/>
        <v>#N/A</v>
      </c>
      <c r="DC95" s="231"/>
      <c r="DD95" s="231">
        <f>IF(SUM(DD$24:DD94)=DD$22,0,IF(AND($M95&gt;=DD$15,$M95&lt;(DD$16+1)),DD$22/(DD$16-DD$15+1),0))</f>
        <v>0</v>
      </c>
      <c r="DE95" s="231">
        <f>IF(SUM(DE$24:DE94)=DE$22,0,IF(AND($M95&gt;=DE$15,$M95&lt;(DE$16+1)),DE$22/(DE$16-DE$15+1),0))</f>
        <v>0</v>
      </c>
      <c r="DF95" s="231">
        <f>IF(SUM(DF$24:DF94)=DF$22,0,IF(AND($M95&gt;=DF$15,$M95&lt;(DF$16+1)),DF$22/(DF$16-DF$15+1),0))</f>
        <v>0</v>
      </c>
      <c r="DG95" s="231">
        <f>IF(SUM(DG$24:DG94)=DG$22,0,IF(AND($M95&gt;=DG$15,$M95&lt;(DG$16+1)),DG$22/(DG$16-DG$15+1),0))</f>
        <v>0</v>
      </c>
      <c r="DH95" s="231">
        <f t="shared" si="102"/>
        <v>0</v>
      </c>
      <c r="DI95" s="231">
        <f t="shared" si="102"/>
        <v>0</v>
      </c>
      <c r="DJ95" s="231">
        <f t="shared" si="102"/>
        <v>0</v>
      </c>
      <c r="DK95" s="231">
        <f t="shared" si="102"/>
        <v>0</v>
      </c>
      <c r="DL95" s="231">
        <f t="shared" si="102"/>
        <v>0</v>
      </c>
      <c r="DM95" s="231">
        <f t="shared" si="102"/>
        <v>0</v>
      </c>
      <c r="DN95" s="231">
        <f t="shared" si="83"/>
        <v>0</v>
      </c>
      <c r="DO95" s="231">
        <f t="shared" si="102"/>
        <v>0</v>
      </c>
      <c r="DP95" s="231">
        <f t="shared" si="102"/>
        <v>0</v>
      </c>
      <c r="DQ95" s="231">
        <f t="shared" si="102"/>
        <v>0</v>
      </c>
      <c r="DR95" s="231">
        <f t="shared" si="102"/>
        <v>0</v>
      </c>
      <c r="DS95" s="231">
        <f t="shared" si="102"/>
        <v>0</v>
      </c>
      <c r="DT95" s="231">
        <f ca="1">IF(SUM(DT$24:DT94)=DT$22,0,IF(AND($M95&gt;=DT$15,$M95&lt;(DT$16+1)),DT$22/(DT$16-DT$15+1),0))</f>
        <v>0</v>
      </c>
      <c r="DU95" s="231">
        <f ca="1">IF(SUM(DU$24:DU94)=DU$22,0,IF(AND($M95&gt;=DU$15,$M95&lt;(DU$16+1)),DU$22/(DU$16-DU$15+1),0))</f>
        <v>0</v>
      </c>
      <c r="DV95" s="231">
        <f ca="1">IF(SUM(DV$24:DV94)=DV$22,0,IF(AND(M95&gt;=DV$15,M95&lt;(DV$16+1)),DV$22/(DV$16-DV$15+1),0))</f>
        <v>0</v>
      </c>
      <c r="DW95" s="231" t="e">
        <f ca="1">IF(SUM(DW$24:DW94)=DW$22,0,IF(AND($M95&gt;=DW$15,$M95&lt;(DW$16+1)),DW$22/(DW$16-DW$15+1),0))</f>
        <v>#N/A</v>
      </c>
      <c r="DX95" s="231">
        <f ca="1">IF(SUM(DX$24:DX94)=DX$22,0,IF(AND($M95&gt;=DX$15,$M95&lt;(DX$16+1)),DX$22/(DX$16-DX$15+1),0))</f>
        <v>0</v>
      </c>
      <c r="DY95" s="231">
        <f ca="1">IF(SUM(DY$24:DY94)=DY$22,0,IF(AND($M95&gt;=DY$15,$M95&lt;(DY$16+1)),DY$22/(DY$16-DY$15+1),0))</f>
        <v>0</v>
      </c>
      <c r="DZ95" s="231">
        <f ca="1">IF(SUM(DZ$24:DZ94)=DZ$22,0,IF(AND($M95&gt;=DZ$15,$M95&lt;(DZ$16+1)),DZ$22/(DZ$16-DZ$15+1),0))</f>
        <v>0</v>
      </c>
      <c r="EA95" s="231" t="e">
        <f ca="1">IF(SUM(EA$24:EA94)=EA$22,0,IF(AND(M95&gt;=EA$15,M95&lt;(EA$16+1)),EA$22/(EA$16-EA$15+1),0))</f>
        <v>#N/A</v>
      </c>
      <c r="EC95" s="234">
        <f t="shared" si="92"/>
        <v>68</v>
      </c>
      <c r="ED95" s="234" t="e">
        <f t="shared" ca="1" si="93"/>
        <v>#N/A</v>
      </c>
      <c r="EE95" s="235" t="e">
        <f t="shared" ca="1" si="94"/>
        <v>#N/A</v>
      </c>
      <c r="EF95" s="234" t="e">
        <f t="shared" ca="1" si="104"/>
        <v>#N/A</v>
      </c>
      <c r="EG95" s="234" t="e">
        <f t="shared" ca="1" si="106"/>
        <v>#N/A</v>
      </c>
      <c r="EH95" s="234" t="e">
        <f t="shared" ref="EH95:EH153" ca="1" si="112">$EE89*EH$22</f>
        <v>#N/A</v>
      </c>
      <c r="EI95" s="234"/>
      <c r="EJ95" s="234"/>
      <c r="EK95" s="153" t="e">
        <f t="shared" ca="1" si="95"/>
        <v>#N/A</v>
      </c>
      <c r="EL95" s="231" t="e">
        <f ca="1">IF(SUM(EL$24:EL94)=EL$22,0,IF(AND($M95&gt;=EL$15,$M95&lt;(EL$16+1)),EL$22/(EL$16-EL$15+1),0))</f>
        <v>#N/A</v>
      </c>
      <c r="EM95" s="153" t="e">
        <f t="shared" ca="1" si="96"/>
        <v>#N/A</v>
      </c>
      <c r="EO95" s="60"/>
      <c r="EP95" s="60"/>
    </row>
    <row r="96" spans="1:146" ht="13.9" customHeight="1">
      <c r="A96" s="220"/>
      <c r="B96" s="1351">
        <f t="shared" si="100"/>
        <v>69</v>
      </c>
      <c r="C96" s="807">
        <f t="shared" si="97"/>
        <v>45659.335600000108</v>
      </c>
      <c r="D96" s="222" t="e">
        <f ca="1">'Offshore INT'!R85</f>
        <v>#N/A</v>
      </c>
      <c r="E96" s="223" t="e">
        <f t="shared" ca="1" si="88"/>
        <v>#N/A</v>
      </c>
      <c r="F96" s="224"/>
      <c r="G96" s="225">
        <f>IF(G95=1,1,SUM($F$24:F96))</f>
        <v>0</v>
      </c>
      <c r="H96" s="226" t="e">
        <f ca="1">IF(H95=0,0,SUM($I$24:I96))</f>
        <v>#N/A</v>
      </c>
      <c r="I96" s="227" t="e">
        <f t="shared" ca="1" si="89"/>
        <v>#N/A</v>
      </c>
      <c r="J96" s="222">
        <f t="shared" ca="1" si="98"/>
        <v>0</v>
      </c>
      <c r="K96" s="60"/>
      <c r="L96" s="228"/>
      <c r="M96" s="228">
        <f t="shared" si="90"/>
        <v>69</v>
      </c>
      <c r="N96" s="221">
        <f t="shared" si="91"/>
        <v>45659.335600000108</v>
      </c>
      <c r="O96" s="229">
        <f t="shared" si="105"/>
        <v>0</v>
      </c>
      <c r="P96" s="229">
        <f t="shared" si="105"/>
        <v>0</v>
      </c>
      <c r="Q96" s="229">
        <f t="shared" si="105"/>
        <v>0</v>
      </c>
      <c r="R96" s="229">
        <f t="shared" si="105"/>
        <v>0</v>
      </c>
      <c r="S96" s="229">
        <f t="shared" si="105"/>
        <v>0</v>
      </c>
      <c r="T96" s="229">
        <f t="shared" si="105"/>
        <v>0</v>
      </c>
      <c r="U96" s="229">
        <f t="shared" si="105"/>
        <v>0</v>
      </c>
      <c r="V96" s="229">
        <f t="shared" si="105"/>
        <v>0</v>
      </c>
      <c r="W96" s="229">
        <f t="shared" si="105"/>
        <v>0</v>
      </c>
      <c r="X96" s="229">
        <f t="shared" si="105"/>
        <v>0</v>
      </c>
      <c r="Y96" s="229">
        <f t="shared" si="105"/>
        <v>0</v>
      </c>
      <c r="Z96" s="229">
        <f t="shared" si="105"/>
        <v>0</v>
      </c>
      <c r="AA96" s="229">
        <f t="shared" si="107"/>
        <v>0</v>
      </c>
      <c r="AB96" s="229">
        <f t="shared" si="107"/>
        <v>0</v>
      </c>
      <c r="AC96" s="229">
        <f t="shared" si="107"/>
        <v>0</v>
      </c>
      <c r="AD96" s="229">
        <f t="shared" si="107"/>
        <v>0</v>
      </c>
      <c r="AE96" s="229">
        <f t="shared" si="107"/>
        <v>0</v>
      </c>
      <c r="AF96" s="229">
        <f t="shared" si="107"/>
        <v>0</v>
      </c>
      <c r="AG96" s="229">
        <f t="shared" si="107"/>
        <v>0</v>
      </c>
      <c r="AH96" s="229">
        <f t="shared" si="107"/>
        <v>0</v>
      </c>
      <c r="AI96" s="229">
        <f t="shared" si="107"/>
        <v>0</v>
      </c>
      <c r="AJ96" s="229">
        <f t="shared" si="107"/>
        <v>0</v>
      </c>
      <c r="AK96" s="229">
        <f t="shared" si="107"/>
        <v>0</v>
      </c>
      <c r="AL96" s="229">
        <f t="shared" si="107"/>
        <v>0</v>
      </c>
      <c r="AM96" s="229">
        <f t="shared" si="107"/>
        <v>0</v>
      </c>
      <c r="AN96" s="229">
        <f t="shared" si="107"/>
        <v>0</v>
      </c>
      <c r="AO96" s="229">
        <f t="shared" si="107"/>
        <v>0</v>
      </c>
      <c r="AP96" s="229">
        <f t="shared" si="107"/>
        <v>0</v>
      </c>
      <c r="AQ96" s="229">
        <f t="shared" si="107"/>
        <v>0</v>
      </c>
      <c r="AR96" s="229">
        <f t="shared" si="107"/>
        <v>0</v>
      </c>
      <c r="AS96" s="229">
        <f t="shared" si="103"/>
        <v>0</v>
      </c>
      <c r="AT96" s="229">
        <f t="shared" si="103"/>
        <v>0</v>
      </c>
      <c r="AU96" s="229">
        <f t="shared" si="103"/>
        <v>0</v>
      </c>
      <c r="AV96" s="229">
        <f t="shared" si="103"/>
        <v>0</v>
      </c>
      <c r="AW96" s="229">
        <f t="shared" si="103"/>
        <v>0</v>
      </c>
      <c r="AX96" s="229">
        <f t="shared" si="107"/>
        <v>0</v>
      </c>
      <c r="AY96" s="229">
        <f t="shared" si="107"/>
        <v>0</v>
      </c>
      <c r="AZ96" s="229">
        <f t="shared" si="107"/>
        <v>0</v>
      </c>
      <c r="BA96" s="229">
        <f t="shared" si="107"/>
        <v>0</v>
      </c>
      <c r="BB96" s="229">
        <f t="shared" si="107"/>
        <v>0</v>
      </c>
      <c r="BC96" s="229">
        <f t="shared" si="107"/>
        <v>0</v>
      </c>
      <c r="BD96" s="229">
        <f t="shared" si="108"/>
        <v>0</v>
      </c>
      <c r="BE96" s="229">
        <f t="shared" si="108"/>
        <v>0</v>
      </c>
      <c r="BF96" s="229">
        <f t="shared" si="108"/>
        <v>0</v>
      </c>
      <c r="BG96" s="229">
        <f t="shared" si="108"/>
        <v>0</v>
      </c>
      <c r="BH96" s="229">
        <f t="shared" si="108"/>
        <v>0</v>
      </c>
      <c r="BI96" s="229">
        <f t="shared" si="108"/>
        <v>0</v>
      </c>
      <c r="BJ96" s="229">
        <f t="shared" si="108"/>
        <v>0</v>
      </c>
      <c r="BK96" s="229">
        <f t="shared" si="108"/>
        <v>0</v>
      </c>
      <c r="BL96" s="229">
        <f t="shared" si="108"/>
        <v>0</v>
      </c>
      <c r="BM96" s="229">
        <f t="shared" si="108"/>
        <v>0</v>
      </c>
      <c r="BN96" s="229">
        <f t="shared" si="108"/>
        <v>0</v>
      </c>
      <c r="BO96" s="229">
        <f t="shared" si="108"/>
        <v>0</v>
      </c>
      <c r="BP96" s="229">
        <f t="shared" si="108"/>
        <v>0</v>
      </c>
      <c r="BQ96" s="229">
        <f t="shared" si="109"/>
        <v>0</v>
      </c>
      <c r="BR96" s="229">
        <f t="shared" si="109"/>
        <v>0</v>
      </c>
      <c r="BS96" s="229">
        <f t="shared" si="109"/>
        <v>0</v>
      </c>
      <c r="BT96" s="229">
        <f t="shared" si="109"/>
        <v>0</v>
      </c>
      <c r="BU96" s="229">
        <f t="shared" si="109"/>
        <v>0</v>
      </c>
      <c r="BV96" s="229">
        <f t="shared" si="109"/>
        <v>0</v>
      </c>
      <c r="BW96" s="229">
        <f t="shared" si="109"/>
        <v>0</v>
      </c>
      <c r="BX96" s="229">
        <f t="shared" si="109"/>
        <v>0</v>
      </c>
      <c r="BY96" s="229">
        <f t="shared" si="109"/>
        <v>0</v>
      </c>
      <c r="BZ96" s="229">
        <f t="shared" si="109"/>
        <v>0</v>
      </c>
      <c r="CA96" s="229">
        <f t="shared" si="109"/>
        <v>0</v>
      </c>
      <c r="CB96" s="229">
        <f t="shared" si="109"/>
        <v>0</v>
      </c>
      <c r="CC96" s="229">
        <f t="shared" si="109"/>
        <v>0</v>
      </c>
      <c r="CD96" s="229">
        <f t="shared" si="110"/>
        <v>0</v>
      </c>
      <c r="CE96" s="229">
        <f t="shared" si="99"/>
        <v>0</v>
      </c>
      <c r="CF96" s="229">
        <f t="shared" si="110"/>
        <v>0</v>
      </c>
      <c r="CG96" s="229">
        <f t="shared" si="110"/>
        <v>0</v>
      </c>
      <c r="CH96" s="229">
        <f t="shared" si="110"/>
        <v>0</v>
      </c>
      <c r="CI96" s="229">
        <f t="shared" si="110"/>
        <v>0</v>
      </c>
      <c r="CJ96" s="229">
        <f t="shared" si="70"/>
        <v>0</v>
      </c>
      <c r="CK96" s="229">
        <f t="shared" si="110"/>
        <v>0</v>
      </c>
      <c r="CL96" s="229">
        <f t="shared" si="110"/>
        <v>0</v>
      </c>
      <c r="CM96" s="229">
        <f t="shared" si="110"/>
        <v>0</v>
      </c>
      <c r="CN96" s="229">
        <f t="shared" si="110"/>
        <v>0</v>
      </c>
      <c r="CO96" s="229">
        <f t="shared" si="111"/>
        <v>0</v>
      </c>
      <c r="CP96" s="229">
        <f t="shared" si="111"/>
        <v>0</v>
      </c>
      <c r="CQ96" s="229">
        <f t="shared" si="110"/>
        <v>0</v>
      </c>
      <c r="CR96" s="229">
        <f t="shared" si="110"/>
        <v>0</v>
      </c>
      <c r="CS96" s="229">
        <f t="shared" si="110"/>
        <v>0</v>
      </c>
      <c r="CT96" s="229">
        <f t="shared" si="110"/>
        <v>0</v>
      </c>
      <c r="CU96" s="230"/>
      <c r="CV96" s="243"/>
      <c r="CW96" s="243"/>
      <c r="CX96" s="243"/>
      <c r="CY96" s="243"/>
      <c r="CZ96" s="243"/>
      <c r="DA96" s="243"/>
      <c r="DC96" s="231"/>
      <c r="DD96" s="231">
        <f>IF(SUM(DD$24:DD95)=DD$22,0,IF(AND($M96&gt;=DD$15,$M96&lt;(DD$16+1)),DD$22/(DD$16-DD$15+1),0))</f>
        <v>0</v>
      </c>
      <c r="DE96" s="231">
        <f>IF(SUM(DE$24:DE95)=DE$22,0,IF(AND($M96&gt;=DE$15,$M96&lt;(DE$16+1)),DE$22/(DE$16-DE$15+1),0))</f>
        <v>0</v>
      </c>
      <c r="DF96" s="231">
        <f>IF(SUM(DF$24:DF95)=DF$22,0,IF(AND($M96&gt;=DF$15,$M96&lt;(DF$16+1)),DF$22/(DF$16-DF$15+1),0))</f>
        <v>0</v>
      </c>
      <c r="DG96" s="231">
        <f>IF(SUM(DG$24:DG95)=DG$22,0,IF(AND($M96&gt;=DG$15,$M96&lt;(DG$16+1)),DG$22/(DG$16-DG$15+1),0))</f>
        <v>0</v>
      </c>
      <c r="DH96" s="231">
        <f t="shared" si="102"/>
        <v>0</v>
      </c>
      <c r="DI96" s="231">
        <f t="shared" si="102"/>
        <v>0</v>
      </c>
      <c r="DJ96" s="231">
        <f t="shared" si="102"/>
        <v>0</v>
      </c>
      <c r="DK96" s="231">
        <f t="shared" si="102"/>
        <v>0</v>
      </c>
      <c r="DL96" s="231">
        <f t="shared" si="102"/>
        <v>0</v>
      </c>
      <c r="DM96" s="231">
        <f t="shared" si="102"/>
        <v>0</v>
      </c>
      <c r="DN96" s="231">
        <f t="shared" si="83"/>
        <v>0</v>
      </c>
      <c r="DO96" s="231">
        <f t="shared" si="102"/>
        <v>0</v>
      </c>
      <c r="DP96" s="231">
        <f t="shared" si="102"/>
        <v>0</v>
      </c>
      <c r="DQ96" s="231">
        <f t="shared" si="102"/>
        <v>0</v>
      </c>
      <c r="DR96" s="231">
        <f t="shared" si="102"/>
        <v>0</v>
      </c>
      <c r="DS96" s="231">
        <f t="shared" si="102"/>
        <v>0</v>
      </c>
      <c r="DT96" s="231">
        <f ca="1">IF(SUM(DT$24:DT95)=DT$22,0,IF(AND($M96&gt;=DT$15,$M96&lt;(DT$16+1)),DT$22/(DT$16-DT$15+1),0))</f>
        <v>0</v>
      </c>
      <c r="DU96" s="231">
        <f ca="1">IF(SUM(DU$24:DU95)=DU$22,0,IF(AND($M96&gt;=DU$15,$M96&lt;(DU$16+1)),DU$22/(DU$16-DU$15+1),0))</f>
        <v>0</v>
      </c>
      <c r="DV96" s="231">
        <f ca="1">IF(SUM(DV$24:DV95)=DV$22,0,IF(AND(M96&gt;=DV$15,M96&lt;(DV$16+1)),DV$22/(DV$16-DV$15+1),0))</f>
        <v>0</v>
      </c>
      <c r="DW96" s="231" t="e">
        <f ca="1">IF(SUM(DW$24:DW95)=DW$22,0,IF(AND($M96&gt;=DW$15,$M96&lt;(DW$16+1)),DW$22/(DW$16-DW$15+1),0))</f>
        <v>#N/A</v>
      </c>
      <c r="DX96" s="231">
        <f ca="1">IF(SUM(DX$24:DX95)=DX$22,0,IF(AND($M96&gt;=DX$15,$M96&lt;(DX$16+1)),DX$22/(DX$16-DX$15+1),0))</f>
        <v>0</v>
      </c>
      <c r="DY96" s="231">
        <f ca="1">IF(SUM(DY$24:DY95)=DY$22,0,IF(AND($M96&gt;=DY$15,$M96&lt;(DY$16+1)),DY$22/(DY$16-DY$15+1),0))</f>
        <v>0</v>
      </c>
      <c r="DZ96" s="231">
        <f ca="1">IF(SUM(DZ$24:DZ95)=DZ$22,0,IF(AND($M96&gt;=DZ$15,$M96&lt;(DZ$16+1)),DZ$22/(DZ$16-DZ$15+1),0))</f>
        <v>0</v>
      </c>
      <c r="EA96" s="231" t="e">
        <f ca="1">IF(SUM(EA$24:EA95)=EA$22,0,IF(AND(M96&gt;=EA$15,M96&lt;(EA$16+1)),EA$22/(EA$16-EA$15+1),0))</f>
        <v>#N/A</v>
      </c>
      <c r="EC96" s="234">
        <f t="shared" si="92"/>
        <v>69</v>
      </c>
      <c r="ED96" s="234" t="e">
        <f t="shared" ca="1" si="93"/>
        <v>#N/A</v>
      </c>
      <c r="EE96" s="235" t="e">
        <f t="shared" ca="1" si="94"/>
        <v>#N/A</v>
      </c>
      <c r="EF96" s="234" t="e">
        <f t="shared" ca="1" si="104"/>
        <v>#N/A</v>
      </c>
      <c r="EG96" s="234" t="e">
        <f t="shared" ca="1" si="106"/>
        <v>#N/A</v>
      </c>
      <c r="EH96" s="234" t="e">
        <f t="shared" ca="1" si="112"/>
        <v>#N/A</v>
      </c>
      <c r="EI96" s="234"/>
      <c r="EJ96" s="234"/>
      <c r="EK96" s="153" t="e">
        <f t="shared" ca="1" si="95"/>
        <v>#N/A</v>
      </c>
      <c r="EL96" s="231" t="e">
        <f ca="1">IF(SUM(EL$24:EL95)=EL$22,0,IF(AND($M96&gt;=EL$15,$M96&lt;(EL$16+1)),EL$22/(EL$16-EL$15+1),0))</f>
        <v>#N/A</v>
      </c>
      <c r="EM96" s="153" t="e">
        <f t="shared" ca="1" si="96"/>
        <v>#N/A</v>
      </c>
      <c r="EO96" s="60"/>
      <c r="EP96" s="60"/>
    </row>
    <row r="97" spans="1:146" ht="13.9" customHeight="1">
      <c r="A97" s="220"/>
      <c r="B97" s="236">
        <f t="shared" si="100"/>
        <v>70</v>
      </c>
      <c r="C97" s="221">
        <f t="shared" si="97"/>
        <v>45689.752300000109</v>
      </c>
      <c r="D97" s="222" t="e">
        <f ca="1">'Offshore INT'!R86</f>
        <v>#N/A</v>
      </c>
      <c r="E97" s="223" t="e">
        <f t="shared" ca="1" si="88"/>
        <v>#N/A</v>
      </c>
      <c r="F97" s="224"/>
      <c r="G97" s="225">
        <f>IF(G96=1,1,SUM($F$24:F97))</f>
        <v>0</v>
      </c>
      <c r="H97" s="226" t="e">
        <f ca="1">IF(H96=0,0,SUM($I$24:I97))</f>
        <v>#N/A</v>
      </c>
      <c r="I97" s="227" t="e">
        <f t="shared" ca="1" si="89"/>
        <v>#N/A</v>
      </c>
      <c r="J97" s="222">
        <f t="shared" ca="1" si="98"/>
        <v>0</v>
      </c>
      <c r="K97" s="60"/>
      <c r="L97" s="228"/>
      <c r="M97" s="228">
        <f t="shared" si="90"/>
        <v>70</v>
      </c>
      <c r="N97" s="221">
        <f t="shared" si="91"/>
        <v>45689.752300000109</v>
      </c>
      <c r="O97" s="229">
        <f t="shared" si="105"/>
        <v>0</v>
      </c>
      <c r="P97" s="229">
        <f t="shared" si="105"/>
        <v>0</v>
      </c>
      <c r="Q97" s="229">
        <f t="shared" si="105"/>
        <v>0</v>
      </c>
      <c r="R97" s="229">
        <f t="shared" si="105"/>
        <v>0</v>
      </c>
      <c r="S97" s="229">
        <f t="shared" si="105"/>
        <v>0</v>
      </c>
      <c r="T97" s="229">
        <f t="shared" si="105"/>
        <v>0</v>
      </c>
      <c r="U97" s="229">
        <f t="shared" si="105"/>
        <v>0</v>
      </c>
      <c r="V97" s="229">
        <f t="shared" si="105"/>
        <v>0</v>
      </c>
      <c r="W97" s="229">
        <f t="shared" si="105"/>
        <v>0</v>
      </c>
      <c r="X97" s="229">
        <f t="shared" si="105"/>
        <v>0</v>
      </c>
      <c r="Y97" s="229">
        <f t="shared" si="105"/>
        <v>0</v>
      </c>
      <c r="Z97" s="229">
        <f t="shared" si="105"/>
        <v>0</v>
      </c>
      <c r="AA97" s="229">
        <f t="shared" si="107"/>
        <v>0</v>
      </c>
      <c r="AB97" s="229">
        <f t="shared" si="107"/>
        <v>0</v>
      </c>
      <c r="AC97" s="229">
        <f t="shared" si="107"/>
        <v>0</v>
      </c>
      <c r="AD97" s="229">
        <f t="shared" si="107"/>
        <v>0</v>
      </c>
      <c r="AE97" s="229">
        <f t="shared" si="107"/>
        <v>0</v>
      </c>
      <c r="AF97" s="229">
        <f t="shared" si="107"/>
        <v>0</v>
      </c>
      <c r="AG97" s="229">
        <f t="shared" si="107"/>
        <v>0</v>
      </c>
      <c r="AH97" s="229">
        <f t="shared" si="107"/>
        <v>0</v>
      </c>
      <c r="AI97" s="229">
        <f t="shared" si="107"/>
        <v>0</v>
      </c>
      <c r="AJ97" s="229">
        <f t="shared" si="107"/>
        <v>0</v>
      </c>
      <c r="AK97" s="229">
        <f t="shared" si="107"/>
        <v>0</v>
      </c>
      <c r="AL97" s="229">
        <f t="shared" si="107"/>
        <v>0</v>
      </c>
      <c r="AM97" s="229">
        <f t="shared" si="107"/>
        <v>0</v>
      </c>
      <c r="AN97" s="229">
        <f t="shared" si="107"/>
        <v>0</v>
      </c>
      <c r="AO97" s="229">
        <f t="shared" si="107"/>
        <v>0</v>
      </c>
      <c r="AP97" s="229">
        <f t="shared" si="107"/>
        <v>0</v>
      </c>
      <c r="AQ97" s="229">
        <f t="shared" si="107"/>
        <v>0</v>
      </c>
      <c r="AR97" s="229">
        <f t="shared" si="107"/>
        <v>0</v>
      </c>
      <c r="AS97" s="229">
        <f t="shared" si="103"/>
        <v>0</v>
      </c>
      <c r="AT97" s="229">
        <f t="shared" si="103"/>
        <v>0</v>
      </c>
      <c r="AU97" s="229">
        <f t="shared" si="103"/>
        <v>0</v>
      </c>
      <c r="AV97" s="229">
        <f t="shared" si="103"/>
        <v>0</v>
      </c>
      <c r="AW97" s="229">
        <f t="shared" si="103"/>
        <v>0</v>
      </c>
      <c r="AX97" s="229">
        <f t="shared" si="107"/>
        <v>0</v>
      </c>
      <c r="AY97" s="229">
        <f t="shared" si="107"/>
        <v>0</v>
      </c>
      <c r="AZ97" s="229">
        <f t="shared" si="107"/>
        <v>0</v>
      </c>
      <c r="BA97" s="229">
        <f t="shared" si="107"/>
        <v>0</v>
      </c>
      <c r="BB97" s="229">
        <f t="shared" si="107"/>
        <v>0</v>
      </c>
      <c r="BC97" s="229">
        <f t="shared" si="107"/>
        <v>0</v>
      </c>
      <c r="BD97" s="229">
        <f t="shared" si="108"/>
        <v>0</v>
      </c>
      <c r="BE97" s="229">
        <f t="shared" si="108"/>
        <v>0</v>
      </c>
      <c r="BF97" s="229">
        <f t="shared" si="108"/>
        <v>0</v>
      </c>
      <c r="BG97" s="229">
        <f t="shared" si="108"/>
        <v>0</v>
      </c>
      <c r="BH97" s="229">
        <f t="shared" si="108"/>
        <v>0</v>
      </c>
      <c r="BI97" s="229">
        <f t="shared" si="108"/>
        <v>0</v>
      </c>
      <c r="BJ97" s="229">
        <f t="shared" si="108"/>
        <v>0</v>
      </c>
      <c r="BK97" s="229">
        <f t="shared" si="108"/>
        <v>0</v>
      </c>
      <c r="BL97" s="229">
        <f t="shared" si="108"/>
        <v>0</v>
      </c>
      <c r="BM97" s="229">
        <f t="shared" si="108"/>
        <v>0</v>
      </c>
      <c r="BN97" s="229">
        <f t="shared" si="108"/>
        <v>0</v>
      </c>
      <c r="BO97" s="229">
        <f t="shared" si="108"/>
        <v>0</v>
      </c>
      <c r="BP97" s="229">
        <f t="shared" si="108"/>
        <v>0</v>
      </c>
      <c r="BQ97" s="229">
        <f t="shared" si="109"/>
        <v>0</v>
      </c>
      <c r="BR97" s="229">
        <f t="shared" si="109"/>
        <v>0</v>
      </c>
      <c r="BS97" s="229">
        <f t="shared" si="109"/>
        <v>0</v>
      </c>
      <c r="BT97" s="229">
        <f t="shared" si="109"/>
        <v>0</v>
      </c>
      <c r="BU97" s="229">
        <f t="shared" si="109"/>
        <v>0</v>
      </c>
      <c r="BV97" s="229">
        <f t="shared" si="109"/>
        <v>0</v>
      </c>
      <c r="BW97" s="229">
        <f t="shared" si="109"/>
        <v>0</v>
      </c>
      <c r="BX97" s="229">
        <f t="shared" si="109"/>
        <v>0</v>
      </c>
      <c r="BY97" s="229">
        <f t="shared" si="109"/>
        <v>0</v>
      </c>
      <c r="BZ97" s="229">
        <f t="shared" si="109"/>
        <v>0</v>
      </c>
      <c r="CA97" s="229">
        <f t="shared" si="109"/>
        <v>0</v>
      </c>
      <c r="CB97" s="229">
        <f t="shared" si="109"/>
        <v>0</v>
      </c>
      <c r="CC97" s="229">
        <f t="shared" si="109"/>
        <v>0</v>
      </c>
      <c r="CD97" s="229">
        <f t="shared" si="110"/>
        <v>0</v>
      </c>
      <c r="CE97" s="229">
        <f t="shared" si="99"/>
        <v>0</v>
      </c>
      <c r="CF97" s="229">
        <f t="shared" si="110"/>
        <v>0</v>
      </c>
      <c r="CG97" s="229">
        <f t="shared" si="110"/>
        <v>0</v>
      </c>
      <c r="CH97" s="229">
        <f t="shared" si="110"/>
        <v>0</v>
      </c>
      <c r="CI97" s="229">
        <f t="shared" si="110"/>
        <v>0</v>
      </c>
      <c r="CJ97" s="229">
        <f t="shared" si="70"/>
        <v>0</v>
      </c>
      <c r="CK97" s="229">
        <f t="shared" si="110"/>
        <v>0</v>
      </c>
      <c r="CL97" s="229">
        <f t="shared" si="110"/>
        <v>0</v>
      </c>
      <c r="CM97" s="229">
        <f t="shared" si="110"/>
        <v>0</v>
      </c>
      <c r="CN97" s="229">
        <f t="shared" si="110"/>
        <v>0</v>
      </c>
      <c r="CO97" s="229">
        <f t="shared" si="111"/>
        <v>0</v>
      </c>
      <c r="CP97" s="229">
        <f t="shared" si="111"/>
        <v>0</v>
      </c>
      <c r="CQ97" s="229">
        <f t="shared" si="110"/>
        <v>0</v>
      </c>
      <c r="CR97" s="229">
        <f t="shared" si="110"/>
        <v>0</v>
      </c>
      <c r="CS97" s="229">
        <f t="shared" si="110"/>
        <v>0</v>
      </c>
      <c r="CT97" s="229">
        <f t="shared" si="110"/>
        <v>0</v>
      </c>
      <c r="CU97" s="230"/>
      <c r="CV97" s="231"/>
      <c r="CW97" s="231"/>
      <c r="CX97" s="231"/>
      <c r="CY97" s="231"/>
      <c r="CZ97" s="231"/>
      <c r="DA97" s="231"/>
      <c r="DC97" s="231"/>
      <c r="DD97" s="231">
        <f>IF(SUM(DD$24:DD96)=DD$22,0,IF(AND($M97&gt;=DD$15,$M97&lt;(DD$16+1)),DD$22/(DD$16-DD$15+1),0))</f>
        <v>0</v>
      </c>
      <c r="DE97" s="231">
        <f>IF(SUM(DE$24:DE96)=DE$22,0,IF(AND($M97&gt;=DE$15,$M97&lt;(DE$16+1)),DE$22/(DE$16-DE$15+1),0))</f>
        <v>0</v>
      </c>
      <c r="DF97" s="231">
        <f>IF(SUM(DF$24:DF96)=DF$22,0,IF(AND($M97&gt;=DF$15,$M97&lt;(DF$16+1)),DF$22/(DF$16-DF$15+1),0))</f>
        <v>0</v>
      </c>
      <c r="DG97" s="231">
        <f>IF(SUM(DG$24:DG96)=DG$22,0,IF(AND($M97&gt;=DG$15,$M97&lt;(DG$16+1)),DG$22/(DG$16-DG$15+1),0))</f>
        <v>0</v>
      </c>
      <c r="DH97" s="231">
        <f t="shared" si="102"/>
        <v>0</v>
      </c>
      <c r="DI97" s="231">
        <f t="shared" si="102"/>
        <v>0</v>
      </c>
      <c r="DJ97" s="231">
        <f t="shared" si="102"/>
        <v>0</v>
      </c>
      <c r="DK97" s="231">
        <f t="shared" si="102"/>
        <v>0</v>
      </c>
      <c r="DL97" s="231">
        <f t="shared" si="102"/>
        <v>0</v>
      </c>
      <c r="DM97" s="231">
        <f t="shared" si="102"/>
        <v>0</v>
      </c>
      <c r="DN97" s="231">
        <f t="shared" si="83"/>
        <v>0</v>
      </c>
      <c r="DO97" s="231">
        <f t="shared" si="102"/>
        <v>0</v>
      </c>
      <c r="DP97" s="231">
        <f t="shared" si="102"/>
        <v>0</v>
      </c>
      <c r="DQ97" s="231">
        <f t="shared" si="102"/>
        <v>0</v>
      </c>
      <c r="DR97" s="231">
        <f t="shared" si="102"/>
        <v>0</v>
      </c>
      <c r="DS97" s="231">
        <f t="shared" si="102"/>
        <v>0</v>
      </c>
      <c r="DT97" s="231">
        <f ca="1">IF(SUM(DT$24:DT96)=DT$22,0,IF(AND($M97&gt;=DT$15,$M97&lt;(DT$16+1)),DT$22/(DT$16-DT$15+1),0))</f>
        <v>0</v>
      </c>
      <c r="DU97" s="231">
        <f ca="1">IF(SUM(DU$24:DU96)=DU$22,0,IF(AND($M97&gt;=DU$15,$M97&lt;(DU$16+1)),DU$22/(DU$16-DU$15+1),0))</f>
        <v>0</v>
      </c>
      <c r="DV97" s="231">
        <f ca="1">IF(SUM(DV$24:DV96)=DV$22,0,IF(AND(M97&gt;=DV$15,M97&lt;(DV$16+1)),DV$22/(DV$16-DV$15+1),0))</f>
        <v>0</v>
      </c>
      <c r="DW97" s="231" t="e">
        <f ca="1">IF(SUM(DW$24:DW96)=DW$22,0,IF(AND($M97&gt;=DW$15,$M97&lt;(DW$16+1)),DW$22/(DW$16-DW$15+1),0))</f>
        <v>#N/A</v>
      </c>
      <c r="DX97" s="231">
        <f ca="1">IF(SUM(DX$24:DX96)=DX$22,0,IF(AND($M97&gt;=DX$15,$M97&lt;(DX$16+1)),DX$22/(DX$16-DX$15+1),0))</f>
        <v>0</v>
      </c>
      <c r="DY97" s="231">
        <f ca="1">IF(SUM(DY$24:DY96)=DY$22,0,IF(AND($M97&gt;=DY$15,$M97&lt;(DY$16+1)),DY$22/(DY$16-DY$15+1),0))</f>
        <v>0</v>
      </c>
      <c r="DZ97" s="231">
        <f ca="1">IF(SUM(DZ$24:DZ96)=DZ$22,0,IF(AND($M97&gt;=DZ$15,$M97&lt;(DZ$16+1)),DZ$22/(DZ$16-DZ$15+1),0))</f>
        <v>0</v>
      </c>
      <c r="EA97" s="231" t="e">
        <f ca="1">IF(SUM(EA$24:EA96)=EA$22,0,IF(AND(M97&gt;=EA$15,M97&lt;(EA$16+1)),EA$22/(EA$16-EA$15+1),0))</f>
        <v>#N/A</v>
      </c>
      <c r="EC97" s="234">
        <f t="shared" si="92"/>
        <v>70</v>
      </c>
      <c r="ED97" s="234" t="e">
        <f t="shared" ca="1" si="93"/>
        <v>#N/A</v>
      </c>
      <c r="EE97" s="235" t="e">
        <f t="shared" ca="1" si="94"/>
        <v>#N/A</v>
      </c>
      <c r="EF97" s="234" t="e">
        <f t="shared" ca="1" si="104"/>
        <v>#N/A</v>
      </c>
      <c r="EG97" s="234" t="e">
        <f t="shared" ca="1" si="106"/>
        <v>#N/A</v>
      </c>
      <c r="EH97" s="234" t="e">
        <f t="shared" ca="1" si="112"/>
        <v>#N/A</v>
      </c>
      <c r="EI97" s="234"/>
      <c r="EJ97" s="234"/>
      <c r="EK97" s="153" t="e">
        <f t="shared" ca="1" si="95"/>
        <v>#N/A</v>
      </c>
      <c r="EL97" s="231" t="e">
        <f ca="1">IF(SUM(EL$24:EL96)=EL$22,0,IF(AND($M97&gt;=EL$15,$M97&lt;(EL$16+1)),EL$22/(EL$16-EL$15+1),0))</f>
        <v>#N/A</v>
      </c>
      <c r="EM97" s="153" t="e">
        <f t="shared" ca="1" si="96"/>
        <v>#N/A</v>
      </c>
      <c r="EO97" s="60"/>
      <c r="EP97" s="60"/>
    </row>
    <row r="98" spans="1:146" ht="13.9" customHeight="1">
      <c r="A98" s="220"/>
      <c r="B98" s="236">
        <f t="shared" si="100"/>
        <v>71</v>
      </c>
      <c r="C98" s="221">
        <f t="shared" si="97"/>
        <v>45720.169000000111</v>
      </c>
      <c r="D98" s="222" t="e">
        <f ca="1">'Offshore INT'!R87</f>
        <v>#N/A</v>
      </c>
      <c r="E98" s="223" t="e">
        <f t="shared" ca="1" si="88"/>
        <v>#N/A</v>
      </c>
      <c r="F98" s="224"/>
      <c r="G98" s="225">
        <f>IF(G97=1,1,SUM($F$24:F98))</f>
        <v>0</v>
      </c>
      <c r="H98" s="226" t="e">
        <f ca="1">IF(H97=0,0,SUM($I$24:I98))</f>
        <v>#N/A</v>
      </c>
      <c r="I98" s="227" t="e">
        <f t="shared" ca="1" si="89"/>
        <v>#N/A</v>
      </c>
      <c r="J98" s="222">
        <f t="shared" ca="1" si="98"/>
        <v>0</v>
      </c>
      <c r="K98" s="60"/>
      <c r="L98" s="228"/>
      <c r="M98" s="228">
        <f t="shared" si="90"/>
        <v>71</v>
      </c>
      <c r="N98" s="221">
        <f t="shared" si="91"/>
        <v>45720.169000000111</v>
      </c>
      <c r="O98" s="229">
        <f t="shared" si="105"/>
        <v>0</v>
      </c>
      <c r="P98" s="229">
        <f t="shared" si="105"/>
        <v>0</v>
      </c>
      <c r="Q98" s="229">
        <f t="shared" si="105"/>
        <v>0</v>
      </c>
      <c r="R98" s="229">
        <f t="shared" si="105"/>
        <v>0</v>
      </c>
      <c r="S98" s="229">
        <f t="shared" si="105"/>
        <v>0</v>
      </c>
      <c r="T98" s="229">
        <f t="shared" si="105"/>
        <v>0</v>
      </c>
      <c r="U98" s="229">
        <f t="shared" si="105"/>
        <v>0</v>
      </c>
      <c r="V98" s="229">
        <f t="shared" si="105"/>
        <v>0</v>
      </c>
      <c r="W98" s="229">
        <f t="shared" si="105"/>
        <v>0</v>
      </c>
      <c r="X98" s="229">
        <f t="shared" si="105"/>
        <v>0</v>
      </c>
      <c r="Y98" s="229">
        <f t="shared" si="105"/>
        <v>0</v>
      </c>
      <c r="Z98" s="229">
        <f t="shared" si="105"/>
        <v>0</v>
      </c>
      <c r="AA98" s="229">
        <f t="shared" si="107"/>
        <v>0</v>
      </c>
      <c r="AB98" s="229">
        <f t="shared" si="107"/>
        <v>0</v>
      </c>
      <c r="AC98" s="229">
        <f t="shared" si="107"/>
        <v>0</v>
      </c>
      <c r="AD98" s="229">
        <f t="shared" si="107"/>
        <v>0</v>
      </c>
      <c r="AE98" s="229">
        <f t="shared" si="107"/>
        <v>0</v>
      </c>
      <c r="AF98" s="229">
        <f t="shared" si="107"/>
        <v>0</v>
      </c>
      <c r="AG98" s="229">
        <f t="shared" si="107"/>
        <v>0</v>
      </c>
      <c r="AH98" s="229">
        <f t="shared" si="107"/>
        <v>0</v>
      </c>
      <c r="AI98" s="229">
        <f t="shared" si="107"/>
        <v>0</v>
      </c>
      <c r="AJ98" s="229">
        <f t="shared" si="107"/>
        <v>0</v>
      </c>
      <c r="AK98" s="229">
        <f t="shared" si="107"/>
        <v>0</v>
      </c>
      <c r="AL98" s="229">
        <f t="shared" si="107"/>
        <v>0</v>
      </c>
      <c r="AM98" s="229">
        <f t="shared" si="107"/>
        <v>0</v>
      </c>
      <c r="AN98" s="229">
        <f t="shared" si="107"/>
        <v>0</v>
      </c>
      <c r="AO98" s="229">
        <f t="shared" si="107"/>
        <v>0</v>
      </c>
      <c r="AP98" s="229">
        <f t="shared" si="107"/>
        <v>0</v>
      </c>
      <c r="AQ98" s="229">
        <f t="shared" si="107"/>
        <v>0</v>
      </c>
      <c r="AR98" s="229">
        <f t="shared" si="107"/>
        <v>0</v>
      </c>
      <c r="AS98" s="229">
        <f t="shared" si="103"/>
        <v>0</v>
      </c>
      <c r="AT98" s="229">
        <f t="shared" si="103"/>
        <v>0</v>
      </c>
      <c r="AU98" s="229">
        <f t="shared" si="103"/>
        <v>0</v>
      </c>
      <c r="AV98" s="229">
        <f t="shared" si="103"/>
        <v>0</v>
      </c>
      <c r="AW98" s="229">
        <f t="shared" si="103"/>
        <v>0</v>
      </c>
      <c r="AX98" s="229">
        <f t="shared" si="107"/>
        <v>0</v>
      </c>
      <c r="AY98" s="229">
        <f t="shared" si="107"/>
        <v>0</v>
      </c>
      <c r="AZ98" s="229">
        <f t="shared" si="107"/>
        <v>0</v>
      </c>
      <c r="BA98" s="229">
        <f t="shared" si="107"/>
        <v>0</v>
      </c>
      <c r="BB98" s="229">
        <f t="shared" si="107"/>
        <v>0</v>
      </c>
      <c r="BC98" s="229">
        <f t="shared" si="107"/>
        <v>0</v>
      </c>
      <c r="BD98" s="229">
        <f t="shared" si="108"/>
        <v>0</v>
      </c>
      <c r="BE98" s="229">
        <f t="shared" si="108"/>
        <v>0</v>
      </c>
      <c r="BF98" s="229">
        <f t="shared" si="108"/>
        <v>0</v>
      </c>
      <c r="BG98" s="229">
        <f t="shared" si="108"/>
        <v>0</v>
      </c>
      <c r="BH98" s="229">
        <f t="shared" si="108"/>
        <v>0</v>
      </c>
      <c r="BI98" s="229">
        <f t="shared" si="108"/>
        <v>0</v>
      </c>
      <c r="BJ98" s="229">
        <f t="shared" si="108"/>
        <v>0</v>
      </c>
      <c r="BK98" s="229">
        <f t="shared" si="108"/>
        <v>0</v>
      </c>
      <c r="BL98" s="229">
        <f t="shared" si="108"/>
        <v>0</v>
      </c>
      <c r="BM98" s="229">
        <f t="shared" si="108"/>
        <v>0</v>
      </c>
      <c r="BN98" s="229">
        <f t="shared" si="108"/>
        <v>0</v>
      </c>
      <c r="BO98" s="229">
        <f t="shared" si="108"/>
        <v>0</v>
      </c>
      <c r="BP98" s="229">
        <f t="shared" si="108"/>
        <v>0</v>
      </c>
      <c r="BQ98" s="229">
        <f t="shared" si="109"/>
        <v>0</v>
      </c>
      <c r="BR98" s="229">
        <f t="shared" si="109"/>
        <v>0</v>
      </c>
      <c r="BS98" s="229">
        <f t="shared" si="109"/>
        <v>0</v>
      </c>
      <c r="BT98" s="229">
        <f t="shared" si="109"/>
        <v>0</v>
      </c>
      <c r="BU98" s="229">
        <f t="shared" si="109"/>
        <v>0</v>
      </c>
      <c r="BV98" s="229">
        <f t="shared" si="109"/>
        <v>0</v>
      </c>
      <c r="BW98" s="229">
        <f t="shared" si="109"/>
        <v>0</v>
      </c>
      <c r="BX98" s="229">
        <f t="shared" si="109"/>
        <v>0</v>
      </c>
      <c r="BY98" s="229">
        <f t="shared" si="109"/>
        <v>0</v>
      </c>
      <c r="BZ98" s="229">
        <f t="shared" si="109"/>
        <v>0</v>
      </c>
      <c r="CA98" s="229">
        <f t="shared" si="109"/>
        <v>0</v>
      </c>
      <c r="CB98" s="229">
        <f t="shared" si="109"/>
        <v>0</v>
      </c>
      <c r="CC98" s="229">
        <f t="shared" si="109"/>
        <v>0</v>
      </c>
      <c r="CD98" s="229">
        <f t="shared" si="110"/>
        <v>0</v>
      </c>
      <c r="CE98" s="229">
        <f t="shared" si="99"/>
        <v>0</v>
      </c>
      <c r="CF98" s="229">
        <f t="shared" si="110"/>
        <v>0</v>
      </c>
      <c r="CG98" s="229">
        <f t="shared" si="110"/>
        <v>0</v>
      </c>
      <c r="CH98" s="229">
        <f t="shared" si="110"/>
        <v>0</v>
      </c>
      <c r="CI98" s="229">
        <f t="shared" si="110"/>
        <v>0</v>
      </c>
      <c r="CJ98" s="229">
        <f t="shared" si="70"/>
        <v>0</v>
      </c>
      <c r="CK98" s="229">
        <f t="shared" si="110"/>
        <v>0</v>
      </c>
      <c r="CL98" s="229">
        <f t="shared" si="110"/>
        <v>0</v>
      </c>
      <c r="CM98" s="229">
        <f t="shared" si="110"/>
        <v>0</v>
      </c>
      <c r="CN98" s="229">
        <f t="shared" si="110"/>
        <v>0</v>
      </c>
      <c r="CO98" s="229">
        <f t="shared" si="111"/>
        <v>0</v>
      </c>
      <c r="CP98" s="229">
        <f t="shared" si="111"/>
        <v>0</v>
      </c>
      <c r="CQ98" s="229">
        <f t="shared" si="110"/>
        <v>0</v>
      </c>
      <c r="CR98" s="229">
        <f t="shared" si="110"/>
        <v>0</v>
      </c>
      <c r="CS98" s="229">
        <f t="shared" si="110"/>
        <v>0</v>
      </c>
      <c r="CT98" s="229">
        <f t="shared" si="110"/>
        <v>0</v>
      </c>
      <c r="CU98" s="230"/>
      <c r="CV98" s="231"/>
      <c r="CW98" s="231"/>
      <c r="CX98" s="231"/>
      <c r="CY98" s="231"/>
      <c r="CZ98" s="231"/>
      <c r="DA98" s="231"/>
      <c r="DC98" s="231"/>
      <c r="DD98" s="231">
        <f>IF(SUM(DD$24:DD97)=DD$22,0,IF(AND($M98&gt;=DD$15,$M98&lt;(DD$16+1)),DD$22/(DD$16-DD$15+1),0))</f>
        <v>0</v>
      </c>
      <c r="DE98" s="231">
        <f>IF(SUM(DE$24:DE97)=DE$22,0,IF(AND($M98&gt;=DE$15,$M98&lt;(DE$16+1)),DE$22/(DE$16-DE$15+1),0))</f>
        <v>0</v>
      </c>
      <c r="DF98" s="231">
        <f>IF(SUM(DF$24:DF97)=DF$22,0,IF(AND($M98&gt;=DF$15,$M98&lt;(DF$16+1)),DF$22/(DF$16-DF$15+1),0))</f>
        <v>0</v>
      </c>
      <c r="DG98" s="231">
        <f>IF(SUM(DG$24:DG97)=DG$22,0,IF(AND($M98&gt;=DG$15,$M98&lt;(DG$16+1)),DG$22/(DG$16-DG$15+1),0))</f>
        <v>0</v>
      </c>
      <c r="DH98" s="231">
        <f t="shared" si="102"/>
        <v>0</v>
      </c>
      <c r="DI98" s="231">
        <f t="shared" si="102"/>
        <v>0</v>
      </c>
      <c r="DJ98" s="231">
        <f t="shared" si="102"/>
        <v>0</v>
      </c>
      <c r="DK98" s="231">
        <f t="shared" si="102"/>
        <v>0</v>
      </c>
      <c r="DL98" s="231">
        <f t="shared" si="102"/>
        <v>0</v>
      </c>
      <c r="DM98" s="231">
        <f t="shared" si="102"/>
        <v>0</v>
      </c>
      <c r="DN98" s="231">
        <f t="shared" si="83"/>
        <v>0</v>
      </c>
      <c r="DO98" s="231">
        <f t="shared" si="102"/>
        <v>0</v>
      </c>
      <c r="DP98" s="231">
        <f t="shared" si="102"/>
        <v>0</v>
      </c>
      <c r="DQ98" s="231">
        <f t="shared" si="102"/>
        <v>0</v>
      </c>
      <c r="DR98" s="231">
        <f t="shared" si="102"/>
        <v>0</v>
      </c>
      <c r="DS98" s="231">
        <f t="shared" si="102"/>
        <v>0</v>
      </c>
      <c r="DT98" s="231">
        <f ca="1">IF(SUM(DT$24:DT97)=DT$22,0,IF(AND($M98&gt;=DT$15,$M98&lt;(DT$16+1)),DT$22/(DT$16-DT$15+1),0))</f>
        <v>0</v>
      </c>
      <c r="DU98" s="231">
        <f ca="1">IF(SUM(DU$24:DU97)=DU$22,0,IF(AND($M98&gt;=DU$15,$M98&lt;(DU$16+1)),DU$22/(DU$16-DU$15+1),0))</f>
        <v>0</v>
      </c>
      <c r="DV98" s="231">
        <f ca="1">IF(SUM(DV$24:DV97)=DV$22,0,IF(AND(M98&gt;=DV$15,M98&lt;(DV$16+1)),DV$22/(DV$16-DV$15+1),0))</f>
        <v>0</v>
      </c>
      <c r="DW98" s="231" t="e">
        <f ca="1">IF(SUM(DW$24:DW97)=DW$22,0,IF(AND($M98&gt;=DW$15,$M98&lt;(DW$16+1)),DW$22/(DW$16-DW$15+1),0))</f>
        <v>#N/A</v>
      </c>
      <c r="DX98" s="231">
        <f ca="1">IF(SUM(DX$24:DX97)=DX$22,0,IF(AND($M98&gt;=DX$15,$M98&lt;(DX$16+1)),DX$22/(DX$16-DX$15+1),0))</f>
        <v>0</v>
      </c>
      <c r="DY98" s="231">
        <f ca="1">IF(SUM(DY$24:DY97)=DY$22,0,IF(AND($M98&gt;=DY$15,$M98&lt;(DY$16+1)),DY$22/(DY$16-DY$15+1),0))</f>
        <v>0</v>
      </c>
      <c r="DZ98" s="231">
        <f ca="1">IF(SUM(DZ$24:DZ97)=DZ$22,0,IF(AND($M98&gt;=DZ$15,$M98&lt;(DZ$16+1)),DZ$22/(DZ$16-DZ$15+1),0))</f>
        <v>0</v>
      </c>
      <c r="EA98" s="231" t="e">
        <f ca="1">IF(SUM(EA$24:EA97)=EA$22,0,IF(AND(M98&gt;=EA$15,M98&lt;(EA$16+1)),EA$22/(EA$16-EA$15+1),0))</f>
        <v>#N/A</v>
      </c>
      <c r="EC98" s="234">
        <f t="shared" si="92"/>
        <v>71</v>
      </c>
      <c r="ED98" s="234" t="e">
        <f t="shared" ca="1" si="93"/>
        <v>#N/A</v>
      </c>
      <c r="EE98" s="235" t="e">
        <f t="shared" ca="1" si="94"/>
        <v>#N/A</v>
      </c>
      <c r="EF98" s="234" t="e">
        <f t="shared" ca="1" si="104"/>
        <v>#N/A</v>
      </c>
      <c r="EG98" s="234" t="e">
        <f t="shared" ca="1" si="106"/>
        <v>#N/A</v>
      </c>
      <c r="EH98" s="234" t="e">
        <f t="shared" ca="1" si="112"/>
        <v>#N/A</v>
      </c>
      <c r="EI98" s="234"/>
      <c r="EJ98" s="234"/>
      <c r="EK98" s="153" t="e">
        <f t="shared" ca="1" si="95"/>
        <v>#N/A</v>
      </c>
      <c r="EL98" s="231" t="e">
        <f ca="1">IF(SUM(EL$24:EL97)=EL$22,0,IF(AND($M98&gt;=EL$15,$M98&lt;(EL$16+1)),EL$22/(EL$16-EL$15+1),0))</f>
        <v>#N/A</v>
      </c>
      <c r="EM98" s="153" t="e">
        <f t="shared" ca="1" si="96"/>
        <v>#N/A</v>
      </c>
      <c r="EO98" s="60"/>
      <c r="EP98" s="60"/>
    </row>
    <row r="99" spans="1:146" ht="13.9" customHeight="1">
      <c r="A99" s="220"/>
      <c r="B99" s="236">
        <f t="shared" si="100"/>
        <v>72</v>
      </c>
      <c r="C99" s="221">
        <f t="shared" si="97"/>
        <v>45750.585700000112</v>
      </c>
      <c r="D99" s="222" t="e">
        <f ca="1">'Offshore INT'!R88</f>
        <v>#N/A</v>
      </c>
      <c r="E99" s="223" t="e">
        <f t="shared" ca="1" si="88"/>
        <v>#N/A</v>
      </c>
      <c r="F99" s="224"/>
      <c r="G99" s="225">
        <f>IF(G98=1,1,SUM($F$24:F99))</f>
        <v>0</v>
      </c>
      <c r="H99" s="226" t="e">
        <f ca="1">IF(H98=0,0,SUM($I$24:I99))</f>
        <v>#N/A</v>
      </c>
      <c r="I99" s="227" t="e">
        <f t="shared" ca="1" si="89"/>
        <v>#N/A</v>
      </c>
      <c r="J99" s="222">
        <f t="shared" ca="1" si="98"/>
        <v>0</v>
      </c>
      <c r="K99" s="60"/>
      <c r="L99" s="228"/>
      <c r="M99" s="228">
        <f t="shared" si="90"/>
        <v>72</v>
      </c>
      <c r="N99" s="221">
        <f t="shared" si="91"/>
        <v>45750.585700000112</v>
      </c>
      <c r="O99" s="229">
        <f t="shared" si="105"/>
        <v>0</v>
      </c>
      <c r="P99" s="229">
        <f t="shared" si="105"/>
        <v>0</v>
      </c>
      <c r="Q99" s="229">
        <f t="shared" si="105"/>
        <v>0</v>
      </c>
      <c r="R99" s="229">
        <f t="shared" si="105"/>
        <v>0</v>
      </c>
      <c r="S99" s="229">
        <f t="shared" si="105"/>
        <v>0</v>
      </c>
      <c r="T99" s="229">
        <f t="shared" si="105"/>
        <v>0</v>
      </c>
      <c r="U99" s="229">
        <f t="shared" si="105"/>
        <v>0</v>
      </c>
      <c r="V99" s="229">
        <f t="shared" si="105"/>
        <v>0</v>
      </c>
      <c r="W99" s="229">
        <f t="shared" si="105"/>
        <v>0</v>
      </c>
      <c r="X99" s="229">
        <f t="shared" si="105"/>
        <v>0</v>
      </c>
      <c r="Y99" s="229">
        <f t="shared" si="105"/>
        <v>0</v>
      </c>
      <c r="Z99" s="229">
        <f t="shared" si="105"/>
        <v>0</v>
      </c>
      <c r="AA99" s="229">
        <f t="shared" si="107"/>
        <v>0</v>
      </c>
      <c r="AB99" s="229">
        <f t="shared" si="107"/>
        <v>0</v>
      </c>
      <c r="AC99" s="229">
        <f t="shared" si="107"/>
        <v>0</v>
      </c>
      <c r="AD99" s="229">
        <f t="shared" si="107"/>
        <v>0</v>
      </c>
      <c r="AE99" s="229">
        <f t="shared" si="107"/>
        <v>0</v>
      </c>
      <c r="AF99" s="229">
        <f t="shared" si="107"/>
        <v>0</v>
      </c>
      <c r="AG99" s="229">
        <f t="shared" si="107"/>
        <v>0</v>
      </c>
      <c r="AH99" s="229">
        <f t="shared" si="107"/>
        <v>0</v>
      </c>
      <c r="AI99" s="229">
        <f t="shared" si="107"/>
        <v>0</v>
      </c>
      <c r="AJ99" s="229">
        <f t="shared" si="107"/>
        <v>0</v>
      </c>
      <c r="AK99" s="229">
        <f t="shared" si="107"/>
        <v>0</v>
      </c>
      <c r="AL99" s="229">
        <f t="shared" si="107"/>
        <v>0</v>
      </c>
      <c r="AM99" s="229">
        <f t="shared" si="107"/>
        <v>0</v>
      </c>
      <c r="AN99" s="229">
        <f t="shared" si="107"/>
        <v>0</v>
      </c>
      <c r="AO99" s="229">
        <f t="shared" si="107"/>
        <v>0</v>
      </c>
      <c r="AP99" s="229">
        <f t="shared" si="107"/>
        <v>0</v>
      </c>
      <c r="AQ99" s="229">
        <f t="shared" si="107"/>
        <v>0</v>
      </c>
      <c r="AR99" s="229">
        <f t="shared" si="107"/>
        <v>0</v>
      </c>
      <c r="AS99" s="229">
        <f t="shared" si="103"/>
        <v>0</v>
      </c>
      <c r="AT99" s="229">
        <f t="shared" si="103"/>
        <v>0</v>
      </c>
      <c r="AU99" s="229">
        <f t="shared" si="103"/>
        <v>0</v>
      </c>
      <c r="AV99" s="229">
        <f t="shared" si="103"/>
        <v>0</v>
      </c>
      <c r="AW99" s="229">
        <f t="shared" si="103"/>
        <v>0</v>
      </c>
      <c r="AX99" s="229">
        <f t="shared" si="107"/>
        <v>0</v>
      </c>
      <c r="AY99" s="229">
        <f t="shared" si="107"/>
        <v>0</v>
      </c>
      <c r="AZ99" s="229">
        <f t="shared" si="107"/>
        <v>0</v>
      </c>
      <c r="BA99" s="229">
        <f t="shared" si="107"/>
        <v>0</v>
      </c>
      <c r="BB99" s="229">
        <f t="shared" si="107"/>
        <v>0</v>
      </c>
      <c r="BC99" s="229">
        <f t="shared" si="107"/>
        <v>0</v>
      </c>
      <c r="BD99" s="229">
        <f t="shared" si="108"/>
        <v>0</v>
      </c>
      <c r="BE99" s="229">
        <f t="shared" si="108"/>
        <v>0</v>
      </c>
      <c r="BF99" s="229">
        <f t="shared" si="108"/>
        <v>0</v>
      </c>
      <c r="BG99" s="229">
        <f t="shared" si="108"/>
        <v>0</v>
      </c>
      <c r="BH99" s="229">
        <f t="shared" si="108"/>
        <v>0</v>
      </c>
      <c r="BI99" s="229">
        <f t="shared" si="108"/>
        <v>0</v>
      </c>
      <c r="BJ99" s="229">
        <f t="shared" si="108"/>
        <v>0</v>
      </c>
      <c r="BK99" s="229">
        <f t="shared" si="108"/>
        <v>0</v>
      </c>
      <c r="BL99" s="229">
        <f t="shared" si="108"/>
        <v>0</v>
      </c>
      <c r="BM99" s="229">
        <f t="shared" si="108"/>
        <v>0</v>
      </c>
      <c r="BN99" s="229">
        <f t="shared" si="108"/>
        <v>0</v>
      </c>
      <c r="BO99" s="229">
        <f t="shared" si="108"/>
        <v>0</v>
      </c>
      <c r="BP99" s="229">
        <f t="shared" si="108"/>
        <v>0</v>
      </c>
      <c r="BQ99" s="229">
        <f t="shared" si="109"/>
        <v>0</v>
      </c>
      <c r="BR99" s="229">
        <f t="shared" si="109"/>
        <v>0</v>
      </c>
      <c r="BS99" s="229">
        <f t="shared" si="109"/>
        <v>0</v>
      </c>
      <c r="BT99" s="229">
        <f t="shared" si="109"/>
        <v>0</v>
      </c>
      <c r="BU99" s="229">
        <f t="shared" si="109"/>
        <v>0</v>
      </c>
      <c r="BV99" s="229">
        <f t="shared" si="109"/>
        <v>0</v>
      </c>
      <c r="BW99" s="229">
        <f t="shared" si="109"/>
        <v>0</v>
      </c>
      <c r="BX99" s="229">
        <f t="shared" si="109"/>
        <v>0</v>
      </c>
      <c r="BY99" s="229">
        <f t="shared" si="109"/>
        <v>0</v>
      </c>
      <c r="BZ99" s="229">
        <f t="shared" si="109"/>
        <v>0</v>
      </c>
      <c r="CA99" s="229">
        <f t="shared" si="109"/>
        <v>0</v>
      </c>
      <c r="CB99" s="229">
        <f t="shared" si="109"/>
        <v>0</v>
      </c>
      <c r="CC99" s="229">
        <f t="shared" si="109"/>
        <v>0</v>
      </c>
      <c r="CD99" s="229">
        <f t="shared" si="110"/>
        <v>0</v>
      </c>
      <c r="CE99" s="229">
        <f t="shared" ref="CE99:CE108" si="113">IF($M99=CE$13,CE$22*CE$3,IF($M99=CE$14,CE$22*CE$4,IF($M99=CE$15,CE$22*CE$5,IF($M99=CE$16,CE$22*CE$6,IF($M99=CE$17,CE$22*CE$7,IF($M99=CE$18,CE$22*CE$8,IF($M99=CE$19,CE$22*CE$9,IF($M99=CE$20,CE$22*CE$10,0))))))))</f>
        <v>0</v>
      </c>
      <c r="CF99" s="229">
        <f t="shared" si="110"/>
        <v>0</v>
      </c>
      <c r="CG99" s="229">
        <f t="shared" si="110"/>
        <v>0</v>
      </c>
      <c r="CH99" s="229">
        <f t="shared" si="110"/>
        <v>0</v>
      </c>
      <c r="CI99" s="229">
        <f t="shared" si="110"/>
        <v>0</v>
      </c>
      <c r="CJ99" s="229">
        <f t="shared" si="70"/>
        <v>0</v>
      </c>
      <c r="CK99" s="229">
        <f t="shared" si="110"/>
        <v>0</v>
      </c>
      <c r="CL99" s="229">
        <f t="shared" si="110"/>
        <v>0</v>
      </c>
      <c r="CM99" s="229">
        <f t="shared" si="110"/>
        <v>0</v>
      </c>
      <c r="CN99" s="229">
        <f t="shared" si="110"/>
        <v>0</v>
      </c>
      <c r="CO99" s="229">
        <f t="shared" si="111"/>
        <v>0</v>
      </c>
      <c r="CP99" s="229">
        <f t="shared" si="111"/>
        <v>0</v>
      </c>
      <c r="CQ99" s="229">
        <f t="shared" si="110"/>
        <v>0</v>
      </c>
      <c r="CR99" s="229">
        <f t="shared" si="110"/>
        <v>0</v>
      </c>
      <c r="CS99" s="229">
        <f t="shared" si="110"/>
        <v>0</v>
      </c>
      <c r="CT99" s="229">
        <f t="shared" si="110"/>
        <v>0</v>
      </c>
      <c r="CU99" s="230"/>
      <c r="CV99" s="231"/>
      <c r="CW99" s="231"/>
      <c r="CX99" s="231"/>
      <c r="CY99" s="231"/>
      <c r="CZ99" s="231"/>
      <c r="DA99" s="231"/>
      <c r="DB99" s="231"/>
      <c r="DC99" s="231"/>
      <c r="DD99" s="231">
        <f>IF(SUM(DD$24:DD98)=DD$22,0,IF(AND($M99&gt;=DD$15,$M99&lt;(DD$16+1)),DD$22/(DD$16-DD$15+1),0))</f>
        <v>0</v>
      </c>
      <c r="DE99" s="231">
        <f>IF(SUM(DE$24:DE98)=DE$22,0,IF(AND($M99&gt;=DE$15,$M99&lt;(DE$16+1)),DE$22/(DE$16-DE$15+1),0))</f>
        <v>0</v>
      </c>
      <c r="DF99" s="231">
        <f>IF(SUM(DF$24:DF98)=DF$22,0,IF(AND($M99&gt;=DF$15,$M99&lt;(DF$16+1)),DF$22/(DF$16-DF$15+1),0))</f>
        <v>0</v>
      </c>
      <c r="DG99" s="231">
        <f>IF(SUM(DG$24:DG98)=DG$22,0,IF(AND($M99&gt;=DG$15,$M99&lt;(DG$16+1)),DG$22/(DG$16-DG$15+1),0))</f>
        <v>0</v>
      </c>
      <c r="DH99" s="231">
        <f t="shared" si="102"/>
        <v>0</v>
      </c>
      <c r="DI99" s="231">
        <f t="shared" si="102"/>
        <v>0</v>
      </c>
      <c r="DJ99" s="231">
        <f t="shared" si="102"/>
        <v>0</v>
      </c>
      <c r="DK99" s="231">
        <f t="shared" si="102"/>
        <v>0</v>
      </c>
      <c r="DL99" s="231">
        <f t="shared" si="102"/>
        <v>0</v>
      </c>
      <c r="DM99" s="231">
        <f t="shared" si="102"/>
        <v>0</v>
      </c>
      <c r="DN99" s="231">
        <f t="shared" si="83"/>
        <v>0</v>
      </c>
      <c r="DO99" s="231">
        <f t="shared" si="102"/>
        <v>0</v>
      </c>
      <c r="DP99" s="231">
        <f t="shared" si="102"/>
        <v>0</v>
      </c>
      <c r="DQ99" s="231">
        <f t="shared" si="102"/>
        <v>0</v>
      </c>
      <c r="DR99" s="231">
        <f t="shared" si="102"/>
        <v>0</v>
      </c>
      <c r="DS99" s="231">
        <f t="shared" si="102"/>
        <v>0</v>
      </c>
      <c r="DT99" s="231">
        <f ca="1">IF(SUM(DT$24:DT98)=DT$22,0,IF(AND($M99&gt;=DT$15,$M99&lt;(DT$16+1)),DT$22/(DT$16-DT$15+1),0))</f>
        <v>0</v>
      </c>
      <c r="DU99" s="231">
        <f ca="1">IF(SUM(DU$24:DU98)=DU$22,0,IF(AND($M99&gt;=DU$15,$M99&lt;(DU$16+1)),DU$22/(DU$16-DU$15+1),0))</f>
        <v>0</v>
      </c>
      <c r="DV99" s="231">
        <f ca="1">IF(SUM(DV$24:DV98)=DV$22,0,IF(AND(M99&gt;=DV$15,M99&lt;(DV$16+1)),DV$22/(DV$16-DV$15+1),0))</f>
        <v>0</v>
      </c>
      <c r="DW99" s="231" t="e">
        <f ca="1">IF(SUM(DW$24:DW98)=DW$22,0,IF(AND($M99&gt;=DW$15,$M99&lt;(DW$16+1)),DW$22/(DW$16-DW$15+1),0))</f>
        <v>#N/A</v>
      </c>
      <c r="DX99" s="231">
        <f ca="1">IF(SUM(DX$24:DX98)=DX$22,0,IF(AND($M99&gt;=DX$15,$M99&lt;(DX$16+1)),DX$22/(DX$16-DX$15+1),0))</f>
        <v>0</v>
      </c>
      <c r="DY99" s="231">
        <f ca="1">IF(SUM(DY$24:DY98)=DY$22,0,IF(AND($M99&gt;=DY$15,$M99&lt;(DY$16+1)),DY$22/(DY$16-DY$15+1),0))</f>
        <v>0</v>
      </c>
      <c r="DZ99" s="231">
        <f ca="1">IF(SUM(DZ$24:DZ98)=DZ$22,0,IF(AND($M99&gt;=DZ$15,$M99&lt;(DZ$16+1)),DZ$22/(DZ$16-DZ$15+1),0))</f>
        <v>0</v>
      </c>
      <c r="EA99" s="231" t="e">
        <f ca="1">IF(SUM(EA$24:EA98)=EA$22,0,IF(AND(M99&gt;=EA$15,M99&lt;(EA$16+1)),EA$22/(EA$16-EA$15+1),0))</f>
        <v>#N/A</v>
      </c>
      <c r="EC99" s="234">
        <f t="shared" si="92"/>
        <v>72</v>
      </c>
      <c r="ED99" s="234" t="e">
        <f t="shared" ca="1" si="93"/>
        <v>#N/A</v>
      </c>
      <c r="EE99" s="235" t="e">
        <f t="shared" ca="1" si="94"/>
        <v>#N/A</v>
      </c>
      <c r="EF99" s="234" t="e">
        <f t="shared" ca="1" si="104"/>
        <v>#N/A</v>
      </c>
      <c r="EG99" s="234" t="e">
        <f t="shared" ca="1" si="106"/>
        <v>#N/A</v>
      </c>
      <c r="EH99" s="234" t="e">
        <f t="shared" ca="1" si="112"/>
        <v>#N/A</v>
      </c>
      <c r="EI99" s="234"/>
      <c r="EJ99" s="234"/>
      <c r="EK99" s="153" t="e">
        <f t="shared" ca="1" si="95"/>
        <v>#N/A</v>
      </c>
      <c r="EL99" s="231" t="e">
        <f ca="1">IF(SUM(EL$24:EL98)=EL$22,0,IF(AND($M99&gt;=EL$15,$M99&lt;(EL$16+1)),EL$22/(EL$16-EL$15+1),0))</f>
        <v>#N/A</v>
      </c>
      <c r="EM99" s="153" t="e">
        <f t="shared" ca="1" si="96"/>
        <v>#N/A</v>
      </c>
      <c r="EO99" s="60"/>
      <c r="EP99" s="60"/>
    </row>
    <row r="100" spans="1:146" ht="13.9" customHeight="1">
      <c r="A100" s="220"/>
      <c r="B100" s="236">
        <f t="shared" si="100"/>
        <v>73</v>
      </c>
      <c r="C100" s="221">
        <f t="shared" si="97"/>
        <v>45781.002400000114</v>
      </c>
      <c r="D100" s="222" t="e">
        <f ca="1">'Offshore INT'!R89</f>
        <v>#N/A</v>
      </c>
      <c r="E100" s="223" t="e">
        <f t="shared" ca="1" si="88"/>
        <v>#N/A</v>
      </c>
      <c r="F100" s="224"/>
      <c r="G100" s="225">
        <f>IF(G99=1,1,SUM($F$24:F100))</f>
        <v>0</v>
      </c>
      <c r="H100" s="226" t="e">
        <f ca="1">IF(H99=0,0,SUM($I$24:I100))</f>
        <v>#N/A</v>
      </c>
      <c r="I100" s="227" t="e">
        <f t="shared" ca="1" si="89"/>
        <v>#N/A</v>
      </c>
      <c r="J100" s="222">
        <f t="shared" ca="1" si="98"/>
        <v>0</v>
      </c>
      <c r="K100" s="60"/>
      <c r="L100" s="228"/>
      <c r="M100" s="228">
        <f t="shared" si="90"/>
        <v>73</v>
      </c>
      <c r="N100" s="221">
        <f t="shared" si="91"/>
        <v>45781.002400000114</v>
      </c>
      <c r="O100" s="229">
        <f t="shared" si="105"/>
        <v>0</v>
      </c>
      <c r="P100" s="229">
        <f t="shared" si="105"/>
        <v>0</v>
      </c>
      <c r="Q100" s="229">
        <f t="shared" si="105"/>
        <v>0</v>
      </c>
      <c r="R100" s="229">
        <f t="shared" si="105"/>
        <v>0</v>
      </c>
      <c r="S100" s="229">
        <f t="shared" si="105"/>
        <v>0</v>
      </c>
      <c r="T100" s="229">
        <f t="shared" si="105"/>
        <v>0</v>
      </c>
      <c r="U100" s="229">
        <f t="shared" si="105"/>
        <v>0</v>
      </c>
      <c r="V100" s="229">
        <f t="shared" si="105"/>
        <v>0</v>
      </c>
      <c r="W100" s="229">
        <f t="shared" si="105"/>
        <v>0</v>
      </c>
      <c r="X100" s="229">
        <f t="shared" si="105"/>
        <v>0</v>
      </c>
      <c r="Y100" s="229">
        <f t="shared" si="105"/>
        <v>0</v>
      </c>
      <c r="Z100" s="229">
        <f t="shared" si="105"/>
        <v>0</v>
      </c>
      <c r="AA100" s="229">
        <f t="shared" si="107"/>
        <v>0</v>
      </c>
      <c r="AB100" s="229">
        <f t="shared" si="107"/>
        <v>0</v>
      </c>
      <c r="AC100" s="229">
        <f t="shared" si="107"/>
        <v>0</v>
      </c>
      <c r="AD100" s="229">
        <f t="shared" si="107"/>
        <v>0</v>
      </c>
      <c r="AE100" s="229">
        <f t="shared" si="107"/>
        <v>0</v>
      </c>
      <c r="AF100" s="229">
        <f t="shared" si="107"/>
        <v>0</v>
      </c>
      <c r="AG100" s="229">
        <f t="shared" si="107"/>
        <v>0</v>
      </c>
      <c r="AH100" s="229">
        <f t="shared" si="107"/>
        <v>0</v>
      </c>
      <c r="AI100" s="229">
        <f t="shared" si="107"/>
        <v>0</v>
      </c>
      <c r="AJ100" s="229">
        <f t="shared" si="107"/>
        <v>0</v>
      </c>
      <c r="AK100" s="229">
        <f t="shared" si="107"/>
        <v>0</v>
      </c>
      <c r="AL100" s="229">
        <f t="shared" si="107"/>
        <v>0</v>
      </c>
      <c r="AM100" s="229">
        <f t="shared" si="107"/>
        <v>0</v>
      </c>
      <c r="AN100" s="229">
        <f t="shared" si="107"/>
        <v>0</v>
      </c>
      <c r="AO100" s="229">
        <f t="shared" ref="AM100:AO103" si="114">IF($M100=AO$13,AO$22*AO$3,IF($M100=AO$14,AO$22*AO$4,IF($M100=AO$15,AO$22*AO$5,IF($M100=AO$16,AO$22*AO$6,IF($M100=AO$17,AO$22*AO$7,IF($M100=AO$18,AO$22*AO$8,IF($M100=AO$19,AO$22*AO$9,IF($M100=AO$20,AO$22*AO$10,0))))))))</f>
        <v>0</v>
      </c>
      <c r="AP100" s="229">
        <f t="shared" si="107"/>
        <v>0</v>
      </c>
      <c r="AQ100" s="229">
        <f t="shared" si="107"/>
        <v>0</v>
      </c>
      <c r="AR100" s="229">
        <f t="shared" si="107"/>
        <v>0</v>
      </c>
      <c r="AS100" s="229">
        <f t="shared" si="103"/>
        <v>0</v>
      </c>
      <c r="AT100" s="229">
        <f t="shared" si="103"/>
        <v>0</v>
      </c>
      <c r="AU100" s="229">
        <f t="shared" si="103"/>
        <v>0</v>
      </c>
      <c r="AV100" s="229">
        <f t="shared" si="103"/>
        <v>0</v>
      </c>
      <c r="AW100" s="229">
        <f t="shared" si="103"/>
        <v>0</v>
      </c>
      <c r="AX100" s="229">
        <f t="shared" si="107"/>
        <v>0</v>
      </c>
      <c r="AY100" s="229">
        <f t="shared" si="107"/>
        <v>0</v>
      </c>
      <c r="AZ100" s="229">
        <f t="shared" si="107"/>
        <v>0</v>
      </c>
      <c r="BA100" s="229">
        <f t="shared" si="107"/>
        <v>0</v>
      </c>
      <c r="BB100" s="229">
        <f t="shared" si="107"/>
        <v>0</v>
      </c>
      <c r="BC100" s="229">
        <f t="shared" si="107"/>
        <v>0</v>
      </c>
      <c r="BD100" s="229">
        <f t="shared" si="108"/>
        <v>0</v>
      </c>
      <c r="BE100" s="229">
        <f t="shared" si="108"/>
        <v>0</v>
      </c>
      <c r="BF100" s="229">
        <f t="shared" si="108"/>
        <v>0</v>
      </c>
      <c r="BG100" s="229">
        <f t="shared" si="108"/>
        <v>0</v>
      </c>
      <c r="BH100" s="229">
        <f t="shared" si="108"/>
        <v>0</v>
      </c>
      <c r="BI100" s="229">
        <f t="shared" si="108"/>
        <v>0</v>
      </c>
      <c r="BJ100" s="229">
        <f t="shared" si="108"/>
        <v>0</v>
      </c>
      <c r="BK100" s="229">
        <f t="shared" si="108"/>
        <v>0</v>
      </c>
      <c r="BL100" s="229">
        <f t="shared" si="108"/>
        <v>0</v>
      </c>
      <c r="BM100" s="229">
        <f t="shared" si="108"/>
        <v>0</v>
      </c>
      <c r="BN100" s="229">
        <f t="shared" si="108"/>
        <v>0</v>
      </c>
      <c r="BO100" s="229">
        <f t="shared" si="108"/>
        <v>0</v>
      </c>
      <c r="BP100" s="229">
        <f t="shared" si="108"/>
        <v>0</v>
      </c>
      <c r="BQ100" s="229">
        <f t="shared" si="109"/>
        <v>0</v>
      </c>
      <c r="BR100" s="229">
        <f t="shared" si="109"/>
        <v>0</v>
      </c>
      <c r="BS100" s="229">
        <f t="shared" si="109"/>
        <v>0</v>
      </c>
      <c r="BT100" s="229">
        <f t="shared" si="109"/>
        <v>0</v>
      </c>
      <c r="BU100" s="229">
        <f t="shared" si="109"/>
        <v>0</v>
      </c>
      <c r="BV100" s="229">
        <f t="shared" si="109"/>
        <v>0</v>
      </c>
      <c r="BW100" s="229">
        <f t="shared" si="109"/>
        <v>0</v>
      </c>
      <c r="BX100" s="229">
        <f t="shared" si="109"/>
        <v>0</v>
      </c>
      <c r="BY100" s="229">
        <f t="shared" si="109"/>
        <v>0</v>
      </c>
      <c r="BZ100" s="229">
        <f t="shared" si="109"/>
        <v>0</v>
      </c>
      <c r="CA100" s="229">
        <f t="shared" si="109"/>
        <v>0</v>
      </c>
      <c r="CB100" s="229">
        <f t="shared" si="109"/>
        <v>0</v>
      </c>
      <c r="CC100" s="229">
        <f t="shared" si="109"/>
        <v>0</v>
      </c>
      <c r="CD100" s="229">
        <f t="shared" si="110"/>
        <v>0</v>
      </c>
      <c r="CE100" s="229">
        <f t="shared" si="113"/>
        <v>0</v>
      </c>
      <c r="CF100" s="229">
        <f t="shared" si="110"/>
        <v>0</v>
      </c>
      <c r="CG100" s="229">
        <f t="shared" si="110"/>
        <v>0</v>
      </c>
      <c r="CH100" s="229">
        <f t="shared" si="110"/>
        <v>0</v>
      </c>
      <c r="CI100" s="229">
        <f t="shared" si="110"/>
        <v>0</v>
      </c>
      <c r="CJ100" s="229">
        <f t="shared" si="70"/>
        <v>0</v>
      </c>
      <c r="CK100" s="229">
        <f t="shared" si="110"/>
        <v>0</v>
      </c>
      <c r="CL100" s="229">
        <f t="shared" si="110"/>
        <v>0</v>
      </c>
      <c r="CM100" s="229">
        <f t="shared" si="110"/>
        <v>0</v>
      </c>
      <c r="CN100" s="229">
        <f t="shared" si="110"/>
        <v>0</v>
      </c>
      <c r="CO100" s="229">
        <f t="shared" si="111"/>
        <v>0</v>
      </c>
      <c r="CP100" s="229">
        <f t="shared" si="111"/>
        <v>0</v>
      </c>
      <c r="CQ100" s="229">
        <f t="shared" si="110"/>
        <v>0</v>
      </c>
      <c r="CR100" s="229">
        <f t="shared" si="110"/>
        <v>0</v>
      </c>
      <c r="CS100" s="229">
        <f t="shared" si="110"/>
        <v>0</v>
      </c>
      <c r="CT100" s="229">
        <f t="shared" si="110"/>
        <v>0</v>
      </c>
      <c r="CU100" s="230"/>
      <c r="CV100" s="231"/>
      <c r="CW100" s="231"/>
      <c r="CX100" s="231"/>
      <c r="CY100" s="231"/>
      <c r="CZ100" s="231"/>
      <c r="DA100" s="231"/>
      <c r="DB100" s="231"/>
      <c r="DC100" s="231"/>
      <c r="DD100" s="231">
        <f>IF(SUM(DD$24:DD99)=DD$22,0,IF(AND($M100&gt;=DD$15,$M100&lt;(DD$16+1)),DD$22/(DD$16-DD$15+1),0))</f>
        <v>0</v>
      </c>
      <c r="DE100" s="231">
        <f>IF(SUM(DE$24:DE99)=DE$22,0,IF(AND($M100&gt;=DE$15,$M100&lt;(DE$16+1)),DE$22/(DE$16-DE$15+1),0))</f>
        <v>0</v>
      </c>
      <c r="DF100" s="231">
        <f>IF(SUM(DF$24:DF99)=DF$22,0,IF(AND($M100&gt;=DF$15,$M100&lt;(DF$16+1)),DF$22/(DF$16-DF$15+1),0))</f>
        <v>0</v>
      </c>
      <c r="DG100" s="231">
        <f>IF(SUM(DG$24:DG99)=DG$22,0,IF(AND($M100&gt;=DG$15,$M100&lt;(DG$16+1)),DG$22/(DG$16-DG$15+1),0))</f>
        <v>0</v>
      </c>
      <c r="DH100" s="231">
        <f t="shared" si="102"/>
        <v>0</v>
      </c>
      <c r="DI100" s="231">
        <f t="shared" si="102"/>
        <v>0</v>
      </c>
      <c r="DJ100" s="231">
        <f t="shared" si="102"/>
        <v>0</v>
      </c>
      <c r="DK100" s="231">
        <f t="shared" si="102"/>
        <v>0</v>
      </c>
      <c r="DL100" s="231">
        <f t="shared" si="102"/>
        <v>0</v>
      </c>
      <c r="DM100" s="231">
        <f t="shared" si="102"/>
        <v>0</v>
      </c>
      <c r="DN100" s="231">
        <f t="shared" si="83"/>
        <v>0</v>
      </c>
      <c r="DO100" s="231">
        <f t="shared" si="102"/>
        <v>0</v>
      </c>
      <c r="DP100" s="231">
        <f t="shared" si="102"/>
        <v>0</v>
      </c>
      <c r="DQ100" s="231">
        <f t="shared" si="102"/>
        <v>0</v>
      </c>
      <c r="DR100" s="231">
        <f t="shared" si="102"/>
        <v>0</v>
      </c>
      <c r="DS100" s="231">
        <f t="shared" si="102"/>
        <v>0</v>
      </c>
      <c r="DT100" s="231">
        <f ca="1">IF(SUM(DT$24:DT99)=DT$22,0,IF(AND($M100&gt;=DT$15,$M100&lt;(DT$16+1)),DT$22/(DT$16-DT$15+1),0))</f>
        <v>0</v>
      </c>
      <c r="DU100" s="231">
        <f ca="1">IF(SUM(DU$24:DU99)=DU$22,0,IF(AND($M100&gt;=DU$15,$M100&lt;(DU$16+1)),DU$22/(DU$16-DU$15+1),0))</f>
        <v>0</v>
      </c>
      <c r="DV100" s="231">
        <f ca="1">IF(SUM(DV$24:DV99)=DV$22,0,IF(AND(M100&gt;=DV$15,M100&lt;(DV$16+1)),DV$22/(DV$16-DV$15+1),0))</f>
        <v>0</v>
      </c>
      <c r="DW100" s="231" t="e">
        <f ca="1">IF(SUM(DW$24:DW99)=DW$22,0,IF(AND($M100&gt;=DW$15,$M100&lt;(DW$16+1)),DW$22/(DW$16-DW$15+1),0))</f>
        <v>#N/A</v>
      </c>
      <c r="DX100" s="231">
        <f ca="1">IF(SUM(DX$24:DX99)=DX$22,0,IF(AND($M100&gt;=DX$15,$M100&lt;(DX$16+1)),DX$22/(DX$16-DX$15+1),0))</f>
        <v>0</v>
      </c>
      <c r="DY100" s="231">
        <f ca="1">IF(SUM(DY$24:DY99)=DY$22,0,IF(AND($M100&gt;=DY$15,$M100&lt;(DY$16+1)),DY$22/(DY$16-DY$15+1),0))</f>
        <v>0</v>
      </c>
      <c r="DZ100" s="231">
        <f ca="1">IF(SUM(DZ$24:DZ99)=DZ$22,0,IF(AND($M100&gt;=DZ$15,$M100&lt;(DZ$16+1)),DZ$22/(DZ$16-DZ$15+1),0))</f>
        <v>0</v>
      </c>
      <c r="EA100" s="231" t="e">
        <f ca="1">IF(SUM(EA$24:EA99)=EA$22,0,IF(AND(M100&gt;=EA$15,M100&lt;(EA$16+1)),EA$22/(EA$16-EA$15+1),0))</f>
        <v>#N/A</v>
      </c>
      <c r="EC100" s="234">
        <f t="shared" si="92"/>
        <v>73</v>
      </c>
      <c r="ED100" s="234" t="e">
        <f t="shared" ca="1" si="93"/>
        <v>#N/A</v>
      </c>
      <c r="EE100" s="235" t="e">
        <f t="shared" ca="1" si="94"/>
        <v>#N/A</v>
      </c>
      <c r="EF100" s="234" t="e">
        <f t="shared" ca="1" si="104"/>
        <v>#N/A</v>
      </c>
      <c r="EG100" s="234" t="e">
        <f t="shared" ca="1" si="106"/>
        <v>#N/A</v>
      </c>
      <c r="EH100" s="234" t="e">
        <f t="shared" ca="1" si="112"/>
        <v>#N/A</v>
      </c>
      <c r="EI100" s="234"/>
      <c r="EJ100" s="234"/>
      <c r="EK100" s="153" t="e">
        <f t="shared" ca="1" si="95"/>
        <v>#N/A</v>
      </c>
      <c r="EL100" s="231" t="e">
        <f ca="1">IF(SUM(EL$24:EL99)=EL$22,0,IF(AND($M100&gt;=EL$15,$M100&lt;(EL$16+1)),EL$22/(EL$16-EL$15+1),0))</f>
        <v>#N/A</v>
      </c>
      <c r="EM100" s="153" t="e">
        <f t="shared" ca="1" si="96"/>
        <v>#N/A</v>
      </c>
      <c r="EO100" s="60"/>
      <c r="EP100" s="60"/>
    </row>
    <row r="101" spans="1:146" ht="13.9" customHeight="1">
      <c r="A101" s="220"/>
      <c r="B101" s="236">
        <f t="shared" si="100"/>
        <v>74</v>
      </c>
      <c r="C101" s="221">
        <f t="shared" si="97"/>
        <v>45811.419100000116</v>
      </c>
      <c r="D101" s="222" t="e">
        <f ca="1">'Offshore INT'!R90</f>
        <v>#N/A</v>
      </c>
      <c r="E101" s="223" t="e">
        <f t="shared" ca="1" si="88"/>
        <v>#N/A</v>
      </c>
      <c r="F101" s="224"/>
      <c r="G101" s="225">
        <f>IF(G100=1,1,SUM($F$24:F101))</f>
        <v>0</v>
      </c>
      <c r="H101" s="226" t="e">
        <f ca="1">IF(H100=0,0,SUM($I$24:I101))</f>
        <v>#N/A</v>
      </c>
      <c r="I101" s="227" t="e">
        <f t="shared" ca="1" si="89"/>
        <v>#N/A</v>
      </c>
      <c r="J101" s="222">
        <f t="shared" ca="1" si="98"/>
        <v>0</v>
      </c>
      <c r="K101" s="60"/>
      <c r="L101" s="228"/>
      <c r="M101" s="228">
        <f t="shared" si="90"/>
        <v>74</v>
      </c>
      <c r="N101" s="221">
        <f t="shared" si="91"/>
        <v>45811.419100000116</v>
      </c>
      <c r="O101" s="229">
        <f t="shared" si="105"/>
        <v>0</v>
      </c>
      <c r="P101" s="229">
        <f t="shared" si="105"/>
        <v>0</v>
      </c>
      <c r="Q101" s="229">
        <f t="shared" si="105"/>
        <v>0</v>
      </c>
      <c r="R101" s="229">
        <f t="shared" si="105"/>
        <v>0</v>
      </c>
      <c r="S101" s="229">
        <f t="shared" si="105"/>
        <v>0</v>
      </c>
      <c r="T101" s="229">
        <f t="shared" si="105"/>
        <v>0</v>
      </c>
      <c r="U101" s="229">
        <f t="shared" si="105"/>
        <v>0</v>
      </c>
      <c r="V101" s="229">
        <f t="shared" si="105"/>
        <v>0</v>
      </c>
      <c r="W101" s="229">
        <f t="shared" si="105"/>
        <v>0</v>
      </c>
      <c r="X101" s="229">
        <f t="shared" si="105"/>
        <v>0</v>
      </c>
      <c r="Y101" s="229">
        <f t="shared" si="105"/>
        <v>0</v>
      </c>
      <c r="Z101" s="229">
        <f t="shared" si="105"/>
        <v>0</v>
      </c>
      <c r="AA101" s="229">
        <f t="shared" si="107"/>
        <v>0</v>
      </c>
      <c r="AB101" s="229">
        <f t="shared" si="107"/>
        <v>0</v>
      </c>
      <c r="AC101" s="229">
        <f t="shared" si="107"/>
        <v>0</v>
      </c>
      <c r="AD101" s="229">
        <f t="shared" si="107"/>
        <v>0</v>
      </c>
      <c r="AE101" s="229">
        <f t="shared" si="107"/>
        <v>0</v>
      </c>
      <c r="AF101" s="229">
        <f t="shared" si="107"/>
        <v>0</v>
      </c>
      <c r="AG101" s="229">
        <f t="shared" si="107"/>
        <v>0</v>
      </c>
      <c r="AH101" s="229">
        <f t="shared" si="107"/>
        <v>0</v>
      </c>
      <c r="AI101" s="229">
        <f t="shared" si="107"/>
        <v>0</v>
      </c>
      <c r="AJ101" s="229">
        <f t="shared" si="107"/>
        <v>0</v>
      </c>
      <c r="AK101" s="229">
        <f t="shared" si="107"/>
        <v>0</v>
      </c>
      <c r="AL101" s="229">
        <f t="shared" si="107"/>
        <v>0</v>
      </c>
      <c r="AM101" s="229">
        <f t="shared" si="114"/>
        <v>0</v>
      </c>
      <c r="AN101" s="229">
        <f t="shared" si="114"/>
        <v>0</v>
      </c>
      <c r="AO101" s="229">
        <f t="shared" si="114"/>
        <v>0</v>
      </c>
      <c r="AP101" s="229">
        <f t="shared" si="107"/>
        <v>0</v>
      </c>
      <c r="AQ101" s="229">
        <f t="shared" si="107"/>
        <v>0</v>
      </c>
      <c r="AR101" s="229">
        <f t="shared" si="107"/>
        <v>0</v>
      </c>
      <c r="AS101" s="229">
        <f t="shared" si="103"/>
        <v>0</v>
      </c>
      <c r="AT101" s="229">
        <f t="shared" si="103"/>
        <v>0</v>
      </c>
      <c r="AU101" s="229">
        <f t="shared" si="103"/>
        <v>0</v>
      </c>
      <c r="AV101" s="229">
        <f t="shared" si="103"/>
        <v>0</v>
      </c>
      <c r="AW101" s="229">
        <f t="shared" si="103"/>
        <v>0</v>
      </c>
      <c r="AX101" s="229">
        <f t="shared" si="107"/>
        <v>0</v>
      </c>
      <c r="AY101" s="229">
        <f t="shared" si="107"/>
        <v>0</v>
      </c>
      <c r="AZ101" s="229">
        <f t="shared" si="107"/>
        <v>0</v>
      </c>
      <c r="BA101" s="229">
        <f t="shared" si="107"/>
        <v>0</v>
      </c>
      <c r="BB101" s="229">
        <f t="shared" si="107"/>
        <v>0</v>
      </c>
      <c r="BC101" s="229">
        <f t="shared" si="107"/>
        <v>0</v>
      </c>
      <c r="BD101" s="229">
        <f t="shared" si="108"/>
        <v>0</v>
      </c>
      <c r="BE101" s="229">
        <f t="shared" si="108"/>
        <v>0</v>
      </c>
      <c r="BF101" s="229">
        <f t="shared" si="108"/>
        <v>0</v>
      </c>
      <c r="BG101" s="229">
        <f t="shared" si="108"/>
        <v>0</v>
      </c>
      <c r="BH101" s="229">
        <f t="shared" si="108"/>
        <v>0</v>
      </c>
      <c r="BI101" s="229">
        <f t="shared" si="108"/>
        <v>0</v>
      </c>
      <c r="BJ101" s="229">
        <f t="shared" si="108"/>
        <v>0</v>
      </c>
      <c r="BK101" s="229">
        <f t="shared" si="108"/>
        <v>0</v>
      </c>
      <c r="BL101" s="229">
        <f t="shared" si="108"/>
        <v>0</v>
      </c>
      <c r="BM101" s="229">
        <f t="shared" si="108"/>
        <v>0</v>
      </c>
      <c r="BN101" s="229">
        <f t="shared" si="108"/>
        <v>0</v>
      </c>
      <c r="BO101" s="229">
        <f t="shared" si="108"/>
        <v>0</v>
      </c>
      <c r="BP101" s="229">
        <f t="shared" si="108"/>
        <v>0</v>
      </c>
      <c r="BQ101" s="229">
        <f t="shared" si="109"/>
        <v>0</v>
      </c>
      <c r="BR101" s="229">
        <f t="shared" si="109"/>
        <v>0</v>
      </c>
      <c r="BS101" s="229">
        <f t="shared" si="109"/>
        <v>0</v>
      </c>
      <c r="BT101" s="229">
        <f t="shared" si="109"/>
        <v>0</v>
      </c>
      <c r="BU101" s="229">
        <f t="shared" si="109"/>
        <v>0</v>
      </c>
      <c r="BV101" s="229">
        <f t="shared" si="109"/>
        <v>0</v>
      </c>
      <c r="BW101" s="229">
        <f t="shared" si="109"/>
        <v>0</v>
      </c>
      <c r="BX101" s="229">
        <f t="shared" si="109"/>
        <v>0</v>
      </c>
      <c r="BY101" s="229">
        <f t="shared" si="109"/>
        <v>0</v>
      </c>
      <c r="BZ101" s="229">
        <f t="shared" si="109"/>
        <v>0</v>
      </c>
      <c r="CA101" s="229">
        <f t="shared" si="109"/>
        <v>0</v>
      </c>
      <c r="CB101" s="229">
        <f t="shared" si="109"/>
        <v>0</v>
      </c>
      <c r="CC101" s="229">
        <f t="shared" si="109"/>
        <v>0</v>
      </c>
      <c r="CD101" s="229">
        <f t="shared" si="110"/>
        <v>0</v>
      </c>
      <c r="CE101" s="229">
        <f t="shared" si="113"/>
        <v>0</v>
      </c>
      <c r="CF101" s="229">
        <f t="shared" si="110"/>
        <v>0</v>
      </c>
      <c r="CG101" s="229">
        <f t="shared" si="110"/>
        <v>0</v>
      </c>
      <c r="CH101" s="229">
        <f t="shared" si="110"/>
        <v>0</v>
      </c>
      <c r="CI101" s="229">
        <f t="shared" si="110"/>
        <v>0</v>
      </c>
      <c r="CJ101" s="229">
        <f t="shared" si="70"/>
        <v>0</v>
      </c>
      <c r="CK101" s="229">
        <f t="shared" si="110"/>
        <v>0</v>
      </c>
      <c r="CL101" s="229">
        <f t="shared" si="110"/>
        <v>0</v>
      </c>
      <c r="CM101" s="229">
        <f t="shared" si="110"/>
        <v>0</v>
      </c>
      <c r="CN101" s="229">
        <f t="shared" si="110"/>
        <v>0</v>
      </c>
      <c r="CO101" s="229">
        <f t="shared" si="111"/>
        <v>0</v>
      </c>
      <c r="CP101" s="229">
        <f t="shared" si="111"/>
        <v>0</v>
      </c>
      <c r="CQ101" s="229">
        <f t="shared" si="110"/>
        <v>0</v>
      </c>
      <c r="CR101" s="229">
        <f t="shared" si="110"/>
        <v>0</v>
      </c>
      <c r="CS101" s="229">
        <f t="shared" si="110"/>
        <v>0</v>
      </c>
      <c r="CT101" s="229">
        <f t="shared" si="110"/>
        <v>0</v>
      </c>
      <c r="CU101" s="230"/>
      <c r="CV101" s="231"/>
      <c r="CW101" s="231"/>
      <c r="CX101" s="231"/>
      <c r="CY101" s="231"/>
      <c r="CZ101" s="231"/>
      <c r="DA101" s="231"/>
      <c r="DB101" s="231"/>
      <c r="DC101" s="231"/>
      <c r="DD101" s="231">
        <f>IF(SUM(DD$24:DD100)=DD$22,0,IF(AND($M101&gt;=DD$15,$M101&lt;(DD$16+1)),DD$22/(DD$16-DD$15+1),0))</f>
        <v>0</v>
      </c>
      <c r="DE101" s="231">
        <f>IF(SUM(DE$24:DE100)=DE$22,0,IF(AND($M101&gt;=DE$15,$M101&lt;(DE$16+1)),DE$22/(DE$16-DE$15+1),0))</f>
        <v>0</v>
      </c>
      <c r="DF101" s="231">
        <f>IF(SUM(DF$24:DF100)=DF$22,0,IF(AND($M101&gt;=DF$15,$M101&lt;(DF$16+1)),DF$22/(DF$16-DF$15+1),0))</f>
        <v>0</v>
      </c>
      <c r="DG101" s="231">
        <f>IF(SUM(DG$24:DG100)=DG$22,0,IF(AND($M101&gt;=DG$15,$M101&lt;(DG$16+1)),DG$22/(DG$16-DG$15+1),0))</f>
        <v>0</v>
      </c>
      <c r="DH101" s="231">
        <f t="shared" si="102"/>
        <v>0</v>
      </c>
      <c r="DI101" s="231">
        <f t="shared" si="102"/>
        <v>0</v>
      </c>
      <c r="DJ101" s="231">
        <f t="shared" si="102"/>
        <v>0</v>
      </c>
      <c r="DK101" s="231">
        <f t="shared" si="102"/>
        <v>0</v>
      </c>
      <c r="DL101" s="231">
        <f t="shared" si="102"/>
        <v>0</v>
      </c>
      <c r="DM101" s="231">
        <f t="shared" si="102"/>
        <v>0</v>
      </c>
      <c r="DN101" s="231">
        <f t="shared" si="83"/>
        <v>0</v>
      </c>
      <c r="DO101" s="231">
        <f t="shared" si="102"/>
        <v>0</v>
      </c>
      <c r="DP101" s="231">
        <f t="shared" si="102"/>
        <v>0</v>
      </c>
      <c r="DQ101" s="231">
        <f t="shared" si="102"/>
        <v>0</v>
      </c>
      <c r="DR101" s="231">
        <f t="shared" si="102"/>
        <v>0</v>
      </c>
      <c r="DS101" s="231">
        <f t="shared" si="102"/>
        <v>0</v>
      </c>
      <c r="DT101" s="231">
        <f ca="1">IF(SUM(DT$24:DT100)=DT$22,0,IF(AND($M101&gt;=DT$15,$M101&lt;(DT$16+1)),DT$22/(DT$16-DT$15+1),0))</f>
        <v>0</v>
      </c>
      <c r="DU101" s="231">
        <f ca="1">IF(SUM(DU$24:DU100)=DU$22,0,IF(AND($M101&gt;=DU$15,$M101&lt;(DU$16+1)),DU$22/(DU$16-DU$15+1),0))</f>
        <v>0</v>
      </c>
      <c r="DV101" s="231">
        <f ca="1">IF(SUM(DV$24:DV100)=DV$22,0,IF(AND(M101&gt;=DV$15,M101&lt;(DV$16+1)),DV$22/(DV$16-DV$15+1),0))</f>
        <v>0</v>
      </c>
      <c r="DW101" s="231" t="e">
        <f ca="1">IF(SUM(DW$24:DW100)=DW$22,0,IF(AND($M101&gt;=DW$15,$M101&lt;(DW$16+1)),DW$22/(DW$16-DW$15+1),0))</f>
        <v>#N/A</v>
      </c>
      <c r="DX101" s="231">
        <f ca="1">IF(SUM(DX$24:DX100)=DX$22,0,IF(AND($M101&gt;=DX$15,$M101&lt;(DX$16+1)),DX$22/(DX$16-DX$15+1),0))</f>
        <v>0</v>
      </c>
      <c r="DY101" s="231">
        <f ca="1">IF(SUM(DY$24:DY100)=DY$22,0,IF(AND($M101&gt;=DY$15,$M101&lt;(DY$16+1)),DY$22/(DY$16-DY$15+1),0))</f>
        <v>0</v>
      </c>
      <c r="DZ101" s="231">
        <f ca="1">IF(SUM(DZ$24:DZ100)=DZ$22,0,IF(AND($M101&gt;=DZ$15,$M101&lt;(DZ$16+1)),DZ$22/(DZ$16-DZ$15+1),0))</f>
        <v>0</v>
      </c>
      <c r="EA101" s="231" t="e">
        <f ca="1">IF(SUM(EA$24:EA100)=EA$22,0,IF(AND(M101&gt;=EA$15,M101&lt;(EA$16+1)),EA$22/(EA$16-EA$15+1),0))</f>
        <v>#N/A</v>
      </c>
      <c r="EC101" s="234">
        <f t="shared" si="92"/>
        <v>74</v>
      </c>
      <c r="ED101" s="234" t="e">
        <f t="shared" ca="1" si="93"/>
        <v>#N/A</v>
      </c>
      <c r="EE101" s="235" t="e">
        <f t="shared" ca="1" si="94"/>
        <v>#N/A</v>
      </c>
      <c r="EF101" s="234" t="e">
        <f t="shared" ca="1" si="104"/>
        <v>#N/A</v>
      </c>
      <c r="EG101" s="234" t="e">
        <f t="shared" ca="1" si="106"/>
        <v>#N/A</v>
      </c>
      <c r="EH101" s="234" t="e">
        <f t="shared" ca="1" si="112"/>
        <v>#N/A</v>
      </c>
      <c r="EI101" s="234"/>
      <c r="EJ101" s="234"/>
      <c r="EK101" s="153" t="e">
        <f t="shared" ca="1" si="95"/>
        <v>#N/A</v>
      </c>
      <c r="EL101" s="231" t="e">
        <f ca="1">IF(SUM(EL$24:EL100)=EL$22,0,IF(AND($M101&gt;=EL$15,$M101&lt;(EL$16+1)),EL$22/(EL$16-EL$15+1),0))</f>
        <v>#N/A</v>
      </c>
      <c r="EM101" s="153" t="e">
        <f t="shared" ca="1" si="96"/>
        <v>#N/A</v>
      </c>
      <c r="EO101" s="60"/>
      <c r="EP101" s="60"/>
    </row>
    <row r="102" spans="1:146" ht="13.9" customHeight="1">
      <c r="A102" s="220"/>
      <c r="B102" s="236">
        <f t="shared" si="100"/>
        <v>75</v>
      </c>
      <c r="C102" s="221">
        <f t="shared" si="97"/>
        <v>45841.835800000117</v>
      </c>
      <c r="D102" s="222" t="e">
        <f ca="1">'Offshore INT'!R91</f>
        <v>#N/A</v>
      </c>
      <c r="E102" s="223" t="e">
        <f t="shared" ca="1" si="88"/>
        <v>#N/A</v>
      </c>
      <c r="F102" s="224"/>
      <c r="G102" s="225">
        <f>IF(G101=1,1,SUM($F$24:F102))</f>
        <v>0</v>
      </c>
      <c r="H102" s="226" t="e">
        <f ca="1">IF(H101=0,0,SUM($I$24:I102))</f>
        <v>#N/A</v>
      </c>
      <c r="I102" s="227" t="e">
        <f t="shared" ca="1" si="89"/>
        <v>#N/A</v>
      </c>
      <c r="J102" s="222">
        <f t="shared" ca="1" si="98"/>
        <v>0</v>
      </c>
      <c r="K102" s="60"/>
      <c r="L102" s="228"/>
      <c r="M102" s="228">
        <f t="shared" si="90"/>
        <v>75</v>
      </c>
      <c r="N102" s="221">
        <f t="shared" si="91"/>
        <v>45841.835800000117</v>
      </c>
      <c r="O102" s="229">
        <f t="shared" si="105"/>
        <v>0</v>
      </c>
      <c r="P102" s="229">
        <f t="shared" si="105"/>
        <v>0</v>
      </c>
      <c r="Q102" s="229">
        <f t="shared" si="105"/>
        <v>0</v>
      </c>
      <c r="R102" s="229">
        <f t="shared" si="105"/>
        <v>0</v>
      </c>
      <c r="S102" s="229">
        <f t="shared" si="105"/>
        <v>0</v>
      </c>
      <c r="T102" s="229">
        <f t="shared" si="105"/>
        <v>0</v>
      </c>
      <c r="U102" s="229">
        <f t="shared" si="105"/>
        <v>0</v>
      </c>
      <c r="V102" s="229">
        <f t="shared" si="105"/>
        <v>0</v>
      </c>
      <c r="W102" s="229">
        <f t="shared" si="105"/>
        <v>0</v>
      </c>
      <c r="X102" s="229">
        <f t="shared" si="105"/>
        <v>0</v>
      </c>
      <c r="Y102" s="229">
        <f t="shared" si="105"/>
        <v>0</v>
      </c>
      <c r="Z102" s="229">
        <f t="shared" si="105"/>
        <v>0</v>
      </c>
      <c r="AA102" s="229">
        <f t="shared" si="107"/>
        <v>0</v>
      </c>
      <c r="AB102" s="229">
        <f t="shared" si="107"/>
        <v>0</v>
      </c>
      <c r="AC102" s="229">
        <f t="shared" si="107"/>
        <v>0</v>
      </c>
      <c r="AD102" s="229">
        <f t="shared" si="107"/>
        <v>0</v>
      </c>
      <c r="AE102" s="229">
        <f t="shared" si="107"/>
        <v>0</v>
      </c>
      <c r="AF102" s="229">
        <f t="shared" si="107"/>
        <v>0</v>
      </c>
      <c r="AG102" s="229">
        <f t="shared" si="107"/>
        <v>0</v>
      </c>
      <c r="AH102" s="229">
        <f t="shared" si="107"/>
        <v>0</v>
      </c>
      <c r="AI102" s="229">
        <f t="shared" si="107"/>
        <v>0</v>
      </c>
      <c r="AJ102" s="229">
        <f t="shared" si="107"/>
        <v>0</v>
      </c>
      <c r="AK102" s="229">
        <f t="shared" si="107"/>
        <v>0</v>
      </c>
      <c r="AL102" s="229">
        <f t="shared" si="107"/>
        <v>0</v>
      </c>
      <c r="AM102" s="229">
        <f t="shared" si="114"/>
        <v>0</v>
      </c>
      <c r="AN102" s="229">
        <f t="shared" si="114"/>
        <v>0</v>
      </c>
      <c r="AO102" s="229">
        <f t="shared" si="114"/>
        <v>0</v>
      </c>
      <c r="AP102" s="229">
        <f t="shared" si="107"/>
        <v>0</v>
      </c>
      <c r="AQ102" s="229">
        <f t="shared" si="107"/>
        <v>0</v>
      </c>
      <c r="AR102" s="229">
        <f t="shared" si="107"/>
        <v>0</v>
      </c>
      <c r="AS102" s="229">
        <f t="shared" si="103"/>
        <v>0</v>
      </c>
      <c r="AT102" s="229">
        <f t="shared" si="103"/>
        <v>0</v>
      </c>
      <c r="AU102" s="229">
        <f t="shared" si="103"/>
        <v>0</v>
      </c>
      <c r="AV102" s="229">
        <f t="shared" si="103"/>
        <v>0</v>
      </c>
      <c r="AW102" s="229">
        <f t="shared" si="103"/>
        <v>0</v>
      </c>
      <c r="AX102" s="229">
        <f t="shared" si="107"/>
        <v>0</v>
      </c>
      <c r="AY102" s="229">
        <f t="shared" si="107"/>
        <v>0</v>
      </c>
      <c r="AZ102" s="229">
        <f t="shared" si="107"/>
        <v>0</v>
      </c>
      <c r="BA102" s="229">
        <f t="shared" si="107"/>
        <v>0</v>
      </c>
      <c r="BB102" s="229">
        <f t="shared" si="107"/>
        <v>0</v>
      </c>
      <c r="BC102" s="229">
        <f t="shared" si="107"/>
        <v>0</v>
      </c>
      <c r="BD102" s="229">
        <f t="shared" si="108"/>
        <v>0</v>
      </c>
      <c r="BE102" s="229">
        <f t="shared" si="108"/>
        <v>0</v>
      </c>
      <c r="BF102" s="229">
        <f t="shared" si="108"/>
        <v>0</v>
      </c>
      <c r="BG102" s="229">
        <f t="shared" si="108"/>
        <v>0</v>
      </c>
      <c r="BH102" s="229">
        <f t="shared" si="108"/>
        <v>0</v>
      </c>
      <c r="BI102" s="229">
        <f t="shared" si="108"/>
        <v>0</v>
      </c>
      <c r="BJ102" s="229">
        <f t="shared" si="108"/>
        <v>0</v>
      </c>
      <c r="BK102" s="229">
        <f t="shared" si="108"/>
        <v>0</v>
      </c>
      <c r="BL102" s="229">
        <f t="shared" si="108"/>
        <v>0</v>
      </c>
      <c r="BM102" s="229">
        <f t="shared" si="108"/>
        <v>0</v>
      </c>
      <c r="BN102" s="229">
        <f t="shared" si="108"/>
        <v>0</v>
      </c>
      <c r="BO102" s="229">
        <f t="shared" si="108"/>
        <v>0</v>
      </c>
      <c r="BP102" s="229">
        <f t="shared" si="108"/>
        <v>0</v>
      </c>
      <c r="BQ102" s="229">
        <f t="shared" si="109"/>
        <v>0</v>
      </c>
      <c r="BR102" s="229">
        <f t="shared" si="109"/>
        <v>0</v>
      </c>
      <c r="BS102" s="229">
        <f t="shared" si="109"/>
        <v>0</v>
      </c>
      <c r="BT102" s="229">
        <f t="shared" si="109"/>
        <v>0</v>
      </c>
      <c r="BU102" s="229">
        <f t="shared" si="109"/>
        <v>0</v>
      </c>
      <c r="BV102" s="229">
        <f t="shared" si="109"/>
        <v>0</v>
      </c>
      <c r="BW102" s="229">
        <f t="shared" si="109"/>
        <v>0</v>
      </c>
      <c r="BX102" s="229">
        <f t="shared" si="109"/>
        <v>0</v>
      </c>
      <c r="BY102" s="229">
        <f t="shared" si="109"/>
        <v>0</v>
      </c>
      <c r="BZ102" s="229">
        <f t="shared" si="109"/>
        <v>0</v>
      </c>
      <c r="CA102" s="229">
        <f t="shared" si="109"/>
        <v>0</v>
      </c>
      <c r="CB102" s="229">
        <f t="shared" si="109"/>
        <v>0</v>
      </c>
      <c r="CC102" s="229">
        <f t="shared" si="109"/>
        <v>0</v>
      </c>
      <c r="CD102" s="229">
        <f t="shared" si="110"/>
        <v>0</v>
      </c>
      <c r="CE102" s="229">
        <f t="shared" si="113"/>
        <v>0</v>
      </c>
      <c r="CF102" s="229">
        <f t="shared" si="110"/>
        <v>0</v>
      </c>
      <c r="CG102" s="229">
        <f t="shared" si="110"/>
        <v>0</v>
      </c>
      <c r="CH102" s="229">
        <f t="shared" si="110"/>
        <v>0</v>
      </c>
      <c r="CI102" s="229">
        <f t="shared" si="110"/>
        <v>0</v>
      </c>
      <c r="CJ102" s="229">
        <f t="shared" si="70"/>
        <v>0</v>
      </c>
      <c r="CK102" s="229">
        <f t="shared" si="110"/>
        <v>0</v>
      </c>
      <c r="CL102" s="229">
        <f t="shared" si="110"/>
        <v>0</v>
      </c>
      <c r="CM102" s="229">
        <f t="shared" si="110"/>
        <v>0</v>
      </c>
      <c r="CN102" s="229">
        <f t="shared" si="110"/>
        <v>0</v>
      </c>
      <c r="CO102" s="229">
        <f t="shared" si="111"/>
        <v>0</v>
      </c>
      <c r="CP102" s="229">
        <f t="shared" si="111"/>
        <v>0</v>
      </c>
      <c r="CQ102" s="229">
        <f t="shared" si="110"/>
        <v>0</v>
      </c>
      <c r="CR102" s="229">
        <f t="shared" si="110"/>
        <v>0</v>
      </c>
      <c r="CS102" s="229">
        <f t="shared" si="110"/>
        <v>0</v>
      </c>
      <c r="CT102" s="229">
        <f t="shared" si="110"/>
        <v>0</v>
      </c>
      <c r="CU102" s="230"/>
      <c r="CV102" s="231"/>
      <c r="CW102" s="231"/>
      <c r="CX102" s="231"/>
      <c r="CY102" s="231"/>
      <c r="CZ102" s="231"/>
      <c r="DA102" s="231"/>
      <c r="DB102" s="231"/>
      <c r="DC102" s="231"/>
      <c r="DD102" s="231">
        <f>IF(SUM(DD$24:DD101)=DD$22,0,IF(AND($M102&gt;=DD$15,$M102&lt;(DD$16+1)),DD$22/(DD$16-DD$15+1),0))</f>
        <v>0</v>
      </c>
      <c r="DE102" s="231">
        <f>IF(SUM(DE$24:DE101)=DE$22,0,IF(AND($M102&gt;=DE$15,$M102&lt;(DE$16+1)),DE$22/(DE$16-DE$15+1),0))</f>
        <v>0</v>
      </c>
      <c r="DF102" s="231">
        <f>IF(SUM(DF$24:DF101)=DF$22,0,IF(AND($M102&gt;=DF$15,$M102&lt;(DF$16+1)),DF$22/(DF$16-DF$15+1),0))</f>
        <v>0</v>
      </c>
      <c r="DG102" s="231">
        <f>IF(SUM(DG$24:DG101)=DG$22,0,IF(AND($M102&gt;=DG$15,$M102&lt;(DG$16+1)),DG$22/(DG$16-DG$15+1),0))</f>
        <v>0</v>
      </c>
      <c r="DH102" s="231">
        <f t="shared" si="102"/>
        <v>0</v>
      </c>
      <c r="DI102" s="231">
        <f t="shared" si="102"/>
        <v>0</v>
      </c>
      <c r="DJ102" s="231">
        <f t="shared" si="102"/>
        <v>0</v>
      </c>
      <c r="DK102" s="231">
        <f t="shared" si="102"/>
        <v>0</v>
      </c>
      <c r="DL102" s="231">
        <f t="shared" si="102"/>
        <v>0</v>
      </c>
      <c r="DM102" s="231">
        <f t="shared" si="102"/>
        <v>0</v>
      </c>
      <c r="DN102" s="231">
        <f t="shared" si="83"/>
        <v>0</v>
      </c>
      <c r="DO102" s="231">
        <f t="shared" si="102"/>
        <v>0</v>
      </c>
      <c r="DP102" s="231">
        <f t="shared" si="102"/>
        <v>0</v>
      </c>
      <c r="DQ102" s="231">
        <f t="shared" si="102"/>
        <v>0</v>
      </c>
      <c r="DR102" s="231">
        <f t="shared" si="102"/>
        <v>0</v>
      </c>
      <c r="DS102" s="231">
        <f t="shared" si="102"/>
        <v>0</v>
      </c>
      <c r="DT102" s="231">
        <f ca="1">IF(SUM(DT$24:DT101)=DT$22,0,IF(AND($M102&gt;=DT$15,$M102&lt;(DT$16+1)),DT$22/(DT$16-DT$15+1),0))</f>
        <v>0</v>
      </c>
      <c r="DU102" s="231">
        <f ca="1">IF(SUM(DU$24:DU101)=DU$22,0,IF(AND($M102&gt;=DU$15,$M102&lt;(DU$16+1)),DU$22/(DU$16-DU$15+1),0))</f>
        <v>0</v>
      </c>
      <c r="DV102" s="231">
        <f ca="1">IF(SUM(DV$24:DV101)=DV$22,0,IF(AND(M102&gt;=DV$15,M102&lt;(DV$16+1)),DV$22/(DV$16-DV$15+1),0))</f>
        <v>0</v>
      </c>
      <c r="DW102" s="231" t="e">
        <f ca="1">IF(SUM(DW$24:DW101)=DW$22,0,IF(AND($M102&gt;=DW$15,$M102&lt;(DW$16+1)),DW$22/(DW$16-DW$15+1),0))</f>
        <v>#N/A</v>
      </c>
      <c r="DX102" s="231">
        <f ca="1">IF(SUM(DX$24:DX101)=DX$22,0,IF(AND($M102&gt;=DX$15,$M102&lt;(DX$16+1)),DX$22/(DX$16-DX$15+1),0))</f>
        <v>0</v>
      </c>
      <c r="DY102" s="231">
        <f ca="1">IF(SUM(DY$24:DY101)=DY$22,0,IF(AND($M102&gt;=DY$15,$M102&lt;(DY$16+1)),DY$22/(DY$16-DY$15+1),0))</f>
        <v>0</v>
      </c>
      <c r="DZ102" s="231">
        <f ca="1">IF(SUM(DZ$24:DZ101)=DZ$22,0,IF(AND($M102&gt;=DZ$15,$M102&lt;(DZ$16+1)),DZ$22/(DZ$16-DZ$15+1),0))</f>
        <v>0</v>
      </c>
      <c r="EA102" s="231" t="e">
        <f ca="1">IF(SUM(EA$24:EA101)=EA$22,0,IF(AND(M102&gt;=EA$15,M102&lt;(EA$16+1)),EA$22/(EA$16-EA$15+1),0))</f>
        <v>#N/A</v>
      </c>
      <c r="EC102" s="234">
        <f t="shared" si="92"/>
        <v>75</v>
      </c>
      <c r="ED102" s="234" t="e">
        <f t="shared" ca="1" si="93"/>
        <v>#N/A</v>
      </c>
      <c r="EE102" s="235" t="e">
        <f t="shared" ca="1" si="94"/>
        <v>#N/A</v>
      </c>
      <c r="EF102" s="234" t="e">
        <f t="shared" ca="1" si="104"/>
        <v>#N/A</v>
      </c>
      <c r="EG102" s="234" t="e">
        <f t="shared" ca="1" si="106"/>
        <v>#N/A</v>
      </c>
      <c r="EH102" s="234" t="e">
        <f t="shared" ca="1" si="112"/>
        <v>#N/A</v>
      </c>
      <c r="EI102" s="234"/>
      <c r="EJ102" s="234"/>
      <c r="EK102" s="153" t="e">
        <f t="shared" ca="1" si="95"/>
        <v>#N/A</v>
      </c>
      <c r="EL102" s="231" t="e">
        <f ca="1">IF(SUM(EL$24:EL101)=EL$22,0,IF(AND($M102&gt;=EL$15,$M102&lt;(EL$16+1)),EL$22/(EL$16-EL$15+1),0))</f>
        <v>#N/A</v>
      </c>
      <c r="EM102" s="153" t="e">
        <f t="shared" ca="1" si="96"/>
        <v>#N/A</v>
      </c>
      <c r="EO102" s="60"/>
      <c r="EP102" s="60"/>
    </row>
    <row r="103" spans="1:146" ht="13.9" customHeight="1">
      <c r="A103" s="220"/>
      <c r="B103" s="236">
        <f t="shared" si="100"/>
        <v>76</v>
      </c>
      <c r="C103" s="221">
        <f t="shared" si="97"/>
        <v>45872.252500000119</v>
      </c>
      <c r="D103" s="222" t="e">
        <f ca="1">'Offshore INT'!R92</f>
        <v>#N/A</v>
      </c>
      <c r="E103" s="223" t="e">
        <f t="shared" ca="1" si="88"/>
        <v>#N/A</v>
      </c>
      <c r="F103" s="224"/>
      <c r="G103" s="225">
        <f>IF(G102=1,1,SUM($F$24:F103))</f>
        <v>0</v>
      </c>
      <c r="H103" s="226" t="e">
        <f ca="1">IF(H102=0,0,SUM($I$24:I103))</f>
        <v>#N/A</v>
      </c>
      <c r="I103" s="227" t="e">
        <f t="shared" ca="1" si="89"/>
        <v>#N/A</v>
      </c>
      <c r="J103" s="222">
        <f t="shared" ca="1" si="98"/>
        <v>0</v>
      </c>
      <c r="K103" s="60"/>
      <c r="L103" s="228"/>
      <c r="M103" s="228">
        <f t="shared" si="90"/>
        <v>76</v>
      </c>
      <c r="N103" s="221">
        <f t="shared" si="91"/>
        <v>45872.252500000119</v>
      </c>
      <c r="O103" s="229">
        <f t="shared" si="105"/>
        <v>0</v>
      </c>
      <c r="P103" s="229">
        <f t="shared" si="105"/>
        <v>0</v>
      </c>
      <c r="Q103" s="229">
        <f t="shared" si="105"/>
        <v>0</v>
      </c>
      <c r="R103" s="229">
        <f t="shared" si="105"/>
        <v>0</v>
      </c>
      <c r="S103" s="229">
        <f t="shared" si="105"/>
        <v>0</v>
      </c>
      <c r="T103" s="229">
        <f t="shared" si="105"/>
        <v>0</v>
      </c>
      <c r="U103" s="229">
        <f t="shared" si="105"/>
        <v>0</v>
      </c>
      <c r="V103" s="229">
        <f t="shared" si="105"/>
        <v>0</v>
      </c>
      <c r="W103" s="229">
        <f t="shared" si="105"/>
        <v>0</v>
      </c>
      <c r="X103" s="229">
        <f t="shared" si="105"/>
        <v>0</v>
      </c>
      <c r="Y103" s="229">
        <f t="shared" si="105"/>
        <v>0</v>
      </c>
      <c r="Z103" s="229">
        <f t="shared" si="105"/>
        <v>0</v>
      </c>
      <c r="AA103" s="229">
        <f>IF($M103=AA$13,AA$22*AA$3,IF($M103=AA$14,AA$22*AA$4,IF($M103=AA$15,AA$22*AA$5,IF($M103=AA$16,AA$22*AA$6,IF($M103=AA$17,AA$22*AA$7,IF($M103=AA$18,AA$22*AA$8,IF($M103=AA$19,AA$22*AA$9,IF($M103=AA$20,AA$22*AA$10,0))))))))</f>
        <v>0</v>
      </c>
      <c r="AB103" s="229">
        <f t="shared" si="107"/>
        <v>0</v>
      </c>
      <c r="AC103" s="229">
        <f t="shared" si="107"/>
        <v>0</v>
      </c>
      <c r="AD103" s="229">
        <f t="shared" si="107"/>
        <v>0</v>
      </c>
      <c r="AE103" s="229">
        <f t="shared" si="107"/>
        <v>0</v>
      </c>
      <c r="AF103" s="229">
        <f t="shared" si="107"/>
        <v>0</v>
      </c>
      <c r="AG103" s="229">
        <f t="shared" si="107"/>
        <v>0</v>
      </c>
      <c r="AH103" s="229">
        <f t="shared" si="107"/>
        <v>0</v>
      </c>
      <c r="AI103" s="229">
        <f t="shared" si="107"/>
        <v>0</v>
      </c>
      <c r="AJ103" s="229">
        <f t="shared" si="107"/>
        <v>0</v>
      </c>
      <c r="AK103" s="229">
        <f t="shared" si="107"/>
        <v>0</v>
      </c>
      <c r="AL103" s="229">
        <f t="shared" si="107"/>
        <v>0</v>
      </c>
      <c r="AM103" s="229">
        <f t="shared" si="114"/>
        <v>0</v>
      </c>
      <c r="AN103" s="229">
        <f t="shared" si="114"/>
        <v>0</v>
      </c>
      <c r="AO103" s="229">
        <f t="shared" si="114"/>
        <v>0</v>
      </c>
      <c r="AP103" s="229">
        <f t="shared" si="107"/>
        <v>0</v>
      </c>
      <c r="AQ103" s="229">
        <f t="shared" si="107"/>
        <v>0</v>
      </c>
      <c r="AR103" s="229">
        <f t="shared" si="107"/>
        <v>0</v>
      </c>
      <c r="AS103" s="229">
        <f t="shared" si="103"/>
        <v>0</v>
      </c>
      <c r="AT103" s="229">
        <f t="shared" si="103"/>
        <v>0</v>
      </c>
      <c r="AU103" s="229">
        <f t="shared" si="103"/>
        <v>0</v>
      </c>
      <c r="AV103" s="229">
        <f t="shared" si="103"/>
        <v>0</v>
      </c>
      <c r="AW103" s="229">
        <f t="shared" si="103"/>
        <v>0</v>
      </c>
      <c r="AX103" s="229">
        <f t="shared" si="107"/>
        <v>0</v>
      </c>
      <c r="AY103" s="229">
        <f t="shared" si="107"/>
        <v>0</v>
      </c>
      <c r="AZ103" s="229">
        <f>IF($M103=AZ$13,AZ$22*AZ$3,IF($M103=AZ$14,AZ$22*AZ$4,IF($M103=AZ$15,AZ$22*AZ$5,IF($M103=AZ$16,AZ$22*AZ$6,IF($M103=AZ$17,AZ$22*AZ$7,IF($M103=AZ$18,AZ$22*AZ$8,IF($M103=AZ$19,AZ$22*AZ$9,IF($M103=AZ$20,AZ$22*AZ$10,0))))))))</f>
        <v>0</v>
      </c>
      <c r="BA103" s="229">
        <f t="shared" si="107"/>
        <v>0</v>
      </c>
      <c r="BB103" s="229">
        <f>IF($M103=BB$13,BB$22*BB$3,IF($M103=BB$14,BB$22*BB$4,IF($M103=BB$15,BB$22*BB$5,IF($M103=BB$16,BB$22*BB$6,IF($M103=BB$17,BB$22*BB$7,IF($M103=BB$18,BB$22*BB$8,IF($M103=BB$19,BB$22*BB$9,IF($M103=BB$20,BB$22*BB$10,0))))))))</f>
        <v>0</v>
      </c>
      <c r="BC103" s="229">
        <f>IF($M103=BC$13,BC$22*BC$3,IF($M103=BC$14,BC$22*BC$4,IF($M103=BC$15,BC$22*BC$5,IF($M103=BC$16,BC$22*BC$6,IF($M103=BC$17,BC$22*BC$7,IF($M103=BC$18,BC$22*BC$8,IF($M103=BC$19,BC$22*BC$9,IF($M103=BC$20,BC$22*BC$10,0))))))))</f>
        <v>0</v>
      </c>
      <c r="BD103" s="229">
        <f t="shared" si="108"/>
        <v>0</v>
      </c>
      <c r="BE103" s="229">
        <f t="shared" si="108"/>
        <v>0</v>
      </c>
      <c r="BF103" s="229">
        <f t="shared" si="108"/>
        <v>0</v>
      </c>
      <c r="BG103" s="229">
        <f t="shared" si="108"/>
        <v>0</v>
      </c>
      <c r="BH103" s="229">
        <f t="shared" si="108"/>
        <v>0</v>
      </c>
      <c r="BI103" s="229">
        <f t="shared" si="108"/>
        <v>0</v>
      </c>
      <c r="BJ103" s="229">
        <f t="shared" si="108"/>
        <v>0</v>
      </c>
      <c r="BK103" s="229">
        <f t="shared" si="108"/>
        <v>0</v>
      </c>
      <c r="BL103" s="229">
        <f t="shared" si="108"/>
        <v>0</v>
      </c>
      <c r="BM103" s="229">
        <f t="shared" si="108"/>
        <v>0</v>
      </c>
      <c r="BN103" s="229">
        <f t="shared" si="108"/>
        <v>0</v>
      </c>
      <c r="BO103" s="229">
        <f t="shared" si="108"/>
        <v>0</v>
      </c>
      <c r="BP103" s="229">
        <f t="shared" si="108"/>
        <v>0</v>
      </c>
      <c r="BQ103" s="229">
        <f t="shared" si="109"/>
        <v>0</v>
      </c>
      <c r="BR103" s="229">
        <f t="shared" si="109"/>
        <v>0</v>
      </c>
      <c r="BS103" s="229">
        <f t="shared" si="109"/>
        <v>0</v>
      </c>
      <c r="BT103" s="229">
        <f t="shared" si="109"/>
        <v>0</v>
      </c>
      <c r="BU103" s="229">
        <f t="shared" si="109"/>
        <v>0</v>
      </c>
      <c r="BV103" s="229">
        <f t="shared" si="109"/>
        <v>0</v>
      </c>
      <c r="BW103" s="229">
        <f t="shared" si="109"/>
        <v>0</v>
      </c>
      <c r="BX103" s="229">
        <f t="shared" si="109"/>
        <v>0</v>
      </c>
      <c r="BY103" s="229">
        <f t="shared" si="109"/>
        <v>0</v>
      </c>
      <c r="BZ103" s="229">
        <f t="shared" si="109"/>
        <v>0</v>
      </c>
      <c r="CA103" s="229">
        <f t="shared" si="109"/>
        <v>0</v>
      </c>
      <c r="CB103" s="229">
        <f t="shared" si="109"/>
        <v>0</v>
      </c>
      <c r="CC103" s="229">
        <f t="shared" si="109"/>
        <v>0</v>
      </c>
      <c r="CD103" s="229">
        <f t="shared" si="110"/>
        <v>0</v>
      </c>
      <c r="CE103" s="229">
        <f t="shared" si="113"/>
        <v>0</v>
      </c>
      <c r="CF103" s="229">
        <f t="shared" si="110"/>
        <v>0</v>
      </c>
      <c r="CG103" s="229">
        <f t="shared" si="110"/>
        <v>0</v>
      </c>
      <c r="CH103" s="229">
        <f t="shared" si="110"/>
        <v>0</v>
      </c>
      <c r="CI103" s="229">
        <f t="shared" si="110"/>
        <v>0</v>
      </c>
      <c r="CJ103" s="229">
        <f t="shared" si="70"/>
        <v>0</v>
      </c>
      <c r="CK103" s="229">
        <f t="shared" si="110"/>
        <v>0</v>
      </c>
      <c r="CL103" s="229">
        <f t="shared" si="110"/>
        <v>0</v>
      </c>
      <c r="CM103" s="229">
        <f t="shared" si="110"/>
        <v>0</v>
      </c>
      <c r="CN103" s="229">
        <f t="shared" si="110"/>
        <v>0</v>
      </c>
      <c r="CO103" s="229">
        <f t="shared" si="111"/>
        <v>0</v>
      </c>
      <c r="CP103" s="229">
        <f t="shared" si="111"/>
        <v>0</v>
      </c>
      <c r="CQ103" s="229">
        <f t="shared" si="110"/>
        <v>0</v>
      </c>
      <c r="CR103" s="229">
        <f t="shared" si="110"/>
        <v>0</v>
      </c>
      <c r="CS103" s="229">
        <f t="shared" si="110"/>
        <v>0</v>
      </c>
      <c r="CT103" s="229">
        <f t="shared" si="110"/>
        <v>0</v>
      </c>
      <c r="CU103" s="230"/>
      <c r="CV103" s="231"/>
      <c r="CW103" s="231"/>
      <c r="CX103" s="231"/>
      <c r="CY103" s="231"/>
      <c r="CZ103" s="231"/>
      <c r="DA103" s="231"/>
      <c r="DB103" s="231"/>
      <c r="DC103" s="231"/>
      <c r="DD103" s="231">
        <f>IF(SUM(DD$24:DD102)=DD$22,0,IF(AND($M103&gt;=DD$15,$M103&lt;(DD$16+1)),DD$22/(DD$16-DD$15+1),0))</f>
        <v>0</v>
      </c>
      <c r="DE103" s="231">
        <f>IF(SUM(DE$24:DE102)=DE$22,0,IF(AND($M103&gt;=DE$15,$M103&lt;(DE$16+1)),DE$22/(DE$16-DE$15+1),0))</f>
        <v>0</v>
      </c>
      <c r="DF103" s="231">
        <f>IF(SUM(DF$24:DF102)=DF$22,0,IF(AND($M103&gt;=DF$15,$M103&lt;(DF$16+1)),DF$22/(DF$16-DF$15+1),0))</f>
        <v>0</v>
      </c>
      <c r="DG103" s="231">
        <f>IF(SUM(DG$24:DG102)=DG$22,0,IF(AND($M103&gt;=DG$15,$M103&lt;(DG$16+1)),DG$22/(DG$16-DG$15+1),0))</f>
        <v>0</v>
      </c>
      <c r="DH103" s="231">
        <f t="shared" si="102"/>
        <v>0</v>
      </c>
      <c r="DI103" s="231">
        <f t="shared" si="102"/>
        <v>0</v>
      </c>
      <c r="DJ103" s="231">
        <f t="shared" si="102"/>
        <v>0</v>
      </c>
      <c r="DK103" s="231">
        <f t="shared" si="102"/>
        <v>0</v>
      </c>
      <c r="DL103" s="231">
        <f t="shared" si="102"/>
        <v>0</v>
      </c>
      <c r="DM103" s="231">
        <f t="shared" si="102"/>
        <v>0</v>
      </c>
      <c r="DN103" s="231">
        <f t="shared" si="83"/>
        <v>0</v>
      </c>
      <c r="DO103" s="231">
        <f t="shared" si="102"/>
        <v>0</v>
      </c>
      <c r="DP103" s="231">
        <f t="shared" si="102"/>
        <v>0</v>
      </c>
      <c r="DQ103" s="231">
        <f t="shared" si="102"/>
        <v>0</v>
      </c>
      <c r="DR103" s="231">
        <f t="shared" si="102"/>
        <v>0</v>
      </c>
      <c r="DS103" s="231">
        <f t="shared" si="102"/>
        <v>0</v>
      </c>
      <c r="DT103" s="231">
        <f ca="1">IF(SUM(DT$24:DT102)=DT$22,0,IF(AND($M103&gt;=DT$15,$M103&lt;(DT$16+1)),DT$22/(DT$16-DT$15+1),0))</f>
        <v>0</v>
      </c>
      <c r="DU103" s="231">
        <f ca="1">IF(SUM(DU$24:DU102)=DU$22,0,IF(AND($M103&gt;=DU$15,$M103&lt;(DU$16+1)),DU$22/(DU$16-DU$15+1),0))</f>
        <v>0</v>
      </c>
      <c r="DV103" s="231">
        <f ca="1">IF(SUM(DV$24:DV102)=DV$22,0,IF(AND(M103&gt;=DV$15,M103&lt;(DV$16+1)),DV$22/(DV$16-DV$15+1),0))</f>
        <v>0</v>
      </c>
      <c r="DW103" s="231" t="e">
        <f ca="1">IF(SUM(DW$24:DW102)=DW$22,0,IF(AND($M103&gt;=DW$15,$M103&lt;(DW$16+1)),DW$22/(DW$16-DW$15+1),0))</f>
        <v>#N/A</v>
      </c>
      <c r="DX103" s="231">
        <f ca="1">IF(SUM(DX$24:DX102)=DX$22,0,IF(AND($M103&gt;=DX$15,$M103&lt;(DX$16+1)),DX$22/(DX$16-DX$15+1),0))</f>
        <v>0</v>
      </c>
      <c r="DY103" s="231">
        <f ca="1">IF(SUM(DY$24:DY102)=DY$22,0,IF(AND($M103&gt;=DY$15,$M103&lt;(DY$16+1)),DY$22/(DY$16-DY$15+1),0))</f>
        <v>0</v>
      </c>
      <c r="DZ103" s="231">
        <f ca="1">IF(SUM(DZ$24:DZ102)=DZ$22,0,IF(AND($M103&gt;=DZ$15,$M103&lt;(DZ$16+1)),DZ$22/(DZ$16-DZ$15+1),0))</f>
        <v>0</v>
      </c>
      <c r="EA103" s="231" t="e">
        <f ca="1">IF(SUM(EA$24:EA102)=EA$22,0,IF(AND(M103&gt;=EA$15,M103&lt;(EA$16+1)),EA$22/(EA$16-EA$15+1),0))</f>
        <v>#N/A</v>
      </c>
      <c r="EC103" s="234">
        <f t="shared" si="92"/>
        <v>76</v>
      </c>
      <c r="ED103" s="234" t="e">
        <f t="shared" ca="1" si="93"/>
        <v>#N/A</v>
      </c>
      <c r="EE103" s="235" t="e">
        <f t="shared" ca="1" si="94"/>
        <v>#N/A</v>
      </c>
      <c r="EF103" s="234" t="e">
        <f t="shared" ca="1" si="104"/>
        <v>#N/A</v>
      </c>
      <c r="EG103" s="234" t="e">
        <f t="shared" ca="1" si="106"/>
        <v>#N/A</v>
      </c>
      <c r="EH103" s="234" t="e">
        <f t="shared" ca="1" si="112"/>
        <v>#N/A</v>
      </c>
      <c r="EI103" s="234"/>
      <c r="EJ103" s="234"/>
      <c r="EK103" s="153" t="e">
        <f t="shared" ca="1" si="95"/>
        <v>#N/A</v>
      </c>
      <c r="EL103" s="231" t="e">
        <f ca="1">IF(SUM(EL$24:EL102)=EL$22,0,IF(AND($M103&gt;=EL$15,$M103&lt;(EL$16+1)),EL$22/(EL$16-EL$15+1),0))</f>
        <v>#N/A</v>
      </c>
      <c r="EM103" s="153" t="e">
        <f t="shared" ca="1" si="96"/>
        <v>#N/A</v>
      </c>
      <c r="EO103" s="60"/>
      <c r="EP103" s="60"/>
    </row>
    <row r="104" spans="1:146" ht="13.9" customHeight="1">
      <c r="A104" s="220"/>
      <c r="B104" s="236">
        <f t="shared" si="100"/>
        <v>77</v>
      </c>
      <c r="C104" s="221">
        <f t="shared" si="97"/>
        <v>45902.66920000012</v>
      </c>
      <c r="D104" s="222" t="e">
        <f ca="1">'Offshore INT'!R93</f>
        <v>#N/A</v>
      </c>
      <c r="E104" s="223" t="e">
        <f t="shared" ca="1" si="88"/>
        <v>#N/A</v>
      </c>
      <c r="F104" s="224"/>
      <c r="G104" s="225">
        <f>IF(G103=1,1,SUM($F$24:F104))</f>
        <v>0</v>
      </c>
      <c r="H104" s="226" t="e">
        <f ca="1">IF(H103=0,0,SUM($I$24:I104))</f>
        <v>#N/A</v>
      </c>
      <c r="I104" s="227" t="e">
        <f t="shared" ca="1" si="89"/>
        <v>#N/A</v>
      </c>
      <c r="J104" s="222">
        <f t="shared" ca="1" si="98"/>
        <v>0</v>
      </c>
      <c r="K104" s="60"/>
      <c r="L104" s="228"/>
      <c r="M104" s="228">
        <f t="shared" si="90"/>
        <v>77</v>
      </c>
      <c r="N104" s="221">
        <f t="shared" si="91"/>
        <v>45902.66920000012</v>
      </c>
      <c r="O104" s="229">
        <f t="shared" si="105"/>
        <v>0</v>
      </c>
      <c r="P104" s="229">
        <f t="shared" si="105"/>
        <v>0</v>
      </c>
      <c r="Q104" s="229">
        <f t="shared" si="105"/>
        <v>0</v>
      </c>
      <c r="R104" s="229">
        <f t="shared" si="105"/>
        <v>0</v>
      </c>
      <c r="S104" s="229">
        <f t="shared" si="105"/>
        <v>0</v>
      </c>
      <c r="T104" s="229">
        <f t="shared" si="105"/>
        <v>0</v>
      </c>
      <c r="U104" s="229">
        <f t="shared" si="105"/>
        <v>0</v>
      </c>
      <c r="V104" s="229">
        <f t="shared" si="105"/>
        <v>0</v>
      </c>
      <c r="W104" s="229">
        <f t="shared" si="105"/>
        <v>0</v>
      </c>
      <c r="X104" s="229">
        <f t="shared" si="105"/>
        <v>0</v>
      </c>
      <c r="Y104" s="229">
        <f t="shared" si="105"/>
        <v>0</v>
      </c>
      <c r="Z104" s="229">
        <f t="shared" si="105"/>
        <v>0</v>
      </c>
      <c r="AA104" s="229">
        <f t="shared" ref="AA104:BC113" si="115">IF($M104=AA$13,AA$22*AA$3,IF($M104=AA$14,AA$22*AA$4,IF($M104=AA$15,AA$22*AA$5,IF($M104=AA$16,AA$22*AA$6,IF($M104=AA$17,AA$22*AA$7,IF($M104=AA$18,AA$22*AA$8,IF($M104=AA$19,AA$22*AA$9,IF($M104=AA$20,AA$22*AA$10,0))))))))</f>
        <v>0</v>
      </c>
      <c r="AB104" s="229">
        <f t="shared" si="115"/>
        <v>0</v>
      </c>
      <c r="AC104" s="229">
        <f t="shared" si="115"/>
        <v>0</v>
      </c>
      <c r="AD104" s="229">
        <f t="shared" si="115"/>
        <v>0</v>
      </c>
      <c r="AE104" s="229">
        <f t="shared" si="115"/>
        <v>0</v>
      </c>
      <c r="AF104" s="229">
        <f t="shared" si="115"/>
        <v>0</v>
      </c>
      <c r="AG104" s="229">
        <f t="shared" si="115"/>
        <v>0</v>
      </c>
      <c r="AH104" s="229">
        <f t="shared" si="115"/>
        <v>0</v>
      </c>
      <c r="AI104" s="229">
        <f t="shared" si="115"/>
        <v>0</v>
      </c>
      <c r="AJ104" s="229">
        <f t="shared" si="115"/>
        <v>0</v>
      </c>
      <c r="AK104" s="229">
        <f t="shared" si="115"/>
        <v>0</v>
      </c>
      <c r="AL104" s="229">
        <f t="shared" si="115"/>
        <v>0</v>
      </c>
      <c r="AM104" s="229">
        <f t="shared" si="115"/>
        <v>0</v>
      </c>
      <c r="AN104" s="229">
        <f t="shared" si="115"/>
        <v>0</v>
      </c>
      <c r="AO104" s="229">
        <f t="shared" si="115"/>
        <v>0</v>
      </c>
      <c r="AP104" s="229">
        <f t="shared" si="115"/>
        <v>0</v>
      </c>
      <c r="AQ104" s="229">
        <f t="shared" si="115"/>
        <v>0</v>
      </c>
      <c r="AR104" s="229">
        <f t="shared" si="115"/>
        <v>0</v>
      </c>
      <c r="AS104" s="229">
        <f t="shared" si="103"/>
        <v>0</v>
      </c>
      <c r="AT104" s="229">
        <f t="shared" si="103"/>
        <v>0</v>
      </c>
      <c r="AU104" s="229">
        <f t="shared" si="103"/>
        <v>0</v>
      </c>
      <c r="AV104" s="229">
        <f t="shared" si="103"/>
        <v>0</v>
      </c>
      <c r="AW104" s="229">
        <f t="shared" si="103"/>
        <v>0</v>
      </c>
      <c r="AX104" s="229">
        <f t="shared" si="115"/>
        <v>0</v>
      </c>
      <c r="AY104" s="229">
        <f t="shared" si="115"/>
        <v>0</v>
      </c>
      <c r="AZ104" s="229">
        <f t="shared" si="115"/>
        <v>0</v>
      </c>
      <c r="BA104" s="229">
        <f t="shared" si="115"/>
        <v>0</v>
      </c>
      <c r="BB104" s="229">
        <f t="shared" si="115"/>
        <v>0</v>
      </c>
      <c r="BC104" s="229">
        <f t="shared" si="115"/>
        <v>0</v>
      </c>
      <c r="BD104" s="229">
        <f t="shared" ref="BD104:BP113" si="116">IF($M104=BD$13,BD$22*BD$3,IF($M104=BD$14,BD$22*BD$4,IF($M104=BD$15,BD$22*BD$5,IF($M104=BD$16,BD$22*BD$6,IF($M104=BD$17,BD$22*BD$7,IF($M104=BD$18,BD$22*BD$8,IF($M104=BD$19,BD$22*BD$9,IF($M104=BD$20,BD$22*BD$10,0))))))))</f>
        <v>0</v>
      </c>
      <c r="BE104" s="229">
        <f t="shared" si="116"/>
        <v>0</v>
      </c>
      <c r="BF104" s="229">
        <f t="shared" si="116"/>
        <v>0</v>
      </c>
      <c r="BG104" s="229">
        <f t="shared" si="116"/>
        <v>0</v>
      </c>
      <c r="BH104" s="229">
        <f t="shared" si="116"/>
        <v>0</v>
      </c>
      <c r="BI104" s="229">
        <f t="shared" si="116"/>
        <v>0</v>
      </c>
      <c r="BJ104" s="229">
        <f t="shared" si="116"/>
        <v>0</v>
      </c>
      <c r="BK104" s="229">
        <f t="shared" si="116"/>
        <v>0</v>
      </c>
      <c r="BL104" s="229">
        <f t="shared" si="116"/>
        <v>0</v>
      </c>
      <c r="BM104" s="229">
        <f t="shared" si="116"/>
        <v>0</v>
      </c>
      <c r="BN104" s="229">
        <f t="shared" si="116"/>
        <v>0</v>
      </c>
      <c r="BO104" s="229">
        <f t="shared" si="116"/>
        <v>0</v>
      </c>
      <c r="BP104" s="229">
        <f t="shared" si="116"/>
        <v>0</v>
      </c>
      <c r="BQ104" s="229">
        <f t="shared" ref="BQ104:CC113" si="117">IF($M104=BQ$13,BQ$22*BQ$3,IF($M104=BQ$14,BQ$22*BQ$4,IF($M104=BQ$15,BQ$22*BQ$5,IF($M104=BQ$16,BQ$22*BQ$6,IF($M104=BQ$17,BQ$22*BQ$7,IF($M104=BQ$18,BQ$22*BQ$8,IF($M104=BQ$19,BQ$22*BQ$9,IF($M104=BQ$20,BQ$22*BQ$10,0))))))))</f>
        <v>0</v>
      </c>
      <c r="BR104" s="229">
        <f t="shared" si="117"/>
        <v>0</v>
      </c>
      <c r="BS104" s="229">
        <f t="shared" si="117"/>
        <v>0</v>
      </c>
      <c r="BT104" s="229">
        <f t="shared" si="117"/>
        <v>0</v>
      </c>
      <c r="BU104" s="229">
        <f t="shared" si="117"/>
        <v>0</v>
      </c>
      <c r="BV104" s="229">
        <f t="shared" si="117"/>
        <v>0</v>
      </c>
      <c r="BW104" s="229">
        <f t="shared" si="117"/>
        <v>0</v>
      </c>
      <c r="BX104" s="229">
        <f t="shared" si="117"/>
        <v>0</v>
      </c>
      <c r="BY104" s="229">
        <f t="shared" si="117"/>
        <v>0</v>
      </c>
      <c r="BZ104" s="229">
        <f t="shared" si="117"/>
        <v>0</v>
      </c>
      <c r="CA104" s="229">
        <f t="shared" si="117"/>
        <v>0</v>
      </c>
      <c r="CB104" s="229">
        <f t="shared" si="117"/>
        <v>0</v>
      </c>
      <c r="CC104" s="229">
        <f t="shared" si="117"/>
        <v>0</v>
      </c>
      <c r="CD104" s="229">
        <f t="shared" ref="CD104:CT113" si="118">IF($M104=CD$13,CD$22*CD$3,IF($M104=CD$14,CD$22*CD$4,IF($M104=CD$15,CD$22*CD$5,IF($M104=CD$16,CD$22*CD$6,IF($M104=CD$17,CD$22*CD$7,IF($M104=CD$18,CD$22*CD$8,IF($M104=CD$19,CD$22*CD$9,IF($M104=CD$20,CD$22*CD$10,0))))))))</f>
        <v>0</v>
      </c>
      <c r="CE104" s="229">
        <f t="shared" si="113"/>
        <v>0</v>
      </c>
      <c r="CF104" s="229">
        <f t="shared" si="118"/>
        <v>0</v>
      </c>
      <c r="CG104" s="229">
        <f t="shared" si="118"/>
        <v>0</v>
      </c>
      <c r="CH104" s="229">
        <f t="shared" si="118"/>
        <v>0</v>
      </c>
      <c r="CI104" s="229">
        <f t="shared" si="118"/>
        <v>0</v>
      </c>
      <c r="CJ104" s="229">
        <f t="shared" si="70"/>
        <v>0</v>
      </c>
      <c r="CK104" s="229">
        <f t="shared" si="118"/>
        <v>0</v>
      </c>
      <c r="CL104" s="229">
        <f t="shared" si="118"/>
        <v>0</v>
      </c>
      <c r="CM104" s="229">
        <f t="shared" si="118"/>
        <v>0</v>
      </c>
      <c r="CN104" s="229">
        <f t="shared" si="118"/>
        <v>0</v>
      </c>
      <c r="CO104" s="229">
        <f t="shared" si="111"/>
        <v>0</v>
      </c>
      <c r="CP104" s="229">
        <f t="shared" si="111"/>
        <v>0</v>
      </c>
      <c r="CQ104" s="229">
        <f t="shared" si="118"/>
        <v>0</v>
      </c>
      <c r="CR104" s="229">
        <f t="shared" si="118"/>
        <v>0</v>
      </c>
      <c r="CS104" s="229">
        <f t="shared" si="118"/>
        <v>0</v>
      </c>
      <c r="CT104" s="229">
        <f t="shared" si="118"/>
        <v>0</v>
      </c>
      <c r="CU104" s="230"/>
      <c r="CV104" s="231"/>
      <c r="CW104" s="231"/>
      <c r="CX104" s="231"/>
      <c r="CY104" s="231"/>
      <c r="CZ104" s="231"/>
      <c r="DA104" s="231"/>
      <c r="DB104" s="231"/>
      <c r="DC104" s="231"/>
      <c r="DD104" s="231">
        <f>IF(SUM(DD$24:DD103)=DD$22,0,IF(AND($M104&gt;=DD$15,$M104&lt;(DD$16+1)),DD$22/(DD$16-DD$15+1),0))</f>
        <v>0</v>
      </c>
      <c r="DE104" s="231">
        <f>IF(SUM(DE$24:DE103)=DE$22,0,IF(AND($M104&gt;=DE$15,$M104&lt;(DE$16+1)),DE$22/(DE$16-DE$15+1),0))</f>
        <v>0</v>
      </c>
      <c r="DF104" s="231">
        <f>IF(SUM(DF$24:DF103)=DF$22,0,IF(AND($M104&gt;=DF$15,$M104&lt;(DF$16+1)),DF$22/(DF$16-DF$15+1),0))</f>
        <v>0</v>
      </c>
      <c r="DG104" s="231">
        <f>IF(SUM(DG$24:DG103)=DG$22,0,IF(AND($M104&gt;=DG$15,$M104&lt;(DG$16+1)),DG$22/(DG$16-DG$15+1),0))</f>
        <v>0</v>
      </c>
      <c r="DH104" s="231">
        <f t="shared" si="102"/>
        <v>0</v>
      </c>
      <c r="DI104" s="231">
        <f t="shared" si="102"/>
        <v>0</v>
      </c>
      <c r="DJ104" s="231">
        <f t="shared" si="102"/>
        <v>0</v>
      </c>
      <c r="DK104" s="231">
        <f t="shared" si="102"/>
        <v>0</v>
      </c>
      <c r="DL104" s="231">
        <f t="shared" si="102"/>
        <v>0</v>
      </c>
      <c r="DM104" s="231">
        <f t="shared" si="102"/>
        <v>0</v>
      </c>
      <c r="DN104" s="231">
        <f t="shared" si="83"/>
        <v>0</v>
      </c>
      <c r="DO104" s="231">
        <f t="shared" si="102"/>
        <v>0</v>
      </c>
      <c r="DP104" s="231">
        <f t="shared" si="102"/>
        <v>0</v>
      </c>
      <c r="DQ104" s="231">
        <f t="shared" si="102"/>
        <v>0</v>
      </c>
      <c r="DR104" s="231">
        <f t="shared" si="102"/>
        <v>0</v>
      </c>
      <c r="DS104" s="231">
        <f t="shared" si="102"/>
        <v>0</v>
      </c>
      <c r="DT104" s="231">
        <f ca="1">IF(SUM(DT$24:DT103)=DT$22,0,IF(AND($M104&gt;=DT$15,$M104&lt;(DT$16+1)),DT$22/(DT$16-DT$15+1),0))</f>
        <v>0</v>
      </c>
      <c r="DU104" s="231">
        <f ca="1">IF(SUM(DU$24:DU103)=DU$22,0,IF(AND($M104&gt;=DU$15,$M104&lt;(DU$16+1)),DU$22/(DU$16-DU$15+1),0))</f>
        <v>0</v>
      </c>
      <c r="DV104" s="231">
        <f ca="1">IF(SUM(DV$24:DV103)=DV$22,0,IF(AND(M104&gt;=DV$15,M104&lt;(DV$16+1)),DV$22/(DV$16-DV$15+1),0))</f>
        <v>0</v>
      </c>
      <c r="DW104" s="231" t="e">
        <f ca="1">IF(SUM(DW$24:DW103)=DW$22,0,IF(AND($M104&gt;=DW$15,$M104&lt;(DW$16+1)),DW$22/(DW$16-DW$15+1),0))</f>
        <v>#N/A</v>
      </c>
      <c r="DX104" s="231">
        <f ca="1">IF(SUM(DX$24:DX103)=DX$22,0,IF(AND($M104&gt;=DX$15,$M104&lt;(DX$16+1)),DX$22/(DX$16-DX$15+1),0))</f>
        <v>0</v>
      </c>
      <c r="DY104" s="231">
        <f ca="1">IF(SUM(DY$24:DY103)=DY$22,0,IF(AND($M104&gt;=DY$15,$M104&lt;(DY$16+1)),DY$22/(DY$16-DY$15+1),0))</f>
        <v>0</v>
      </c>
      <c r="DZ104" s="231">
        <f ca="1">IF(SUM(DZ$24:DZ103)=DZ$22,0,IF(AND($M104&gt;=DZ$15,$M104&lt;(DZ$16+1)),DZ$22/(DZ$16-DZ$15+1),0))</f>
        <v>0</v>
      </c>
      <c r="EA104" s="231" t="e">
        <f ca="1">IF(SUM(EA$24:EA103)=EA$22,0,IF(AND(M104&gt;=EA$15,M104&lt;(EA$16+1)),EA$22/(EA$16-EA$15+1),0))</f>
        <v>#N/A</v>
      </c>
      <c r="EC104" s="234">
        <f t="shared" si="92"/>
        <v>77</v>
      </c>
      <c r="ED104" s="234" t="e">
        <f t="shared" ca="1" si="93"/>
        <v>#N/A</v>
      </c>
      <c r="EE104" s="235" t="e">
        <f t="shared" ca="1" si="94"/>
        <v>#N/A</v>
      </c>
      <c r="EF104" s="234" t="e">
        <f t="shared" ca="1" si="104"/>
        <v>#N/A</v>
      </c>
      <c r="EG104" s="234" t="e">
        <f t="shared" ca="1" si="106"/>
        <v>#N/A</v>
      </c>
      <c r="EH104" s="234" t="e">
        <f t="shared" ca="1" si="112"/>
        <v>#N/A</v>
      </c>
      <c r="EI104" s="234"/>
      <c r="EJ104" s="234"/>
      <c r="EK104" s="153" t="e">
        <f t="shared" ca="1" si="95"/>
        <v>#N/A</v>
      </c>
      <c r="EL104" s="231" t="e">
        <f ca="1">IF(SUM(EL$24:EL103)=EL$22,0,IF(AND($M104&gt;=EL$15,$M104&lt;(EL$16+1)),EL$22/(EL$16-EL$15+1),0))</f>
        <v>#N/A</v>
      </c>
      <c r="EM104" s="153" t="e">
        <f t="shared" ca="1" si="96"/>
        <v>#N/A</v>
      </c>
      <c r="EO104" s="60"/>
      <c r="EP104" s="60"/>
    </row>
    <row r="105" spans="1:146" ht="13.9" customHeight="1">
      <c r="A105" s="220"/>
      <c r="B105" s="236">
        <f t="shared" si="100"/>
        <v>78</v>
      </c>
      <c r="C105" s="221">
        <f t="shared" si="97"/>
        <v>45933.085900000122</v>
      </c>
      <c r="D105" s="222" t="e">
        <f ca="1">'Offshore INT'!R94</f>
        <v>#N/A</v>
      </c>
      <c r="E105" s="223" t="e">
        <f t="shared" ca="1" si="88"/>
        <v>#N/A</v>
      </c>
      <c r="F105" s="224"/>
      <c r="G105" s="225">
        <f>IF(G104=1,1,SUM($F$24:F105))</f>
        <v>0</v>
      </c>
      <c r="H105" s="226" t="e">
        <f ca="1">IF(H104=0,0,SUM($I$24:I105))</f>
        <v>#N/A</v>
      </c>
      <c r="I105" s="227" t="e">
        <f t="shared" ca="1" si="89"/>
        <v>#N/A</v>
      </c>
      <c r="J105" s="222">
        <f t="shared" ca="1" si="98"/>
        <v>0</v>
      </c>
      <c r="K105" s="60"/>
      <c r="L105" s="228"/>
      <c r="M105" s="228">
        <f t="shared" si="90"/>
        <v>78</v>
      </c>
      <c r="N105" s="221">
        <f t="shared" si="91"/>
        <v>45933.085900000122</v>
      </c>
      <c r="O105" s="229">
        <f t="shared" si="105"/>
        <v>0</v>
      </c>
      <c r="P105" s="229">
        <f t="shared" si="105"/>
        <v>0</v>
      </c>
      <c r="Q105" s="229">
        <f t="shared" si="105"/>
        <v>0</v>
      </c>
      <c r="R105" s="229">
        <f t="shared" si="105"/>
        <v>0</v>
      </c>
      <c r="S105" s="229">
        <f t="shared" si="105"/>
        <v>0</v>
      </c>
      <c r="T105" s="229">
        <f t="shared" si="105"/>
        <v>0</v>
      </c>
      <c r="U105" s="229">
        <f t="shared" si="105"/>
        <v>0</v>
      </c>
      <c r="V105" s="229">
        <f t="shared" si="105"/>
        <v>0</v>
      </c>
      <c r="W105" s="229">
        <f t="shared" si="105"/>
        <v>0</v>
      </c>
      <c r="X105" s="229">
        <f t="shared" si="105"/>
        <v>0</v>
      </c>
      <c r="Y105" s="229">
        <f t="shared" si="105"/>
        <v>0</v>
      </c>
      <c r="Z105" s="229">
        <f t="shared" si="105"/>
        <v>0</v>
      </c>
      <c r="AA105" s="229">
        <f t="shared" si="115"/>
        <v>0</v>
      </c>
      <c r="AB105" s="229">
        <f t="shared" si="115"/>
        <v>0</v>
      </c>
      <c r="AC105" s="229">
        <f t="shared" si="115"/>
        <v>0</v>
      </c>
      <c r="AD105" s="229">
        <f t="shared" si="115"/>
        <v>0</v>
      </c>
      <c r="AE105" s="229">
        <f t="shared" si="115"/>
        <v>0</v>
      </c>
      <c r="AF105" s="229">
        <f t="shared" si="115"/>
        <v>0</v>
      </c>
      <c r="AG105" s="229">
        <f t="shared" si="115"/>
        <v>0</v>
      </c>
      <c r="AH105" s="229">
        <f t="shared" si="115"/>
        <v>0</v>
      </c>
      <c r="AI105" s="229">
        <f t="shared" si="115"/>
        <v>0</v>
      </c>
      <c r="AJ105" s="229">
        <f t="shared" si="115"/>
        <v>0</v>
      </c>
      <c r="AK105" s="229">
        <f t="shared" si="115"/>
        <v>0</v>
      </c>
      <c r="AL105" s="229">
        <f t="shared" si="115"/>
        <v>0</v>
      </c>
      <c r="AM105" s="229">
        <f t="shared" si="115"/>
        <v>0</v>
      </c>
      <c r="AN105" s="229">
        <f t="shared" si="115"/>
        <v>0</v>
      </c>
      <c r="AO105" s="229">
        <f t="shared" si="115"/>
        <v>0</v>
      </c>
      <c r="AP105" s="229">
        <f t="shared" si="115"/>
        <v>0</v>
      </c>
      <c r="AQ105" s="229">
        <f t="shared" si="115"/>
        <v>0</v>
      </c>
      <c r="AR105" s="229">
        <f t="shared" si="115"/>
        <v>0</v>
      </c>
      <c r="AS105" s="229">
        <f t="shared" si="103"/>
        <v>0</v>
      </c>
      <c r="AT105" s="229">
        <f t="shared" si="103"/>
        <v>0</v>
      </c>
      <c r="AU105" s="229">
        <f t="shared" si="103"/>
        <v>0</v>
      </c>
      <c r="AV105" s="229">
        <f t="shared" si="103"/>
        <v>0</v>
      </c>
      <c r="AW105" s="229">
        <f t="shared" si="103"/>
        <v>0</v>
      </c>
      <c r="AX105" s="229">
        <f t="shared" si="115"/>
        <v>0</v>
      </c>
      <c r="AY105" s="229">
        <f t="shared" si="115"/>
        <v>0</v>
      </c>
      <c r="AZ105" s="229">
        <f t="shared" si="115"/>
        <v>0</v>
      </c>
      <c r="BA105" s="229">
        <f t="shared" si="115"/>
        <v>0</v>
      </c>
      <c r="BB105" s="229">
        <f t="shared" si="115"/>
        <v>0</v>
      </c>
      <c r="BC105" s="229">
        <f t="shared" si="115"/>
        <v>0</v>
      </c>
      <c r="BD105" s="229">
        <f t="shared" si="116"/>
        <v>0</v>
      </c>
      <c r="BE105" s="229">
        <f t="shared" si="116"/>
        <v>0</v>
      </c>
      <c r="BF105" s="229">
        <f t="shared" si="116"/>
        <v>0</v>
      </c>
      <c r="BG105" s="229">
        <f t="shared" si="116"/>
        <v>0</v>
      </c>
      <c r="BH105" s="229">
        <f t="shared" si="116"/>
        <v>0</v>
      </c>
      <c r="BI105" s="229">
        <f t="shared" si="116"/>
        <v>0</v>
      </c>
      <c r="BJ105" s="229">
        <f t="shared" si="116"/>
        <v>0</v>
      </c>
      <c r="BK105" s="229">
        <f t="shared" si="116"/>
        <v>0</v>
      </c>
      <c r="BL105" s="229">
        <f t="shared" si="116"/>
        <v>0</v>
      </c>
      <c r="BM105" s="229">
        <f t="shared" si="116"/>
        <v>0</v>
      </c>
      <c r="BN105" s="229">
        <f t="shared" si="116"/>
        <v>0</v>
      </c>
      <c r="BO105" s="229">
        <f t="shared" si="116"/>
        <v>0</v>
      </c>
      <c r="BP105" s="229">
        <f t="shared" si="116"/>
        <v>0</v>
      </c>
      <c r="BQ105" s="229">
        <f t="shared" si="117"/>
        <v>0</v>
      </c>
      <c r="BR105" s="229">
        <f t="shared" si="117"/>
        <v>0</v>
      </c>
      <c r="BS105" s="229">
        <f t="shared" si="117"/>
        <v>0</v>
      </c>
      <c r="BT105" s="229">
        <f t="shared" si="117"/>
        <v>0</v>
      </c>
      <c r="BU105" s="229">
        <f t="shared" si="117"/>
        <v>0</v>
      </c>
      <c r="BV105" s="229">
        <f t="shared" si="117"/>
        <v>0</v>
      </c>
      <c r="BW105" s="229">
        <f t="shared" si="117"/>
        <v>0</v>
      </c>
      <c r="BX105" s="229">
        <f t="shared" si="117"/>
        <v>0</v>
      </c>
      <c r="BY105" s="229">
        <f t="shared" si="117"/>
        <v>0</v>
      </c>
      <c r="BZ105" s="229">
        <f t="shared" si="117"/>
        <v>0</v>
      </c>
      <c r="CA105" s="229">
        <f t="shared" si="117"/>
        <v>0</v>
      </c>
      <c r="CB105" s="229">
        <f t="shared" si="117"/>
        <v>0</v>
      </c>
      <c r="CC105" s="229">
        <f t="shared" si="117"/>
        <v>0</v>
      </c>
      <c r="CD105" s="229">
        <f t="shared" si="118"/>
        <v>0</v>
      </c>
      <c r="CE105" s="229">
        <f t="shared" si="113"/>
        <v>0</v>
      </c>
      <c r="CF105" s="229">
        <f t="shared" si="118"/>
        <v>0</v>
      </c>
      <c r="CG105" s="229">
        <f t="shared" si="118"/>
        <v>0</v>
      </c>
      <c r="CH105" s="229">
        <f t="shared" si="118"/>
        <v>0</v>
      </c>
      <c r="CI105" s="229">
        <f t="shared" si="118"/>
        <v>0</v>
      </c>
      <c r="CJ105" s="229">
        <f t="shared" si="70"/>
        <v>0</v>
      </c>
      <c r="CK105" s="229">
        <f t="shared" si="118"/>
        <v>0</v>
      </c>
      <c r="CL105" s="229">
        <f t="shared" si="118"/>
        <v>0</v>
      </c>
      <c r="CM105" s="229">
        <f t="shared" si="118"/>
        <v>0</v>
      </c>
      <c r="CN105" s="229">
        <f t="shared" si="118"/>
        <v>0</v>
      </c>
      <c r="CO105" s="229">
        <f t="shared" si="111"/>
        <v>0</v>
      </c>
      <c r="CP105" s="229">
        <f t="shared" si="111"/>
        <v>0</v>
      </c>
      <c r="CQ105" s="229">
        <f t="shared" si="118"/>
        <v>0</v>
      </c>
      <c r="CR105" s="229">
        <f t="shared" si="118"/>
        <v>0</v>
      </c>
      <c r="CS105" s="229">
        <f t="shared" si="118"/>
        <v>0</v>
      </c>
      <c r="CT105" s="229">
        <f t="shared" si="118"/>
        <v>0</v>
      </c>
      <c r="CU105" s="230"/>
      <c r="CV105" s="231"/>
      <c r="CW105" s="231"/>
      <c r="CX105" s="231"/>
      <c r="CY105" s="231"/>
      <c r="CZ105" s="231"/>
      <c r="DA105" s="231"/>
      <c r="DB105" s="231"/>
      <c r="DC105" s="231"/>
      <c r="DD105" s="231">
        <f>IF(SUM(DD$24:DD104)=DD$22,0,IF(AND($M105&gt;=DD$15,$M105&lt;(DD$16+1)),DD$22/(DD$16-DD$15+1),0))</f>
        <v>0</v>
      </c>
      <c r="DE105" s="231">
        <f>IF(SUM(DE$24:DE104)=DE$22,0,IF(AND($M105&gt;=DE$15,$M105&lt;(DE$16+1)),DE$22/(DE$16-DE$15+1),0))</f>
        <v>0</v>
      </c>
      <c r="DF105" s="231">
        <f>IF(SUM(DF$24:DF104)=DF$22,0,IF(AND($M105&gt;=DF$15,$M105&lt;(DF$16+1)),DF$22/(DF$16-DF$15+1),0))</f>
        <v>0</v>
      </c>
      <c r="DG105" s="231">
        <f>IF(SUM(DG$24:DG104)=DG$22,0,IF(AND($M105&gt;=DG$15,$M105&lt;(DG$16+1)),DG$22/(DG$16-DG$15+1),0))</f>
        <v>0</v>
      </c>
      <c r="DH105" s="231">
        <f t="shared" si="102"/>
        <v>0</v>
      </c>
      <c r="DI105" s="231">
        <f t="shared" si="102"/>
        <v>0</v>
      </c>
      <c r="DJ105" s="231">
        <f t="shared" si="102"/>
        <v>0</v>
      </c>
      <c r="DK105" s="231">
        <f t="shared" si="102"/>
        <v>0</v>
      </c>
      <c r="DL105" s="231">
        <f t="shared" si="102"/>
        <v>0</v>
      </c>
      <c r="DM105" s="231">
        <f t="shared" ref="DM105:DN120" si="119">IF(AND($M105&gt;=DM$15,$M105&lt;(DM$16+1)),DM$22/(DM$16-DM$15+1),0)</f>
        <v>0</v>
      </c>
      <c r="DN105" s="231">
        <f t="shared" si="119"/>
        <v>0</v>
      </c>
      <c r="DO105" s="231">
        <f t="shared" si="102"/>
        <v>0</v>
      </c>
      <c r="DP105" s="231">
        <f t="shared" si="102"/>
        <v>0</v>
      </c>
      <c r="DQ105" s="231">
        <f t="shared" si="102"/>
        <v>0</v>
      </c>
      <c r="DR105" s="231">
        <f t="shared" si="102"/>
        <v>0</v>
      </c>
      <c r="DS105" s="231">
        <f t="shared" si="102"/>
        <v>0</v>
      </c>
      <c r="DT105" s="231">
        <f ca="1">IF(SUM(DT$24:DT104)=DT$22,0,IF(AND($M105&gt;=DT$15,$M105&lt;(DT$16+1)),DT$22/(DT$16-DT$15+1),0))</f>
        <v>0</v>
      </c>
      <c r="DU105" s="231">
        <f ca="1">IF(SUM(DU$24:DU104)=DU$22,0,IF(AND($M105&gt;=DU$15,$M105&lt;(DU$16+1)),DU$22/(DU$16-DU$15+1),0))</f>
        <v>0</v>
      </c>
      <c r="DV105" s="231">
        <f ca="1">IF(SUM(DV$24:DV104)=DV$22,0,IF(AND(M105&gt;=DV$15,M105&lt;(DV$16+1)),DV$22/(DV$16-DV$15+1),0))</f>
        <v>0</v>
      </c>
      <c r="DW105" s="231" t="e">
        <f ca="1">IF(SUM(DW$24:DW104)=DW$22,0,IF(AND($M105&gt;=DW$15,$M105&lt;(DW$16+1)),DW$22/(DW$16-DW$15+1),0))</f>
        <v>#N/A</v>
      </c>
      <c r="DX105" s="231">
        <f ca="1">IF(SUM(DX$24:DX104)=DX$22,0,IF(AND($M105&gt;=DX$15,$M105&lt;(DX$16+1)),DX$22/(DX$16-DX$15+1),0))</f>
        <v>0</v>
      </c>
      <c r="DY105" s="231">
        <f ca="1">IF(SUM(DY$24:DY104)=DY$22,0,IF(AND($M105&gt;=DY$15,$M105&lt;(DY$16+1)),DY$22/(DY$16-DY$15+1),0))</f>
        <v>0</v>
      </c>
      <c r="DZ105" s="231">
        <f ca="1">IF(SUM(DZ$24:DZ104)=DZ$22,0,IF(AND($M105&gt;=DZ$15,$M105&lt;(DZ$16+1)),DZ$22/(DZ$16-DZ$15+1),0))</f>
        <v>0</v>
      </c>
      <c r="EA105" s="231" t="e">
        <f ca="1">IF(SUM(EA$24:EA104)=EA$22,0,IF(AND(M105&gt;=EA$15,M105&lt;(EA$16+1)),EA$22/(EA$16-EA$15+1),0))</f>
        <v>#N/A</v>
      </c>
      <c r="EC105" s="234">
        <f t="shared" si="92"/>
        <v>78</v>
      </c>
      <c r="ED105" s="234" t="e">
        <f t="shared" ca="1" si="93"/>
        <v>#N/A</v>
      </c>
      <c r="EE105" s="235" t="e">
        <f t="shared" ca="1" si="94"/>
        <v>#N/A</v>
      </c>
      <c r="EF105" s="234" t="e">
        <f t="shared" ca="1" si="104"/>
        <v>#N/A</v>
      </c>
      <c r="EG105" s="234" t="e">
        <f t="shared" ca="1" si="106"/>
        <v>#N/A</v>
      </c>
      <c r="EH105" s="234" t="e">
        <f t="shared" ca="1" si="112"/>
        <v>#N/A</v>
      </c>
      <c r="EI105" s="234"/>
      <c r="EJ105" s="234"/>
      <c r="EK105" s="153" t="e">
        <f t="shared" ca="1" si="95"/>
        <v>#N/A</v>
      </c>
      <c r="EL105" s="231" t="e">
        <f ca="1">IF(SUM(EL$24:EL104)=EL$22,0,IF(AND($M105&gt;=EL$15,$M105&lt;(EL$16+1)),EL$22/(EL$16-EL$15+1),0))</f>
        <v>#N/A</v>
      </c>
      <c r="EM105" s="153" t="e">
        <f t="shared" ca="1" si="96"/>
        <v>#N/A</v>
      </c>
      <c r="EO105" s="60"/>
      <c r="EP105" s="60"/>
    </row>
    <row r="106" spans="1:146" ht="13.9" customHeight="1">
      <c r="A106" s="220"/>
      <c r="B106" s="236">
        <f t="shared" si="100"/>
        <v>79</v>
      </c>
      <c r="C106" s="221">
        <f t="shared" si="97"/>
        <v>45963.502600000123</v>
      </c>
      <c r="D106" s="222" t="e">
        <f ca="1">'Offshore INT'!R95</f>
        <v>#N/A</v>
      </c>
      <c r="E106" s="223" t="e">
        <f t="shared" ca="1" si="88"/>
        <v>#N/A</v>
      </c>
      <c r="F106" s="224"/>
      <c r="G106" s="225">
        <f>IF(G105=1,1,SUM($F$24:F106))</f>
        <v>0</v>
      </c>
      <c r="H106" s="226" t="e">
        <f ca="1">IF(H105=0,0,SUM($I$24:I106))</f>
        <v>#N/A</v>
      </c>
      <c r="I106" s="227" t="e">
        <f t="shared" ca="1" si="89"/>
        <v>#N/A</v>
      </c>
      <c r="J106" s="222">
        <f t="shared" ca="1" si="98"/>
        <v>0</v>
      </c>
      <c r="K106" s="60"/>
      <c r="L106" s="228"/>
      <c r="M106" s="228">
        <f t="shared" si="90"/>
        <v>79</v>
      </c>
      <c r="N106" s="221">
        <f t="shared" si="91"/>
        <v>45963.502600000123</v>
      </c>
      <c r="O106" s="229">
        <f t="shared" si="105"/>
        <v>0</v>
      </c>
      <c r="P106" s="229">
        <f t="shared" si="105"/>
        <v>0</v>
      </c>
      <c r="Q106" s="229">
        <f t="shared" si="105"/>
        <v>0</v>
      </c>
      <c r="R106" s="229">
        <f t="shared" si="105"/>
        <v>0</v>
      </c>
      <c r="S106" s="229">
        <f t="shared" si="105"/>
        <v>0</v>
      </c>
      <c r="T106" s="229">
        <f t="shared" si="105"/>
        <v>0</v>
      </c>
      <c r="U106" s="229">
        <f t="shared" si="105"/>
        <v>0</v>
      </c>
      <c r="V106" s="229">
        <f t="shared" si="105"/>
        <v>0</v>
      </c>
      <c r="W106" s="229">
        <f t="shared" si="105"/>
        <v>0</v>
      </c>
      <c r="X106" s="229">
        <f t="shared" si="105"/>
        <v>0</v>
      </c>
      <c r="Y106" s="229">
        <f t="shared" si="105"/>
        <v>0</v>
      </c>
      <c r="Z106" s="229">
        <f t="shared" si="105"/>
        <v>0</v>
      </c>
      <c r="AA106" s="229">
        <f t="shared" si="115"/>
        <v>0</v>
      </c>
      <c r="AB106" s="229">
        <f t="shared" si="115"/>
        <v>0</v>
      </c>
      <c r="AC106" s="229">
        <f t="shared" si="115"/>
        <v>0</v>
      </c>
      <c r="AD106" s="229">
        <f t="shared" si="115"/>
        <v>0</v>
      </c>
      <c r="AE106" s="229">
        <f t="shared" si="115"/>
        <v>0</v>
      </c>
      <c r="AF106" s="229">
        <f t="shared" si="115"/>
        <v>0</v>
      </c>
      <c r="AG106" s="229">
        <f t="shared" si="115"/>
        <v>0</v>
      </c>
      <c r="AH106" s="229">
        <f t="shared" si="115"/>
        <v>0</v>
      </c>
      <c r="AI106" s="229">
        <f t="shared" si="115"/>
        <v>0</v>
      </c>
      <c r="AJ106" s="229">
        <f t="shared" si="115"/>
        <v>0</v>
      </c>
      <c r="AK106" s="229">
        <f t="shared" si="115"/>
        <v>0</v>
      </c>
      <c r="AL106" s="229">
        <f t="shared" si="115"/>
        <v>0</v>
      </c>
      <c r="AM106" s="229">
        <f t="shared" si="115"/>
        <v>0</v>
      </c>
      <c r="AN106" s="229">
        <f t="shared" si="115"/>
        <v>0</v>
      </c>
      <c r="AO106" s="229">
        <f t="shared" si="115"/>
        <v>0</v>
      </c>
      <c r="AP106" s="229">
        <f t="shared" si="115"/>
        <v>0</v>
      </c>
      <c r="AQ106" s="229">
        <f t="shared" si="115"/>
        <v>0</v>
      </c>
      <c r="AR106" s="229">
        <f t="shared" si="115"/>
        <v>0</v>
      </c>
      <c r="AS106" s="229">
        <f t="shared" si="103"/>
        <v>0</v>
      </c>
      <c r="AT106" s="229">
        <f t="shared" si="103"/>
        <v>0</v>
      </c>
      <c r="AU106" s="229">
        <f t="shared" si="103"/>
        <v>0</v>
      </c>
      <c r="AV106" s="229">
        <f t="shared" si="103"/>
        <v>0</v>
      </c>
      <c r="AW106" s="229">
        <f t="shared" si="103"/>
        <v>0</v>
      </c>
      <c r="AX106" s="229">
        <f t="shared" si="115"/>
        <v>0</v>
      </c>
      <c r="AY106" s="229">
        <f t="shared" si="115"/>
        <v>0</v>
      </c>
      <c r="AZ106" s="229">
        <f t="shared" si="115"/>
        <v>0</v>
      </c>
      <c r="BA106" s="229">
        <f t="shared" si="115"/>
        <v>0</v>
      </c>
      <c r="BB106" s="229">
        <f t="shared" si="115"/>
        <v>0</v>
      </c>
      <c r="BC106" s="229">
        <f t="shared" si="115"/>
        <v>0</v>
      </c>
      <c r="BD106" s="229">
        <f t="shared" si="116"/>
        <v>0</v>
      </c>
      <c r="BE106" s="229">
        <f t="shared" si="116"/>
        <v>0</v>
      </c>
      <c r="BF106" s="229">
        <f t="shared" si="116"/>
        <v>0</v>
      </c>
      <c r="BG106" s="229">
        <f t="shared" si="116"/>
        <v>0</v>
      </c>
      <c r="BH106" s="229">
        <f t="shared" si="116"/>
        <v>0</v>
      </c>
      <c r="BI106" s="229">
        <f t="shared" si="116"/>
        <v>0</v>
      </c>
      <c r="BJ106" s="229">
        <f t="shared" si="116"/>
        <v>0</v>
      </c>
      <c r="BK106" s="229">
        <f t="shared" si="116"/>
        <v>0</v>
      </c>
      <c r="BL106" s="229">
        <f t="shared" si="116"/>
        <v>0</v>
      </c>
      <c r="BM106" s="229">
        <f t="shared" si="116"/>
        <v>0</v>
      </c>
      <c r="BN106" s="229">
        <f t="shared" si="116"/>
        <v>0</v>
      </c>
      <c r="BO106" s="229">
        <f t="shared" si="116"/>
        <v>0</v>
      </c>
      <c r="BP106" s="229">
        <f t="shared" si="116"/>
        <v>0</v>
      </c>
      <c r="BQ106" s="229">
        <f t="shared" si="117"/>
        <v>0</v>
      </c>
      <c r="BR106" s="229">
        <f t="shared" si="117"/>
        <v>0</v>
      </c>
      <c r="BS106" s="229">
        <f t="shared" si="117"/>
        <v>0</v>
      </c>
      <c r="BT106" s="229">
        <f t="shared" si="117"/>
        <v>0</v>
      </c>
      <c r="BU106" s="229">
        <f t="shared" si="117"/>
        <v>0</v>
      </c>
      <c r="BV106" s="229">
        <f t="shared" si="117"/>
        <v>0</v>
      </c>
      <c r="BW106" s="229">
        <f t="shared" si="117"/>
        <v>0</v>
      </c>
      <c r="BX106" s="229">
        <f t="shared" si="117"/>
        <v>0</v>
      </c>
      <c r="BY106" s="229">
        <f t="shared" si="117"/>
        <v>0</v>
      </c>
      <c r="BZ106" s="229">
        <f t="shared" si="117"/>
        <v>0</v>
      </c>
      <c r="CA106" s="229">
        <f t="shared" si="117"/>
        <v>0</v>
      </c>
      <c r="CB106" s="229">
        <f t="shared" si="117"/>
        <v>0</v>
      </c>
      <c r="CC106" s="229">
        <f t="shared" si="117"/>
        <v>0</v>
      </c>
      <c r="CD106" s="229">
        <f t="shared" si="118"/>
        <v>0</v>
      </c>
      <c r="CE106" s="229">
        <f t="shared" si="113"/>
        <v>0</v>
      </c>
      <c r="CF106" s="229">
        <f t="shared" si="118"/>
        <v>0</v>
      </c>
      <c r="CG106" s="229">
        <f t="shared" si="118"/>
        <v>0</v>
      </c>
      <c r="CH106" s="229">
        <f t="shared" si="118"/>
        <v>0</v>
      </c>
      <c r="CI106" s="229">
        <f t="shared" si="118"/>
        <v>0</v>
      </c>
      <c r="CJ106" s="229">
        <f t="shared" si="70"/>
        <v>0</v>
      </c>
      <c r="CK106" s="229">
        <f t="shared" si="118"/>
        <v>0</v>
      </c>
      <c r="CL106" s="229">
        <f t="shared" si="118"/>
        <v>0</v>
      </c>
      <c r="CM106" s="229">
        <f t="shared" si="118"/>
        <v>0</v>
      </c>
      <c r="CN106" s="229">
        <f t="shared" si="118"/>
        <v>0</v>
      </c>
      <c r="CO106" s="229">
        <f t="shared" si="111"/>
        <v>0</v>
      </c>
      <c r="CP106" s="229">
        <f t="shared" si="111"/>
        <v>0</v>
      </c>
      <c r="CQ106" s="229">
        <f t="shared" si="118"/>
        <v>0</v>
      </c>
      <c r="CR106" s="229">
        <f t="shared" si="118"/>
        <v>0</v>
      </c>
      <c r="CS106" s="229">
        <f t="shared" si="118"/>
        <v>0</v>
      </c>
      <c r="CT106" s="229">
        <f t="shared" si="118"/>
        <v>0</v>
      </c>
      <c r="CU106" s="230"/>
      <c r="CV106" s="231"/>
      <c r="CW106" s="231"/>
      <c r="CX106" s="231"/>
      <c r="CY106" s="231"/>
      <c r="CZ106" s="231"/>
      <c r="DA106" s="231"/>
      <c r="DB106" s="231"/>
      <c r="DC106" s="231"/>
      <c r="DD106" s="231">
        <f>IF(SUM(DD$24:DD105)=DD$22,0,IF(AND($M106&gt;=DD$15,$M106&lt;(DD$16+1)),DD$22/(DD$16-DD$15+1),0))</f>
        <v>0</v>
      </c>
      <c r="DE106" s="231">
        <f>IF(SUM(DE$24:DE105)=DE$22,0,IF(AND($M106&gt;=DE$15,$M106&lt;(DE$16+1)),DE$22/(DE$16-DE$15+1),0))</f>
        <v>0</v>
      </c>
      <c r="DF106" s="231">
        <f>IF(SUM(DF$24:DF105)=DF$22,0,IF(AND($M106&gt;=DF$15,$M106&lt;(DF$16+1)),DF$22/(DF$16-DF$15+1),0))</f>
        <v>0</v>
      </c>
      <c r="DG106" s="231">
        <f>IF(SUM(DG$24:DG105)=DG$22,0,IF(AND($M106&gt;=DG$15,$M106&lt;(DG$16+1)),DG$22/(DG$16-DG$15+1),0))</f>
        <v>0</v>
      </c>
      <c r="DH106" s="231">
        <f t="shared" si="102"/>
        <v>0</v>
      </c>
      <c r="DI106" s="231">
        <f t="shared" si="102"/>
        <v>0</v>
      </c>
      <c r="DJ106" s="231">
        <f t="shared" si="102"/>
        <v>0</v>
      </c>
      <c r="DK106" s="231">
        <f t="shared" si="102"/>
        <v>0</v>
      </c>
      <c r="DL106" s="231">
        <f t="shared" si="102"/>
        <v>0</v>
      </c>
      <c r="DM106" s="231">
        <f t="shared" si="119"/>
        <v>0</v>
      </c>
      <c r="DN106" s="231">
        <f t="shared" si="119"/>
        <v>0</v>
      </c>
      <c r="DO106" s="231">
        <f t="shared" si="102"/>
        <v>0</v>
      </c>
      <c r="DP106" s="231">
        <f t="shared" si="102"/>
        <v>0</v>
      </c>
      <c r="DQ106" s="231">
        <f t="shared" si="102"/>
        <v>0</v>
      </c>
      <c r="DR106" s="231">
        <f t="shared" si="102"/>
        <v>0</v>
      </c>
      <c r="DS106" s="231">
        <f t="shared" si="102"/>
        <v>0</v>
      </c>
      <c r="DT106" s="231">
        <f ca="1">IF(SUM(DT$24:DT105)=DT$22,0,IF(AND($M106&gt;=DT$15,$M106&lt;(DT$16+1)),DT$22/(DT$16-DT$15+1),0))</f>
        <v>0</v>
      </c>
      <c r="DU106" s="231">
        <f ca="1">IF(SUM(DU$24:DU105)=DU$22,0,IF(AND($M106&gt;=DU$15,$M106&lt;(DU$16+1)),DU$22/(DU$16-DU$15+1),0))</f>
        <v>0</v>
      </c>
      <c r="DV106" s="231">
        <f ca="1">IF(SUM(DV$24:DV105)=DV$22,0,IF(AND(M106&gt;=DV$15,M106&lt;(DV$16+1)),DV$22/(DV$16-DV$15+1),0))</f>
        <v>0</v>
      </c>
      <c r="DW106" s="231" t="e">
        <f ca="1">IF(SUM(DW$24:DW105)=DW$22,0,IF(AND($M106&gt;=DW$15,$M106&lt;(DW$16+1)),DW$22/(DW$16-DW$15+1),0))</f>
        <v>#N/A</v>
      </c>
      <c r="DX106" s="231">
        <f ca="1">IF(SUM(DX$24:DX105)=DX$22,0,IF(AND($M106&gt;=DX$15,$M106&lt;(DX$16+1)),DX$22/(DX$16-DX$15+1),0))</f>
        <v>0</v>
      </c>
      <c r="DY106" s="231">
        <f ca="1">IF(SUM(DY$24:DY105)=DY$22,0,IF(AND($M106&gt;=DY$15,$M106&lt;(DY$16+1)),DY$22/(DY$16-DY$15+1),0))</f>
        <v>0</v>
      </c>
      <c r="DZ106" s="231">
        <f ca="1">IF(SUM(DZ$24:DZ105)=DZ$22,0,IF(AND($M106&gt;=DZ$15,$M106&lt;(DZ$16+1)),DZ$22/(DZ$16-DZ$15+1),0))</f>
        <v>0</v>
      </c>
      <c r="EA106" s="231" t="e">
        <f ca="1">IF(SUM(EA$24:EA105)=EA$22,0,IF(AND(M106&gt;=EA$15,M106&lt;(EA$16+1)),EA$22/(EA$16-EA$15+1),0))</f>
        <v>#N/A</v>
      </c>
      <c r="EC106" s="234">
        <f t="shared" si="92"/>
        <v>79</v>
      </c>
      <c r="ED106" s="234" t="e">
        <f t="shared" ca="1" si="93"/>
        <v>#N/A</v>
      </c>
      <c r="EE106" s="235" t="e">
        <f t="shared" ca="1" si="94"/>
        <v>#N/A</v>
      </c>
      <c r="EF106" s="234" t="e">
        <f t="shared" ca="1" si="104"/>
        <v>#N/A</v>
      </c>
      <c r="EG106" s="234" t="e">
        <f t="shared" ca="1" si="106"/>
        <v>#N/A</v>
      </c>
      <c r="EH106" s="234" t="e">
        <f t="shared" ca="1" si="112"/>
        <v>#N/A</v>
      </c>
      <c r="EI106" s="234"/>
      <c r="EJ106" s="234"/>
      <c r="EK106" s="153" t="e">
        <f t="shared" ca="1" si="95"/>
        <v>#N/A</v>
      </c>
      <c r="EL106" s="231" t="e">
        <f ca="1">IF(SUM(EL$24:EL105)=EL$22,0,IF(AND($M106&gt;=EL$15,$M106&lt;(EL$16+1)),EL$22/(EL$16-EL$15+1),0))</f>
        <v>#N/A</v>
      </c>
      <c r="EM106" s="153" t="e">
        <f t="shared" ca="1" si="96"/>
        <v>#N/A</v>
      </c>
      <c r="EO106" s="60"/>
      <c r="EP106" s="60"/>
    </row>
    <row r="107" spans="1:146" ht="13.9" customHeight="1">
      <c r="A107" s="220"/>
      <c r="B107" s="236">
        <f t="shared" si="100"/>
        <v>80</v>
      </c>
      <c r="C107" s="221">
        <f t="shared" si="97"/>
        <v>45993.919300000125</v>
      </c>
      <c r="D107" s="222" t="e">
        <f ca="1">'Offshore INT'!R96</f>
        <v>#N/A</v>
      </c>
      <c r="E107" s="223" t="e">
        <f t="shared" ca="1" si="88"/>
        <v>#N/A</v>
      </c>
      <c r="F107" s="224"/>
      <c r="G107" s="225">
        <f>IF(G106=1,1,SUM($F$24:F107))</f>
        <v>0</v>
      </c>
      <c r="H107" s="226" t="e">
        <f ca="1">IF(H106=0,0,SUM($I$24:I107))</f>
        <v>#N/A</v>
      </c>
      <c r="I107" s="227" t="e">
        <f t="shared" ca="1" si="89"/>
        <v>#N/A</v>
      </c>
      <c r="J107" s="222">
        <f t="shared" ca="1" si="98"/>
        <v>0</v>
      </c>
      <c r="K107" s="60"/>
      <c r="L107" s="228"/>
      <c r="M107" s="228">
        <f t="shared" si="90"/>
        <v>80</v>
      </c>
      <c r="N107" s="221">
        <f t="shared" si="91"/>
        <v>45993.919300000125</v>
      </c>
      <c r="O107" s="229">
        <f t="shared" si="105"/>
        <v>0</v>
      </c>
      <c r="P107" s="229">
        <f t="shared" si="105"/>
        <v>0</v>
      </c>
      <c r="Q107" s="229">
        <f t="shared" si="105"/>
        <v>0</v>
      </c>
      <c r="R107" s="229">
        <f t="shared" si="105"/>
        <v>0</v>
      </c>
      <c r="S107" s="229">
        <f t="shared" si="105"/>
        <v>0</v>
      </c>
      <c r="T107" s="229">
        <f t="shared" si="105"/>
        <v>0</v>
      </c>
      <c r="U107" s="229">
        <f t="shared" si="105"/>
        <v>0</v>
      </c>
      <c r="V107" s="229">
        <f t="shared" si="105"/>
        <v>0</v>
      </c>
      <c r="W107" s="229">
        <f t="shared" si="105"/>
        <v>0</v>
      </c>
      <c r="X107" s="229">
        <f t="shared" si="105"/>
        <v>0</v>
      </c>
      <c r="Y107" s="229">
        <f t="shared" si="105"/>
        <v>0</v>
      </c>
      <c r="Z107" s="229">
        <f t="shared" si="105"/>
        <v>0</v>
      </c>
      <c r="AA107" s="229">
        <f t="shared" si="115"/>
        <v>0</v>
      </c>
      <c r="AB107" s="229">
        <f t="shared" si="115"/>
        <v>0</v>
      </c>
      <c r="AC107" s="229">
        <f t="shared" si="115"/>
        <v>0</v>
      </c>
      <c r="AD107" s="229">
        <f t="shared" si="115"/>
        <v>0</v>
      </c>
      <c r="AE107" s="229">
        <f t="shared" si="115"/>
        <v>0</v>
      </c>
      <c r="AF107" s="229">
        <f t="shared" si="115"/>
        <v>0</v>
      </c>
      <c r="AG107" s="229">
        <f t="shared" si="115"/>
        <v>0</v>
      </c>
      <c r="AH107" s="229">
        <f t="shared" si="115"/>
        <v>0</v>
      </c>
      <c r="AI107" s="229">
        <f t="shared" si="115"/>
        <v>0</v>
      </c>
      <c r="AJ107" s="229">
        <f t="shared" si="115"/>
        <v>0</v>
      </c>
      <c r="AK107" s="229">
        <f t="shared" si="115"/>
        <v>0</v>
      </c>
      <c r="AL107" s="229">
        <f t="shared" si="115"/>
        <v>0</v>
      </c>
      <c r="AM107" s="229">
        <f t="shared" si="115"/>
        <v>0</v>
      </c>
      <c r="AN107" s="229">
        <f t="shared" si="115"/>
        <v>0</v>
      </c>
      <c r="AO107" s="229">
        <f t="shared" si="115"/>
        <v>0</v>
      </c>
      <c r="AP107" s="229">
        <f t="shared" si="115"/>
        <v>0</v>
      </c>
      <c r="AQ107" s="229">
        <f t="shared" si="115"/>
        <v>0</v>
      </c>
      <c r="AR107" s="229">
        <f t="shared" si="115"/>
        <v>0</v>
      </c>
      <c r="AS107" s="229">
        <f t="shared" ref="AS107:AW122" si="120">IF($M107=AS$13,AS$22*AS$3,IF($M107=AS$14,AS$22*AS$4,IF($M107=AS$15,AS$22*AS$5,IF($M107=AS$16,AS$22*AS$6,IF($M107=AS$17,AS$22*AS$7,IF($M107=AS$18,AS$22*AS$8,IF($M107=AS$19,AS$22*AS$9,IF($M107=AS$20,AS$22*AS$10,0))))))))</f>
        <v>0</v>
      </c>
      <c r="AT107" s="229">
        <f t="shared" si="120"/>
        <v>0</v>
      </c>
      <c r="AU107" s="229">
        <f t="shared" si="120"/>
        <v>0</v>
      </c>
      <c r="AV107" s="229">
        <f t="shared" si="120"/>
        <v>0</v>
      </c>
      <c r="AW107" s="229">
        <f t="shared" si="120"/>
        <v>0</v>
      </c>
      <c r="AX107" s="229">
        <f t="shared" si="115"/>
        <v>0</v>
      </c>
      <c r="AY107" s="229">
        <f t="shared" si="115"/>
        <v>0</v>
      </c>
      <c r="AZ107" s="229">
        <f t="shared" si="115"/>
        <v>0</v>
      </c>
      <c r="BA107" s="229">
        <f t="shared" si="115"/>
        <v>0</v>
      </c>
      <c r="BB107" s="229">
        <f t="shared" si="115"/>
        <v>0</v>
      </c>
      <c r="BC107" s="229">
        <f t="shared" si="115"/>
        <v>0</v>
      </c>
      <c r="BD107" s="229">
        <f t="shared" si="116"/>
        <v>0</v>
      </c>
      <c r="BE107" s="229">
        <f t="shared" si="116"/>
        <v>0</v>
      </c>
      <c r="BF107" s="229">
        <f t="shared" si="116"/>
        <v>0</v>
      </c>
      <c r="BG107" s="229">
        <f t="shared" si="116"/>
        <v>0</v>
      </c>
      <c r="BH107" s="229">
        <f t="shared" si="116"/>
        <v>0</v>
      </c>
      <c r="BI107" s="229">
        <f t="shared" si="116"/>
        <v>0</v>
      </c>
      <c r="BJ107" s="229">
        <f t="shared" si="116"/>
        <v>0</v>
      </c>
      <c r="BK107" s="229">
        <f t="shared" si="116"/>
        <v>0</v>
      </c>
      <c r="BL107" s="229">
        <f t="shared" si="116"/>
        <v>0</v>
      </c>
      <c r="BM107" s="229">
        <f t="shared" si="116"/>
        <v>0</v>
      </c>
      <c r="BN107" s="229">
        <f t="shared" si="116"/>
        <v>0</v>
      </c>
      <c r="BO107" s="229">
        <f t="shared" si="116"/>
        <v>0</v>
      </c>
      <c r="BP107" s="229">
        <f t="shared" si="116"/>
        <v>0</v>
      </c>
      <c r="BQ107" s="229">
        <f t="shared" si="117"/>
        <v>0</v>
      </c>
      <c r="BR107" s="229">
        <f t="shared" si="117"/>
        <v>0</v>
      </c>
      <c r="BS107" s="229">
        <f t="shared" si="117"/>
        <v>0</v>
      </c>
      <c r="BT107" s="229">
        <f t="shared" si="117"/>
        <v>0</v>
      </c>
      <c r="BU107" s="229">
        <f t="shared" si="117"/>
        <v>0</v>
      </c>
      <c r="BV107" s="229">
        <f t="shared" si="117"/>
        <v>0</v>
      </c>
      <c r="BW107" s="229">
        <f t="shared" si="117"/>
        <v>0</v>
      </c>
      <c r="BX107" s="229">
        <f t="shared" si="117"/>
        <v>0</v>
      </c>
      <c r="BY107" s="229">
        <f t="shared" si="117"/>
        <v>0</v>
      </c>
      <c r="BZ107" s="229">
        <f t="shared" si="117"/>
        <v>0</v>
      </c>
      <c r="CA107" s="229">
        <f t="shared" si="117"/>
        <v>0</v>
      </c>
      <c r="CB107" s="229">
        <f t="shared" si="117"/>
        <v>0</v>
      </c>
      <c r="CC107" s="229">
        <f t="shared" si="117"/>
        <v>0</v>
      </c>
      <c r="CD107" s="229">
        <f t="shared" si="118"/>
        <v>0</v>
      </c>
      <c r="CE107" s="229">
        <f t="shared" si="113"/>
        <v>0</v>
      </c>
      <c r="CF107" s="229">
        <f t="shared" si="118"/>
        <v>0</v>
      </c>
      <c r="CG107" s="229">
        <f t="shared" si="118"/>
        <v>0</v>
      </c>
      <c r="CH107" s="229">
        <f t="shared" si="118"/>
        <v>0</v>
      </c>
      <c r="CI107" s="229">
        <f t="shared" si="118"/>
        <v>0</v>
      </c>
      <c r="CJ107" s="229">
        <f t="shared" si="70"/>
        <v>0</v>
      </c>
      <c r="CK107" s="229">
        <f t="shared" si="118"/>
        <v>0</v>
      </c>
      <c r="CL107" s="229">
        <f t="shared" si="118"/>
        <v>0</v>
      </c>
      <c r="CM107" s="229">
        <f t="shared" si="118"/>
        <v>0</v>
      </c>
      <c r="CN107" s="229">
        <f t="shared" si="118"/>
        <v>0</v>
      </c>
      <c r="CO107" s="229">
        <f t="shared" si="111"/>
        <v>0</v>
      </c>
      <c r="CP107" s="229">
        <f t="shared" si="111"/>
        <v>0</v>
      </c>
      <c r="CQ107" s="229">
        <f t="shared" si="118"/>
        <v>0</v>
      </c>
      <c r="CR107" s="229">
        <f t="shared" si="118"/>
        <v>0</v>
      </c>
      <c r="CS107" s="229">
        <f t="shared" si="118"/>
        <v>0</v>
      </c>
      <c r="CT107" s="229">
        <f t="shared" si="118"/>
        <v>0</v>
      </c>
      <c r="CU107" s="230"/>
      <c r="CV107" s="231"/>
      <c r="CW107" s="231"/>
      <c r="CX107" s="231"/>
      <c r="CY107" s="231"/>
      <c r="CZ107" s="231"/>
      <c r="DA107" s="231"/>
      <c r="DB107" s="231"/>
      <c r="DC107" s="231"/>
      <c r="DD107" s="231">
        <f>IF(SUM(DD$24:DD106)=DD$22,0,IF(AND($M107&gt;=DD$15,$M107&lt;(DD$16+1)),DD$22/(DD$16-DD$15+1),0))</f>
        <v>0</v>
      </c>
      <c r="DE107" s="231">
        <f>IF(SUM(DE$24:DE106)=DE$22,0,IF(AND($M107&gt;=DE$15,$M107&lt;(DE$16+1)),DE$22/(DE$16-DE$15+1),0))</f>
        <v>0</v>
      </c>
      <c r="DF107" s="231">
        <f>IF(SUM(DF$24:DF106)=DF$22,0,IF(AND($M107&gt;=DF$15,$M107&lt;(DF$16+1)),DF$22/(DF$16-DF$15+1),0))</f>
        <v>0</v>
      </c>
      <c r="DG107" s="231">
        <f>IF(SUM(DG$24:DG106)=DG$22,0,IF(AND($M107&gt;=DG$15,$M107&lt;(DG$16+1)),DG$22/(DG$16-DG$15+1),0))</f>
        <v>0</v>
      </c>
      <c r="DH107" s="231">
        <f t="shared" si="102"/>
        <v>0</v>
      </c>
      <c r="DI107" s="231">
        <f t="shared" si="102"/>
        <v>0</v>
      </c>
      <c r="DJ107" s="231">
        <f t="shared" si="102"/>
        <v>0</v>
      </c>
      <c r="DK107" s="231">
        <f t="shared" si="102"/>
        <v>0</v>
      </c>
      <c r="DL107" s="231">
        <f t="shared" si="102"/>
        <v>0</v>
      </c>
      <c r="DM107" s="231">
        <f t="shared" si="119"/>
        <v>0</v>
      </c>
      <c r="DN107" s="231">
        <f t="shared" si="119"/>
        <v>0</v>
      </c>
      <c r="DO107" s="231">
        <f t="shared" si="102"/>
        <v>0</v>
      </c>
      <c r="DP107" s="231">
        <f t="shared" si="102"/>
        <v>0</v>
      </c>
      <c r="DQ107" s="231">
        <f t="shared" si="102"/>
        <v>0</v>
      </c>
      <c r="DR107" s="231">
        <f t="shared" si="102"/>
        <v>0</v>
      </c>
      <c r="DS107" s="231">
        <f t="shared" si="102"/>
        <v>0</v>
      </c>
      <c r="DT107" s="231">
        <f ca="1">IF(SUM(DT$24:DT106)=DT$22,0,IF(AND($M107&gt;=DT$15,$M107&lt;(DT$16+1)),DT$22/(DT$16-DT$15+1),0))</f>
        <v>0</v>
      </c>
      <c r="DU107" s="231">
        <f ca="1">IF(SUM(DU$24:DU106)=DU$22,0,IF(AND($M107&gt;=DU$15,$M107&lt;(DU$16+1)),DU$22/(DU$16-DU$15+1),0))</f>
        <v>0</v>
      </c>
      <c r="DV107" s="231">
        <f ca="1">IF(SUM(DV$24:DV106)=DV$22,0,IF(AND(M107&gt;=DV$15,M107&lt;(DV$16+1)),DV$22/(DV$16-DV$15+1),0))</f>
        <v>0</v>
      </c>
      <c r="DW107" s="231" t="e">
        <f ca="1">IF(SUM(DW$24:DW106)=DW$22,0,IF(AND($M107&gt;=DW$15,$M107&lt;(DW$16+1)),DW$22/(DW$16-DW$15+1),0))</f>
        <v>#N/A</v>
      </c>
      <c r="DX107" s="231">
        <f ca="1">IF(SUM(DX$24:DX106)=DX$22,0,IF(AND($M107&gt;=DX$15,$M107&lt;(DX$16+1)),DX$22/(DX$16-DX$15+1),0))</f>
        <v>0</v>
      </c>
      <c r="DY107" s="231">
        <f ca="1">IF(SUM(DY$24:DY106)=DY$22,0,IF(AND($M107&gt;=DY$15,$M107&lt;(DY$16+1)),DY$22/(DY$16-DY$15+1),0))</f>
        <v>0</v>
      </c>
      <c r="DZ107" s="231">
        <f ca="1">IF(SUM(DZ$24:DZ106)=DZ$22,0,IF(AND($M107&gt;=DZ$15,$M107&lt;(DZ$16+1)),DZ$22/(DZ$16-DZ$15+1),0))</f>
        <v>0</v>
      </c>
      <c r="EA107" s="231" t="e">
        <f ca="1">IF(SUM(EA$24:EA106)=EA$22,0,IF(AND(M107&gt;=EA$15,M107&lt;(EA$16+1)),EA$22/(EA$16-EA$15+1),0))</f>
        <v>#N/A</v>
      </c>
      <c r="EC107" s="234">
        <f t="shared" si="92"/>
        <v>80</v>
      </c>
      <c r="ED107" s="234" t="e">
        <f t="shared" ca="1" si="93"/>
        <v>#N/A</v>
      </c>
      <c r="EE107" s="235" t="e">
        <f t="shared" ca="1" si="94"/>
        <v>#N/A</v>
      </c>
      <c r="EF107" s="234" t="e">
        <f t="shared" ca="1" si="104"/>
        <v>#N/A</v>
      </c>
      <c r="EG107" s="234" t="e">
        <f t="shared" ca="1" si="106"/>
        <v>#N/A</v>
      </c>
      <c r="EH107" s="234" t="e">
        <f t="shared" ca="1" si="112"/>
        <v>#N/A</v>
      </c>
      <c r="EI107" s="234"/>
      <c r="EJ107" s="234"/>
      <c r="EK107" s="153" t="e">
        <f t="shared" ca="1" si="95"/>
        <v>#N/A</v>
      </c>
      <c r="EL107" s="231" t="e">
        <f ca="1">IF(SUM(EL$24:EL106)=EL$22,0,IF(AND($M107&gt;=EL$15,$M107&lt;(EL$16+1)),EL$22/(EL$16-EL$15+1),0))</f>
        <v>#N/A</v>
      </c>
      <c r="EM107" s="153" t="e">
        <f t="shared" ca="1" si="96"/>
        <v>#N/A</v>
      </c>
      <c r="EO107" s="60"/>
      <c r="EP107" s="60"/>
    </row>
    <row r="108" spans="1:146" ht="13.9" customHeight="1">
      <c r="A108" s="220"/>
      <c r="B108" s="236">
        <f t="shared" si="100"/>
        <v>81</v>
      </c>
      <c r="C108" s="221">
        <f t="shared" si="97"/>
        <v>46024.336000000127</v>
      </c>
      <c r="D108" s="222" t="e">
        <f ca="1">'Offshore INT'!R97</f>
        <v>#N/A</v>
      </c>
      <c r="E108" s="223" t="e">
        <f t="shared" ca="1" si="88"/>
        <v>#N/A</v>
      </c>
      <c r="F108" s="224"/>
      <c r="G108" s="225">
        <f>IF(G107=1,1,SUM($F$24:F108))</f>
        <v>0</v>
      </c>
      <c r="H108" s="226" t="e">
        <f ca="1">IF(H107=0,0,SUM($I$24:I108))</f>
        <v>#N/A</v>
      </c>
      <c r="I108" s="227" t="e">
        <f t="shared" ca="1" si="89"/>
        <v>#N/A</v>
      </c>
      <c r="J108" s="222">
        <f t="shared" ca="1" si="98"/>
        <v>0</v>
      </c>
      <c r="K108" s="60"/>
      <c r="L108" s="228"/>
      <c r="M108" s="228">
        <f t="shared" si="90"/>
        <v>81</v>
      </c>
      <c r="N108" s="221">
        <f t="shared" si="91"/>
        <v>46024.336000000127</v>
      </c>
      <c r="O108" s="229">
        <f t="shared" si="105"/>
        <v>0</v>
      </c>
      <c r="P108" s="229">
        <f t="shared" si="105"/>
        <v>0</v>
      </c>
      <c r="Q108" s="229">
        <f t="shared" si="105"/>
        <v>0</v>
      </c>
      <c r="R108" s="229">
        <f t="shared" si="105"/>
        <v>0</v>
      </c>
      <c r="S108" s="229">
        <f t="shared" si="105"/>
        <v>0</v>
      </c>
      <c r="T108" s="229">
        <f t="shared" si="105"/>
        <v>0</v>
      </c>
      <c r="U108" s="229">
        <f t="shared" si="105"/>
        <v>0</v>
      </c>
      <c r="V108" s="229">
        <f t="shared" si="105"/>
        <v>0</v>
      </c>
      <c r="W108" s="229">
        <f t="shared" si="105"/>
        <v>0</v>
      </c>
      <c r="X108" s="229">
        <f t="shared" si="105"/>
        <v>0</v>
      </c>
      <c r="Y108" s="229">
        <f t="shared" si="105"/>
        <v>0</v>
      </c>
      <c r="Z108" s="229">
        <f t="shared" si="105"/>
        <v>0</v>
      </c>
      <c r="AA108" s="229">
        <f t="shared" si="115"/>
        <v>0</v>
      </c>
      <c r="AB108" s="229">
        <f t="shared" si="115"/>
        <v>0</v>
      </c>
      <c r="AC108" s="229">
        <f t="shared" si="115"/>
        <v>0</v>
      </c>
      <c r="AD108" s="229">
        <f t="shared" si="115"/>
        <v>0</v>
      </c>
      <c r="AE108" s="229">
        <f t="shared" si="115"/>
        <v>0</v>
      </c>
      <c r="AF108" s="229">
        <f t="shared" si="115"/>
        <v>0</v>
      </c>
      <c r="AG108" s="229">
        <f t="shared" si="115"/>
        <v>0</v>
      </c>
      <c r="AH108" s="229">
        <f t="shared" si="115"/>
        <v>0</v>
      </c>
      <c r="AI108" s="229">
        <f t="shared" si="115"/>
        <v>0</v>
      </c>
      <c r="AJ108" s="229">
        <f t="shared" si="115"/>
        <v>0</v>
      </c>
      <c r="AK108" s="229">
        <f t="shared" si="115"/>
        <v>0</v>
      </c>
      <c r="AL108" s="229">
        <f t="shared" si="115"/>
        <v>0</v>
      </c>
      <c r="AM108" s="229">
        <f t="shared" si="115"/>
        <v>0</v>
      </c>
      <c r="AN108" s="229">
        <f t="shared" si="115"/>
        <v>0</v>
      </c>
      <c r="AO108" s="229">
        <f t="shared" si="115"/>
        <v>0</v>
      </c>
      <c r="AP108" s="229">
        <f t="shared" si="115"/>
        <v>0</v>
      </c>
      <c r="AQ108" s="229">
        <f t="shared" si="115"/>
        <v>0</v>
      </c>
      <c r="AR108" s="229">
        <f t="shared" si="115"/>
        <v>0</v>
      </c>
      <c r="AS108" s="229">
        <f t="shared" si="120"/>
        <v>0</v>
      </c>
      <c r="AT108" s="229">
        <f t="shared" si="120"/>
        <v>0</v>
      </c>
      <c r="AU108" s="229">
        <f t="shared" si="120"/>
        <v>0</v>
      </c>
      <c r="AV108" s="229">
        <f t="shared" si="120"/>
        <v>0</v>
      </c>
      <c r="AW108" s="229">
        <f t="shared" si="120"/>
        <v>0</v>
      </c>
      <c r="AX108" s="229">
        <f t="shared" si="115"/>
        <v>0</v>
      </c>
      <c r="AY108" s="229">
        <f t="shared" si="115"/>
        <v>0</v>
      </c>
      <c r="AZ108" s="229">
        <f t="shared" si="115"/>
        <v>0</v>
      </c>
      <c r="BA108" s="229">
        <f t="shared" si="115"/>
        <v>0</v>
      </c>
      <c r="BB108" s="229">
        <f t="shared" si="115"/>
        <v>0</v>
      </c>
      <c r="BC108" s="229">
        <f t="shared" si="115"/>
        <v>0</v>
      </c>
      <c r="BD108" s="229">
        <f t="shared" si="116"/>
        <v>0</v>
      </c>
      <c r="BE108" s="229">
        <f t="shared" si="116"/>
        <v>0</v>
      </c>
      <c r="BF108" s="229">
        <f t="shared" si="116"/>
        <v>0</v>
      </c>
      <c r="BG108" s="229">
        <f t="shared" si="116"/>
        <v>0</v>
      </c>
      <c r="BH108" s="229">
        <f t="shared" si="116"/>
        <v>0</v>
      </c>
      <c r="BI108" s="229">
        <f t="shared" si="116"/>
        <v>0</v>
      </c>
      <c r="BJ108" s="229">
        <f t="shared" si="116"/>
        <v>0</v>
      </c>
      <c r="BK108" s="229">
        <f t="shared" si="116"/>
        <v>0</v>
      </c>
      <c r="BL108" s="229">
        <f t="shared" si="116"/>
        <v>0</v>
      </c>
      <c r="BM108" s="229">
        <f t="shared" si="116"/>
        <v>0</v>
      </c>
      <c r="BN108" s="229">
        <f t="shared" si="116"/>
        <v>0</v>
      </c>
      <c r="BO108" s="229">
        <f t="shared" si="116"/>
        <v>0</v>
      </c>
      <c r="BP108" s="229">
        <f t="shared" si="116"/>
        <v>0</v>
      </c>
      <c r="BQ108" s="229">
        <f t="shared" si="117"/>
        <v>0</v>
      </c>
      <c r="BR108" s="229">
        <f t="shared" si="117"/>
        <v>0</v>
      </c>
      <c r="BS108" s="229">
        <f t="shared" si="117"/>
        <v>0</v>
      </c>
      <c r="BT108" s="229">
        <f t="shared" si="117"/>
        <v>0</v>
      </c>
      <c r="BU108" s="229">
        <f t="shared" si="117"/>
        <v>0</v>
      </c>
      <c r="BV108" s="229">
        <f t="shared" si="117"/>
        <v>0</v>
      </c>
      <c r="BW108" s="229">
        <f t="shared" si="117"/>
        <v>0</v>
      </c>
      <c r="BX108" s="229">
        <f t="shared" si="117"/>
        <v>0</v>
      </c>
      <c r="BY108" s="229">
        <f t="shared" si="117"/>
        <v>0</v>
      </c>
      <c r="BZ108" s="229">
        <f t="shared" si="117"/>
        <v>0</v>
      </c>
      <c r="CA108" s="229">
        <f t="shared" si="117"/>
        <v>0</v>
      </c>
      <c r="CB108" s="229">
        <f t="shared" si="117"/>
        <v>0</v>
      </c>
      <c r="CC108" s="229">
        <f t="shared" si="117"/>
        <v>0</v>
      </c>
      <c r="CD108" s="229">
        <f t="shared" si="118"/>
        <v>0</v>
      </c>
      <c r="CE108" s="229">
        <f t="shared" si="113"/>
        <v>0</v>
      </c>
      <c r="CF108" s="229">
        <f t="shared" si="118"/>
        <v>0</v>
      </c>
      <c r="CG108" s="229">
        <f t="shared" si="118"/>
        <v>0</v>
      </c>
      <c r="CH108" s="229">
        <f t="shared" si="118"/>
        <v>0</v>
      </c>
      <c r="CI108" s="229">
        <f t="shared" si="118"/>
        <v>0</v>
      </c>
      <c r="CJ108" s="229">
        <f t="shared" si="70"/>
        <v>0</v>
      </c>
      <c r="CK108" s="229">
        <f t="shared" si="118"/>
        <v>0</v>
      </c>
      <c r="CL108" s="229">
        <f t="shared" si="118"/>
        <v>0</v>
      </c>
      <c r="CM108" s="229">
        <f t="shared" si="118"/>
        <v>0</v>
      </c>
      <c r="CN108" s="229">
        <f t="shared" si="118"/>
        <v>0</v>
      </c>
      <c r="CO108" s="229">
        <f t="shared" si="111"/>
        <v>0</v>
      </c>
      <c r="CP108" s="229">
        <f t="shared" si="111"/>
        <v>0</v>
      </c>
      <c r="CQ108" s="229">
        <f t="shared" si="118"/>
        <v>0</v>
      </c>
      <c r="CR108" s="229">
        <f t="shared" si="118"/>
        <v>0</v>
      </c>
      <c r="CS108" s="229">
        <f t="shared" si="118"/>
        <v>0</v>
      </c>
      <c r="CT108" s="229">
        <f t="shared" si="118"/>
        <v>0</v>
      </c>
      <c r="CU108" s="230"/>
      <c r="CV108" s="243"/>
      <c r="CW108" s="243"/>
      <c r="CX108" s="243"/>
      <c r="CY108" s="243"/>
      <c r="CZ108" s="243"/>
      <c r="DA108" s="243"/>
      <c r="DB108" s="231"/>
      <c r="DC108" s="231"/>
      <c r="DD108" s="231">
        <f>IF(SUM(DD$24:DD107)=DD$22,0,IF(AND($M108&gt;=DD$15,$M108&lt;(DD$16+1)),DD$22/(DD$16-DD$15+1),0))</f>
        <v>0</v>
      </c>
      <c r="DE108" s="231">
        <f>IF(SUM(DE$24:DE107)=DE$22,0,IF(AND($M108&gt;=DE$15,$M108&lt;(DE$16+1)),DE$22/(DE$16-DE$15+1),0))</f>
        <v>0</v>
      </c>
      <c r="DF108" s="231">
        <f>IF(SUM(DF$24:DF107)=DF$22,0,IF(AND($M108&gt;=DF$15,$M108&lt;(DF$16+1)),DF$22/(DF$16-DF$15+1),0))</f>
        <v>0</v>
      </c>
      <c r="DG108" s="231">
        <f>IF(SUM(DG$24:DG107)=DG$22,0,IF(AND($M108&gt;=DG$15,$M108&lt;(DG$16+1)),DG$22/(DG$16-DG$15+1),0))</f>
        <v>0</v>
      </c>
      <c r="DH108" s="231">
        <f t="shared" si="102"/>
        <v>0</v>
      </c>
      <c r="DI108" s="231">
        <f t="shared" si="102"/>
        <v>0</v>
      </c>
      <c r="DJ108" s="231">
        <f t="shared" si="102"/>
        <v>0</v>
      </c>
      <c r="DK108" s="231">
        <f t="shared" si="102"/>
        <v>0</v>
      </c>
      <c r="DL108" s="231">
        <f t="shared" si="102"/>
        <v>0</v>
      </c>
      <c r="DM108" s="231">
        <f t="shared" si="119"/>
        <v>0</v>
      </c>
      <c r="DN108" s="231">
        <f t="shared" si="119"/>
        <v>0</v>
      </c>
      <c r="DO108" s="231">
        <f t="shared" si="102"/>
        <v>0</v>
      </c>
      <c r="DP108" s="231">
        <f t="shared" si="102"/>
        <v>0</v>
      </c>
      <c r="DQ108" s="231">
        <f t="shared" si="102"/>
        <v>0</v>
      </c>
      <c r="DR108" s="231">
        <f t="shared" si="102"/>
        <v>0</v>
      </c>
      <c r="DS108" s="231">
        <f t="shared" si="102"/>
        <v>0</v>
      </c>
      <c r="DT108" s="231">
        <f ca="1">IF(SUM(DT$24:DT107)=DT$22,0,IF(AND($M108&gt;=DT$15,$M108&lt;(DT$16+1)),DT$22/(DT$16-DT$15+1),0))</f>
        <v>0</v>
      </c>
      <c r="DU108" s="231">
        <f ca="1">IF(SUM(DU$24:DU107)=DU$22,0,IF(AND($M108&gt;=DU$15,$M108&lt;(DU$16+1)),DU$22/(DU$16-DU$15+1),0))</f>
        <v>0</v>
      </c>
      <c r="DV108" s="231">
        <f ca="1">IF(SUM(DV$24:DV107)=DV$22,0,IF(AND(M108&gt;=DV$15,M108&lt;(DV$16+1)),DV$22/(DV$16-DV$15+1),0))</f>
        <v>0</v>
      </c>
      <c r="DW108" s="231" t="e">
        <f ca="1">IF(SUM(DW$24:DW107)=DW$22,0,IF(AND($M108&gt;=DW$15,$M108&lt;(DW$16+1)),DW$22/(DW$16-DW$15+1),0))</f>
        <v>#N/A</v>
      </c>
      <c r="DX108" s="231">
        <f ca="1">IF(SUM(DX$24:DX107)=DX$22,0,IF(AND($M108&gt;=DX$15,$M108&lt;(DX$16+1)),DX$22/(DX$16-DX$15+1),0))</f>
        <v>0</v>
      </c>
      <c r="DY108" s="231">
        <f ca="1">IF(SUM(DY$24:DY107)=DY$22,0,IF(AND($M108&gt;=DY$15,$M108&lt;(DY$16+1)),DY$22/(DY$16-DY$15+1),0))</f>
        <v>0</v>
      </c>
      <c r="DZ108" s="231">
        <f ca="1">IF(SUM(DZ$24:DZ107)=DZ$22,0,IF(AND($M108&gt;=DZ$15,$M108&lt;(DZ$16+1)),DZ$22/(DZ$16-DZ$15+1),0))</f>
        <v>0</v>
      </c>
      <c r="EA108" s="231" t="e">
        <f ca="1">IF(SUM(EA$24:EA107)=EA$22,0,IF(AND(M108&gt;=EA$15,M108&lt;(EA$16+1)),EA$22/(EA$16-EA$15+1),0))</f>
        <v>#N/A</v>
      </c>
      <c r="EC108" s="234">
        <f t="shared" si="92"/>
        <v>81</v>
      </c>
      <c r="ED108" s="234" t="e">
        <f t="shared" ca="1" si="93"/>
        <v>#N/A</v>
      </c>
      <c r="EE108" s="235" t="e">
        <f t="shared" ca="1" si="94"/>
        <v>#N/A</v>
      </c>
      <c r="EF108" s="234" t="e">
        <f t="shared" ca="1" si="104"/>
        <v>#N/A</v>
      </c>
      <c r="EG108" s="234" t="e">
        <f t="shared" ca="1" si="106"/>
        <v>#N/A</v>
      </c>
      <c r="EH108" s="234" t="e">
        <f t="shared" ca="1" si="112"/>
        <v>#N/A</v>
      </c>
      <c r="EI108" s="234"/>
      <c r="EJ108" s="234"/>
      <c r="EK108" s="153" t="e">
        <f t="shared" ca="1" si="95"/>
        <v>#N/A</v>
      </c>
      <c r="EL108" s="231" t="e">
        <f ca="1">IF(SUM(EL$24:EL107)=EL$22,0,IF(AND($M108&gt;=EL$15,$M108&lt;(EL$16+1)),EL$22/(EL$16-EL$15+1),0))</f>
        <v>#N/A</v>
      </c>
      <c r="EM108" s="153" t="e">
        <f t="shared" ca="1" si="96"/>
        <v>#N/A</v>
      </c>
      <c r="EO108" s="60"/>
      <c r="EP108" s="60"/>
    </row>
    <row r="109" spans="1:146" ht="13.9" customHeight="1">
      <c r="A109" s="220"/>
      <c r="B109" s="236">
        <f t="shared" si="100"/>
        <v>82</v>
      </c>
      <c r="C109" s="221">
        <f t="shared" si="97"/>
        <v>46054.752700000128</v>
      </c>
      <c r="D109" s="222" t="e">
        <f ca="1">'Offshore INT'!R98</f>
        <v>#N/A</v>
      </c>
      <c r="E109" s="223" t="e">
        <f t="shared" ca="1" si="88"/>
        <v>#N/A</v>
      </c>
      <c r="F109" s="224"/>
      <c r="G109" s="225">
        <f>IF(G108=1,1,SUM($F$24:F109))</f>
        <v>0</v>
      </c>
      <c r="H109" s="226" t="e">
        <f ca="1">IF(H108=0,0,SUM($I$24:I109))</f>
        <v>#N/A</v>
      </c>
      <c r="I109" s="227" t="e">
        <f ca="1">IF(I$3=0,0,J109/I$3)</f>
        <v>#N/A</v>
      </c>
      <c r="J109" s="222">
        <f ca="1">IF(ISERROR(SUM(EM109)),0,SUM(EM109))</f>
        <v>0</v>
      </c>
      <c r="K109" s="60"/>
      <c r="L109" s="228"/>
      <c r="M109" s="228">
        <f t="shared" si="90"/>
        <v>82</v>
      </c>
      <c r="N109" s="221">
        <f t="shared" si="91"/>
        <v>46054.752700000128</v>
      </c>
      <c r="O109" s="229">
        <f t="shared" si="105"/>
        <v>0</v>
      </c>
      <c r="P109" s="229">
        <f t="shared" si="105"/>
        <v>0</v>
      </c>
      <c r="Q109" s="229">
        <f t="shared" si="105"/>
        <v>0</v>
      </c>
      <c r="R109" s="229">
        <f t="shared" si="105"/>
        <v>0</v>
      </c>
      <c r="S109" s="229">
        <f t="shared" si="105"/>
        <v>0</v>
      </c>
      <c r="T109" s="229">
        <f t="shared" si="105"/>
        <v>0</v>
      </c>
      <c r="U109" s="229">
        <f t="shared" si="105"/>
        <v>0</v>
      </c>
      <c r="V109" s="229">
        <f t="shared" si="105"/>
        <v>0</v>
      </c>
      <c r="W109" s="229">
        <f t="shared" si="105"/>
        <v>0</v>
      </c>
      <c r="X109" s="229">
        <f t="shared" si="105"/>
        <v>0</v>
      </c>
      <c r="Y109" s="229">
        <f t="shared" si="105"/>
        <v>0</v>
      </c>
      <c r="Z109" s="229">
        <f t="shared" si="105"/>
        <v>0</v>
      </c>
      <c r="AA109" s="229">
        <f t="shared" si="115"/>
        <v>0</v>
      </c>
      <c r="AB109" s="229">
        <f t="shared" si="115"/>
        <v>0</v>
      </c>
      <c r="AC109" s="229">
        <f t="shared" si="115"/>
        <v>0</v>
      </c>
      <c r="AD109" s="229">
        <f t="shared" si="115"/>
        <v>0</v>
      </c>
      <c r="AE109" s="229">
        <f t="shared" si="115"/>
        <v>0</v>
      </c>
      <c r="AF109" s="229">
        <f t="shared" si="115"/>
        <v>0</v>
      </c>
      <c r="AG109" s="229">
        <f t="shared" si="115"/>
        <v>0</v>
      </c>
      <c r="AH109" s="229">
        <f t="shared" si="115"/>
        <v>0</v>
      </c>
      <c r="AI109" s="229">
        <f t="shared" si="115"/>
        <v>0</v>
      </c>
      <c r="AJ109" s="229">
        <f t="shared" si="115"/>
        <v>0</v>
      </c>
      <c r="AK109" s="229">
        <f t="shared" si="115"/>
        <v>0</v>
      </c>
      <c r="AL109" s="229">
        <f t="shared" si="115"/>
        <v>0</v>
      </c>
      <c r="AM109" s="229">
        <f t="shared" si="115"/>
        <v>0</v>
      </c>
      <c r="AN109" s="229">
        <f t="shared" si="115"/>
        <v>0</v>
      </c>
      <c r="AO109" s="229">
        <f t="shared" si="115"/>
        <v>0</v>
      </c>
      <c r="AP109" s="229">
        <f t="shared" si="115"/>
        <v>0</v>
      </c>
      <c r="AQ109" s="229">
        <f t="shared" si="115"/>
        <v>0</v>
      </c>
      <c r="AR109" s="229">
        <f t="shared" si="115"/>
        <v>0</v>
      </c>
      <c r="AS109" s="229">
        <f t="shared" si="120"/>
        <v>0</v>
      </c>
      <c r="AT109" s="229">
        <f t="shared" si="120"/>
        <v>0</v>
      </c>
      <c r="AU109" s="229">
        <f t="shared" si="120"/>
        <v>0</v>
      </c>
      <c r="AV109" s="229">
        <f t="shared" si="120"/>
        <v>0</v>
      </c>
      <c r="AW109" s="229">
        <f t="shared" si="120"/>
        <v>0</v>
      </c>
      <c r="AX109" s="229">
        <f t="shared" si="115"/>
        <v>0</v>
      </c>
      <c r="AY109" s="229">
        <f t="shared" si="115"/>
        <v>0</v>
      </c>
      <c r="AZ109" s="229">
        <f t="shared" si="115"/>
        <v>0</v>
      </c>
      <c r="BA109" s="229">
        <f t="shared" si="115"/>
        <v>0</v>
      </c>
      <c r="BB109" s="229">
        <f t="shared" si="115"/>
        <v>0</v>
      </c>
      <c r="BC109" s="229">
        <f t="shared" si="115"/>
        <v>0</v>
      </c>
      <c r="BD109" s="229">
        <f t="shared" si="116"/>
        <v>0</v>
      </c>
      <c r="BE109" s="229">
        <f t="shared" si="116"/>
        <v>0</v>
      </c>
      <c r="BF109" s="229">
        <f t="shared" si="116"/>
        <v>0</v>
      </c>
      <c r="BG109" s="229">
        <f t="shared" si="116"/>
        <v>0</v>
      </c>
      <c r="BH109" s="229">
        <f t="shared" si="116"/>
        <v>0</v>
      </c>
      <c r="BI109" s="229">
        <f t="shared" si="116"/>
        <v>0</v>
      </c>
      <c r="BJ109" s="229">
        <f t="shared" si="116"/>
        <v>0</v>
      </c>
      <c r="BK109" s="229">
        <f t="shared" si="116"/>
        <v>0</v>
      </c>
      <c r="BL109" s="229">
        <f t="shared" si="116"/>
        <v>0</v>
      </c>
      <c r="BM109" s="229">
        <f t="shared" si="116"/>
        <v>0</v>
      </c>
      <c r="BN109" s="229">
        <f t="shared" si="116"/>
        <v>0</v>
      </c>
      <c r="BO109" s="229">
        <f t="shared" si="116"/>
        <v>0</v>
      </c>
      <c r="BP109" s="229">
        <f t="shared" si="116"/>
        <v>0</v>
      </c>
      <c r="BQ109" s="229">
        <f t="shared" si="117"/>
        <v>0</v>
      </c>
      <c r="BR109" s="229">
        <f t="shared" si="117"/>
        <v>0</v>
      </c>
      <c r="BS109" s="229">
        <f t="shared" si="117"/>
        <v>0</v>
      </c>
      <c r="BT109" s="229">
        <f t="shared" si="117"/>
        <v>0</v>
      </c>
      <c r="BU109" s="229">
        <f t="shared" si="117"/>
        <v>0</v>
      </c>
      <c r="BV109" s="229">
        <f t="shared" si="117"/>
        <v>0</v>
      </c>
      <c r="BW109" s="229">
        <f t="shared" si="117"/>
        <v>0</v>
      </c>
      <c r="BX109" s="229">
        <f t="shared" si="117"/>
        <v>0</v>
      </c>
      <c r="BY109" s="229">
        <f t="shared" si="117"/>
        <v>0</v>
      </c>
      <c r="BZ109" s="229">
        <f t="shared" si="117"/>
        <v>0</v>
      </c>
      <c r="CA109" s="229">
        <f t="shared" si="117"/>
        <v>0</v>
      </c>
      <c r="CB109" s="229">
        <f t="shared" si="117"/>
        <v>0</v>
      </c>
      <c r="CC109" s="229">
        <f t="shared" si="117"/>
        <v>0</v>
      </c>
      <c r="CD109" s="229">
        <f t="shared" si="118"/>
        <v>0</v>
      </c>
      <c r="CE109" s="229">
        <f t="shared" ref="CE109:CE118" si="121">IF($M109=CE$13,CE$22*CE$3,IF($M109=CE$14,CE$22*CE$4,IF($M109=CE$15,CE$22*CE$5,IF($M109=CE$16,CE$22*CE$6,IF($M109=CE$17,CE$22*CE$7,IF($M109=CE$18,CE$22*CE$8,IF($M109=CE$19,CE$22*CE$9,IF($M109=CE$20,CE$22*CE$10,0))))))))</f>
        <v>0</v>
      </c>
      <c r="CF109" s="229">
        <f t="shared" si="118"/>
        <v>0</v>
      </c>
      <c r="CG109" s="229">
        <f t="shared" si="118"/>
        <v>0</v>
      </c>
      <c r="CH109" s="229">
        <f t="shared" si="118"/>
        <v>0</v>
      </c>
      <c r="CI109" s="229">
        <f t="shared" si="118"/>
        <v>0</v>
      </c>
      <c r="CJ109" s="229">
        <f t="shared" si="70"/>
        <v>0</v>
      </c>
      <c r="CK109" s="229">
        <f t="shared" si="118"/>
        <v>0</v>
      </c>
      <c r="CL109" s="229">
        <f t="shared" si="118"/>
        <v>0</v>
      </c>
      <c r="CM109" s="229">
        <f t="shared" si="118"/>
        <v>0</v>
      </c>
      <c r="CN109" s="229">
        <f t="shared" si="118"/>
        <v>0</v>
      </c>
      <c r="CO109" s="229">
        <f t="shared" si="111"/>
        <v>0</v>
      </c>
      <c r="CP109" s="229">
        <f t="shared" si="111"/>
        <v>0</v>
      </c>
      <c r="CQ109" s="229">
        <f t="shared" si="118"/>
        <v>0</v>
      </c>
      <c r="CR109" s="229">
        <f t="shared" si="118"/>
        <v>0</v>
      </c>
      <c r="CS109" s="229">
        <f t="shared" si="118"/>
        <v>0</v>
      </c>
      <c r="CT109" s="229">
        <f t="shared" si="118"/>
        <v>0</v>
      </c>
      <c r="CU109" s="230"/>
      <c r="CV109" s="231"/>
      <c r="CW109" s="231"/>
      <c r="CX109" s="231"/>
      <c r="CY109" s="231"/>
      <c r="CZ109" s="231"/>
      <c r="DA109" s="231"/>
      <c r="DB109" s="231"/>
      <c r="DC109" s="231"/>
      <c r="DD109" s="231">
        <f>IF(SUM(DD$24:DD108)=DD$22,0,IF(AND($M109&gt;=DD$15,$M109&lt;(DD$16+1)),DD$22/(DD$16-DD$15+1),0))</f>
        <v>0</v>
      </c>
      <c r="DE109" s="231">
        <f>IF(SUM(DE$24:DE108)=DE$22,0,IF(AND($M109&gt;=DE$15,$M109&lt;(DE$16+1)),DE$22/(DE$16-DE$15+1),0))</f>
        <v>0</v>
      </c>
      <c r="DF109" s="231">
        <f>IF(SUM(DF$24:DF108)=DF$22,0,IF(AND($M109&gt;=DF$15,$M109&lt;(DF$16+1)),DF$22/(DF$16-DF$15+1),0))</f>
        <v>0</v>
      </c>
      <c r="DG109" s="231">
        <f>IF(SUM(DG$24:DG108)=DG$22,0,IF(AND($M109&gt;=DG$15,$M109&lt;(DG$16+1)),DG$22/(DG$16-DG$15+1),0))</f>
        <v>0</v>
      </c>
      <c r="DH109" s="231">
        <f t="shared" si="102"/>
        <v>0</v>
      </c>
      <c r="DI109" s="231">
        <f t="shared" si="102"/>
        <v>0</v>
      </c>
      <c r="DJ109" s="231">
        <f t="shared" si="102"/>
        <v>0</v>
      </c>
      <c r="DK109" s="231">
        <f t="shared" si="102"/>
        <v>0</v>
      </c>
      <c r="DL109" s="231">
        <f t="shared" si="102"/>
        <v>0</v>
      </c>
      <c r="DM109" s="231">
        <f t="shared" si="119"/>
        <v>0</v>
      </c>
      <c r="DN109" s="231">
        <f t="shared" si="119"/>
        <v>0</v>
      </c>
      <c r="DO109" s="231">
        <f t="shared" si="102"/>
        <v>0</v>
      </c>
      <c r="DP109" s="231">
        <f t="shared" si="102"/>
        <v>0</v>
      </c>
      <c r="DQ109" s="231">
        <f t="shared" si="102"/>
        <v>0</v>
      </c>
      <c r="DR109" s="231">
        <f t="shared" si="102"/>
        <v>0</v>
      </c>
      <c r="DS109" s="231">
        <f t="shared" si="102"/>
        <v>0</v>
      </c>
      <c r="DT109" s="231">
        <f ca="1">IF(SUM(DT$24:DT108)=DT$22,0,IF(AND($M109&gt;=DT$15,$M109&lt;(DT$16+1)),DT$22/(DT$16-DT$15+1),0))</f>
        <v>0</v>
      </c>
      <c r="DU109" s="231">
        <f ca="1">IF(SUM(DU$24:DU108)=DU$22,0,IF(AND($M109&gt;=DU$15,$M109&lt;(DU$16+1)),DU$22/(DU$16-DU$15+1),0))</f>
        <v>0</v>
      </c>
      <c r="DV109" s="231">
        <f ca="1">IF(SUM(DV$24:DV108)=DV$22,0,IF(AND(M109&gt;=DV$15,M109&lt;(DV$16+1)),DV$22/(DV$16-DV$15+1),0))</f>
        <v>0</v>
      </c>
      <c r="DW109" s="231" t="e">
        <f ca="1">IF(SUM(DW$24:DW108)=DW$22,0,IF(AND($M109&gt;=DW$15,$M109&lt;(DW$16+1)),DW$22/(DW$16-DW$15+1),0))</f>
        <v>#N/A</v>
      </c>
      <c r="DX109" s="231">
        <f ca="1">IF(SUM(DX$24:DX108)=DX$22,0,IF(AND($M109&gt;=DX$15,$M109&lt;(DX$16+1)),DX$22/(DX$16-DX$15+1),0))</f>
        <v>0</v>
      </c>
      <c r="DY109" s="231">
        <f ca="1">IF(SUM(DY$24:DY108)=DY$22,0,IF(AND($M109&gt;=DY$15,$M109&lt;(DY$16+1)),DY$22/(DY$16-DY$15+1),0))</f>
        <v>0</v>
      </c>
      <c r="DZ109" s="231">
        <f ca="1">IF(SUM(DZ$24:DZ108)=DZ$22,0,IF(AND($M109&gt;=DZ$15,$M109&lt;(DZ$16+1)),DZ$22/(DZ$16-DZ$15+1),0))</f>
        <v>0</v>
      </c>
      <c r="EA109" s="231" t="e">
        <f ca="1">IF(SUM(EA$24:EA108)=EA$22,0,IF(AND(M109&gt;=EA$15,M109&lt;(EA$16+1)),EA$22/(EA$16-EA$15+1),0))</f>
        <v>#N/A</v>
      </c>
      <c r="EC109" s="234">
        <f t="shared" si="92"/>
        <v>82</v>
      </c>
      <c r="ED109" s="234" t="e">
        <f t="shared" ca="1" si="93"/>
        <v>#N/A</v>
      </c>
      <c r="EE109" s="235" t="e">
        <f t="shared" ca="1" si="94"/>
        <v>#N/A</v>
      </c>
      <c r="EF109" s="234" t="e">
        <f t="shared" ca="1" si="104"/>
        <v>#N/A</v>
      </c>
      <c r="EG109" s="234" t="e">
        <f t="shared" ca="1" si="106"/>
        <v>#N/A</v>
      </c>
      <c r="EH109" s="234" t="e">
        <f t="shared" ca="1" si="112"/>
        <v>#N/A</v>
      </c>
      <c r="EI109" s="234"/>
      <c r="EJ109" s="234"/>
      <c r="EK109" s="153" t="e">
        <f t="shared" ca="1" si="95"/>
        <v>#N/A</v>
      </c>
      <c r="EL109" s="231" t="e">
        <f ca="1">IF(SUM(EL$24:EL108)=EL$22,0,IF(AND($M109&gt;=EL$15,$M109&lt;(EL$16+1)),EL$22/(EL$16-EL$15+1),0))</f>
        <v>#N/A</v>
      </c>
      <c r="EM109" s="153" t="e">
        <f t="shared" ca="1" si="96"/>
        <v>#N/A</v>
      </c>
      <c r="EO109" s="60"/>
      <c r="EP109" s="60"/>
    </row>
    <row r="110" spans="1:146" ht="13.9" customHeight="1">
      <c r="A110" s="220"/>
      <c r="B110" s="236">
        <f t="shared" si="100"/>
        <v>83</v>
      </c>
      <c r="C110" s="221">
        <f t="shared" si="97"/>
        <v>46085.16940000013</v>
      </c>
      <c r="D110" s="222" t="e">
        <f ca="1">'Offshore INT'!R99</f>
        <v>#N/A</v>
      </c>
      <c r="E110" s="223" t="e">
        <f t="shared" ca="1" si="88"/>
        <v>#N/A</v>
      </c>
      <c r="F110" s="224"/>
      <c r="G110" s="225">
        <f>IF(G109=1,1,SUM($F$24:F110))</f>
        <v>0</v>
      </c>
      <c r="H110" s="226" t="e">
        <f ca="1">IF(H109=0,0,SUM($I$24:I110))</f>
        <v>#N/A</v>
      </c>
      <c r="I110" s="227" t="e">
        <f ca="1">IF(I$3=0,0,J110/I$3)</f>
        <v>#N/A</v>
      </c>
      <c r="J110" s="222">
        <f ca="1">IF(ISERROR(SUM(EM110)),0,SUM(EM110))</f>
        <v>0</v>
      </c>
      <c r="K110" s="60"/>
      <c r="L110" s="228"/>
      <c r="M110" s="228">
        <f t="shared" si="90"/>
        <v>83</v>
      </c>
      <c r="N110" s="221">
        <f t="shared" si="91"/>
        <v>46085.16940000013</v>
      </c>
      <c r="O110" s="229">
        <f t="shared" si="105"/>
        <v>0</v>
      </c>
      <c r="P110" s="229">
        <f t="shared" si="105"/>
        <v>0</v>
      </c>
      <c r="Q110" s="229">
        <f t="shared" si="105"/>
        <v>0</v>
      </c>
      <c r="R110" s="229">
        <f t="shared" si="105"/>
        <v>0</v>
      </c>
      <c r="S110" s="229">
        <f t="shared" si="105"/>
        <v>0</v>
      </c>
      <c r="T110" s="229">
        <f t="shared" si="105"/>
        <v>0</v>
      </c>
      <c r="U110" s="229">
        <f t="shared" si="105"/>
        <v>0</v>
      </c>
      <c r="V110" s="229">
        <f t="shared" si="105"/>
        <v>0</v>
      </c>
      <c r="W110" s="229">
        <f t="shared" si="105"/>
        <v>0</v>
      </c>
      <c r="X110" s="229">
        <f t="shared" si="105"/>
        <v>0</v>
      </c>
      <c r="Y110" s="229">
        <f t="shared" si="105"/>
        <v>0</v>
      </c>
      <c r="Z110" s="229">
        <f t="shared" si="105"/>
        <v>0</v>
      </c>
      <c r="AA110" s="229">
        <f t="shared" si="115"/>
        <v>0</v>
      </c>
      <c r="AB110" s="229">
        <f t="shared" si="115"/>
        <v>0</v>
      </c>
      <c r="AC110" s="229">
        <f t="shared" si="115"/>
        <v>0</v>
      </c>
      <c r="AD110" s="229">
        <f t="shared" si="115"/>
        <v>0</v>
      </c>
      <c r="AE110" s="229">
        <f t="shared" si="115"/>
        <v>0</v>
      </c>
      <c r="AF110" s="229">
        <f t="shared" si="115"/>
        <v>0</v>
      </c>
      <c r="AG110" s="229">
        <f t="shared" si="115"/>
        <v>0</v>
      </c>
      <c r="AH110" s="229">
        <f t="shared" si="115"/>
        <v>0</v>
      </c>
      <c r="AI110" s="229">
        <f t="shared" si="115"/>
        <v>0</v>
      </c>
      <c r="AJ110" s="229">
        <f t="shared" si="115"/>
        <v>0</v>
      </c>
      <c r="AK110" s="229">
        <f t="shared" si="115"/>
        <v>0</v>
      </c>
      <c r="AL110" s="229">
        <f t="shared" si="115"/>
        <v>0</v>
      </c>
      <c r="AM110" s="229">
        <f t="shared" si="115"/>
        <v>0</v>
      </c>
      <c r="AN110" s="229">
        <f t="shared" si="115"/>
        <v>0</v>
      </c>
      <c r="AO110" s="229">
        <f t="shared" ref="AM110:AO113" si="122">IF($M110=AO$13,AO$22*AO$3,IF($M110=AO$14,AO$22*AO$4,IF($M110=AO$15,AO$22*AO$5,IF($M110=AO$16,AO$22*AO$6,IF($M110=AO$17,AO$22*AO$7,IF($M110=AO$18,AO$22*AO$8,IF($M110=AO$19,AO$22*AO$9,IF($M110=AO$20,AO$22*AO$10,0))))))))</f>
        <v>0</v>
      </c>
      <c r="AP110" s="229">
        <f t="shared" si="115"/>
        <v>0</v>
      </c>
      <c r="AQ110" s="229">
        <f t="shared" si="115"/>
        <v>0</v>
      </c>
      <c r="AR110" s="229">
        <f t="shared" si="115"/>
        <v>0</v>
      </c>
      <c r="AS110" s="229">
        <f t="shared" si="120"/>
        <v>0</v>
      </c>
      <c r="AT110" s="229">
        <f t="shared" si="120"/>
        <v>0</v>
      </c>
      <c r="AU110" s="229">
        <f t="shared" si="120"/>
        <v>0</v>
      </c>
      <c r="AV110" s="229">
        <f t="shared" si="120"/>
        <v>0</v>
      </c>
      <c r="AW110" s="229">
        <f t="shared" si="120"/>
        <v>0</v>
      </c>
      <c r="AX110" s="229">
        <f t="shared" si="115"/>
        <v>0</v>
      </c>
      <c r="AY110" s="229">
        <f t="shared" si="115"/>
        <v>0</v>
      </c>
      <c r="AZ110" s="229">
        <f t="shared" si="115"/>
        <v>0</v>
      </c>
      <c r="BA110" s="229">
        <f t="shared" si="115"/>
        <v>0</v>
      </c>
      <c r="BB110" s="229">
        <f t="shared" si="115"/>
        <v>0</v>
      </c>
      <c r="BC110" s="229">
        <f t="shared" si="115"/>
        <v>0</v>
      </c>
      <c r="BD110" s="229">
        <f t="shared" si="116"/>
        <v>0</v>
      </c>
      <c r="BE110" s="229">
        <f t="shared" si="116"/>
        <v>0</v>
      </c>
      <c r="BF110" s="229">
        <f t="shared" si="116"/>
        <v>0</v>
      </c>
      <c r="BG110" s="229">
        <f t="shared" si="116"/>
        <v>0</v>
      </c>
      <c r="BH110" s="229">
        <f t="shared" si="116"/>
        <v>0</v>
      </c>
      <c r="BI110" s="229">
        <f t="shared" si="116"/>
        <v>0</v>
      </c>
      <c r="BJ110" s="229">
        <f t="shared" si="116"/>
        <v>0</v>
      </c>
      <c r="BK110" s="229">
        <f t="shared" si="116"/>
        <v>0</v>
      </c>
      <c r="BL110" s="229">
        <f t="shared" si="116"/>
        <v>0</v>
      </c>
      <c r="BM110" s="229">
        <f t="shared" si="116"/>
        <v>0</v>
      </c>
      <c r="BN110" s="229">
        <f t="shared" si="116"/>
        <v>0</v>
      </c>
      <c r="BO110" s="229">
        <f t="shared" si="116"/>
        <v>0</v>
      </c>
      <c r="BP110" s="229">
        <f t="shared" si="116"/>
        <v>0</v>
      </c>
      <c r="BQ110" s="229">
        <f t="shared" si="117"/>
        <v>0</v>
      </c>
      <c r="BR110" s="229">
        <f t="shared" si="117"/>
        <v>0</v>
      </c>
      <c r="BS110" s="229">
        <f t="shared" si="117"/>
        <v>0</v>
      </c>
      <c r="BT110" s="229">
        <f t="shared" si="117"/>
        <v>0</v>
      </c>
      <c r="BU110" s="229">
        <f t="shared" si="117"/>
        <v>0</v>
      </c>
      <c r="BV110" s="229">
        <f t="shared" si="117"/>
        <v>0</v>
      </c>
      <c r="BW110" s="229">
        <f t="shared" si="117"/>
        <v>0</v>
      </c>
      <c r="BX110" s="229">
        <f t="shared" si="117"/>
        <v>0</v>
      </c>
      <c r="BY110" s="229">
        <f t="shared" si="117"/>
        <v>0</v>
      </c>
      <c r="BZ110" s="229">
        <f t="shared" si="117"/>
        <v>0</v>
      </c>
      <c r="CA110" s="229">
        <f t="shared" si="117"/>
        <v>0</v>
      </c>
      <c r="CB110" s="229">
        <f t="shared" si="117"/>
        <v>0</v>
      </c>
      <c r="CC110" s="229">
        <f t="shared" si="117"/>
        <v>0</v>
      </c>
      <c r="CD110" s="229">
        <f t="shared" si="118"/>
        <v>0</v>
      </c>
      <c r="CE110" s="229">
        <f t="shared" si="121"/>
        <v>0</v>
      </c>
      <c r="CF110" s="229">
        <f t="shared" si="118"/>
        <v>0</v>
      </c>
      <c r="CG110" s="229">
        <f t="shared" si="118"/>
        <v>0</v>
      </c>
      <c r="CH110" s="229">
        <f t="shared" si="118"/>
        <v>0</v>
      </c>
      <c r="CI110" s="229">
        <f t="shared" si="118"/>
        <v>0</v>
      </c>
      <c r="CJ110" s="229">
        <f t="shared" si="70"/>
        <v>0</v>
      </c>
      <c r="CK110" s="229">
        <f t="shared" si="118"/>
        <v>0</v>
      </c>
      <c r="CL110" s="229">
        <f t="shared" si="118"/>
        <v>0</v>
      </c>
      <c r="CM110" s="229">
        <f t="shared" si="118"/>
        <v>0</v>
      </c>
      <c r="CN110" s="229">
        <f t="shared" si="118"/>
        <v>0</v>
      </c>
      <c r="CO110" s="229">
        <f t="shared" si="111"/>
        <v>0</v>
      </c>
      <c r="CP110" s="229">
        <f t="shared" si="111"/>
        <v>0</v>
      </c>
      <c r="CQ110" s="229">
        <f t="shared" si="118"/>
        <v>0</v>
      </c>
      <c r="CR110" s="229">
        <f t="shared" si="118"/>
        <v>0</v>
      </c>
      <c r="CS110" s="229">
        <f t="shared" si="118"/>
        <v>0</v>
      </c>
      <c r="CT110" s="229">
        <f t="shared" si="118"/>
        <v>0</v>
      </c>
      <c r="CU110" s="230"/>
      <c r="CV110" s="231"/>
      <c r="CW110" s="231"/>
      <c r="CX110" s="231"/>
      <c r="CY110" s="231"/>
      <c r="CZ110" s="231"/>
      <c r="DA110" s="231"/>
      <c r="DB110" s="231"/>
      <c r="DC110" s="231"/>
      <c r="DD110" s="231">
        <f>IF(SUM(DD$24:DD109)=DD$22,0,IF(AND($M110&gt;=DD$15,$M110&lt;(DD$16+1)),DD$22/(DD$16-DD$15+1),0))</f>
        <v>0</v>
      </c>
      <c r="DE110" s="231">
        <f>IF(SUM(DE$24:DE109)=DE$22,0,IF(AND($M110&gt;=DE$15,$M110&lt;(DE$16+1)),DE$22/(DE$16-DE$15+1),0))</f>
        <v>0</v>
      </c>
      <c r="DF110" s="231">
        <f>IF(SUM(DF$24:DF109)=DF$22,0,IF(AND($M110&gt;=DF$15,$M110&lt;(DF$16+1)),DF$22/(DF$16-DF$15+1),0))</f>
        <v>0</v>
      </c>
      <c r="DG110" s="231">
        <f>IF(SUM(DG$24:DG109)=DG$22,0,IF(AND($M110&gt;=DG$15,$M110&lt;(DG$16+1)),DG$22/(DG$16-DG$15+1),0))</f>
        <v>0</v>
      </c>
      <c r="DH110" s="231">
        <f t="shared" ref="DH110:DS129" si="123">IF(AND($M110&gt;=DH$15,$M110&lt;(DH$16+1)),DH$22/(DH$16-DH$15+1),0)</f>
        <v>0</v>
      </c>
      <c r="DI110" s="231">
        <f t="shared" si="123"/>
        <v>0</v>
      </c>
      <c r="DJ110" s="231">
        <f t="shared" si="123"/>
        <v>0</v>
      </c>
      <c r="DK110" s="231">
        <f t="shared" si="123"/>
        <v>0</v>
      </c>
      <c r="DL110" s="231">
        <f t="shared" si="123"/>
        <v>0</v>
      </c>
      <c r="DM110" s="231">
        <f t="shared" si="123"/>
        <v>0</v>
      </c>
      <c r="DN110" s="231">
        <f t="shared" si="119"/>
        <v>0</v>
      </c>
      <c r="DO110" s="231">
        <f t="shared" si="123"/>
        <v>0</v>
      </c>
      <c r="DP110" s="231">
        <f t="shared" si="123"/>
        <v>0</v>
      </c>
      <c r="DQ110" s="231">
        <f t="shared" si="123"/>
        <v>0</v>
      </c>
      <c r="DR110" s="231">
        <f t="shared" si="123"/>
        <v>0</v>
      </c>
      <c r="DS110" s="231">
        <f t="shared" si="123"/>
        <v>0</v>
      </c>
      <c r="DT110" s="231">
        <f ca="1">IF(SUM(DT$24:DT109)=DT$22,0,IF(AND($M110&gt;=DT$15,$M110&lt;(DT$16+1)),DT$22/(DT$16-DT$15+1),0))</f>
        <v>0</v>
      </c>
      <c r="DU110" s="231">
        <f ca="1">IF(SUM(DU$24:DU109)=DU$22,0,IF(AND($M110&gt;=DU$15,$M110&lt;(DU$16+1)),DU$22/(DU$16-DU$15+1),0))</f>
        <v>0</v>
      </c>
      <c r="DV110" s="231">
        <f ca="1">IF(SUM(DV$24:DV109)=DV$22,0,IF(AND(M110&gt;=DV$15,M110&lt;(DV$16+1)),DV$22/(DV$16-DV$15+1),0))</f>
        <v>0</v>
      </c>
      <c r="DW110" s="231" t="e">
        <f ca="1">IF(SUM(DW$24:DW109)=DW$22,0,IF(AND($M110&gt;=DW$15,$M110&lt;(DW$16+1)),DW$22/(DW$16-DW$15+1),0))</f>
        <v>#N/A</v>
      </c>
      <c r="DX110" s="231">
        <f ca="1">IF(SUM(DX$24:DX109)=DX$22,0,IF(AND($M110&gt;=DX$15,$M110&lt;(DX$16+1)),DX$22/(DX$16-DX$15+1),0))</f>
        <v>0</v>
      </c>
      <c r="DY110" s="231">
        <f ca="1">IF(SUM(DY$24:DY109)=DY$22,0,IF(AND($M110&gt;=DY$15,$M110&lt;(DY$16+1)),DY$22/(DY$16-DY$15+1),0))</f>
        <v>0</v>
      </c>
      <c r="DZ110" s="231">
        <f ca="1">IF(SUM(DZ$24:DZ109)=DZ$22,0,IF(AND($M110&gt;=DZ$15,$M110&lt;(DZ$16+1)),DZ$22/(DZ$16-DZ$15+1),0))</f>
        <v>0</v>
      </c>
      <c r="EA110" s="231" t="e">
        <f ca="1">IF(SUM(EA$24:EA109)=EA$22,0,IF(AND(M110&gt;=EA$15,M110&lt;(EA$16+1)),EA$22/(EA$16-EA$15+1),0))</f>
        <v>#N/A</v>
      </c>
      <c r="EC110" s="234">
        <f t="shared" si="92"/>
        <v>83</v>
      </c>
      <c r="ED110" s="234" t="e">
        <f t="shared" ca="1" si="93"/>
        <v>#N/A</v>
      </c>
      <c r="EE110" s="235" t="e">
        <f t="shared" ca="1" si="94"/>
        <v>#N/A</v>
      </c>
      <c r="EF110" s="234" t="e">
        <f t="shared" ca="1" si="104"/>
        <v>#N/A</v>
      </c>
      <c r="EG110" s="234" t="e">
        <f t="shared" ca="1" si="106"/>
        <v>#N/A</v>
      </c>
      <c r="EH110" s="234" t="e">
        <f t="shared" ca="1" si="112"/>
        <v>#N/A</v>
      </c>
      <c r="EI110" s="234"/>
      <c r="EJ110" s="234"/>
      <c r="EK110" s="153" t="e">
        <f t="shared" ca="1" si="95"/>
        <v>#N/A</v>
      </c>
      <c r="EL110" s="231" t="e">
        <f ca="1">IF(SUM(EL$24:EL109)=EL$22,0,IF(AND($M110&gt;=EL$15,$M110&lt;(EL$16+1)),EL$22/(EL$16-EL$15+1),0))</f>
        <v>#N/A</v>
      </c>
      <c r="EM110" s="153" t="e">
        <f t="shared" ca="1" si="96"/>
        <v>#N/A</v>
      </c>
      <c r="EO110" s="60"/>
      <c r="EP110" s="60"/>
    </row>
    <row r="111" spans="1:146" ht="13.9" customHeight="1">
      <c r="A111" s="220"/>
      <c r="B111" s="236">
        <f t="shared" si="100"/>
        <v>84</v>
      </c>
      <c r="C111" s="221">
        <f t="shared" si="97"/>
        <v>46115.586100000131</v>
      </c>
      <c r="D111" s="222" t="e">
        <f ca="1">'Offshore INT'!R100</f>
        <v>#N/A</v>
      </c>
      <c r="E111" s="223" t="e">
        <f t="shared" ca="1" si="88"/>
        <v>#N/A</v>
      </c>
      <c r="F111" s="224"/>
      <c r="G111" s="225">
        <f>IF(G110=1,1,SUM($F$24:F111))</f>
        <v>0</v>
      </c>
      <c r="H111" s="226" t="e">
        <f ca="1">IF(H110=0,0,SUM($I$24:I111))</f>
        <v>#N/A</v>
      </c>
      <c r="I111" s="227" t="e">
        <f ca="1">IF(I$3=0,0,J111/I$3)</f>
        <v>#N/A</v>
      </c>
      <c r="J111" s="222">
        <f ca="1">IF(ISERROR(SUM(EM111)),0,SUM(EM111))</f>
        <v>0</v>
      </c>
      <c r="K111" s="60"/>
      <c r="L111" s="228"/>
      <c r="M111" s="228">
        <f t="shared" si="90"/>
        <v>84</v>
      </c>
      <c r="N111" s="221">
        <f t="shared" si="91"/>
        <v>46115.586100000131</v>
      </c>
      <c r="O111" s="229">
        <f t="shared" si="105"/>
        <v>0</v>
      </c>
      <c r="P111" s="229">
        <f t="shared" si="105"/>
        <v>0</v>
      </c>
      <c r="Q111" s="229">
        <f t="shared" si="105"/>
        <v>0</v>
      </c>
      <c r="R111" s="229">
        <f t="shared" si="105"/>
        <v>0</v>
      </c>
      <c r="S111" s="229">
        <f t="shared" si="105"/>
        <v>0</v>
      </c>
      <c r="T111" s="229">
        <f t="shared" si="105"/>
        <v>0</v>
      </c>
      <c r="U111" s="229">
        <f t="shared" si="105"/>
        <v>0</v>
      </c>
      <c r="V111" s="229">
        <f t="shared" si="105"/>
        <v>0</v>
      </c>
      <c r="W111" s="229">
        <f t="shared" si="105"/>
        <v>0</v>
      </c>
      <c r="X111" s="229">
        <f t="shared" si="105"/>
        <v>0</v>
      </c>
      <c r="Y111" s="229">
        <f t="shared" si="105"/>
        <v>0</v>
      </c>
      <c r="Z111" s="229">
        <f t="shared" si="105"/>
        <v>0</v>
      </c>
      <c r="AA111" s="229">
        <f t="shared" si="115"/>
        <v>0</v>
      </c>
      <c r="AB111" s="229">
        <f t="shared" si="115"/>
        <v>0</v>
      </c>
      <c r="AC111" s="229">
        <f t="shared" si="115"/>
        <v>0</v>
      </c>
      <c r="AD111" s="229">
        <f t="shared" si="115"/>
        <v>0</v>
      </c>
      <c r="AE111" s="229">
        <f t="shared" si="115"/>
        <v>0</v>
      </c>
      <c r="AF111" s="229">
        <f t="shared" si="115"/>
        <v>0</v>
      </c>
      <c r="AG111" s="229">
        <f t="shared" si="115"/>
        <v>0</v>
      </c>
      <c r="AH111" s="229">
        <f t="shared" si="115"/>
        <v>0</v>
      </c>
      <c r="AI111" s="229">
        <f t="shared" si="115"/>
        <v>0</v>
      </c>
      <c r="AJ111" s="229">
        <f t="shared" si="115"/>
        <v>0</v>
      </c>
      <c r="AK111" s="229">
        <f t="shared" si="115"/>
        <v>0</v>
      </c>
      <c r="AL111" s="229">
        <f t="shared" si="115"/>
        <v>0</v>
      </c>
      <c r="AM111" s="229">
        <f t="shared" si="122"/>
        <v>0</v>
      </c>
      <c r="AN111" s="229">
        <f t="shared" si="122"/>
        <v>0</v>
      </c>
      <c r="AO111" s="229">
        <f t="shared" si="122"/>
        <v>0</v>
      </c>
      <c r="AP111" s="229">
        <f t="shared" si="115"/>
        <v>0</v>
      </c>
      <c r="AQ111" s="229">
        <f t="shared" si="115"/>
        <v>0</v>
      </c>
      <c r="AR111" s="229">
        <f t="shared" si="115"/>
        <v>0</v>
      </c>
      <c r="AS111" s="229">
        <f t="shared" si="120"/>
        <v>0</v>
      </c>
      <c r="AT111" s="229">
        <f t="shared" si="120"/>
        <v>0</v>
      </c>
      <c r="AU111" s="229">
        <f t="shared" si="120"/>
        <v>0</v>
      </c>
      <c r="AV111" s="229">
        <f t="shared" si="120"/>
        <v>0</v>
      </c>
      <c r="AW111" s="229">
        <f t="shared" si="120"/>
        <v>0</v>
      </c>
      <c r="AX111" s="229">
        <f t="shared" si="115"/>
        <v>0</v>
      </c>
      <c r="AY111" s="229">
        <f t="shared" si="115"/>
        <v>0</v>
      </c>
      <c r="AZ111" s="229">
        <f t="shared" si="115"/>
        <v>0</v>
      </c>
      <c r="BA111" s="229">
        <f t="shared" si="115"/>
        <v>0</v>
      </c>
      <c r="BB111" s="229">
        <f t="shared" si="115"/>
        <v>0</v>
      </c>
      <c r="BC111" s="229">
        <f t="shared" si="115"/>
        <v>0</v>
      </c>
      <c r="BD111" s="229">
        <f t="shared" si="116"/>
        <v>0</v>
      </c>
      <c r="BE111" s="229">
        <f t="shared" si="116"/>
        <v>0</v>
      </c>
      <c r="BF111" s="229">
        <f t="shared" si="116"/>
        <v>0</v>
      </c>
      <c r="BG111" s="229">
        <f t="shared" si="116"/>
        <v>0</v>
      </c>
      <c r="BH111" s="229">
        <f t="shared" si="116"/>
        <v>0</v>
      </c>
      <c r="BI111" s="229">
        <f t="shared" si="116"/>
        <v>0</v>
      </c>
      <c r="BJ111" s="229">
        <f t="shared" si="116"/>
        <v>0</v>
      </c>
      <c r="BK111" s="229">
        <f t="shared" si="116"/>
        <v>0</v>
      </c>
      <c r="BL111" s="229">
        <f t="shared" si="116"/>
        <v>0</v>
      </c>
      <c r="BM111" s="229">
        <f t="shared" si="116"/>
        <v>0</v>
      </c>
      <c r="BN111" s="229">
        <f t="shared" si="116"/>
        <v>0</v>
      </c>
      <c r="BO111" s="229">
        <f t="shared" si="116"/>
        <v>0</v>
      </c>
      <c r="BP111" s="229">
        <f t="shared" si="116"/>
        <v>0</v>
      </c>
      <c r="BQ111" s="229">
        <f t="shared" si="117"/>
        <v>0</v>
      </c>
      <c r="BR111" s="229">
        <f t="shared" si="117"/>
        <v>0</v>
      </c>
      <c r="BS111" s="229">
        <f t="shared" si="117"/>
        <v>0</v>
      </c>
      <c r="BT111" s="229">
        <f t="shared" si="117"/>
        <v>0</v>
      </c>
      <c r="BU111" s="229">
        <f t="shared" si="117"/>
        <v>0</v>
      </c>
      <c r="BV111" s="229">
        <f t="shared" si="117"/>
        <v>0</v>
      </c>
      <c r="BW111" s="229">
        <f t="shared" si="117"/>
        <v>0</v>
      </c>
      <c r="BX111" s="229">
        <f t="shared" si="117"/>
        <v>0</v>
      </c>
      <c r="BY111" s="229">
        <f t="shared" si="117"/>
        <v>0</v>
      </c>
      <c r="BZ111" s="229">
        <f t="shared" si="117"/>
        <v>0</v>
      </c>
      <c r="CA111" s="229">
        <f t="shared" si="117"/>
        <v>0</v>
      </c>
      <c r="CB111" s="229">
        <f t="shared" si="117"/>
        <v>0</v>
      </c>
      <c r="CC111" s="229">
        <f t="shared" si="117"/>
        <v>0</v>
      </c>
      <c r="CD111" s="229">
        <f t="shared" si="118"/>
        <v>0</v>
      </c>
      <c r="CE111" s="229">
        <f t="shared" si="121"/>
        <v>0</v>
      </c>
      <c r="CF111" s="229">
        <f t="shared" si="118"/>
        <v>0</v>
      </c>
      <c r="CG111" s="229">
        <f t="shared" si="118"/>
        <v>0</v>
      </c>
      <c r="CH111" s="229">
        <f t="shared" si="118"/>
        <v>0</v>
      </c>
      <c r="CI111" s="229">
        <f t="shared" si="118"/>
        <v>0</v>
      </c>
      <c r="CJ111" s="229">
        <f t="shared" si="70"/>
        <v>0</v>
      </c>
      <c r="CK111" s="229">
        <f t="shared" si="118"/>
        <v>0</v>
      </c>
      <c r="CL111" s="229">
        <f t="shared" si="118"/>
        <v>0</v>
      </c>
      <c r="CM111" s="229">
        <f t="shared" si="118"/>
        <v>0</v>
      </c>
      <c r="CN111" s="229">
        <f t="shared" si="118"/>
        <v>0</v>
      </c>
      <c r="CO111" s="229">
        <f t="shared" ref="CO111:CP126" si="124">IF($M111=CO$13,CO$22*CO$3,IF($M111=CO$14,CO$22*CO$4,IF($M111=CO$15,CO$22*CO$5,IF($M111=CO$16,CO$22*CO$6,IF($M111=CO$17,CO$22*CO$7,IF($M111=CO$18,CO$22*CO$8,IF($M111=CO$19,CO$22*CO$9,IF($M111=CO$20,CO$22*CO$10,0))))))))</f>
        <v>0</v>
      </c>
      <c r="CP111" s="229">
        <f t="shared" si="124"/>
        <v>0</v>
      </c>
      <c r="CQ111" s="229">
        <f t="shared" si="118"/>
        <v>0</v>
      </c>
      <c r="CR111" s="229">
        <f t="shared" si="118"/>
        <v>0</v>
      </c>
      <c r="CS111" s="229">
        <f t="shared" si="118"/>
        <v>0</v>
      </c>
      <c r="CT111" s="229">
        <f t="shared" si="118"/>
        <v>0</v>
      </c>
      <c r="CU111" s="230"/>
      <c r="CV111" s="231"/>
      <c r="CW111" s="231"/>
      <c r="CX111" s="231"/>
      <c r="CY111" s="231"/>
      <c r="CZ111" s="231"/>
      <c r="DA111" s="231"/>
      <c r="DB111" s="231"/>
      <c r="DC111" s="231"/>
      <c r="DD111" s="231">
        <f>IF(SUM(DD$24:DD110)=DD$22,0,IF(AND($M111&gt;=DD$15,$M111&lt;(DD$16+1)),DD$22/(DD$16-DD$15+1),0))</f>
        <v>0</v>
      </c>
      <c r="DE111" s="231">
        <f>IF(SUM(DE$24:DE110)=DE$22,0,IF(AND($M111&gt;=DE$15,$M111&lt;(DE$16+1)),DE$22/(DE$16-DE$15+1),0))</f>
        <v>0</v>
      </c>
      <c r="DF111" s="231">
        <f>IF(SUM(DF$24:DF110)=DF$22,0,IF(AND($M111&gt;=DF$15,$M111&lt;(DF$16+1)),DF$22/(DF$16-DF$15+1),0))</f>
        <v>0</v>
      </c>
      <c r="DG111" s="231">
        <f>IF(SUM(DG$24:DG110)=DG$22,0,IF(AND($M111&gt;=DG$15,$M111&lt;(DG$16+1)),DG$22/(DG$16-DG$15+1),0))</f>
        <v>0</v>
      </c>
      <c r="DH111" s="231">
        <f t="shared" si="123"/>
        <v>0</v>
      </c>
      <c r="DI111" s="231">
        <f t="shared" si="123"/>
        <v>0</v>
      </c>
      <c r="DJ111" s="231">
        <f t="shared" si="123"/>
        <v>0</v>
      </c>
      <c r="DK111" s="231">
        <f t="shared" si="123"/>
        <v>0</v>
      </c>
      <c r="DL111" s="231">
        <f t="shared" si="123"/>
        <v>0</v>
      </c>
      <c r="DM111" s="231">
        <f t="shared" si="123"/>
        <v>0</v>
      </c>
      <c r="DN111" s="231">
        <f t="shared" si="119"/>
        <v>0</v>
      </c>
      <c r="DO111" s="231">
        <f t="shared" si="123"/>
        <v>0</v>
      </c>
      <c r="DP111" s="231">
        <f t="shared" si="123"/>
        <v>0</v>
      </c>
      <c r="DQ111" s="231">
        <f t="shared" si="123"/>
        <v>0</v>
      </c>
      <c r="DR111" s="231">
        <f t="shared" si="123"/>
        <v>0</v>
      </c>
      <c r="DS111" s="231">
        <f t="shared" si="123"/>
        <v>0</v>
      </c>
      <c r="DT111" s="231">
        <f ca="1">IF(SUM(DT$24:DT110)=DT$22,0,IF(AND($M111&gt;=DT$15,$M111&lt;(DT$16+1)),DT$22/(DT$16-DT$15+1),0))</f>
        <v>0</v>
      </c>
      <c r="DU111" s="231">
        <f ca="1">IF(SUM(DU$24:DU110)=DU$22,0,IF(AND($M111&gt;=DU$15,$M111&lt;(DU$16+1)),DU$22/(DU$16-DU$15+1),0))</f>
        <v>0</v>
      </c>
      <c r="DV111" s="231">
        <f ca="1">IF(SUM(DV$24:DV110)=DV$22,0,IF(AND(M111&gt;=DV$15,M111&lt;(DV$16+1)),DV$22/(DV$16-DV$15+1),0))</f>
        <v>0</v>
      </c>
      <c r="DW111" s="231" t="e">
        <f ca="1">IF(SUM(DW$24:DW110)=DW$22,0,IF(AND($M111&gt;=DW$15,$M111&lt;(DW$16+1)),DW$22/(DW$16-DW$15+1),0))</f>
        <v>#N/A</v>
      </c>
      <c r="DX111" s="231">
        <f ca="1">IF(SUM(DX$24:DX110)=DX$22,0,IF(AND($M111&gt;=DX$15,$M111&lt;(DX$16+1)),DX$22/(DX$16-DX$15+1),0))</f>
        <v>0</v>
      </c>
      <c r="DY111" s="231">
        <f ca="1">IF(SUM(DY$24:DY110)=DY$22,0,IF(AND($M111&gt;=DY$15,$M111&lt;(DY$16+1)),DY$22/(DY$16-DY$15+1),0))</f>
        <v>0</v>
      </c>
      <c r="DZ111" s="231">
        <f ca="1">IF(SUM(DZ$24:DZ110)=DZ$22,0,IF(AND($M111&gt;=DZ$15,$M111&lt;(DZ$16+1)),DZ$22/(DZ$16-DZ$15+1),0))</f>
        <v>0</v>
      </c>
      <c r="EA111" s="231" t="e">
        <f ca="1">IF(SUM(EA$24:EA110)=EA$22,0,IF(AND(M111&gt;=EA$15,M111&lt;(EA$16+1)),EA$22/(EA$16-EA$15+1),0))</f>
        <v>#N/A</v>
      </c>
      <c r="EC111" s="234">
        <f t="shared" si="92"/>
        <v>84</v>
      </c>
      <c r="ED111" s="234" t="e">
        <f t="shared" ca="1" si="93"/>
        <v>#N/A</v>
      </c>
      <c r="EE111" s="235" t="e">
        <f t="shared" ca="1" si="94"/>
        <v>#N/A</v>
      </c>
      <c r="EF111" s="234" t="e">
        <f t="shared" ca="1" si="104"/>
        <v>#N/A</v>
      </c>
      <c r="EG111" s="234" t="e">
        <f t="shared" ca="1" si="106"/>
        <v>#N/A</v>
      </c>
      <c r="EH111" s="234" t="e">
        <f t="shared" ca="1" si="112"/>
        <v>#N/A</v>
      </c>
      <c r="EI111" s="234"/>
      <c r="EJ111" s="234"/>
      <c r="EK111" s="153" t="e">
        <f t="shared" ca="1" si="95"/>
        <v>#N/A</v>
      </c>
      <c r="EL111" s="231" t="e">
        <f ca="1">IF(SUM(EL$24:EL110)=EL$22,0,IF(AND($M111&gt;=EL$15,$M111&lt;(EL$16+1)),EL$22/(EL$16-EL$15+1),0))</f>
        <v>#N/A</v>
      </c>
      <c r="EM111" s="153" t="e">
        <f t="shared" ca="1" si="96"/>
        <v>#N/A</v>
      </c>
      <c r="EO111" s="60"/>
      <c r="EP111" s="60"/>
    </row>
    <row r="112" spans="1:146" ht="13.9" customHeight="1">
      <c r="A112" s="220"/>
      <c r="B112" s="236">
        <f t="shared" si="100"/>
        <v>85</v>
      </c>
      <c r="C112" s="221">
        <f t="shared" si="97"/>
        <v>46146.002800000133</v>
      </c>
      <c r="D112" s="222" t="e">
        <f ca="1">'Offshore INT'!R101</f>
        <v>#N/A</v>
      </c>
      <c r="E112" s="223" t="e">
        <f t="shared" ca="1" si="88"/>
        <v>#N/A</v>
      </c>
      <c r="F112" s="224"/>
      <c r="G112" s="225">
        <f>IF(G111=1,1,SUM($F$24:F112))</f>
        <v>0</v>
      </c>
      <c r="H112" s="226" t="e">
        <f ca="1">IF(H111=0,0,SUM($I$24:I112))</f>
        <v>#N/A</v>
      </c>
      <c r="I112" s="227" t="e">
        <f ca="1">IF(I$3=0,0,J112/I$3)</f>
        <v>#N/A</v>
      </c>
      <c r="J112" s="222">
        <f ca="1">IF(ISERROR(SUM(EM112)),0,SUM(EM112))</f>
        <v>0</v>
      </c>
      <c r="K112" s="60"/>
      <c r="L112" s="228"/>
      <c r="M112" s="228">
        <f t="shared" si="90"/>
        <v>85</v>
      </c>
      <c r="N112" s="221">
        <f t="shared" si="91"/>
        <v>46146.002800000133</v>
      </c>
      <c r="O112" s="229">
        <f t="shared" si="105"/>
        <v>0</v>
      </c>
      <c r="P112" s="229">
        <f t="shared" si="105"/>
        <v>0</v>
      </c>
      <c r="Q112" s="229">
        <f t="shared" si="105"/>
        <v>0</v>
      </c>
      <c r="R112" s="229">
        <f t="shared" si="105"/>
        <v>0</v>
      </c>
      <c r="S112" s="229">
        <f t="shared" si="105"/>
        <v>0</v>
      </c>
      <c r="T112" s="229">
        <f t="shared" si="105"/>
        <v>0</v>
      </c>
      <c r="U112" s="229">
        <f t="shared" si="105"/>
        <v>0</v>
      </c>
      <c r="V112" s="229">
        <f t="shared" si="105"/>
        <v>0</v>
      </c>
      <c r="W112" s="229">
        <f t="shared" si="105"/>
        <v>0</v>
      </c>
      <c r="X112" s="229">
        <f t="shared" si="105"/>
        <v>0</v>
      </c>
      <c r="Y112" s="229">
        <f t="shared" si="105"/>
        <v>0</v>
      </c>
      <c r="Z112" s="229">
        <f t="shared" si="105"/>
        <v>0</v>
      </c>
      <c r="AA112" s="229">
        <f t="shared" si="115"/>
        <v>0</v>
      </c>
      <c r="AB112" s="229">
        <f t="shared" si="115"/>
        <v>0</v>
      </c>
      <c r="AC112" s="229">
        <f t="shared" si="115"/>
        <v>0</v>
      </c>
      <c r="AD112" s="229">
        <f t="shared" si="115"/>
        <v>0</v>
      </c>
      <c r="AE112" s="229">
        <f t="shared" si="115"/>
        <v>0</v>
      </c>
      <c r="AF112" s="229">
        <f t="shared" si="115"/>
        <v>0</v>
      </c>
      <c r="AG112" s="229">
        <f t="shared" si="115"/>
        <v>0</v>
      </c>
      <c r="AH112" s="229">
        <f t="shared" si="115"/>
        <v>0</v>
      </c>
      <c r="AI112" s="229">
        <f t="shared" si="115"/>
        <v>0</v>
      </c>
      <c r="AJ112" s="229">
        <f t="shared" si="115"/>
        <v>0</v>
      </c>
      <c r="AK112" s="229">
        <f t="shared" si="115"/>
        <v>0</v>
      </c>
      <c r="AL112" s="229">
        <f t="shared" si="115"/>
        <v>0</v>
      </c>
      <c r="AM112" s="229">
        <f t="shared" si="122"/>
        <v>0</v>
      </c>
      <c r="AN112" s="229">
        <f t="shared" si="122"/>
        <v>0</v>
      </c>
      <c r="AO112" s="229">
        <f t="shared" si="122"/>
        <v>0</v>
      </c>
      <c r="AP112" s="229">
        <f t="shared" si="115"/>
        <v>0</v>
      </c>
      <c r="AQ112" s="229">
        <f t="shared" si="115"/>
        <v>0</v>
      </c>
      <c r="AR112" s="229">
        <f t="shared" si="115"/>
        <v>0</v>
      </c>
      <c r="AS112" s="229">
        <f t="shared" si="120"/>
        <v>0</v>
      </c>
      <c r="AT112" s="229">
        <f t="shared" si="120"/>
        <v>0</v>
      </c>
      <c r="AU112" s="229">
        <f t="shared" si="120"/>
        <v>0</v>
      </c>
      <c r="AV112" s="229">
        <f t="shared" si="120"/>
        <v>0</v>
      </c>
      <c r="AW112" s="229">
        <f t="shared" si="120"/>
        <v>0</v>
      </c>
      <c r="AX112" s="229">
        <f t="shared" si="115"/>
        <v>0</v>
      </c>
      <c r="AY112" s="229">
        <f t="shared" si="115"/>
        <v>0</v>
      </c>
      <c r="AZ112" s="229">
        <f t="shared" si="115"/>
        <v>0</v>
      </c>
      <c r="BA112" s="229">
        <f t="shared" si="115"/>
        <v>0</v>
      </c>
      <c r="BB112" s="229">
        <f t="shared" si="115"/>
        <v>0</v>
      </c>
      <c r="BC112" s="229">
        <f t="shared" si="115"/>
        <v>0</v>
      </c>
      <c r="BD112" s="229">
        <f t="shared" si="116"/>
        <v>0</v>
      </c>
      <c r="BE112" s="229">
        <f t="shared" si="116"/>
        <v>0</v>
      </c>
      <c r="BF112" s="229">
        <f t="shared" si="116"/>
        <v>0</v>
      </c>
      <c r="BG112" s="229">
        <f t="shared" si="116"/>
        <v>0</v>
      </c>
      <c r="BH112" s="229">
        <f t="shared" si="116"/>
        <v>0</v>
      </c>
      <c r="BI112" s="229">
        <f t="shared" si="116"/>
        <v>0</v>
      </c>
      <c r="BJ112" s="229">
        <f t="shared" si="116"/>
        <v>0</v>
      </c>
      <c r="BK112" s="229">
        <f t="shared" si="116"/>
        <v>0</v>
      </c>
      <c r="BL112" s="229">
        <f t="shared" si="116"/>
        <v>0</v>
      </c>
      <c r="BM112" s="229">
        <f t="shared" si="116"/>
        <v>0</v>
      </c>
      <c r="BN112" s="229">
        <f t="shared" si="116"/>
        <v>0</v>
      </c>
      <c r="BO112" s="229">
        <f t="shared" si="116"/>
        <v>0</v>
      </c>
      <c r="BP112" s="229">
        <f t="shared" si="116"/>
        <v>0</v>
      </c>
      <c r="BQ112" s="229">
        <f t="shared" si="117"/>
        <v>0</v>
      </c>
      <c r="BR112" s="229">
        <f t="shared" si="117"/>
        <v>0</v>
      </c>
      <c r="BS112" s="229">
        <f t="shared" si="117"/>
        <v>0</v>
      </c>
      <c r="BT112" s="229">
        <f t="shared" si="117"/>
        <v>0</v>
      </c>
      <c r="BU112" s="229">
        <f t="shared" si="117"/>
        <v>0</v>
      </c>
      <c r="BV112" s="229">
        <f t="shared" si="117"/>
        <v>0</v>
      </c>
      <c r="BW112" s="229">
        <f t="shared" si="117"/>
        <v>0</v>
      </c>
      <c r="BX112" s="229">
        <f t="shared" si="117"/>
        <v>0</v>
      </c>
      <c r="BY112" s="229">
        <f t="shared" si="117"/>
        <v>0</v>
      </c>
      <c r="BZ112" s="229">
        <f t="shared" si="117"/>
        <v>0</v>
      </c>
      <c r="CA112" s="229">
        <f t="shared" si="117"/>
        <v>0</v>
      </c>
      <c r="CB112" s="229">
        <f t="shared" si="117"/>
        <v>0</v>
      </c>
      <c r="CC112" s="229">
        <f t="shared" si="117"/>
        <v>0</v>
      </c>
      <c r="CD112" s="229">
        <f t="shared" si="118"/>
        <v>0</v>
      </c>
      <c r="CE112" s="229">
        <f t="shared" si="121"/>
        <v>0</v>
      </c>
      <c r="CF112" s="229">
        <f t="shared" si="118"/>
        <v>0</v>
      </c>
      <c r="CG112" s="229">
        <f t="shared" si="118"/>
        <v>0</v>
      </c>
      <c r="CH112" s="229">
        <f t="shared" si="118"/>
        <v>0</v>
      </c>
      <c r="CI112" s="229">
        <f t="shared" si="118"/>
        <v>0</v>
      </c>
      <c r="CJ112" s="229">
        <f t="shared" si="70"/>
        <v>0</v>
      </c>
      <c r="CK112" s="229">
        <f t="shared" si="118"/>
        <v>0</v>
      </c>
      <c r="CL112" s="229">
        <f t="shared" si="118"/>
        <v>0</v>
      </c>
      <c r="CM112" s="229">
        <f t="shared" si="118"/>
        <v>0</v>
      </c>
      <c r="CN112" s="229">
        <f t="shared" si="118"/>
        <v>0</v>
      </c>
      <c r="CO112" s="229">
        <f t="shared" si="124"/>
        <v>0</v>
      </c>
      <c r="CP112" s="229">
        <f t="shared" si="124"/>
        <v>0</v>
      </c>
      <c r="CQ112" s="229">
        <f t="shared" si="118"/>
        <v>0</v>
      </c>
      <c r="CR112" s="229">
        <f t="shared" si="118"/>
        <v>0</v>
      </c>
      <c r="CS112" s="229">
        <f t="shared" si="118"/>
        <v>0</v>
      </c>
      <c r="CT112" s="229">
        <f t="shared" si="118"/>
        <v>0</v>
      </c>
      <c r="CU112" s="230"/>
      <c r="CV112" s="231"/>
      <c r="CW112" s="231"/>
      <c r="CX112" s="231"/>
      <c r="CY112" s="231"/>
      <c r="CZ112" s="231"/>
      <c r="DA112" s="231"/>
      <c r="DB112" s="231"/>
      <c r="DC112" s="231"/>
      <c r="DD112" s="231">
        <f>IF(SUM(DD$24:DD111)=DD$22,0,IF(AND($M112&gt;=DD$15,$M112&lt;(DD$16+1)),DD$22/(DD$16-DD$15+1),0))</f>
        <v>0</v>
      </c>
      <c r="DE112" s="231">
        <f>IF(SUM(DE$24:DE111)=DE$22,0,IF(AND($M112&gt;=DE$15,$M112&lt;(DE$16+1)),DE$22/(DE$16-DE$15+1),0))</f>
        <v>0</v>
      </c>
      <c r="DF112" s="231">
        <f>IF(SUM(DF$24:DF111)=DF$22,0,IF(AND($M112&gt;=DF$15,$M112&lt;(DF$16+1)),DF$22/(DF$16-DF$15+1),0))</f>
        <v>0</v>
      </c>
      <c r="DG112" s="231">
        <f>IF(SUM(DG$24:DG111)=DG$22,0,IF(AND($M112&gt;=DG$15,$M112&lt;(DG$16+1)),DG$22/(DG$16-DG$15+1),0))</f>
        <v>0</v>
      </c>
      <c r="DH112" s="231">
        <f t="shared" si="123"/>
        <v>0</v>
      </c>
      <c r="DI112" s="231">
        <f t="shared" si="123"/>
        <v>0</v>
      </c>
      <c r="DJ112" s="231">
        <f t="shared" si="123"/>
        <v>0</v>
      </c>
      <c r="DK112" s="231">
        <f t="shared" si="123"/>
        <v>0</v>
      </c>
      <c r="DL112" s="231">
        <f t="shared" si="123"/>
        <v>0</v>
      </c>
      <c r="DM112" s="231">
        <f t="shared" si="123"/>
        <v>0</v>
      </c>
      <c r="DN112" s="231">
        <f t="shared" si="119"/>
        <v>0</v>
      </c>
      <c r="DO112" s="231">
        <f t="shared" si="123"/>
        <v>0</v>
      </c>
      <c r="DP112" s="231">
        <f t="shared" si="123"/>
        <v>0</v>
      </c>
      <c r="DQ112" s="231">
        <f t="shared" si="123"/>
        <v>0</v>
      </c>
      <c r="DR112" s="231">
        <f t="shared" si="123"/>
        <v>0</v>
      </c>
      <c r="DS112" s="231">
        <f t="shared" si="123"/>
        <v>0</v>
      </c>
      <c r="DT112" s="231">
        <f ca="1">IF(SUM(DT$24:DT111)=DT$22,0,IF(AND($M112&gt;=DT$15,$M112&lt;(DT$16+1)),DT$22/(DT$16-DT$15+1),0))</f>
        <v>0</v>
      </c>
      <c r="DU112" s="231">
        <f ca="1">IF(SUM(DU$24:DU111)=DU$22,0,IF(AND($M112&gt;=DU$15,$M112&lt;(DU$16+1)),DU$22/(DU$16-DU$15+1),0))</f>
        <v>0</v>
      </c>
      <c r="DV112" s="231">
        <f ca="1">IF(SUM(DV$24:DV111)=DV$22,0,IF(AND(M112&gt;=DV$15,M112&lt;(DV$16+1)),DV$22/(DV$16-DV$15+1),0))</f>
        <v>0</v>
      </c>
      <c r="DW112" s="231" t="e">
        <f ca="1">IF(SUM(DW$24:DW111)=DW$22,0,IF(AND($M112&gt;=DW$15,$M112&lt;(DW$16+1)),DW$22/(DW$16-DW$15+1),0))</f>
        <v>#N/A</v>
      </c>
      <c r="DX112" s="231">
        <f ca="1">IF(SUM(DX$24:DX111)=DX$22,0,IF(AND($M112&gt;=DX$15,$M112&lt;(DX$16+1)),DX$22/(DX$16-DX$15+1),0))</f>
        <v>0</v>
      </c>
      <c r="DY112" s="231">
        <f ca="1">IF(SUM(DY$24:DY111)=DY$22,0,IF(AND($M112&gt;=DY$15,$M112&lt;(DY$16+1)),DY$22/(DY$16-DY$15+1),0))</f>
        <v>0</v>
      </c>
      <c r="DZ112" s="231">
        <f ca="1">IF(SUM(DZ$24:DZ111)=DZ$22,0,IF(AND($M112&gt;=DZ$15,$M112&lt;(DZ$16+1)),DZ$22/(DZ$16-DZ$15+1),0))</f>
        <v>0</v>
      </c>
      <c r="EA112" s="231" t="e">
        <f ca="1">IF(SUM(EA$24:EA111)=EA$22,0,IF(AND(M112&gt;=EA$15,M112&lt;(EA$16+1)),EA$22/(EA$16-EA$15+1),0))</f>
        <v>#N/A</v>
      </c>
      <c r="EC112" s="234">
        <f t="shared" si="92"/>
        <v>85</v>
      </c>
      <c r="ED112" s="234" t="e">
        <f t="shared" ca="1" si="93"/>
        <v>#N/A</v>
      </c>
      <c r="EE112" s="235" t="e">
        <f t="shared" ca="1" si="94"/>
        <v>#N/A</v>
      </c>
      <c r="EF112" s="234" t="e">
        <f t="shared" ca="1" si="104"/>
        <v>#N/A</v>
      </c>
      <c r="EG112" s="234" t="e">
        <f t="shared" ca="1" si="106"/>
        <v>#N/A</v>
      </c>
      <c r="EH112" s="234" t="e">
        <f t="shared" ca="1" si="112"/>
        <v>#N/A</v>
      </c>
      <c r="EI112" s="234"/>
      <c r="EJ112" s="234"/>
      <c r="EK112" s="153" t="e">
        <f t="shared" ca="1" si="95"/>
        <v>#N/A</v>
      </c>
      <c r="EL112" s="231" t="e">
        <f ca="1">IF(SUM(EL$24:EL111)=EL$22,0,IF(AND($M112&gt;=EL$15,$M112&lt;(EL$16+1)),EL$22/(EL$16-EL$15+1),0))</f>
        <v>#N/A</v>
      </c>
      <c r="EM112" s="153" t="e">
        <f t="shared" ca="1" si="96"/>
        <v>#N/A</v>
      </c>
      <c r="EO112" s="60"/>
      <c r="EP112" s="60"/>
    </row>
    <row r="113" spans="1:146" ht="13.9" customHeight="1">
      <c r="A113" s="220"/>
      <c r="B113" s="236">
        <f t="shared" si="100"/>
        <v>86</v>
      </c>
      <c r="C113" s="221">
        <f t="shared" si="97"/>
        <v>46176.419500000135</v>
      </c>
      <c r="D113" s="222" t="e">
        <f ca="1">'Offshore INT'!R102</f>
        <v>#N/A</v>
      </c>
      <c r="E113" s="223" t="e">
        <f t="shared" ca="1" si="88"/>
        <v>#N/A</v>
      </c>
      <c r="F113" s="224"/>
      <c r="G113" s="225">
        <f>IF(G112=1,1,SUM($F$24:F113))</f>
        <v>0</v>
      </c>
      <c r="H113" s="226" t="e">
        <f ca="1">IF(H112=0,0,SUM($I$24:I113))</f>
        <v>#N/A</v>
      </c>
      <c r="I113" s="227" t="e">
        <f t="shared" ca="1" si="89"/>
        <v>#N/A</v>
      </c>
      <c r="J113" s="222">
        <f t="shared" ca="1" si="98"/>
        <v>0</v>
      </c>
      <c r="K113" s="60"/>
      <c r="L113" s="228"/>
      <c r="M113" s="228">
        <f t="shared" si="90"/>
        <v>86</v>
      </c>
      <c r="N113" s="221">
        <f t="shared" si="91"/>
        <v>46176.419500000135</v>
      </c>
      <c r="O113" s="229">
        <f t="shared" ref="O113:Z132" si="125">IF($M113=O$13,O$22*O$3,IF($M113=O$14,O$22*O$4,IF($M113=O$15,O$22*O$5,IF($M113=O$16,O$22*O$6,IF($M113=O$17,O$22*O$7,IF($M113=O$18,O$22*O$8,IF($M113=O$19,O$22*O$9,IF($M113=O$20,O$22*O$10,0))))))))</f>
        <v>0</v>
      </c>
      <c r="P113" s="229">
        <f t="shared" si="125"/>
        <v>0</v>
      </c>
      <c r="Q113" s="229">
        <f t="shared" si="125"/>
        <v>0</v>
      </c>
      <c r="R113" s="229">
        <f t="shared" si="125"/>
        <v>0</v>
      </c>
      <c r="S113" s="229">
        <f t="shared" si="125"/>
        <v>0</v>
      </c>
      <c r="T113" s="229">
        <f t="shared" si="125"/>
        <v>0</v>
      </c>
      <c r="U113" s="229">
        <f t="shared" si="125"/>
        <v>0</v>
      </c>
      <c r="V113" s="229">
        <f t="shared" si="125"/>
        <v>0</v>
      </c>
      <c r="W113" s="229">
        <f t="shared" si="125"/>
        <v>0</v>
      </c>
      <c r="X113" s="229">
        <f t="shared" si="125"/>
        <v>0</v>
      </c>
      <c r="Y113" s="229">
        <f t="shared" si="125"/>
        <v>0</v>
      </c>
      <c r="Z113" s="229">
        <f t="shared" si="125"/>
        <v>0</v>
      </c>
      <c r="AA113" s="229">
        <f>IF($M113=AA$13,AA$22*AA$3,IF($M113=AA$14,AA$22*AA$4,IF($M113=AA$15,AA$22*AA$5,IF($M113=AA$16,AA$22*AA$6,IF($M113=AA$17,AA$22*AA$7,IF($M113=AA$18,AA$22*AA$8,IF($M113=AA$19,AA$22*AA$9,IF($M113=AA$20,AA$22*AA$10,0))))))))</f>
        <v>0</v>
      </c>
      <c r="AB113" s="229">
        <f t="shared" si="115"/>
        <v>0</v>
      </c>
      <c r="AC113" s="229">
        <f t="shared" si="115"/>
        <v>0</v>
      </c>
      <c r="AD113" s="229">
        <f t="shared" si="115"/>
        <v>0</v>
      </c>
      <c r="AE113" s="229">
        <f t="shared" si="115"/>
        <v>0</v>
      </c>
      <c r="AF113" s="229">
        <f t="shared" si="115"/>
        <v>0</v>
      </c>
      <c r="AG113" s="229">
        <f t="shared" si="115"/>
        <v>0</v>
      </c>
      <c r="AH113" s="229">
        <f t="shared" si="115"/>
        <v>0</v>
      </c>
      <c r="AI113" s="229">
        <f t="shared" si="115"/>
        <v>0</v>
      </c>
      <c r="AJ113" s="229">
        <f t="shared" si="115"/>
        <v>0</v>
      </c>
      <c r="AK113" s="229">
        <f t="shared" si="115"/>
        <v>0</v>
      </c>
      <c r="AL113" s="229">
        <f t="shared" si="115"/>
        <v>0</v>
      </c>
      <c r="AM113" s="229">
        <f t="shared" si="122"/>
        <v>0</v>
      </c>
      <c r="AN113" s="229">
        <f t="shared" si="122"/>
        <v>0</v>
      </c>
      <c r="AO113" s="229">
        <f t="shared" si="122"/>
        <v>0</v>
      </c>
      <c r="AP113" s="229">
        <f t="shared" si="115"/>
        <v>0</v>
      </c>
      <c r="AQ113" s="229">
        <f t="shared" si="115"/>
        <v>0</v>
      </c>
      <c r="AR113" s="229">
        <f t="shared" si="115"/>
        <v>0</v>
      </c>
      <c r="AS113" s="229">
        <f t="shared" si="120"/>
        <v>0</v>
      </c>
      <c r="AT113" s="229">
        <f t="shared" si="120"/>
        <v>0</v>
      </c>
      <c r="AU113" s="229">
        <f t="shared" si="120"/>
        <v>0</v>
      </c>
      <c r="AV113" s="229">
        <f t="shared" si="120"/>
        <v>0</v>
      </c>
      <c r="AW113" s="229">
        <f t="shared" si="120"/>
        <v>0</v>
      </c>
      <c r="AX113" s="229">
        <f t="shared" si="115"/>
        <v>0</v>
      </c>
      <c r="AY113" s="229">
        <f t="shared" si="115"/>
        <v>0</v>
      </c>
      <c r="AZ113" s="229">
        <f>IF($M113=AZ$13,AZ$22*AZ$3,IF($M113=AZ$14,AZ$22*AZ$4,IF($M113=AZ$15,AZ$22*AZ$5,IF($M113=AZ$16,AZ$22*AZ$6,IF($M113=AZ$17,AZ$22*AZ$7,IF($M113=AZ$18,AZ$22*AZ$8,IF($M113=AZ$19,AZ$22*AZ$9,IF($M113=AZ$20,AZ$22*AZ$10,0))))))))</f>
        <v>0</v>
      </c>
      <c r="BA113" s="229">
        <f t="shared" si="115"/>
        <v>0</v>
      </c>
      <c r="BB113" s="229">
        <f>IF($M113=BB$13,BB$22*BB$3,IF($M113=BB$14,BB$22*BB$4,IF($M113=BB$15,BB$22*BB$5,IF($M113=BB$16,BB$22*BB$6,IF($M113=BB$17,BB$22*BB$7,IF($M113=BB$18,BB$22*BB$8,IF($M113=BB$19,BB$22*BB$9,IF($M113=BB$20,BB$22*BB$10,0))))))))</f>
        <v>0</v>
      </c>
      <c r="BC113" s="229">
        <f>IF($M113=BC$13,BC$22*BC$3,IF($M113=BC$14,BC$22*BC$4,IF($M113=BC$15,BC$22*BC$5,IF($M113=BC$16,BC$22*BC$6,IF($M113=BC$17,BC$22*BC$7,IF($M113=BC$18,BC$22*BC$8,IF($M113=BC$19,BC$22*BC$9,IF($M113=BC$20,BC$22*BC$10,0))))))))</f>
        <v>0</v>
      </c>
      <c r="BD113" s="229">
        <f t="shared" si="116"/>
        <v>0</v>
      </c>
      <c r="BE113" s="229">
        <f t="shared" si="116"/>
        <v>0</v>
      </c>
      <c r="BF113" s="229">
        <f t="shared" si="116"/>
        <v>0</v>
      </c>
      <c r="BG113" s="229">
        <f t="shared" si="116"/>
        <v>0</v>
      </c>
      <c r="BH113" s="229">
        <f t="shared" si="116"/>
        <v>0</v>
      </c>
      <c r="BI113" s="229">
        <f t="shared" si="116"/>
        <v>0</v>
      </c>
      <c r="BJ113" s="229">
        <f t="shared" si="116"/>
        <v>0</v>
      </c>
      <c r="BK113" s="229">
        <f t="shared" si="116"/>
        <v>0</v>
      </c>
      <c r="BL113" s="229">
        <f t="shared" si="116"/>
        <v>0</v>
      </c>
      <c r="BM113" s="229">
        <f t="shared" si="116"/>
        <v>0</v>
      </c>
      <c r="BN113" s="229">
        <f t="shared" si="116"/>
        <v>0</v>
      </c>
      <c r="BO113" s="229">
        <f t="shared" si="116"/>
        <v>0</v>
      </c>
      <c r="BP113" s="229">
        <f t="shared" si="116"/>
        <v>0</v>
      </c>
      <c r="BQ113" s="229">
        <f t="shared" si="117"/>
        <v>0</v>
      </c>
      <c r="BR113" s="229">
        <f t="shared" si="117"/>
        <v>0</v>
      </c>
      <c r="BS113" s="229">
        <f t="shared" si="117"/>
        <v>0</v>
      </c>
      <c r="BT113" s="229">
        <f t="shared" si="117"/>
        <v>0</v>
      </c>
      <c r="BU113" s="229">
        <f t="shared" si="117"/>
        <v>0</v>
      </c>
      <c r="BV113" s="229">
        <f t="shared" si="117"/>
        <v>0</v>
      </c>
      <c r="BW113" s="229">
        <f t="shared" si="117"/>
        <v>0</v>
      </c>
      <c r="BX113" s="229">
        <f t="shared" si="117"/>
        <v>0</v>
      </c>
      <c r="BY113" s="229">
        <f t="shared" si="117"/>
        <v>0</v>
      </c>
      <c r="BZ113" s="229">
        <f t="shared" si="117"/>
        <v>0</v>
      </c>
      <c r="CA113" s="229">
        <f t="shared" si="117"/>
        <v>0</v>
      </c>
      <c r="CB113" s="229">
        <f t="shared" si="117"/>
        <v>0</v>
      </c>
      <c r="CC113" s="229">
        <f t="shared" si="117"/>
        <v>0</v>
      </c>
      <c r="CD113" s="229">
        <f t="shared" si="118"/>
        <v>0</v>
      </c>
      <c r="CE113" s="229">
        <f t="shared" si="121"/>
        <v>0</v>
      </c>
      <c r="CF113" s="229">
        <f t="shared" si="118"/>
        <v>0</v>
      </c>
      <c r="CG113" s="229">
        <f t="shared" si="118"/>
        <v>0</v>
      </c>
      <c r="CH113" s="229">
        <f t="shared" si="118"/>
        <v>0</v>
      </c>
      <c r="CI113" s="229">
        <f t="shared" si="118"/>
        <v>0</v>
      </c>
      <c r="CJ113" s="229">
        <f t="shared" si="70"/>
        <v>0</v>
      </c>
      <c r="CK113" s="229">
        <f t="shared" si="118"/>
        <v>0</v>
      </c>
      <c r="CL113" s="229">
        <f t="shared" si="118"/>
        <v>0</v>
      </c>
      <c r="CM113" s="229">
        <f t="shared" si="118"/>
        <v>0</v>
      </c>
      <c r="CN113" s="229">
        <f t="shared" si="118"/>
        <v>0</v>
      </c>
      <c r="CO113" s="229">
        <f t="shared" si="124"/>
        <v>0</v>
      </c>
      <c r="CP113" s="229">
        <f t="shared" si="124"/>
        <v>0</v>
      </c>
      <c r="CQ113" s="229">
        <f t="shared" si="118"/>
        <v>0</v>
      </c>
      <c r="CR113" s="229">
        <f t="shared" si="118"/>
        <v>0</v>
      </c>
      <c r="CS113" s="229">
        <f t="shared" si="118"/>
        <v>0</v>
      </c>
      <c r="CT113" s="229">
        <f t="shared" si="118"/>
        <v>0</v>
      </c>
      <c r="CU113" s="230"/>
      <c r="CV113" s="231"/>
      <c r="CW113" s="231"/>
      <c r="CX113" s="231"/>
      <c r="CY113" s="231"/>
      <c r="CZ113" s="231"/>
      <c r="DA113" s="231"/>
      <c r="DB113" s="231"/>
      <c r="DC113" s="231"/>
      <c r="DD113" s="231">
        <f>IF(SUM(DD$24:DD112)=DD$22,0,IF(AND($M113&gt;=DD$15,$M113&lt;(DD$16+1)),DD$22/(DD$16-DD$15+1),0))</f>
        <v>0</v>
      </c>
      <c r="DE113" s="231">
        <f>IF(SUM(DE$24:DE112)=DE$22,0,IF(AND($M113&gt;=DE$15,$M113&lt;(DE$16+1)),DE$22/(DE$16-DE$15+1),0))</f>
        <v>0</v>
      </c>
      <c r="DF113" s="231">
        <f>IF(SUM(DF$24:DF112)=DF$22,0,IF(AND($M113&gt;=DF$15,$M113&lt;(DF$16+1)),DF$22/(DF$16-DF$15+1),0))</f>
        <v>0</v>
      </c>
      <c r="DG113" s="231">
        <f>IF(SUM(DG$24:DG112)=DG$22,0,IF(AND($M113&gt;=DG$15,$M113&lt;(DG$16+1)),DG$22/(DG$16-DG$15+1),0))</f>
        <v>0</v>
      </c>
      <c r="DH113" s="231">
        <f t="shared" si="123"/>
        <v>0</v>
      </c>
      <c r="DI113" s="231">
        <f t="shared" si="123"/>
        <v>0</v>
      </c>
      <c r="DJ113" s="231">
        <f t="shared" si="123"/>
        <v>0</v>
      </c>
      <c r="DK113" s="231">
        <f t="shared" si="123"/>
        <v>0</v>
      </c>
      <c r="DL113" s="231">
        <f t="shared" si="123"/>
        <v>0</v>
      </c>
      <c r="DM113" s="231">
        <f t="shared" si="123"/>
        <v>0</v>
      </c>
      <c r="DN113" s="231">
        <f t="shared" si="119"/>
        <v>0</v>
      </c>
      <c r="DO113" s="231">
        <f t="shared" si="123"/>
        <v>0</v>
      </c>
      <c r="DP113" s="231">
        <f t="shared" si="123"/>
        <v>0</v>
      </c>
      <c r="DQ113" s="231">
        <f t="shared" si="123"/>
        <v>0</v>
      </c>
      <c r="DR113" s="231">
        <f t="shared" si="123"/>
        <v>0</v>
      </c>
      <c r="DS113" s="231">
        <f t="shared" si="123"/>
        <v>0</v>
      </c>
      <c r="DT113" s="231">
        <f ca="1">IF(SUM(DT$24:DT112)=DT$22,0,IF(AND($M113&gt;=DT$15,$M113&lt;(DT$16+1)),DT$22/(DT$16-DT$15+1),0))</f>
        <v>0</v>
      </c>
      <c r="DU113" s="231">
        <f ca="1">IF(SUM(DU$24:DU112)=DU$22,0,IF(AND($M113&gt;=DU$15,$M113&lt;(DU$16+1)),DU$22/(DU$16-DU$15+1),0))</f>
        <v>0</v>
      </c>
      <c r="DV113" s="231">
        <f ca="1">IF(SUM(DV$24:DV112)=DV$22,0,IF(AND(M113&gt;=DV$15,M113&lt;(DV$16+1)),DV$22/(DV$16-DV$15+1),0))</f>
        <v>0</v>
      </c>
      <c r="DW113" s="231" t="e">
        <f ca="1">IF(SUM(DW$24:DW112)=DW$22,0,IF(AND($M113&gt;=DW$15,$M113&lt;(DW$16+1)),DW$22/(DW$16-DW$15+1),0))</f>
        <v>#N/A</v>
      </c>
      <c r="DX113" s="231">
        <f ca="1">IF(SUM(DX$24:DX112)=DX$22,0,IF(AND($M113&gt;=DX$15,$M113&lt;(DX$16+1)),DX$22/(DX$16-DX$15+1),0))</f>
        <v>0</v>
      </c>
      <c r="DY113" s="231">
        <f ca="1">IF(SUM(DY$24:DY112)=DY$22,0,IF(AND($M113&gt;=DY$15,$M113&lt;(DY$16+1)),DY$22/(DY$16-DY$15+1),0))</f>
        <v>0</v>
      </c>
      <c r="DZ113" s="231">
        <f ca="1">IF(SUM(DZ$24:DZ112)=DZ$22,0,IF(AND($M113&gt;=DZ$15,$M113&lt;(DZ$16+1)),DZ$22/(DZ$16-DZ$15+1),0))</f>
        <v>0</v>
      </c>
      <c r="EA113" s="231" t="e">
        <f ca="1">IF(SUM(EA$24:EA112)=EA$22,0,IF(AND(M113&gt;=EA$15,M113&lt;(EA$16+1)),EA$22/(EA$16-EA$15+1),0))</f>
        <v>#N/A</v>
      </c>
      <c r="EC113" s="234">
        <f t="shared" si="92"/>
        <v>86</v>
      </c>
      <c r="ED113" s="234" t="e">
        <f t="shared" ca="1" si="93"/>
        <v>#N/A</v>
      </c>
      <c r="EE113" s="235" t="e">
        <f t="shared" ca="1" si="94"/>
        <v>#N/A</v>
      </c>
      <c r="EF113" s="234" t="e">
        <f t="shared" ca="1" si="104"/>
        <v>#N/A</v>
      </c>
      <c r="EG113" s="234" t="e">
        <f t="shared" ca="1" si="106"/>
        <v>#N/A</v>
      </c>
      <c r="EH113" s="234" t="e">
        <f t="shared" ca="1" si="112"/>
        <v>#N/A</v>
      </c>
      <c r="EI113" s="234"/>
      <c r="EJ113" s="234"/>
      <c r="EK113" s="153" t="e">
        <f t="shared" ca="1" si="95"/>
        <v>#N/A</v>
      </c>
      <c r="EL113" s="231" t="e">
        <f ca="1">IF(SUM(EL$24:EL112)=EL$22,0,IF(AND($M113&gt;=EL$15,$M113&lt;(EL$16+1)),EL$22/(EL$16-EL$15+1),0))</f>
        <v>#N/A</v>
      </c>
      <c r="EM113" s="153" t="e">
        <f t="shared" ca="1" si="96"/>
        <v>#N/A</v>
      </c>
      <c r="EO113" s="60"/>
      <c r="EP113" s="60"/>
    </row>
    <row r="114" spans="1:146" ht="13.9" customHeight="1">
      <c r="A114" s="220"/>
      <c r="B114" s="236">
        <f t="shared" si="100"/>
        <v>87</v>
      </c>
      <c r="C114" s="221">
        <f t="shared" si="97"/>
        <v>46206.836200000136</v>
      </c>
      <c r="D114" s="222" t="e">
        <f ca="1">'Offshore INT'!R103</f>
        <v>#N/A</v>
      </c>
      <c r="E114" s="223" t="e">
        <f t="shared" ca="1" si="88"/>
        <v>#N/A</v>
      </c>
      <c r="F114" s="224"/>
      <c r="G114" s="225">
        <f>IF(G113=1,1,SUM($F$24:F114))</f>
        <v>0</v>
      </c>
      <c r="H114" s="226" t="e">
        <f ca="1">IF(H113=0,0,SUM($I$24:I114))</f>
        <v>#N/A</v>
      </c>
      <c r="I114" s="227" t="e">
        <f t="shared" ca="1" si="89"/>
        <v>#N/A</v>
      </c>
      <c r="J114" s="222">
        <f t="shared" ca="1" si="98"/>
        <v>0</v>
      </c>
      <c r="K114" s="60"/>
      <c r="L114" s="228"/>
      <c r="M114" s="228">
        <f t="shared" si="90"/>
        <v>87</v>
      </c>
      <c r="N114" s="221">
        <f t="shared" si="91"/>
        <v>46206.836200000136</v>
      </c>
      <c r="O114" s="229">
        <f t="shared" si="125"/>
        <v>0</v>
      </c>
      <c r="P114" s="229">
        <f t="shared" si="125"/>
        <v>0</v>
      </c>
      <c r="Q114" s="229">
        <f t="shared" si="125"/>
        <v>0</v>
      </c>
      <c r="R114" s="229">
        <f t="shared" si="125"/>
        <v>0</v>
      </c>
      <c r="S114" s="229">
        <f t="shared" si="125"/>
        <v>0</v>
      </c>
      <c r="T114" s="229">
        <f t="shared" si="125"/>
        <v>0</v>
      </c>
      <c r="U114" s="229">
        <f t="shared" si="125"/>
        <v>0</v>
      </c>
      <c r="V114" s="229">
        <f t="shared" si="125"/>
        <v>0</v>
      </c>
      <c r="W114" s="229">
        <f t="shared" si="125"/>
        <v>0</v>
      </c>
      <c r="X114" s="229">
        <f t="shared" si="125"/>
        <v>0</v>
      </c>
      <c r="Y114" s="229">
        <f t="shared" si="125"/>
        <v>0</v>
      </c>
      <c r="Z114" s="229">
        <f t="shared" si="125"/>
        <v>0</v>
      </c>
      <c r="AA114" s="229">
        <f t="shared" ref="AA114:BC123" si="126">IF($M114=AA$13,AA$22*AA$3,IF($M114=AA$14,AA$22*AA$4,IF($M114=AA$15,AA$22*AA$5,IF($M114=AA$16,AA$22*AA$6,IF($M114=AA$17,AA$22*AA$7,IF($M114=AA$18,AA$22*AA$8,IF($M114=AA$19,AA$22*AA$9,IF($M114=AA$20,AA$22*AA$10,0))))))))</f>
        <v>0</v>
      </c>
      <c r="AB114" s="229">
        <f t="shared" si="126"/>
        <v>0</v>
      </c>
      <c r="AC114" s="229">
        <f t="shared" si="126"/>
        <v>0</v>
      </c>
      <c r="AD114" s="229">
        <f t="shared" si="126"/>
        <v>0</v>
      </c>
      <c r="AE114" s="229">
        <f t="shared" si="126"/>
        <v>0</v>
      </c>
      <c r="AF114" s="229">
        <f t="shared" si="126"/>
        <v>0</v>
      </c>
      <c r="AG114" s="229">
        <f t="shared" si="126"/>
        <v>0</v>
      </c>
      <c r="AH114" s="229">
        <f t="shared" si="126"/>
        <v>0</v>
      </c>
      <c r="AI114" s="229">
        <f t="shared" si="126"/>
        <v>0</v>
      </c>
      <c r="AJ114" s="229">
        <f t="shared" si="126"/>
        <v>0</v>
      </c>
      <c r="AK114" s="229">
        <f t="shared" si="126"/>
        <v>0</v>
      </c>
      <c r="AL114" s="229">
        <f t="shared" si="126"/>
        <v>0</v>
      </c>
      <c r="AM114" s="229">
        <f t="shared" si="126"/>
        <v>0</v>
      </c>
      <c r="AN114" s="229">
        <f t="shared" si="126"/>
        <v>0</v>
      </c>
      <c r="AO114" s="229">
        <f t="shared" si="126"/>
        <v>0</v>
      </c>
      <c r="AP114" s="229">
        <f t="shared" si="126"/>
        <v>0</v>
      </c>
      <c r="AQ114" s="229">
        <f t="shared" si="126"/>
        <v>0</v>
      </c>
      <c r="AR114" s="229">
        <f t="shared" si="126"/>
        <v>0</v>
      </c>
      <c r="AS114" s="229">
        <f t="shared" si="120"/>
        <v>0</v>
      </c>
      <c r="AT114" s="229">
        <f t="shared" si="120"/>
        <v>0</v>
      </c>
      <c r="AU114" s="229">
        <f t="shared" si="120"/>
        <v>0</v>
      </c>
      <c r="AV114" s="229">
        <f t="shared" si="120"/>
        <v>0</v>
      </c>
      <c r="AW114" s="229">
        <f t="shared" si="120"/>
        <v>0</v>
      </c>
      <c r="AX114" s="229">
        <f t="shared" si="126"/>
        <v>0</v>
      </c>
      <c r="AY114" s="229">
        <f t="shared" si="126"/>
        <v>0</v>
      </c>
      <c r="AZ114" s="229">
        <f t="shared" si="126"/>
        <v>0</v>
      </c>
      <c r="BA114" s="229">
        <f t="shared" si="126"/>
        <v>0</v>
      </c>
      <c r="BB114" s="229">
        <f t="shared" si="126"/>
        <v>0</v>
      </c>
      <c r="BC114" s="229">
        <f t="shared" si="126"/>
        <v>0</v>
      </c>
      <c r="BD114" s="229">
        <f t="shared" ref="BD114:BP123" si="127">IF($M114=BD$13,BD$22*BD$3,IF($M114=BD$14,BD$22*BD$4,IF($M114=BD$15,BD$22*BD$5,IF($M114=BD$16,BD$22*BD$6,IF($M114=BD$17,BD$22*BD$7,IF($M114=BD$18,BD$22*BD$8,IF($M114=BD$19,BD$22*BD$9,IF($M114=BD$20,BD$22*BD$10,0))))))))</f>
        <v>0</v>
      </c>
      <c r="BE114" s="229">
        <f t="shared" si="127"/>
        <v>0</v>
      </c>
      <c r="BF114" s="229">
        <f t="shared" si="127"/>
        <v>0</v>
      </c>
      <c r="BG114" s="229">
        <f t="shared" si="127"/>
        <v>0</v>
      </c>
      <c r="BH114" s="229">
        <f t="shared" si="127"/>
        <v>0</v>
      </c>
      <c r="BI114" s="229">
        <f t="shared" si="127"/>
        <v>0</v>
      </c>
      <c r="BJ114" s="229">
        <f t="shared" si="127"/>
        <v>0</v>
      </c>
      <c r="BK114" s="229">
        <f t="shared" si="127"/>
        <v>0</v>
      </c>
      <c r="BL114" s="229">
        <f t="shared" si="127"/>
        <v>0</v>
      </c>
      <c r="BM114" s="229">
        <f t="shared" si="127"/>
        <v>0</v>
      </c>
      <c r="BN114" s="229">
        <f t="shared" si="127"/>
        <v>0</v>
      </c>
      <c r="BO114" s="229">
        <f t="shared" si="127"/>
        <v>0</v>
      </c>
      <c r="BP114" s="229">
        <f t="shared" si="127"/>
        <v>0</v>
      </c>
      <c r="BQ114" s="229">
        <f t="shared" ref="BQ114:CC123" si="128">IF($M114=BQ$13,BQ$22*BQ$3,IF($M114=BQ$14,BQ$22*BQ$4,IF($M114=BQ$15,BQ$22*BQ$5,IF($M114=BQ$16,BQ$22*BQ$6,IF($M114=BQ$17,BQ$22*BQ$7,IF($M114=BQ$18,BQ$22*BQ$8,IF($M114=BQ$19,BQ$22*BQ$9,IF($M114=BQ$20,BQ$22*BQ$10,0))))))))</f>
        <v>0</v>
      </c>
      <c r="BR114" s="229">
        <f t="shared" si="128"/>
        <v>0</v>
      </c>
      <c r="BS114" s="229">
        <f t="shared" si="128"/>
        <v>0</v>
      </c>
      <c r="BT114" s="229">
        <f t="shared" si="128"/>
        <v>0</v>
      </c>
      <c r="BU114" s="229">
        <f t="shared" si="128"/>
        <v>0</v>
      </c>
      <c r="BV114" s="229">
        <f t="shared" si="128"/>
        <v>0</v>
      </c>
      <c r="BW114" s="229">
        <f t="shared" si="128"/>
        <v>0</v>
      </c>
      <c r="BX114" s="229">
        <f t="shared" si="128"/>
        <v>0</v>
      </c>
      <c r="BY114" s="229">
        <f t="shared" si="128"/>
        <v>0</v>
      </c>
      <c r="BZ114" s="229">
        <f t="shared" si="128"/>
        <v>0</v>
      </c>
      <c r="CA114" s="229">
        <f t="shared" si="128"/>
        <v>0</v>
      </c>
      <c r="CB114" s="229">
        <f t="shared" si="128"/>
        <v>0</v>
      </c>
      <c r="CC114" s="229">
        <f t="shared" si="128"/>
        <v>0</v>
      </c>
      <c r="CD114" s="229">
        <f t="shared" ref="CD114:CT123" si="129">IF($M114=CD$13,CD$22*CD$3,IF($M114=CD$14,CD$22*CD$4,IF($M114=CD$15,CD$22*CD$5,IF($M114=CD$16,CD$22*CD$6,IF($M114=CD$17,CD$22*CD$7,IF($M114=CD$18,CD$22*CD$8,IF($M114=CD$19,CD$22*CD$9,IF($M114=CD$20,CD$22*CD$10,0))))))))</f>
        <v>0</v>
      </c>
      <c r="CE114" s="229">
        <f t="shared" si="121"/>
        <v>0</v>
      </c>
      <c r="CF114" s="229">
        <f t="shared" si="129"/>
        <v>0</v>
      </c>
      <c r="CG114" s="229">
        <f t="shared" si="129"/>
        <v>0</v>
      </c>
      <c r="CH114" s="229">
        <f t="shared" si="129"/>
        <v>0</v>
      </c>
      <c r="CI114" s="229">
        <f t="shared" si="129"/>
        <v>0</v>
      </c>
      <c r="CJ114" s="229">
        <f t="shared" si="70"/>
        <v>0</v>
      </c>
      <c r="CK114" s="229">
        <f t="shared" si="129"/>
        <v>0</v>
      </c>
      <c r="CL114" s="229">
        <f t="shared" si="129"/>
        <v>0</v>
      </c>
      <c r="CM114" s="229">
        <f t="shared" si="129"/>
        <v>0</v>
      </c>
      <c r="CN114" s="229">
        <f t="shared" si="129"/>
        <v>0</v>
      </c>
      <c r="CO114" s="229">
        <f t="shared" si="124"/>
        <v>0</v>
      </c>
      <c r="CP114" s="229">
        <f t="shared" si="124"/>
        <v>0</v>
      </c>
      <c r="CQ114" s="229">
        <f t="shared" si="129"/>
        <v>0</v>
      </c>
      <c r="CR114" s="229">
        <f t="shared" si="129"/>
        <v>0</v>
      </c>
      <c r="CS114" s="229">
        <f t="shared" si="129"/>
        <v>0</v>
      </c>
      <c r="CT114" s="229">
        <f t="shared" si="129"/>
        <v>0</v>
      </c>
      <c r="CU114" s="230"/>
      <c r="CV114" s="231"/>
      <c r="CW114" s="231"/>
      <c r="CX114" s="231"/>
      <c r="CY114" s="231"/>
      <c r="CZ114" s="231"/>
      <c r="DA114" s="231"/>
      <c r="DB114" s="231"/>
      <c r="DC114" s="231"/>
      <c r="DD114" s="231">
        <f>IF(SUM(DD$24:DD113)=DD$22,0,IF(AND($M114&gt;=DD$15,$M114&lt;(DD$16+1)),DD$22/(DD$16-DD$15+1),0))</f>
        <v>0</v>
      </c>
      <c r="DE114" s="231">
        <f>IF(SUM(DE$24:DE113)=DE$22,0,IF(AND($M114&gt;=DE$15,$M114&lt;(DE$16+1)),DE$22/(DE$16-DE$15+1),0))</f>
        <v>0</v>
      </c>
      <c r="DF114" s="231">
        <f>IF(SUM(DF$24:DF113)=DF$22,0,IF(AND($M114&gt;=DF$15,$M114&lt;(DF$16+1)),DF$22/(DF$16-DF$15+1),0))</f>
        <v>0</v>
      </c>
      <c r="DG114" s="231">
        <f>IF(SUM(DG$24:DG113)=DG$22,0,IF(AND($M114&gt;=DG$15,$M114&lt;(DG$16+1)),DG$22/(DG$16-DG$15+1),0))</f>
        <v>0</v>
      </c>
      <c r="DH114" s="231">
        <f t="shared" si="123"/>
        <v>0</v>
      </c>
      <c r="DI114" s="231">
        <f t="shared" si="123"/>
        <v>0</v>
      </c>
      <c r="DJ114" s="231">
        <f t="shared" si="123"/>
        <v>0</v>
      </c>
      <c r="DK114" s="231">
        <f t="shared" si="123"/>
        <v>0</v>
      </c>
      <c r="DL114" s="231">
        <f t="shared" si="123"/>
        <v>0</v>
      </c>
      <c r="DM114" s="231">
        <f t="shared" si="123"/>
        <v>0</v>
      </c>
      <c r="DN114" s="231">
        <f t="shared" si="119"/>
        <v>0</v>
      </c>
      <c r="DO114" s="231">
        <f t="shared" si="123"/>
        <v>0</v>
      </c>
      <c r="DP114" s="231">
        <f t="shared" si="123"/>
        <v>0</v>
      </c>
      <c r="DQ114" s="231">
        <f t="shared" si="123"/>
        <v>0</v>
      </c>
      <c r="DR114" s="231">
        <f t="shared" si="123"/>
        <v>0</v>
      </c>
      <c r="DS114" s="231">
        <f t="shared" si="123"/>
        <v>0</v>
      </c>
      <c r="DT114" s="231">
        <f ca="1">IF(SUM(DT$24:DT113)=DT$22,0,IF(AND($M114&gt;=DT$15,$M114&lt;(DT$16+1)),DT$22/(DT$16-DT$15+1),0))</f>
        <v>0</v>
      </c>
      <c r="DU114" s="231">
        <f ca="1">IF(SUM(DU$24:DU113)=DU$22,0,IF(AND($M114&gt;=DU$15,$M114&lt;(DU$16+1)),DU$22/(DU$16-DU$15+1),0))</f>
        <v>0</v>
      </c>
      <c r="DV114" s="231">
        <f ca="1">IF(SUM(DV$24:DV113)=DV$22,0,IF(AND(M114&gt;=DV$15,M114&lt;(DV$16+1)),DV$22/(DV$16-DV$15+1),0))</f>
        <v>0</v>
      </c>
      <c r="DW114" s="231" t="e">
        <f ca="1">IF(SUM(DW$24:DW113)=DW$22,0,IF(AND($M114&gt;=DW$15,$M114&lt;(DW$16+1)),DW$22/(DW$16-DW$15+1),0))</f>
        <v>#N/A</v>
      </c>
      <c r="DX114" s="231">
        <f ca="1">IF(SUM(DX$24:DX113)=DX$22,0,IF(AND($M114&gt;=DX$15,$M114&lt;(DX$16+1)),DX$22/(DX$16-DX$15+1),0))</f>
        <v>0</v>
      </c>
      <c r="DY114" s="231">
        <f ca="1">IF(SUM(DY$24:DY113)=DY$22,0,IF(AND($M114&gt;=DY$15,$M114&lt;(DY$16+1)),DY$22/(DY$16-DY$15+1),0))</f>
        <v>0</v>
      </c>
      <c r="DZ114" s="231">
        <f ca="1">IF(SUM(DZ$24:DZ113)=DZ$22,0,IF(AND($M114&gt;=DZ$15,$M114&lt;(DZ$16+1)),DZ$22/(DZ$16-DZ$15+1),0))</f>
        <v>0</v>
      </c>
      <c r="EA114" s="231" t="e">
        <f ca="1">IF(SUM(EA$24:EA113)=EA$22,0,IF(AND(M114&gt;=EA$15,M114&lt;(EA$16+1)),EA$22/(EA$16-EA$15+1),0))</f>
        <v>#N/A</v>
      </c>
      <c r="EC114" s="234">
        <f t="shared" si="92"/>
        <v>87</v>
      </c>
      <c r="ED114" s="234" t="e">
        <f t="shared" ca="1" si="93"/>
        <v>#N/A</v>
      </c>
      <c r="EE114" s="235" t="e">
        <f t="shared" ca="1" si="94"/>
        <v>#N/A</v>
      </c>
      <c r="EF114" s="234" t="e">
        <f t="shared" ca="1" si="104"/>
        <v>#N/A</v>
      </c>
      <c r="EG114" s="234" t="e">
        <f t="shared" ca="1" si="106"/>
        <v>#N/A</v>
      </c>
      <c r="EH114" s="234" t="e">
        <f t="shared" ca="1" si="112"/>
        <v>#N/A</v>
      </c>
      <c r="EI114" s="234"/>
      <c r="EJ114" s="234"/>
      <c r="EK114" s="153" t="e">
        <f t="shared" ca="1" si="95"/>
        <v>#N/A</v>
      </c>
      <c r="EL114" s="231" t="e">
        <f ca="1">IF(SUM(EL$24:EL113)=EL$22,0,IF(AND($M114&gt;=EL$15,$M114&lt;(EL$16+1)),EL$22/(EL$16-EL$15+1),0))</f>
        <v>#N/A</v>
      </c>
      <c r="EM114" s="153" t="e">
        <f t="shared" ca="1" si="96"/>
        <v>#N/A</v>
      </c>
      <c r="EO114" s="60"/>
      <c r="EP114" s="60"/>
    </row>
    <row r="115" spans="1:146" ht="13.9" customHeight="1">
      <c r="A115" s="220"/>
      <c r="B115" s="236">
        <f t="shared" si="100"/>
        <v>88</v>
      </c>
      <c r="C115" s="221">
        <f t="shared" si="97"/>
        <v>46237.252900000138</v>
      </c>
      <c r="D115" s="222" t="e">
        <f ca="1">'Offshore INT'!R104</f>
        <v>#N/A</v>
      </c>
      <c r="E115" s="223" t="e">
        <f t="shared" ca="1" si="88"/>
        <v>#N/A</v>
      </c>
      <c r="F115" s="224"/>
      <c r="G115" s="225">
        <f>IF(G114=1,1,SUM($F$24:F115))</f>
        <v>0</v>
      </c>
      <c r="H115" s="226" t="e">
        <f ca="1">IF(H114=0,0,SUM($I$24:I115))</f>
        <v>#N/A</v>
      </c>
      <c r="I115" s="227" t="e">
        <f t="shared" ca="1" si="89"/>
        <v>#N/A</v>
      </c>
      <c r="J115" s="222">
        <f t="shared" ca="1" si="98"/>
        <v>0</v>
      </c>
      <c r="K115" s="60"/>
      <c r="L115" s="228"/>
      <c r="M115" s="228">
        <f t="shared" si="90"/>
        <v>88</v>
      </c>
      <c r="N115" s="221">
        <f t="shared" si="91"/>
        <v>46237.252900000138</v>
      </c>
      <c r="O115" s="229">
        <f t="shared" si="125"/>
        <v>0</v>
      </c>
      <c r="P115" s="229">
        <f t="shared" si="125"/>
        <v>0</v>
      </c>
      <c r="Q115" s="229">
        <f t="shared" si="125"/>
        <v>0</v>
      </c>
      <c r="R115" s="229">
        <f t="shared" si="125"/>
        <v>0</v>
      </c>
      <c r="S115" s="229">
        <f t="shared" si="125"/>
        <v>0</v>
      </c>
      <c r="T115" s="229">
        <f t="shared" si="125"/>
        <v>0</v>
      </c>
      <c r="U115" s="229">
        <f t="shared" si="125"/>
        <v>0</v>
      </c>
      <c r="V115" s="229">
        <f t="shared" si="125"/>
        <v>0</v>
      </c>
      <c r="W115" s="229">
        <f t="shared" si="125"/>
        <v>0</v>
      </c>
      <c r="X115" s="229">
        <f t="shared" si="125"/>
        <v>0</v>
      </c>
      <c r="Y115" s="229">
        <f t="shared" si="125"/>
        <v>0</v>
      </c>
      <c r="Z115" s="229">
        <f t="shared" si="125"/>
        <v>0</v>
      </c>
      <c r="AA115" s="229">
        <f t="shared" si="126"/>
        <v>0</v>
      </c>
      <c r="AB115" s="229">
        <f t="shared" si="126"/>
        <v>0</v>
      </c>
      <c r="AC115" s="229">
        <f t="shared" si="126"/>
        <v>0</v>
      </c>
      <c r="AD115" s="229">
        <f t="shared" si="126"/>
        <v>0</v>
      </c>
      <c r="AE115" s="229">
        <f t="shared" si="126"/>
        <v>0</v>
      </c>
      <c r="AF115" s="229">
        <f t="shared" si="126"/>
        <v>0</v>
      </c>
      <c r="AG115" s="229">
        <f t="shared" si="126"/>
        <v>0</v>
      </c>
      <c r="AH115" s="229">
        <f t="shared" si="126"/>
        <v>0</v>
      </c>
      <c r="AI115" s="229">
        <f t="shared" si="126"/>
        <v>0</v>
      </c>
      <c r="AJ115" s="229">
        <f t="shared" si="126"/>
        <v>0</v>
      </c>
      <c r="AK115" s="229">
        <f t="shared" si="126"/>
        <v>0</v>
      </c>
      <c r="AL115" s="229">
        <f t="shared" si="126"/>
        <v>0</v>
      </c>
      <c r="AM115" s="229">
        <f t="shared" si="126"/>
        <v>0</v>
      </c>
      <c r="AN115" s="229">
        <f t="shared" si="126"/>
        <v>0</v>
      </c>
      <c r="AO115" s="229">
        <f t="shared" si="126"/>
        <v>0</v>
      </c>
      <c r="AP115" s="229">
        <f t="shared" si="126"/>
        <v>0</v>
      </c>
      <c r="AQ115" s="229">
        <f t="shared" si="126"/>
        <v>0</v>
      </c>
      <c r="AR115" s="229">
        <f t="shared" si="126"/>
        <v>0</v>
      </c>
      <c r="AS115" s="229">
        <f t="shared" si="120"/>
        <v>0</v>
      </c>
      <c r="AT115" s="229">
        <f t="shared" si="120"/>
        <v>0</v>
      </c>
      <c r="AU115" s="229">
        <f t="shared" si="120"/>
        <v>0</v>
      </c>
      <c r="AV115" s="229">
        <f t="shared" si="120"/>
        <v>0</v>
      </c>
      <c r="AW115" s="229">
        <f t="shared" si="120"/>
        <v>0</v>
      </c>
      <c r="AX115" s="229">
        <f t="shared" si="126"/>
        <v>0</v>
      </c>
      <c r="AY115" s="229">
        <f t="shared" si="126"/>
        <v>0</v>
      </c>
      <c r="AZ115" s="229">
        <f t="shared" si="126"/>
        <v>0</v>
      </c>
      <c r="BA115" s="229">
        <f t="shared" si="126"/>
        <v>0</v>
      </c>
      <c r="BB115" s="229">
        <f t="shared" si="126"/>
        <v>0</v>
      </c>
      <c r="BC115" s="229">
        <f t="shared" si="126"/>
        <v>0</v>
      </c>
      <c r="BD115" s="229">
        <f t="shared" si="127"/>
        <v>0</v>
      </c>
      <c r="BE115" s="229">
        <f t="shared" si="127"/>
        <v>0</v>
      </c>
      <c r="BF115" s="229">
        <f t="shared" si="127"/>
        <v>0</v>
      </c>
      <c r="BG115" s="229">
        <f t="shared" si="127"/>
        <v>0</v>
      </c>
      <c r="BH115" s="229">
        <f t="shared" si="127"/>
        <v>0</v>
      </c>
      <c r="BI115" s="229">
        <f t="shared" si="127"/>
        <v>0</v>
      </c>
      <c r="BJ115" s="229">
        <f t="shared" si="127"/>
        <v>0</v>
      </c>
      <c r="BK115" s="229">
        <f t="shared" si="127"/>
        <v>0</v>
      </c>
      <c r="BL115" s="229">
        <f t="shared" si="127"/>
        <v>0</v>
      </c>
      <c r="BM115" s="229">
        <f t="shared" si="127"/>
        <v>0</v>
      </c>
      <c r="BN115" s="229">
        <f t="shared" si="127"/>
        <v>0</v>
      </c>
      <c r="BO115" s="229">
        <f t="shared" si="127"/>
        <v>0</v>
      </c>
      <c r="BP115" s="229">
        <f t="shared" si="127"/>
        <v>0</v>
      </c>
      <c r="BQ115" s="229">
        <f t="shared" si="128"/>
        <v>0</v>
      </c>
      <c r="BR115" s="229">
        <f t="shared" si="128"/>
        <v>0</v>
      </c>
      <c r="BS115" s="229">
        <f t="shared" si="128"/>
        <v>0</v>
      </c>
      <c r="BT115" s="229">
        <f t="shared" si="128"/>
        <v>0</v>
      </c>
      <c r="BU115" s="229">
        <f t="shared" si="128"/>
        <v>0</v>
      </c>
      <c r="BV115" s="229">
        <f t="shared" si="128"/>
        <v>0</v>
      </c>
      <c r="BW115" s="229">
        <f t="shared" si="128"/>
        <v>0</v>
      </c>
      <c r="BX115" s="229">
        <f t="shared" si="128"/>
        <v>0</v>
      </c>
      <c r="BY115" s="229">
        <f t="shared" si="128"/>
        <v>0</v>
      </c>
      <c r="BZ115" s="229">
        <f t="shared" si="128"/>
        <v>0</v>
      </c>
      <c r="CA115" s="229">
        <f t="shared" si="128"/>
        <v>0</v>
      </c>
      <c r="CB115" s="229">
        <f t="shared" si="128"/>
        <v>0</v>
      </c>
      <c r="CC115" s="229">
        <f t="shared" si="128"/>
        <v>0</v>
      </c>
      <c r="CD115" s="229">
        <f t="shared" si="129"/>
        <v>0</v>
      </c>
      <c r="CE115" s="229">
        <f t="shared" si="121"/>
        <v>0</v>
      </c>
      <c r="CF115" s="229">
        <f t="shared" si="129"/>
        <v>0</v>
      </c>
      <c r="CG115" s="229">
        <f t="shared" si="129"/>
        <v>0</v>
      </c>
      <c r="CH115" s="229">
        <f t="shared" si="129"/>
        <v>0</v>
      </c>
      <c r="CI115" s="229">
        <f t="shared" si="129"/>
        <v>0</v>
      </c>
      <c r="CJ115" s="229">
        <f t="shared" si="70"/>
        <v>0</v>
      </c>
      <c r="CK115" s="229">
        <f t="shared" si="129"/>
        <v>0</v>
      </c>
      <c r="CL115" s="229">
        <f t="shared" si="129"/>
        <v>0</v>
      </c>
      <c r="CM115" s="229">
        <f t="shared" si="129"/>
        <v>0</v>
      </c>
      <c r="CN115" s="229">
        <f t="shared" si="129"/>
        <v>0</v>
      </c>
      <c r="CO115" s="229">
        <f t="shared" si="124"/>
        <v>0</v>
      </c>
      <c r="CP115" s="229">
        <f t="shared" si="124"/>
        <v>0</v>
      </c>
      <c r="CQ115" s="229">
        <f t="shared" si="129"/>
        <v>0</v>
      </c>
      <c r="CR115" s="229">
        <f t="shared" si="129"/>
        <v>0</v>
      </c>
      <c r="CS115" s="229">
        <f t="shared" si="129"/>
        <v>0</v>
      </c>
      <c r="CT115" s="229">
        <f t="shared" si="129"/>
        <v>0</v>
      </c>
      <c r="CU115" s="230"/>
      <c r="CV115" s="231"/>
      <c r="CW115" s="231"/>
      <c r="CX115" s="231"/>
      <c r="CY115" s="231"/>
      <c r="CZ115" s="231"/>
      <c r="DA115" s="231"/>
      <c r="DB115" s="231"/>
      <c r="DC115" s="231"/>
      <c r="DD115" s="231">
        <f>IF(SUM(DD$24:DD114)=DD$22,0,IF(AND($M115&gt;=DD$15,$M115&lt;(DD$16+1)),DD$22/(DD$16-DD$15+1),0))</f>
        <v>0</v>
      </c>
      <c r="DE115" s="231">
        <f>IF(SUM(DE$24:DE114)=DE$22,0,IF(AND($M115&gt;=DE$15,$M115&lt;(DE$16+1)),DE$22/(DE$16-DE$15+1),0))</f>
        <v>0</v>
      </c>
      <c r="DF115" s="231">
        <f>IF(SUM(DF$24:DF114)=DF$22,0,IF(AND($M115&gt;=DF$15,$M115&lt;(DF$16+1)),DF$22/(DF$16-DF$15+1),0))</f>
        <v>0</v>
      </c>
      <c r="DG115" s="231">
        <f>IF(SUM(DG$24:DG114)=DG$22,0,IF(AND($M115&gt;=DG$15,$M115&lt;(DG$16+1)),DG$22/(DG$16-DG$15+1),0))</f>
        <v>0</v>
      </c>
      <c r="DH115" s="231">
        <f t="shared" si="123"/>
        <v>0</v>
      </c>
      <c r="DI115" s="231">
        <f t="shared" si="123"/>
        <v>0</v>
      </c>
      <c r="DJ115" s="231">
        <f t="shared" si="123"/>
        <v>0</v>
      </c>
      <c r="DK115" s="231">
        <f t="shared" si="123"/>
        <v>0</v>
      </c>
      <c r="DL115" s="231">
        <f t="shared" si="123"/>
        <v>0</v>
      </c>
      <c r="DM115" s="231">
        <f t="shared" si="123"/>
        <v>0</v>
      </c>
      <c r="DN115" s="231">
        <f t="shared" si="119"/>
        <v>0</v>
      </c>
      <c r="DO115" s="231">
        <f t="shared" si="123"/>
        <v>0</v>
      </c>
      <c r="DP115" s="231">
        <f t="shared" si="123"/>
        <v>0</v>
      </c>
      <c r="DQ115" s="231">
        <f t="shared" si="123"/>
        <v>0</v>
      </c>
      <c r="DR115" s="231">
        <f t="shared" si="123"/>
        <v>0</v>
      </c>
      <c r="DS115" s="231">
        <f t="shared" si="123"/>
        <v>0</v>
      </c>
      <c r="DT115" s="231">
        <f ca="1">IF(SUM(DT$24:DT114)=DT$22,0,IF(AND($M115&gt;=DT$15,$M115&lt;(DT$16+1)),DT$22/(DT$16-DT$15+1),0))</f>
        <v>0</v>
      </c>
      <c r="DU115" s="231">
        <f ca="1">IF(SUM(DU$24:DU114)=DU$22,0,IF(AND($M115&gt;=DU$15,$M115&lt;(DU$16+1)),DU$22/(DU$16-DU$15+1),0))</f>
        <v>0</v>
      </c>
      <c r="DV115" s="231">
        <f ca="1">IF(SUM(DV$24:DV114)=DV$22,0,IF(AND(M115&gt;=DV$15,M115&lt;(DV$16+1)),DV$22/(DV$16-DV$15+1),0))</f>
        <v>0</v>
      </c>
      <c r="DW115" s="231" t="e">
        <f ca="1">IF(SUM(DW$24:DW114)=DW$22,0,IF(AND($M115&gt;=DW$15,$M115&lt;(DW$16+1)),DW$22/(DW$16-DW$15+1),0))</f>
        <v>#N/A</v>
      </c>
      <c r="DX115" s="231">
        <f ca="1">IF(SUM(DX$24:DX114)=DX$22,0,IF(AND($M115&gt;=DX$15,$M115&lt;(DX$16+1)),DX$22/(DX$16-DX$15+1),0))</f>
        <v>0</v>
      </c>
      <c r="DY115" s="231">
        <f ca="1">IF(SUM(DY$24:DY114)=DY$22,0,IF(AND($M115&gt;=DY$15,$M115&lt;(DY$16+1)),DY$22/(DY$16-DY$15+1),0))</f>
        <v>0</v>
      </c>
      <c r="DZ115" s="231">
        <f ca="1">IF(SUM(DZ$24:DZ114)=DZ$22,0,IF(AND($M115&gt;=DZ$15,$M115&lt;(DZ$16+1)),DZ$22/(DZ$16-DZ$15+1),0))</f>
        <v>0</v>
      </c>
      <c r="EA115" s="231" t="e">
        <f ca="1">IF(SUM(EA$24:EA114)=EA$22,0,IF(AND(M115&gt;=EA$15,M115&lt;(EA$16+1)),EA$22/(EA$16-EA$15+1),0))</f>
        <v>#N/A</v>
      </c>
      <c r="EC115" s="234">
        <f t="shared" si="92"/>
        <v>88</v>
      </c>
      <c r="ED115" s="234" t="e">
        <f t="shared" ca="1" si="93"/>
        <v>#N/A</v>
      </c>
      <c r="EE115" s="235" t="e">
        <f t="shared" ca="1" si="94"/>
        <v>#N/A</v>
      </c>
      <c r="EF115" s="234" t="e">
        <f t="shared" ca="1" si="104"/>
        <v>#N/A</v>
      </c>
      <c r="EG115" s="234" t="e">
        <f t="shared" ca="1" si="106"/>
        <v>#N/A</v>
      </c>
      <c r="EH115" s="234" t="e">
        <f t="shared" ca="1" si="112"/>
        <v>#N/A</v>
      </c>
      <c r="EI115" s="234"/>
      <c r="EJ115" s="234"/>
      <c r="EK115" s="153" t="e">
        <f t="shared" ca="1" si="95"/>
        <v>#N/A</v>
      </c>
      <c r="EL115" s="231" t="e">
        <f ca="1">IF(SUM(EL$24:EL114)=EL$22,0,IF(AND($M115&gt;=EL$15,$M115&lt;(EL$16+1)),EL$22/(EL$16-EL$15+1),0))</f>
        <v>#N/A</v>
      </c>
      <c r="EM115" s="153" t="e">
        <f t="shared" ca="1" si="96"/>
        <v>#N/A</v>
      </c>
      <c r="EO115" s="60"/>
      <c r="EP115" s="60"/>
    </row>
    <row r="116" spans="1:146" ht="13.9" customHeight="1">
      <c r="A116" s="220"/>
      <c r="B116" s="236">
        <f t="shared" si="100"/>
        <v>89</v>
      </c>
      <c r="C116" s="221">
        <f t="shared" si="97"/>
        <v>46267.669600000139</v>
      </c>
      <c r="D116" s="222" t="e">
        <f ca="1">'Offshore INT'!R105</f>
        <v>#N/A</v>
      </c>
      <c r="E116" s="223" t="e">
        <f t="shared" ca="1" si="88"/>
        <v>#N/A</v>
      </c>
      <c r="F116" s="224"/>
      <c r="G116" s="225">
        <f>IF(G115=1,1,SUM($F$24:F116))</f>
        <v>0</v>
      </c>
      <c r="H116" s="226" t="e">
        <f ca="1">IF(H115=0,0,SUM($I$24:I116))</f>
        <v>#N/A</v>
      </c>
      <c r="I116" s="227" t="e">
        <f t="shared" ca="1" si="89"/>
        <v>#N/A</v>
      </c>
      <c r="J116" s="222">
        <f t="shared" ca="1" si="98"/>
        <v>0</v>
      </c>
      <c r="K116" s="60"/>
      <c r="L116" s="228"/>
      <c r="M116" s="228">
        <f t="shared" si="90"/>
        <v>89</v>
      </c>
      <c r="N116" s="221">
        <f t="shared" si="91"/>
        <v>46267.669600000139</v>
      </c>
      <c r="O116" s="229">
        <f t="shared" si="125"/>
        <v>0</v>
      </c>
      <c r="P116" s="229">
        <f t="shared" si="125"/>
        <v>0</v>
      </c>
      <c r="Q116" s="229">
        <f t="shared" si="125"/>
        <v>0</v>
      </c>
      <c r="R116" s="229">
        <f t="shared" si="125"/>
        <v>0</v>
      </c>
      <c r="S116" s="229">
        <f t="shared" si="125"/>
        <v>0</v>
      </c>
      <c r="T116" s="229">
        <f t="shared" si="125"/>
        <v>0</v>
      </c>
      <c r="U116" s="229">
        <f t="shared" si="125"/>
        <v>0</v>
      </c>
      <c r="V116" s="229">
        <f t="shared" si="125"/>
        <v>0</v>
      </c>
      <c r="W116" s="229">
        <f t="shared" si="125"/>
        <v>0</v>
      </c>
      <c r="X116" s="229">
        <f t="shared" si="125"/>
        <v>0</v>
      </c>
      <c r="Y116" s="229">
        <f t="shared" si="125"/>
        <v>0</v>
      </c>
      <c r="Z116" s="229">
        <f t="shared" si="125"/>
        <v>0</v>
      </c>
      <c r="AA116" s="229">
        <f t="shared" si="126"/>
        <v>0</v>
      </c>
      <c r="AB116" s="229">
        <f t="shared" si="126"/>
        <v>0</v>
      </c>
      <c r="AC116" s="229">
        <f t="shared" si="126"/>
        <v>0</v>
      </c>
      <c r="AD116" s="229">
        <f t="shared" si="126"/>
        <v>0</v>
      </c>
      <c r="AE116" s="229">
        <f t="shared" si="126"/>
        <v>0</v>
      </c>
      <c r="AF116" s="229">
        <f t="shared" si="126"/>
        <v>0</v>
      </c>
      <c r="AG116" s="229">
        <f t="shared" si="126"/>
        <v>0</v>
      </c>
      <c r="AH116" s="229">
        <f t="shared" si="126"/>
        <v>0</v>
      </c>
      <c r="AI116" s="229">
        <f t="shared" si="126"/>
        <v>0</v>
      </c>
      <c r="AJ116" s="229">
        <f t="shared" si="126"/>
        <v>0</v>
      </c>
      <c r="AK116" s="229">
        <f t="shared" si="126"/>
        <v>0</v>
      </c>
      <c r="AL116" s="229">
        <f t="shared" si="126"/>
        <v>0</v>
      </c>
      <c r="AM116" s="229">
        <f t="shared" si="126"/>
        <v>0</v>
      </c>
      <c r="AN116" s="229">
        <f t="shared" si="126"/>
        <v>0</v>
      </c>
      <c r="AO116" s="229">
        <f t="shared" si="126"/>
        <v>0</v>
      </c>
      <c r="AP116" s="229">
        <f t="shared" si="126"/>
        <v>0</v>
      </c>
      <c r="AQ116" s="229">
        <f t="shared" si="126"/>
        <v>0</v>
      </c>
      <c r="AR116" s="229">
        <f t="shared" si="126"/>
        <v>0</v>
      </c>
      <c r="AS116" s="229">
        <f t="shared" si="120"/>
        <v>0</v>
      </c>
      <c r="AT116" s="229">
        <f t="shared" si="120"/>
        <v>0</v>
      </c>
      <c r="AU116" s="229">
        <f t="shared" si="120"/>
        <v>0</v>
      </c>
      <c r="AV116" s="229">
        <f t="shared" si="120"/>
        <v>0</v>
      </c>
      <c r="AW116" s="229">
        <f t="shared" si="120"/>
        <v>0</v>
      </c>
      <c r="AX116" s="229">
        <f t="shared" si="126"/>
        <v>0</v>
      </c>
      <c r="AY116" s="229">
        <f t="shared" si="126"/>
        <v>0</v>
      </c>
      <c r="AZ116" s="229">
        <f t="shared" si="126"/>
        <v>0</v>
      </c>
      <c r="BA116" s="229">
        <f t="shared" si="126"/>
        <v>0</v>
      </c>
      <c r="BB116" s="229">
        <f t="shared" si="126"/>
        <v>0</v>
      </c>
      <c r="BC116" s="229">
        <f t="shared" si="126"/>
        <v>0</v>
      </c>
      <c r="BD116" s="229">
        <f t="shared" si="127"/>
        <v>0</v>
      </c>
      <c r="BE116" s="229">
        <f t="shared" si="127"/>
        <v>0</v>
      </c>
      <c r="BF116" s="229">
        <f t="shared" si="127"/>
        <v>0</v>
      </c>
      <c r="BG116" s="229">
        <f t="shared" si="127"/>
        <v>0</v>
      </c>
      <c r="BH116" s="229">
        <f t="shared" si="127"/>
        <v>0</v>
      </c>
      <c r="BI116" s="229">
        <f t="shared" si="127"/>
        <v>0</v>
      </c>
      <c r="BJ116" s="229">
        <f t="shared" si="127"/>
        <v>0</v>
      </c>
      <c r="BK116" s="229">
        <f t="shared" si="127"/>
        <v>0</v>
      </c>
      <c r="BL116" s="229">
        <f t="shared" si="127"/>
        <v>0</v>
      </c>
      <c r="BM116" s="229">
        <f t="shared" si="127"/>
        <v>0</v>
      </c>
      <c r="BN116" s="229">
        <f t="shared" si="127"/>
        <v>0</v>
      </c>
      <c r="BO116" s="229">
        <f t="shared" si="127"/>
        <v>0</v>
      </c>
      <c r="BP116" s="229">
        <f t="shared" si="127"/>
        <v>0</v>
      </c>
      <c r="BQ116" s="229">
        <f t="shared" si="128"/>
        <v>0</v>
      </c>
      <c r="BR116" s="229">
        <f t="shared" si="128"/>
        <v>0</v>
      </c>
      <c r="BS116" s="229">
        <f t="shared" si="128"/>
        <v>0</v>
      </c>
      <c r="BT116" s="229">
        <f t="shared" si="128"/>
        <v>0</v>
      </c>
      <c r="BU116" s="229">
        <f t="shared" si="128"/>
        <v>0</v>
      </c>
      <c r="BV116" s="229">
        <f t="shared" si="128"/>
        <v>0</v>
      </c>
      <c r="BW116" s="229">
        <f t="shared" si="128"/>
        <v>0</v>
      </c>
      <c r="BX116" s="229">
        <f t="shared" si="128"/>
        <v>0</v>
      </c>
      <c r="BY116" s="229">
        <f t="shared" si="128"/>
        <v>0</v>
      </c>
      <c r="BZ116" s="229">
        <f t="shared" si="128"/>
        <v>0</v>
      </c>
      <c r="CA116" s="229">
        <f t="shared" si="128"/>
        <v>0</v>
      </c>
      <c r="CB116" s="229">
        <f t="shared" si="128"/>
        <v>0</v>
      </c>
      <c r="CC116" s="229">
        <f t="shared" si="128"/>
        <v>0</v>
      </c>
      <c r="CD116" s="229">
        <f t="shared" si="129"/>
        <v>0</v>
      </c>
      <c r="CE116" s="229">
        <f t="shared" si="121"/>
        <v>0</v>
      </c>
      <c r="CF116" s="229">
        <f t="shared" si="129"/>
        <v>0</v>
      </c>
      <c r="CG116" s="229">
        <f t="shared" si="129"/>
        <v>0</v>
      </c>
      <c r="CH116" s="229">
        <f t="shared" si="129"/>
        <v>0</v>
      </c>
      <c r="CI116" s="229">
        <f t="shared" si="129"/>
        <v>0</v>
      </c>
      <c r="CJ116" s="229">
        <f t="shared" si="70"/>
        <v>0</v>
      </c>
      <c r="CK116" s="229">
        <f t="shared" si="129"/>
        <v>0</v>
      </c>
      <c r="CL116" s="229">
        <f t="shared" si="129"/>
        <v>0</v>
      </c>
      <c r="CM116" s="229">
        <f t="shared" si="129"/>
        <v>0</v>
      </c>
      <c r="CN116" s="229">
        <f t="shared" si="129"/>
        <v>0</v>
      </c>
      <c r="CO116" s="229">
        <f t="shared" si="124"/>
        <v>0</v>
      </c>
      <c r="CP116" s="229">
        <f t="shared" si="124"/>
        <v>0</v>
      </c>
      <c r="CQ116" s="229">
        <f t="shared" si="129"/>
        <v>0</v>
      </c>
      <c r="CR116" s="229">
        <f t="shared" si="129"/>
        <v>0</v>
      </c>
      <c r="CS116" s="229">
        <f t="shared" si="129"/>
        <v>0</v>
      </c>
      <c r="CT116" s="229">
        <f t="shared" si="129"/>
        <v>0</v>
      </c>
      <c r="CU116" s="230"/>
      <c r="CV116" s="231"/>
      <c r="CW116" s="231"/>
      <c r="CX116" s="231"/>
      <c r="CY116" s="231"/>
      <c r="CZ116" s="231"/>
      <c r="DA116" s="231"/>
      <c r="DB116" s="231"/>
      <c r="DC116" s="231"/>
      <c r="DD116" s="231">
        <f>IF(SUM(DD$24:DD115)=DD$22,0,IF(AND($M116&gt;=DD$15,$M116&lt;(DD$16+1)),DD$22/(DD$16-DD$15+1),0))</f>
        <v>0</v>
      </c>
      <c r="DE116" s="231">
        <f>IF(SUM(DE$24:DE115)=DE$22,0,IF(AND($M116&gt;=DE$15,$M116&lt;(DE$16+1)),DE$22/(DE$16-DE$15+1),0))</f>
        <v>0</v>
      </c>
      <c r="DF116" s="231">
        <f>IF(SUM(DF$24:DF115)=DF$22,0,IF(AND($M116&gt;=DF$15,$M116&lt;(DF$16+1)),DF$22/(DF$16-DF$15+1),0))</f>
        <v>0</v>
      </c>
      <c r="DG116" s="231">
        <f>IF(SUM(DG$24:DG115)=DG$22,0,IF(AND($M116&gt;=DG$15,$M116&lt;(DG$16+1)),DG$22/(DG$16-DG$15+1),0))</f>
        <v>0</v>
      </c>
      <c r="DH116" s="231">
        <f t="shared" si="123"/>
        <v>0</v>
      </c>
      <c r="DI116" s="231">
        <f t="shared" si="123"/>
        <v>0</v>
      </c>
      <c r="DJ116" s="231">
        <f t="shared" si="123"/>
        <v>0</v>
      </c>
      <c r="DK116" s="231">
        <f t="shared" si="123"/>
        <v>0</v>
      </c>
      <c r="DL116" s="231">
        <f t="shared" si="123"/>
        <v>0</v>
      </c>
      <c r="DM116" s="231">
        <f t="shared" si="123"/>
        <v>0</v>
      </c>
      <c r="DN116" s="231">
        <f t="shared" si="119"/>
        <v>0</v>
      </c>
      <c r="DO116" s="231">
        <f t="shared" si="123"/>
        <v>0</v>
      </c>
      <c r="DP116" s="231">
        <f t="shared" si="123"/>
        <v>0</v>
      </c>
      <c r="DQ116" s="231">
        <f t="shared" si="123"/>
        <v>0</v>
      </c>
      <c r="DR116" s="231">
        <f t="shared" si="123"/>
        <v>0</v>
      </c>
      <c r="DS116" s="231">
        <f t="shared" si="123"/>
        <v>0</v>
      </c>
      <c r="DT116" s="231">
        <f ca="1">IF(SUM(DT$24:DT115)=DT$22,0,IF(AND($M116&gt;=DT$15,$M116&lt;(DT$16+1)),DT$22/(DT$16-DT$15+1),0))</f>
        <v>0</v>
      </c>
      <c r="DU116" s="231">
        <f ca="1">IF(SUM(DU$24:DU115)=DU$22,0,IF(AND($M116&gt;=DU$15,$M116&lt;(DU$16+1)),DU$22/(DU$16-DU$15+1),0))</f>
        <v>0</v>
      </c>
      <c r="DV116" s="231">
        <f ca="1">IF(SUM(DV$24:DV115)=DV$22,0,IF(AND(M116&gt;=DV$15,M116&lt;(DV$16+1)),DV$22/(DV$16-DV$15+1),0))</f>
        <v>0</v>
      </c>
      <c r="DW116" s="231" t="e">
        <f ca="1">IF(SUM(DW$24:DW115)=DW$22,0,IF(AND($M116&gt;=DW$15,$M116&lt;(DW$16+1)),DW$22/(DW$16-DW$15+1),0))</f>
        <v>#N/A</v>
      </c>
      <c r="DX116" s="231">
        <f ca="1">IF(SUM(DX$24:DX115)=DX$22,0,IF(AND($M116&gt;=DX$15,$M116&lt;(DX$16+1)),DX$22/(DX$16-DX$15+1),0))</f>
        <v>0</v>
      </c>
      <c r="DY116" s="231">
        <f ca="1">IF(SUM(DY$24:DY115)=DY$22,0,IF(AND($M116&gt;=DY$15,$M116&lt;(DY$16+1)),DY$22/(DY$16-DY$15+1),0))</f>
        <v>0</v>
      </c>
      <c r="DZ116" s="231">
        <f ca="1">IF(SUM(DZ$24:DZ115)=DZ$22,0,IF(AND($M116&gt;=DZ$15,$M116&lt;(DZ$16+1)),DZ$22/(DZ$16-DZ$15+1),0))</f>
        <v>0</v>
      </c>
      <c r="EA116" s="231" t="e">
        <f ca="1">IF(SUM(EA$24:EA115)=EA$22,0,IF(AND(M116&gt;=EA$15,M116&lt;(EA$16+1)),EA$22/(EA$16-EA$15+1),0))</f>
        <v>#N/A</v>
      </c>
      <c r="EC116" s="234">
        <f t="shared" si="92"/>
        <v>89</v>
      </c>
      <c r="ED116" s="234" t="e">
        <f t="shared" ca="1" si="93"/>
        <v>#N/A</v>
      </c>
      <c r="EE116" s="235" t="e">
        <f t="shared" ca="1" si="94"/>
        <v>#N/A</v>
      </c>
      <c r="EF116" s="234" t="e">
        <f t="shared" ca="1" si="104"/>
        <v>#N/A</v>
      </c>
      <c r="EG116" s="234" t="e">
        <f t="shared" ca="1" si="106"/>
        <v>#N/A</v>
      </c>
      <c r="EH116" s="234" t="e">
        <f t="shared" ca="1" si="112"/>
        <v>#N/A</v>
      </c>
      <c r="EI116" s="234"/>
      <c r="EJ116" s="234"/>
      <c r="EK116" s="153" t="e">
        <f t="shared" ca="1" si="95"/>
        <v>#N/A</v>
      </c>
      <c r="EL116" s="231" t="e">
        <f ca="1">IF(SUM(EL$24:EL115)=EL$22,0,IF(AND($M116&gt;=EL$15,$M116&lt;(EL$16+1)),EL$22/(EL$16-EL$15+1),0))</f>
        <v>#N/A</v>
      </c>
      <c r="EM116" s="153" t="e">
        <f t="shared" ca="1" si="96"/>
        <v>#N/A</v>
      </c>
      <c r="EO116" s="60"/>
      <c r="EP116" s="60"/>
    </row>
    <row r="117" spans="1:146" ht="13.9" customHeight="1">
      <c r="A117" s="220"/>
      <c r="B117" s="236">
        <f t="shared" si="100"/>
        <v>90</v>
      </c>
      <c r="C117" s="221">
        <f t="shared" si="97"/>
        <v>46298.086300000141</v>
      </c>
      <c r="D117" s="222" t="e">
        <f ca="1">'Offshore INT'!R106</f>
        <v>#N/A</v>
      </c>
      <c r="E117" s="223" t="e">
        <f t="shared" ca="1" si="88"/>
        <v>#N/A</v>
      </c>
      <c r="F117" s="224"/>
      <c r="G117" s="225">
        <f>IF(G116=1,1,SUM($F$24:F117))</f>
        <v>0</v>
      </c>
      <c r="H117" s="226" t="e">
        <f ca="1">IF(H116=0,0,SUM($I$24:I117))</f>
        <v>#N/A</v>
      </c>
      <c r="I117" s="227" t="e">
        <f t="shared" ca="1" si="89"/>
        <v>#N/A</v>
      </c>
      <c r="J117" s="222">
        <f t="shared" ca="1" si="98"/>
        <v>0</v>
      </c>
      <c r="K117" s="60"/>
      <c r="L117" s="228"/>
      <c r="M117" s="228">
        <f t="shared" si="90"/>
        <v>90</v>
      </c>
      <c r="N117" s="221">
        <f t="shared" si="91"/>
        <v>46298.086300000141</v>
      </c>
      <c r="O117" s="229">
        <f t="shared" si="125"/>
        <v>0</v>
      </c>
      <c r="P117" s="229">
        <f t="shared" si="125"/>
        <v>0</v>
      </c>
      <c r="Q117" s="229">
        <f t="shared" si="125"/>
        <v>0</v>
      </c>
      <c r="R117" s="229">
        <f t="shared" si="125"/>
        <v>0</v>
      </c>
      <c r="S117" s="229">
        <f t="shared" si="125"/>
        <v>0</v>
      </c>
      <c r="T117" s="229">
        <f t="shared" si="125"/>
        <v>0</v>
      </c>
      <c r="U117" s="229">
        <f t="shared" si="125"/>
        <v>0</v>
      </c>
      <c r="V117" s="229">
        <f t="shared" si="125"/>
        <v>0</v>
      </c>
      <c r="W117" s="229">
        <f t="shared" si="125"/>
        <v>0</v>
      </c>
      <c r="X117" s="229">
        <f t="shared" si="125"/>
        <v>0</v>
      </c>
      <c r="Y117" s="229">
        <f t="shared" si="125"/>
        <v>0</v>
      </c>
      <c r="Z117" s="229">
        <f t="shared" si="125"/>
        <v>0</v>
      </c>
      <c r="AA117" s="229">
        <f t="shared" si="126"/>
        <v>0</v>
      </c>
      <c r="AB117" s="229">
        <f t="shared" si="126"/>
        <v>0</v>
      </c>
      <c r="AC117" s="229">
        <f t="shared" si="126"/>
        <v>0</v>
      </c>
      <c r="AD117" s="229">
        <f t="shared" si="126"/>
        <v>0</v>
      </c>
      <c r="AE117" s="229">
        <f t="shared" si="126"/>
        <v>0</v>
      </c>
      <c r="AF117" s="229">
        <f t="shared" si="126"/>
        <v>0</v>
      </c>
      <c r="AG117" s="229">
        <f t="shared" si="126"/>
        <v>0</v>
      </c>
      <c r="AH117" s="229">
        <f t="shared" si="126"/>
        <v>0</v>
      </c>
      <c r="AI117" s="229">
        <f t="shared" si="126"/>
        <v>0</v>
      </c>
      <c r="AJ117" s="229">
        <f t="shared" si="126"/>
        <v>0</v>
      </c>
      <c r="AK117" s="229">
        <f t="shared" si="126"/>
        <v>0</v>
      </c>
      <c r="AL117" s="229">
        <f t="shared" si="126"/>
        <v>0</v>
      </c>
      <c r="AM117" s="229">
        <f t="shared" si="126"/>
        <v>0</v>
      </c>
      <c r="AN117" s="229">
        <f t="shared" si="126"/>
        <v>0</v>
      </c>
      <c r="AO117" s="229">
        <f t="shared" si="126"/>
        <v>0</v>
      </c>
      <c r="AP117" s="229">
        <f t="shared" si="126"/>
        <v>0</v>
      </c>
      <c r="AQ117" s="229">
        <f t="shared" si="126"/>
        <v>0</v>
      </c>
      <c r="AR117" s="229">
        <f t="shared" si="126"/>
        <v>0</v>
      </c>
      <c r="AS117" s="229">
        <f t="shared" si="120"/>
        <v>0</v>
      </c>
      <c r="AT117" s="229">
        <f t="shared" si="120"/>
        <v>0</v>
      </c>
      <c r="AU117" s="229">
        <f t="shared" si="120"/>
        <v>0</v>
      </c>
      <c r="AV117" s="229">
        <f t="shared" si="120"/>
        <v>0</v>
      </c>
      <c r="AW117" s="229">
        <f t="shared" si="120"/>
        <v>0</v>
      </c>
      <c r="AX117" s="229">
        <f t="shared" si="126"/>
        <v>0</v>
      </c>
      <c r="AY117" s="229">
        <f t="shared" si="126"/>
        <v>0</v>
      </c>
      <c r="AZ117" s="229">
        <f t="shared" si="126"/>
        <v>0</v>
      </c>
      <c r="BA117" s="229">
        <f t="shared" si="126"/>
        <v>0</v>
      </c>
      <c r="BB117" s="229">
        <f t="shared" si="126"/>
        <v>0</v>
      </c>
      <c r="BC117" s="229">
        <f t="shared" si="126"/>
        <v>0</v>
      </c>
      <c r="BD117" s="229">
        <f t="shared" si="127"/>
        <v>0</v>
      </c>
      <c r="BE117" s="229">
        <f t="shared" si="127"/>
        <v>0</v>
      </c>
      <c r="BF117" s="229">
        <f t="shared" si="127"/>
        <v>0</v>
      </c>
      <c r="BG117" s="229">
        <f t="shared" si="127"/>
        <v>0</v>
      </c>
      <c r="BH117" s="229">
        <f t="shared" si="127"/>
        <v>0</v>
      </c>
      <c r="BI117" s="229">
        <f t="shared" si="127"/>
        <v>0</v>
      </c>
      <c r="BJ117" s="229">
        <f t="shared" si="127"/>
        <v>0</v>
      </c>
      <c r="BK117" s="229">
        <f t="shared" si="127"/>
        <v>0</v>
      </c>
      <c r="BL117" s="229">
        <f t="shared" si="127"/>
        <v>0</v>
      </c>
      <c r="BM117" s="229">
        <f t="shared" si="127"/>
        <v>0</v>
      </c>
      <c r="BN117" s="229">
        <f t="shared" si="127"/>
        <v>0</v>
      </c>
      <c r="BO117" s="229">
        <f t="shared" si="127"/>
        <v>0</v>
      </c>
      <c r="BP117" s="229">
        <f t="shared" si="127"/>
        <v>0</v>
      </c>
      <c r="BQ117" s="229">
        <f t="shared" si="128"/>
        <v>0</v>
      </c>
      <c r="BR117" s="229">
        <f t="shared" si="128"/>
        <v>0</v>
      </c>
      <c r="BS117" s="229">
        <f t="shared" si="128"/>
        <v>0</v>
      </c>
      <c r="BT117" s="229">
        <f t="shared" si="128"/>
        <v>0</v>
      </c>
      <c r="BU117" s="229">
        <f t="shared" si="128"/>
        <v>0</v>
      </c>
      <c r="BV117" s="229">
        <f t="shared" si="128"/>
        <v>0</v>
      </c>
      <c r="BW117" s="229">
        <f t="shared" si="128"/>
        <v>0</v>
      </c>
      <c r="BX117" s="229">
        <f t="shared" si="128"/>
        <v>0</v>
      </c>
      <c r="BY117" s="229">
        <f t="shared" si="128"/>
        <v>0</v>
      </c>
      <c r="BZ117" s="229">
        <f t="shared" si="128"/>
        <v>0</v>
      </c>
      <c r="CA117" s="229">
        <f t="shared" si="128"/>
        <v>0</v>
      </c>
      <c r="CB117" s="229">
        <f t="shared" si="128"/>
        <v>0</v>
      </c>
      <c r="CC117" s="229">
        <f t="shared" si="128"/>
        <v>0</v>
      </c>
      <c r="CD117" s="229">
        <f t="shared" si="129"/>
        <v>0</v>
      </c>
      <c r="CE117" s="229">
        <f t="shared" si="121"/>
        <v>0</v>
      </c>
      <c r="CF117" s="229">
        <f t="shared" si="129"/>
        <v>0</v>
      </c>
      <c r="CG117" s="229">
        <f t="shared" si="129"/>
        <v>0</v>
      </c>
      <c r="CH117" s="229">
        <f t="shared" si="129"/>
        <v>0</v>
      </c>
      <c r="CI117" s="229">
        <f t="shared" si="129"/>
        <v>0</v>
      </c>
      <c r="CJ117" s="229">
        <f t="shared" si="70"/>
        <v>0</v>
      </c>
      <c r="CK117" s="229">
        <f t="shared" si="129"/>
        <v>0</v>
      </c>
      <c r="CL117" s="229">
        <f t="shared" si="129"/>
        <v>0</v>
      </c>
      <c r="CM117" s="229">
        <f t="shared" si="129"/>
        <v>0</v>
      </c>
      <c r="CN117" s="229">
        <f t="shared" si="129"/>
        <v>0</v>
      </c>
      <c r="CO117" s="229">
        <f t="shared" si="124"/>
        <v>0</v>
      </c>
      <c r="CP117" s="229">
        <f t="shared" si="124"/>
        <v>0</v>
      </c>
      <c r="CQ117" s="229">
        <f t="shared" si="129"/>
        <v>0</v>
      </c>
      <c r="CR117" s="229">
        <f t="shared" si="129"/>
        <v>0</v>
      </c>
      <c r="CS117" s="229">
        <f t="shared" si="129"/>
        <v>0</v>
      </c>
      <c r="CT117" s="229">
        <f t="shared" si="129"/>
        <v>0</v>
      </c>
      <c r="CU117" s="230"/>
      <c r="CV117" s="231"/>
      <c r="CW117" s="231"/>
      <c r="CX117" s="231"/>
      <c r="CY117" s="231"/>
      <c r="CZ117" s="231"/>
      <c r="DA117" s="231"/>
      <c r="DB117" s="231"/>
      <c r="DC117" s="231"/>
      <c r="DD117" s="231">
        <f>IF(SUM(DD$24:DD116)=DD$22,0,IF(AND($M117&gt;=DD$15,$M117&lt;(DD$16+1)),DD$22/(DD$16-DD$15+1),0))</f>
        <v>0</v>
      </c>
      <c r="DE117" s="231">
        <f>IF(SUM(DE$24:DE116)=DE$22,0,IF(AND($M117&gt;=DE$15,$M117&lt;(DE$16+1)),DE$22/(DE$16-DE$15+1),0))</f>
        <v>0</v>
      </c>
      <c r="DF117" s="231">
        <f>IF(SUM(DF$24:DF116)=DF$22,0,IF(AND($M117&gt;=DF$15,$M117&lt;(DF$16+1)),DF$22/(DF$16-DF$15+1),0))</f>
        <v>0</v>
      </c>
      <c r="DG117" s="231">
        <f>IF(SUM(DG$24:DG116)=DG$22,0,IF(AND($M117&gt;=DG$15,$M117&lt;(DG$16+1)),DG$22/(DG$16-DG$15+1),0))</f>
        <v>0</v>
      </c>
      <c r="DH117" s="231">
        <f t="shared" si="123"/>
        <v>0</v>
      </c>
      <c r="DI117" s="231">
        <f t="shared" si="123"/>
        <v>0</v>
      </c>
      <c r="DJ117" s="231">
        <f t="shared" si="123"/>
        <v>0</v>
      </c>
      <c r="DK117" s="231">
        <f t="shared" si="123"/>
        <v>0</v>
      </c>
      <c r="DL117" s="231">
        <f t="shared" si="123"/>
        <v>0</v>
      </c>
      <c r="DM117" s="231">
        <f t="shared" si="123"/>
        <v>0</v>
      </c>
      <c r="DN117" s="231">
        <f t="shared" si="119"/>
        <v>0</v>
      </c>
      <c r="DO117" s="231">
        <f t="shared" si="123"/>
        <v>0</v>
      </c>
      <c r="DP117" s="231">
        <f t="shared" si="123"/>
        <v>0</v>
      </c>
      <c r="DQ117" s="231">
        <f t="shared" si="123"/>
        <v>0</v>
      </c>
      <c r="DR117" s="231">
        <f t="shared" si="123"/>
        <v>0</v>
      </c>
      <c r="DS117" s="231">
        <f t="shared" si="123"/>
        <v>0</v>
      </c>
      <c r="DT117" s="231">
        <f ca="1">IF(SUM(DT$24:DT116)=DT$22,0,IF(AND($M117&gt;=DT$15,$M117&lt;(DT$16+1)),DT$22/(DT$16-DT$15+1),0))</f>
        <v>0</v>
      </c>
      <c r="DU117" s="231">
        <f ca="1">IF(SUM(DU$24:DU116)=DU$22,0,IF(AND($M117&gt;=DU$15,$M117&lt;(DU$16+1)),DU$22/(DU$16-DU$15+1),0))</f>
        <v>0</v>
      </c>
      <c r="DV117" s="231">
        <f ca="1">IF(SUM(DV$24:DV116)=DV$22,0,IF(AND(M117&gt;=DV$15,M117&lt;(DV$16+1)),DV$22/(DV$16-DV$15+1),0))</f>
        <v>0</v>
      </c>
      <c r="DW117" s="231" t="e">
        <f ca="1">IF(SUM(DW$24:DW116)=DW$22,0,IF(AND($M117&gt;=DW$15,$M117&lt;(DW$16+1)),DW$22/(DW$16-DW$15+1),0))</f>
        <v>#N/A</v>
      </c>
      <c r="DX117" s="231">
        <f ca="1">IF(SUM(DX$24:DX116)=DX$22,0,IF(AND($M117&gt;=DX$15,$M117&lt;(DX$16+1)),DX$22/(DX$16-DX$15+1),0))</f>
        <v>0</v>
      </c>
      <c r="DY117" s="231">
        <f ca="1">IF(SUM(DY$24:DY116)=DY$22,0,IF(AND($M117&gt;=DY$15,$M117&lt;(DY$16+1)),DY$22/(DY$16-DY$15+1),0))</f>
        <v>0</v>
      </c>
      <c r="DZ117" s="231">
        <f ca="1">IF(SUM(DZ$24:DZ116)=DZ$22,0,IF(AND($M117&gt;=DZ$15,$M117&lt;(DZ$16+1)),DZ$22/(DZ$16-DZ$15+1),0))</f>
        <v>0</v>
      </c>
      <c r="EA117" s="231" t="e">
        <f ca="1">IF(SUM(EA$24:EA116)=EA$22,0,IF(AND(M117&gt;=EA$15,M117&lt;(EA$16+1)),EA$22/(EA$16-EA$15+1),0))</f>
        <v>#N/A</v>
      </c>
      <c r="EC117" s="234">
        <f t="shared" si="92"/>
        <v>90</v>
      </c>
      <c r="ED117" s="234" t="e">
        <f t="shared" ca="1" si="93"/>
        <v>#N/A</v>
      </c>
      <c r="EE117" s="235" t="e">
        <f t="shared" ca="1" si="94"/>
        <v>#N/A</v>
      </c>
      <c r="EF117" s="234" t="e">
        <f t="shared" ca="1" si="104"/>
        <v>#N/A</v>
      </c>
      <c r="EG117" s="234" t="e">
        <f t="shared" ca="1" si="106"/>
        <v>#N/A</v>
      </c>
      <c r="EH117" s="234" t="e">
        <f t="shared" ca="1" si="112"/>
        <v>#N/A</v>
      </c>
      <c r="EI117" s="234"/>
      <c r="EJ117" s="234"/>
      <c r="EK117" s="153" t="e">
        <f t="shared" ca="1" si="95"/>
        <v>#N/A</v>
      </c>
      <c r="EL117" s="231" t="e">
        <f ca="1">IF(SUM(EL$24:EL116)=EL$22,0,IF(AND($M117&gt;=EL$15,$M117&lt;(EL$16+1)),EL$22/(EL$16-EL$15+1),0))</f>
        <v>#N/A</v>
      </c>
      <c r="EM117" s="153" t="e">
        <f t="shared" ca="1" si="96"/>
        <v>#N/A</v>
      </c>
      <c r="EO117" s="60"/>
      <c r="EP117" s="60"/>
    </row>
    <row r="118" spans="1:146" ht="13.9" customHeight="1">
      <c r="A118" s="220"/>
      <c r="B118" s="236">
        <f t="shared" si="100"/>
        <v>91</v>
      </c>
      <c r="C118" s="221">
        <f t="shared" si="97"/>
        <v>46328.503000000142</v>
      </c>
      <c r="D118" s="222" t="e">
        <f ca="1">'Offshore INT'!R107</f>
        <v>#N/A</v>
      </c>
      <c r="E118" s="223" t="e">
        <f t="shared" ca="1" si="88"/>
        <v>#N/A</v>
      </c>
      <c r="F118" s="224"/>
      <c r="G118" s="225">
        <f>IF(G117=1,1,SUM($F$24:F118))</f>
        <v>0</v>
      </c>
      <c r="H118" s="226" t="e">
        <f ca="1">IF(H117=0,0,SUM($I$24:I118))</f>
        <v>#N/A</v>
      </c>
      <c r="I118" s="227" t="e">
        <f t="shared" ca="1" si="89"/>
        <v>#N/A</v>
      </c>
      <c r="J118" s="222">
        <f t="shared" ca="1" si="98"/>
        <v>0</v>
      </c>
      <c r="K118" s="60"/>
      <c r="L118" s="228"/>
      <c r="M118" s="228">
        <f t="shared" si="90"/>
        <v>91</v>
      </c>
      <c r="N118" s="221">
        <f t="shared" si="91"/>
        <v>46328.503000000142</v>
      </c>
      <c r="O118" s="229">
        <f t="shared" si="125"/>
        <v>0</v>
      </c>
      <c r="P118" s="229">
        <f t="shared" si="125"/>
        <v>0</v>
      </c>
      <c r="Q118" s="229">
        <f t="shared" si="125"/>
        <v>0</v>
      </c>
      <c r="R118" s="229">
        <f t="shared" si="125"/>
        <v>0</v>
      </c>
      <c r="S118" s="229">
        <f t="shared" si="125"/>
        <v>0</v>
      </c>
      <c r="T118" s="229">
        <f t="shared" si="125"/>
        <v>0</v>
      </c>
      <c r="U118" s="229">
        <f t="shared" si="125"/>
        <v>0</v>
      </c>
      <c r="V118" s="229">
        <f t="shared" si="125"/>
        <v>0</v>
      </c>
      <c r="W118" s="229">
        <f t="shared" si="125"/>
        <v>0</v>
      </c>
      <c r="X118" s="229">
        <f t="shared" si="125"/>
        <v>0</v>
      </c>
      <c r="Y118" s="229">
        <f t="shared" si="125"/>
        <v>0</v>
      </c>
      <c r="Z118" s="229">
        <f t="shared" si="125"/>
        <v>0</v>
      </c>
      <c r="AA118" s="229">
        <f t="shared" si="126"/>
        <v>0</v>
      </c>
      <c r="AB118" s="229">
        <f t="shared" si="126"/>
        <v>0</v>
      </c>
      <c r="AC118" s="229">
        <f t="shared" si="126"/>
        <v>0</v>
      </c>
      <c r="AD118" s="229">
        <f t="shared" si="126"/>
        <v>0</v>
      </c>
      <c r="AE118" s="229">
        <f t="shared" si="126"/>
        <v>0</v>
      </c>
      <c r="AF118" s="229">
        <f t="shared" si="126"/>
        <v>0</v>
      </c>
      <c r="AG118" s="229">
        <f t="shared" si="126"/>
        <v>0</v>
      </c>
      <c r="AH118" s="229">
        <f t="shared" si="126"/>
        <v>0</v>
      </c>
      <c r="AI118" s="229">
        <f t="shared" si="126"/>
        <v>0</v>
      </c>
      <c r="AJ118" s="229">
        <f t="shared" si="126"/>
        <v>0</v>
      </c>
      <c r="AK118" s="229">
        <f t="shared" si="126"/>
        <v>0</v>
      </c>
      <c r="AL118" s="229">
        <f t="shared" si="126"/>
        <v>0</v>
      </c>
      <c r="AM118" s="229">
        <f t="shared" si="126"/>
        <v>0</v>
      </c>
      <c r="AN118" s="229">
        <f t="shared" si="126"/>
        <v>0</v>
      </c>
      <c r="AO118" s="229">
        <f t="shared" si="126"/>
        <v>0</v>
      </c>
      <c r="AP118" s="229">
        <f t="shared" si="126"/>
        <v>0</v>
      </c>
      <c r="AQ118" s="229">
        <f t="shared" si="126"/>
        <v>0</v>
      </c>
      <c r="AR118" s="229">
        <f t="shared" si="126"/>
        <v>0</v>
      </c>
      <c r="AS118" s="229">
        <f t="shared" si="120"/>
        <v>0</v>
      </c>
      <c r="AT118" s="229">
        <f t="shared" si="120"/>
        <v>0</v>
      </c>
      <c r="AU118" s="229">
        <f t="shared" si="120"/>
        <v>0</v>
      </c>
      <c r="AV118" s="229">
        <f t="shared" si="120"/>
        <v>0</v>
      </c>
      <c r="AW118" s="229">
        <f t="shared" si="120"/>
        <v>0</v>
      </c>
      <c r="AX118" s="229">
        <f t="shared" si="126"/>
        <v>0</v>
      </c>
      <c r="AY118" s="229">
        <f t="shared" si="126"/>
        <v>0</v>
      </c>
      <c r="AZ118" s="229">
        <f t="shared" si="126"/>
        <v>0</v>
      </c>
      <c r="BA118" s="229">
        <f t="shared" si="126"/>
        <v>0</v>
      </c>
      <c r="BB118" s="229">
        <f t="shared" si="126"/>
        <v>0</v>
      </c>
      <c r="BC118" s="229">
        <f t="shared" si="126"/>
        <v>0</v>
      </c>
      <c r="BD118" s="229">
        <f t="shared" si="127"/>
        <v>0</v>
      </c>
      <c r="BE118" s="229">
        <f t="shared" si="127"/>
        <v>0</v>
      </c>
      <c r="BF118" s="229">
        <f t="shared" si="127"/>
        <v>0</v>
      </c>
      <c r="BG118" s="229">
        <f t="shared" si="127"/>
        <v>0</v>
      </c>
      <c r="BH118" s="229">
        <f t="shared" si="127"/>
        <v>0</v>
      </c>
      <c r="BI118" s="229">
        <f t="shared" si="127"/>
        <v>0</v>
      </c>
      <c r="BJ118" s="229">
        <f t="shared" si="127"/>
        <v>0</v>
      </c>
      <c r="BK118" s="229">
        <f t="shared" si="127"/>
        <v>0</v>
      </c>
      <c r="BL118" s="229">
        <f t="shared" si="127"/>
        <v>0</v>
      </c>
      <c r="BM118" s="229">
        <f t="shared" si="127"/>
        <v>0</v>
      </c>
      <c r="BN118" s="229">
        <f t="shared" si="127"/>
        <v>0</v>
      </c>
      <c r="BO118" s="229">
        <f t="shared" si="127"/>
        <v>0</v>
      </c>
      <c r="BP118" s="229">
        <f t="shared" si="127"/>
        <v>0</v>
      </c>
      <c r="BQ118" s="229">
        <f t="shared" si="128"/>
        <v>0</v>
      </c>
      <c r="BR118" s="229">
        <f t="shared" si="128"/>
        <v>0</v>
      </c>
      <c r="BS118" s="229">
        <f t="shared" si="128"/>
        <v>0</v>
      </c>
      <c r="BT118" s="229">
        <f t="shared" si="128"/>
        <v>0</v>
      </c>
      <c r="BU118" s="229">
        <f t="shared" si="128"/>
        <v>0</v>
      </c>
      <c r="BV118" s="229">
        <f t="shared" si="128"/>
        <v>0</v>
      </c>
      <c r="BW118" s="229">
        <f t="shared" si="128"/>
        <v>0</v>
      </c>
      <c r="BX118" s="229">
        <f t="shared" si="128"/>
        <v>0</v>
      </c>
      <c r="BY118" s="229">
        <f t="shared" si="128"/>
        <v>0</v>
      </c>
      <c r="BZ118" s="229">
        <f t="shared" si="128"/>
        <v>0</v>
      </c>
      <c r="CA118" s="229">
        <f t="shared" si="128"/>
        <v>0</v>
      </c>
      <c r="CB118" s="229">
        <f t="shared" si="128"/>
        <v>0</v>
      </c>
      <c r="CC118" s="229">
        <f t="shared" si="128"/>
        <v>0</v>
      </c>
      <c r="CD118" s="229">
        <f t="shared" si="129"/>
        <v>0</v>
      </c>
      <c r="CE118" s="229">
        <f t="shared" si="121"/>
        <v>0</v>
      </c>
      <c r="CF118" s="229">
        <f t="shared" si="129"/>
        <v>0</v>
      </c>
      <c r="CG118" s="229">
        <f t="shared" si="129"/>
        <v>0</v>
      </c>
      <c r="CH118" s="229">
        <f t="shared" si="129"/>
        <v>0</v>
      </c>
      <c r="CI118" s="229">
        <f t="shared" si="129"/>
        <v>0</v>
      </c>
      <c r="CJ118" s="229">
        <f t="shared" si="70"/>
        <v>0</v>
      </c>
      <c r="CK118" s="229">
        <f t="shared" si="129"/>
        <v>0</v>
      </c>
      <c r="CL118" s="229">
        <f t="shared" si="129"/>
        <v>0</v>
      </c>
      <c r="CM118" s="229">
        <f t="shared" si="129"/>
        <v>0</v>
      </c>
      <c r="CN118" s="229">
        <f t="shared" si="129"/>
        <v>0</v>
      </c>
      <c r="CO118" s="229">
        <f t="shared" si="124"/>
        <v>0</v>
      </c>
      <c r="CP118" s="229">
        <f t="shared" si="124"/>
        <v>0</v>
      </c>
      <c r="CQ118" s="229">
        <f t="shared" si="129"/>
        <v>0</v>
      </c>
      <c r="CR118" s="229">
        <f t="shared" si="129"/>
        <v>0</v>
      </c>
      <c r="CS118" s="229">
        <f t="shared" si="129"/>
        <v>0</v>
      </c>
      <c r="CT118" s="229">
        <f t="shared" si="129"/>
        <v>0</v>
      </c>
      <c r="CU118" s="230"/>
      <c r="CV118" s="231"/>
      <c r="CW118" s="231"/>
      <c r="CX118" s="231"/>
      <c r="CY118" s="231"/>
      <c r="CZ118" s="231"/>
      <c r="DA118" s="231"/>
      <c r="DB118" s="231"/>
      <c r="DC118" s="231"/>
      <c r="DD118" s="231">
        <f>IF(SUM(DD$24:DD117)=DD$22,0,IF(AND($M118&gt;=DD$15,$M118&lt;(DD$16+1)),DD$22/(DD$16-DD$15+1),0))</f>
        <v>0</v>
      </c>
      <c r="DE118" s="231">
        <f>IF(SUM(DE$24:DE117)=DE$22,0,IF(AND($M118&gt;=DE$15,$M118&lt;(DE$16+1)),DE$22/(DE$16-DE$15+1),0))</f>
        <v>0</v>
      </c>
      <c r="DF118" s="231">
        <f>IF(SUM(DF$24:DF117)=DF$22,0,IF(AND($M118&gt;=DF$15,$M118&lt;(DF$16+1)),DF$22/(DF$16-DF$15+1),0))</f>
        <v>0</v>
      </c>
      <c r="DG118" s="231">
        <f>IF(SUM(DG$24:DG117)=DG$22,0,IF(AND($M118&gt;=DG$15,$M118&lt;(DG$16+1)),DG$22/(DG$16-DG$15+1),0))</f>
        <v>0</v>
      </c>
      <c r="DH118" s="231">
        <f t="shared" si="123"/>
        <v>0</v>
      </c>
      <c r="DI118" s="231">
        <f t="shared" si="123"/>
        <v>0</v>
      </c>
      <c r="DJ118" s="231">
        <f t="shared" si="123"/>
        <v>0</v>
      </c>
      <c r="DK118" s="231">
        <f t="shared" si="123"/>
        <v>0</v>
      </c>
      <c r="DL118" s="231">
        <f t="shared" si="123"/>
        <v>0</v>
      </c>
      <c r="DM118" s="231">
        <f t="shared" si="123"/>
        <v>0</v>
      </c>
      <c r="DN118" s="231">
        <f t="shared" si="119"/>
        <v>0</v>
      </c>
      <c r="DO118" s="231">
        <f t="shared" si="123"/>
        <v>0</v>
      </c>
      <c r="DP118" s="231">
        <f t="shared" si="123"/>
        <v>0</v>
      </c>
      <c r="DQ118" s="231">
        <f t="shared" si="123"/>
        <v>0</v>
      </c>
      <c r="DR118" s="231">
        <f t="shared" si="123"/>
        <v>0</v>
      </c>
      <c r="DS118" s="231">
        <f t="shared" si="123"/>
        <v>0</v>
      </c>
      <c r="DT118" s="231">
        <f ca="1">IF(SUM(DT$24:DT117)=DT$22,0,IF(AND($M118&gt;=DT$15,$M118&lt;(DT$16+1)),DT$22/(DT$16-DT$15+1),0))</f>
        <v>0</v>
      </c>
      <c r="DU118" s="231">
        <f ca="1">IF(SUM(DU$24:DU117)=DU$22,0,IF(AND($M118&gt;=DU$15,$M118&lt;(DU$16+1)),DU$22/(DU$16-DU$15+1),0))</f>
        <v>0</v>
      </c>
      <c r="DV118" s="231">
        <f ca="1">IF(SUM(DV$24:DV117)=DV$22,0,IF(AND(M118&gt;=DV$15,M118&lt;(DV$16+1)),DV$22/(DV$16-DV$15+1),0))</f>
        <v>0</v>
      </c>
      <c r="DW118" s="231" t="e">
        <f ca="1">IF(SUM(DW$24:DW117)=DW$22,0,IF(AND($M118&gt;=DW$15,$M118&lt;(DW$16+1)),DW$22/(DW$16-DW$15+1),0))</f>
        <v>#N/A</v>
      </c>
      <c r="DX118" s="231">
        <f ca="1">IF(SUM(DX$24:DX117)=DX$22,0,IF(AND($M118&gt;=DX$15,$M118&lt;(DX$16+1)),DX$22/(DX$16-DX$15+1),0))</f>
        <v>0</v>
      </c>
      <c r="DY118" s="231">
        <f ca="1">IF(SUM(DY$24:DY117)=DY$22,0,IF(AND($M118&gt;=DY$15,$M118&lt;(DY$16+1)),DY$22/(DY$16-DY$15+1),0))</f>
        <v>0</v>
      </c>
      <c r="DZ118" s="231">
        <f ca="1">IF(SUM(DZ$24:DZ117)=DZ$22,0,IF(AND($M118&gt;=DZ$15,$M118&lt;(DZ$16+1)),DZ$22/(DZ$16-DZ$15+1),0))</f>
        <v>0</v>
      </c>
      <c r="EA118" s="231" t="e">
        <f ca="1">IF(SUM(EA$24:EA117)=EA$22,0,IF(AND(M118&gt;=EA$15,M118&lt;(EA$16+1)),EA$22/(EA$16-EA$15+1),0))</f>
        <v>#N/A</v>
      </c>
      <c r="EC118" s="234">
        <f t="shared" si="92"/>
        <v>91</v>
      </c>
      <c r="ED118" s="234" t="e">
        <f t="shared" ca="1" si="93"/>
        <v>#N/A</v>
      </c>
      <c r="EE118" s="235" t="e">
        <f t="shared" ca="1" si="94"/>
        <v>#N/A</v>
      </c>
      <c r="EF118" s="234" t="e">
        <f t="shared" ca="1" si="104"/>
        <v>#N/A</v>
      </c>
      <c r="EG118" s="234" t="e">
        <f t="shared" ca="1" si="106"/>
        <v>#N/A</v>
      </c>
      <c r="EH118" s="234" t="e">
        <f t="shared" ca="1" si="112"/>
        <v>#N/A</v>
      </c>
      <c r="EI118" s="234"/>
      <c r="EJ118" s="234"/>
      <c r="EK118" s="153" t="e">
        <f t="shared" ca="1" si="95"/>
        <v>#N/A</v>
      </c>
      <c r="EL118" s="231" t="e">
        <f ca="1">IF(SUM(EL$24:EL117)=EL$22,0,IF(AND($M118&gt;=EL$15,$M118&lt;(EL$16+1)),EL$22/(EL$16-EL$15+1),0))</f>
        <v>#N/A</v>
      </c>
      <c r="EM118" s="153" t="e">
        <f t="shared" ca="1" si="96"/>
        <v>#N/A</v>
      </c>
      <c r="EO118" s="60"/>
      <c r="EP118" s="60"/>
    </row>
    <row r="119" spans="1:146" ht="13.9" customHeight="1">
      <c r="A119" s="220"/>
      <c r="B119" s="236">
        <f t="shared" si="100"/>
        <v>92</v>
      </c>
      <c r="C119" s="221">
        <f t="shared" si="97"/>
        <v>46358.919700000144</v>
      </c>
      <c r="D119" s="222" t="e">
        <f ca="1">'Offshore INT'!R108</f>
        <v>#N/A</v>
      </c>
      <c r="E119" s="223" t="e">
        <f t="shared" ca="1" si="88"/>
        <v>#N/A</v>
      </c>
      <c r="F119" s="224"/>
      <c r="G119" s="225">
        <f>IF(G118=1,1,SUM($F$24:F119))</f>
        <v>0</v>
      </c>
      <c r="H119" s="226" t="e">
        <f ca="1">IF(H118=0,0,SUM($I$24:I119))</f>
        <v>#N/A</v>
      </c>
      <c r="I119" s="227" t="e">
        <f t="shared" ca="1" si="89"/>
        <v>#N/A</v>
      </c>
      <c r="J119" s="222">
        <f t="shared" ca="1" si="98"/>
        <v>0</v>
      </c>
      <c r="K119" s="60"/>
      <c r="L119" s="228"/>
      <c r="M119" s="228">
        <f t="shared" si="90"/>
        <v>92</v>
      </c>
      <c r="N119" s="221">
        <f t="shared" si="91"/>
        <v>46358.919700000144</v>
      </c>
      <c r="O119" s="229">
        <f t="shared" si="125"/>
        <v>0</v>
      </c>
      <c r="P119" s="229">
        <f t="shared" si="125"/>
        <v>0</v>
      </c>
      <c r="Q119" s="229">
        <f t="shared" si="125"/>
        <v>0</v>
      </c>
      <c r="R119" s="229">
        <f t="shared" si="125"/>
        <v>0</v>
      </c>
      <c r="S119" s="229">
        <f t="shared" si="125"/>
        <v>0</v>
      </c>
      <c r="T119" s="229">
        <f t="shared" si="125"/>
        <v>0</v>
      </c>
      <c r="U119" s="229">
        <f t="shared" si="125"/>
        <v>0</v>
      </c>
      <c r="V119" s="229">
        <f t="shared" si="125"/>
        <v>0</v>
      </c>
      <c r="W119" s="229">
        <f t="shared" si="125"/>
        <v>0</v>
      </c>
      <c r="X119" s="229">
        <f t="shared" si="125"/>
        <v>0</v>
      </c>
      <c r="Y119" s="229">
        <f t="shared" si="125"/>
        <v>0</v>
      </c>
      <c r="Z119" s="229">
        <f t="shared" si="125"/>
        <v>0</v>
      </c>
      <c r="AA119" s="229">
        <f t="shared" si="126"/>
        <v>0</v>
      </c>
      <c r="AB119" s="229">
        <f t="shared" si="126"/>
        <v>0</v>
      </c>
      <c r="AC119" s="229">
        <f t="shared" si="126"/>
        <v>0</v>
      </c>
      <c r="AD119" s="229">
        <f t="shared" si="126"/>
        <v>0</v>
      </c>
      <c r="AE119" s="229">
        <f t="shared" si="126"/>
        <v>0</v>
      </c>
      <c r="AF119" s="229">
        <f t="shared" si="126"/>
        <v>0</v>
      </c>
      <c r="AG119" s="229">
        <f t="shared" si="126"/>
        <v>0</v>
      </c>
      <c r="AH119" s="229">
        <f t="shared" si="126"/>
        <v>0</v>
      </c>
      <c r="AI119" s="229">
        <f t="shared" si="126"/>
        <v>0</v>
      </c>
      <c r="AJ119" s="229">
        <f t="shared" si="126"/>
        <v>0</v>
      </c>
      <c r="AK119" s="229">
        <f t="shared" si="126"/>
        <v>0</v>
      </c>
      <c r="AL119" s="229">
        <f t="shared" si="126"/>
        <v>0</v>
      </c>
      <c r="AM119" s="229">
        <f t="shared" si="126"/>
        <v>0</v>
      </c>
      <c r="AN119" s="229">
        <f t="shared" si="126"/>
        <v>0</v>
      </c>
      <c r="AO119" s="229">
        <f t="shared" si="126"/>
        <v>0</v>
      </c>
      <c r="AP119" s="229">
        <f t="shared" si="126"/>
        <v>0</v>
      </c>
      <c r="AQ119" s="229">
        <f t="shared" si="126"/>
        <v>0</v>
      </c>
      <c r="AR119" s="229">
        <f t="shared" si="126"/>
        <v>0</v>
      </c>
      <c r="AS119" s="229">
        <f t="shared" si="120"/>
        <v>0</v>
      </c>
      <c r="AT119" s="229">
        <f t="shared" si="120"/>
        <v>0</v>
      </c>
      <c r="AU119" s="229">
        <f t="shared" si="120"/>
        <v>0</v>
      </c>
      <c r="AV119" s="229">
        <f t="shared" si="120"/>
        <v>0</v>
      </c>
      <c r="AW119" s="229">
        <f t="shared" si="120"/>
        <v>0</v>
      </c>
      <c r="AX119" s="229">
        <f t="shared" si="126"/>
        <v>0</v>
      </c>
      <c r="AY119" s="229">
        <f t="shared" si="126"/>
        <v>0</v>
      </c>
      <c r="AZ119" s="229">
        <f t="shared" si="126"/>
        <v>0</v>
      </c>
      <c r="BA119" s="229">
        <f t="shared" si="126"/>
        <v>0</v>
      </c>
      <c r="BB119" s="229">
        <f t="shared" si="126"/>
        <v>0</v>
      </c>
      <c r="BC119" s="229">
        <f t="shared" si="126"/>
        <v>0</v>
      </c>
      <c r="BD119" s="229">
        <f t="shared" si="127"/>
        <v>0</v>
      </c>
      <c r="BE119" s="229">
        <f t="shared" si="127"/>
        <v>0</v>
      </c>
      <c r="BF119" s="229">
        <f t="shared" si="127"/>
        <v>0</v>
      </c>
      <c r="BG119" s="229">
        <f t="shared" si="127"/>
        <v>0</v>
      </c>
      <c r="BH119" s="229">
        <f t="shared" si="127"/>
        <v>0</v>
      </c>
      <c r="BI119" s="229">
        <f t="shared" si="127"/>
        <v>0</v>
      </c>
      <c r="BJ119" s="229">
        <f t="shared" si="127"/>
        <v>0</v>
      </c>
      <c r="BK119" s="229">
        <f t="shared" si="127"/>
        <v>0</v>
      </c>
      <c r="BL119" s="229">
        <f t="shared" si="127"/>
        <v>0</v>
      </c>
      <c r="BM119" s="229">
        <f t="shared" si="127"/>
        <v>0</v>
      </c>
      <c r="BN119" s="229">
        <f t="shared" si="127"/>
        <v>0</v>
      </c>
      <c r="BO119" s="229">
        <f t="shared" si="127"/>
        <v>0</v>
      </c>
      <c r="BP119" s="229">
        <f t="shared" si="127"/>
        <v>0</v>
      </c>
      <c r="BQ119" s="229">
        <f t="shared" si="128"/>
        <v>0</v>
      </c>
      <c r="BR119" s="229">
        <f t="shared" si="128"/>
        <v>0</v>
      </c>
      <c r="BS119" s="229">
        <f t="shared" si="128"/>
        <v>0</v>
      </c>
      <c r="BT119" s="229">
        <f t="shared" si="128"/>
        <v>0</v>
      </c>
      <c r="BU119" s="229">
        <f t="shared" si="128"/>
        <v>0</v>
      </c>
      <c r="BV119" s="229">
        <f t="shared" si="128"/>
        <v>0</v>
      </c>
      <c r="BW119" s="229">
        <f t="shared" si="128"/>
        <v>0</v>
      </c>
      <c r="BX119" s="229">
        <f t="shared" si="128"/>
        <v>0</v>
      </c>
      <c r="BY119" s="229">
        <f t="shared" si="128"/>
        <v>0</v>
      </c>
      <c r="BZ119" s="229">
        <f t="shared" si="128"/>
        <v>0</v>
      </c>
      <c r="CA119" s="229">
        <f t="shared" si="128"/>
        <v>0</v>
      </c>
      <c r="CB119" s="229">
        <f t="shared" si="128"/>
        <v>0</v>
      </c>
      <c r="CC119" s="229">
        <f t="shared" si="128"/>
        <v>0</v>
      </c>
      <c r="CD119" s="229">
        <f t="shared" si="129"/>
        <v>0</v>
      </c>
      <c r="CE119" s="229">
        <f t="shared" ref="CE119:CE128" si="130">IF($M119=CE$13,CE$22*CE$3,IF($M119=CE$14,CE$22*CE$4,IF($M119=CE$15,CE$22*CE$5,IF($M119=CE$16,CE$22*CE$6,IF($M119=CE$17,CE$22*CE$7,IF($M119=CE$18,CE$22*CE$8,IF($M119=CE$19,CE$22*CE$9,IF($M119=CE$20,CE$22*CE$10,0))))))))</f>
        <v>0</v>
      </c>
      <c r="CF119" s="229">
        <f t="shared" si="129"/>
        <v>0</v>
      </c>
      <c r="CG119" s="229">
        <f t="shared" si="129"/>
        <v>0</v>
      </c>
      <c r="CH119" s="229">
        <f t="shared" si="129"/>
        <v>0</v>
      </c>
      <c r="CI119" s="229">
        <f t="shared" si="129"/>
        <v>0</v>
      </c>
      <c r="CJ119" s="229">
        <f t="shared" si="70"/>
        <v>0</v>
      </c>
      <c r="CK119" s="229">
        <f t="shared" si="129"/>
        <v>0</v>
      </c>
      <c r="CL119" s="229">
        <f t="shared" si="129"/>
        <v>0</v>
      </c>
      <c r="CM119" s="229">
        <f t="shared" si="129"/>
        <v>0</v>
      </c>
      <c r="CN119" s="229">
        <f t="shared" si="129"/>
        <v>0</v>
      </c>
      <c r="CO119" s="229">
        <f t="shared" si="124"/>
        <v>0</v>
      </c>
      <c r="CP119" s="229">
        <f t="shared" si="124"/>
        <v>0</v>
      </c>
      <c r="CQ119" s="229">
        <f t="shared" si="129"/>
        <v>0</v>
      </c>
      <c r="CR119" s="229">
        <f t="shared" si="129"/>
        <v>0</v>
      </c>
      <c r="CS119" s="229">
        <f t="shared" si="129"/>
        <v>0</v>
      </c>
      <c r="CT119" s="229">
        <f t="shared" si="129"/>
        <v>0</v>
      </c>
      <c r="CU119" s="230"/>
      <c r="CV119" s="231"/>
      <c r="CW119" s="231"/>
      <c r="CX119" s="231"/>
      <c r="CY119" s="231"/>
      <c r="CZ119" s="231"/>
      <c r="DA119" s="231"/>
      <c r="DB119" s="231"/>
      <c r="DC119" s="231"/>
      <c r="DD119" s="231">
        <f>IF(SUM(DD$24:DD118)=DD$22,0,IF(AND($M119&gt;=DD$15,$M119&lt;(DD$16+1)),DD$22/(DD$16-DD$15+1),0))</f>
        <v>0</v>
      </c>
      <c r="DE119" s="231">
        <f>IF(SUM(DE$24:DE118)=DE$22,0,IF(AND($M119&gt;=DE$15,$M119&lt;(DE$16+1)),DE$22/(DE$16-DE$15+1),0))</f>
        <v>0</v>
      </c>
      <c r="DF119" s="231">
        <f>IF(SUM(DF$24:DF118)=DF$22,0,IF(AND($M119&gt;=DF$15,$M119&lt;(DF$16+1)),DF$22/(DF$16-DF$15+1),0))</f>
        <v>0</v>
      </c>
      <c r="DG119" s="231">
        <f>IF(SUM(DG$24:DG118)=DG$22,0,IF(AND($M119&gt;=DG$15,$M119&lt;(DG$16+1)),DG$22/(DG$16-DG$15+1),0))</f>
        <v>0</v>
      </c>
      <c r="DH119" s="231">
        <f t="shared" si="123"/>
        <v>0</v>
      </c>
      <c r="DI119" s="231">
        <f t="shared" si="123"/>
        <v>0</v>
      </c>
      <c r="DJ119" s="231">
        <f t="shared" si="123"/>
        <v>0</v>
      </c>
      <c r="DK119" s="231">
        <f t="shared" si="123"/>
        <v>0</v>
      </c>
      <c r="DL119" s="231">
        <f t="shared" si="123"/>
        <v>0</v>
      </c>
      <c r="DM119" s="231">
        <f t="shared" si="123"/>
        <v>0</v>
      </c>
      <c r="DN119" s="231">
        <f t="shared" si="119"/>
        <v>0</v>
      </c>
      <c r="DO119" s="231">
        <f t="shared" si="123"/>
        <v>0</v>
      </c>
      <c r="DP119" s="231">
        <f t="shared" si="123"/>
        <v>0</v>
      </c>
      <c r="DQ119" s="231">
        <f t="shared" si="123"/>
        <v>0</v>
      </c>
      <c r="DR119" s="231">
        <f t="shared" si="123"/>
        <v>0</v>
      </c>
      <c r="DS119" s="231">
        <f t="shared" si="123"/>
        <v>0</v>
      </c>
      <c r="DT119" s="231">
        <f ca="1">IF(SUM(DT$24:DT118)=DT$22,0,IF(AND($M119&gt;=DT$15,$M119&lt;(DT$16+1)),DT$22/(DT$16-DT$15+1),0))</f>
        <v>0</v>
      </c>
      <c r="DU119" s="231">
        <f ca="1">IF(SUM(DU$24:DU118)=DU$22,0,IF(AND($M119&gt;=DU$15,$M119&lt;(DU$16+1)),DU$22/(DU$16-DU$15+1),0))</f>
        <v>0</v>
      </c>
      <c r="DV119" s="231">
        <f ca="1">IF(SUM(DV$24:DV118)=DV$22,0,IF(AND(M119&gt;=DV$15,M119&lt;(DV$16+1)),DV$22/(DV$16-DV$15+1),0))</f>
        <v>0</v>
      </c>
      <c r="DW119" s="231" t="e">
        <f ca="1">IF(SUM(DW$24:DW118)=DW$22,0,IF(AND($M119&gt;=DW$15,$M119&lt;(DW$16+1)),DW$22/(DW$16-DW$15+1),0))</f>
        <v>#N/A</v>
      </c>
      <c r="DX119" s="231">
        <f ca="1">IF(SUM(DX$24:DX118)=DX$22,0,IF(AND($M119&gt;=DX$15,$M119&lt;(DX$16+1)),DX$22/(DX$16-DX$15+1),0))</f>
        <v>0</v>
      </c>
      <c r="DY119" s="231">
        <f ca="1">IF(SUM(DY$24:DY118)=DY$22,0,IF(AND($M119&gt;=DY$15,$M119&lt;(DY$16+1)),DY$22/(DY$16-DY$15+1),0))</f>
        <v>0</v>
      </c>
      <c r="DZ119" s="231">
        <f ca="1">IF(SUM(DZ$24:DZ118)=DZ$22,0,IF(AND($M119&gt;=DZ$15,$M119&lt;(DZ$16+1)),DZ$22/(DZ$16-DZ$15+1),0))</f>
        <v>0</v>
      </c>
      <c r="EA119" s="231" t="e">
        <f ca="1">IF(SUM(EA$24:EA118)=EA$22,0,IF(AND(M119&gt;=EA$15,M119&lt;(EA$16+1)),EA$22/(EA$16-EA$15+1),0))</f>
        <v>#N/A</v>
      </c>
      <c r="EC119" s="234">
        <f t="shared" si="92"/>
        <v>92</v>
      </c>
      <c r="ED119" s="234" t="e">
        <f t="shared" ca="1" si="93"/>
        <v>#N/A</v>
      </c>
      <c r="EE119" s="235" t="e">
        <f t="shared" ca="1" si="94"/>
        <v>#N/A</v>
      </c>
      <c r="EF119" s="234" t="e">
        <f t="shared" ca="1" si="104"/>
        <v>#N/A</v>
      </c>
      <c r="EG119" s="234" t="e">
        <f t="shared" ca="1" si="106"/>
        <v>#N/A</v>
      </c>
      <c r="EH119" s="234" t="e">
        <f t="shared" ca="1" si="112"/>
        <v>#N/A</v>
      </c>
      <c r="EI119" s="234"/>
      <c r="EJ119" s="234"/>
      <c r="EK119" s="153" t="e">
        <f t="shared" ca="1" si="95"/>
        <v>#N/A</v>
      </c>
      <c r="EL119" s="231" t="e">
        <f ca="1">IF(SUM(EL$24:EL118)=EL$22,0,IF(AND($M119&gt;=EL$15,$M119&lt;(EL$16+1)),EL$22/(EL$16-EL$15+1),0))</f>
        <v>#N/A</v>
      </c>
      <c r="EM119" s="153" t="e">
        <f t="shared" ca="1" si="96"/>
        <v>#N/A</v>
      </c>
      <c r="EO119" s="60"/>
      <c r="EP119" s="60"/>
    </row>
    <row r="120" spans="1:146" ht="13.9" customHeight="1">
      <c r="A120" s="220"/>
      <c r="B120" s="236">
        <f t="shared" si="100"/>
        <v>93</v>
      </c>
      <c r="C120" s="221">
        <f t="shared" si="97"/>
        <v>46389.336400000146</v>
      </c>
      <c r="D120" s="222" t="e">
        <f ca="1">'Offshore INT'!R109</f>
        <v>#N/A</v>
      </c>
      <c r="E120" s="223" t="e">
        <f t="shared" ref="E120:E151" ca="1" si="131">F120*I$4</f>
        <v>#N/A</v>
      </c>
      <c r="F120" s="224"/>
      <c r="G120" s="225">
        <f>IF(G119=1,1,SUM($F$24:F120))</f>
        <v>0</v>
      </c>
      <c r="H120" s="226" t="e">
        <f ca="1">IF(H119=0,0,SUM($I$24:I120))</f>
        <v>#N/A</v>
      </c>
      <c r="I120" s="227" t="e">
        <f t="shared" ref="I120:I151" ca="1" si="132">IF(I$3=0,0,J120/I$3)</f>
        <v>#N/A</v>
      </c>
      <c r="J120" s="222">
        <f t="shared" ca="1" si="98"/>
        <v>0</v>
      </c>
      <c r="K120" s="60"/>
      <c r="L120" s="228"/>
      <c r="M120" s="228">
        <f t="shared" ref="M120:M153" si="133">B120</f>
        <v>93</v>
      </c>
      <c r="N120" s="221">
        <f t="shared" ref="N120:N153" si="134">C120</f>
        <v>46389.336400000146</v>
      </c>
      <c r="O120" s="229">
        <f t="shared" si="125"/>
        <v>0</v>
      </c>
      <c r="P120" s="229">
        <f t="shared" si="125"/>
        <v>0</v>
      </c>
      <c r="Q120" s="229">
        <f t="shared" si="125"/>
        <v>0</v>
      </c>
      <c r="R120" s="229">
        <f t="shared" si="125"/>
        <v>0</v>
      </c>
      <c r="S120" s="229">
        <f t="shared" si="125"/>
        <v>0</v>
      </c>
      <c r="T120" s="229">
        <f t="shared" si="125"/>
        <v>0</v>
      </c>
      <c r="U120" s="229">
        <f t="shared" si="125"/>
        <v>0</v>
      </c>
      <c r="V120" s="229">
        <f t="shared" si="125"/>
        <v>0</v>
      </c>
      <c r="W120" s="229">
        <f t="shared" si="125"/>
        <v>0</v>
      </c>
      <c r="X120" s="229">
        <f t="shared" si="125"/>
        <v>0</v>
      </c>
      <c r="Y120" s="229">
        <f t="shared" si="125"/>
        <v>0</v>
      </c>
      <c r="Z120" s="229">
        <f t="shared" si="125"/>
        <v>0</v>
      </c>
      <c r="AA120" s="229">
        <f t="shared" si="126"/>
        <v>0</v>
      </c>
      <c r="AB120" s="229">
        <f t="shared" si="126"/>
        <v>0</v>
      </c>
      <c r="AC120" s="229">
        <f t="shared" si="126"/>
        <v>0</v>
      </c>
      <c r="AD120" s="229">
        <f t="shared" si="126"/>
        <v>0</v>
      </c>
      <c r="AE120" s="229">
        <f t="shared" si="126"/>
        <v>0</v>
      </c>
      <c r="AF120" s="229">
        <f t="shared" si="126"/>
        <v>0</v>
      </c>
      <c r="AG120" s="229">
        <f t="shared" si="126"/>
        <v>0</v>
      </c>
      <c r="AH120" s="229">
        <f t="shared" si="126"/>
        <v>0</v>
      </c>
      <c r="AI120" s="229">
        <f t="shared" si="126"/>
        <v>0</v>
      </c>
      <c r="AJ120" s="229">
        <f t="shared" si="126"/>
        <v>0</v>
      </c>
      <c r="AK120" s="229">
        <f t="shared" si="126"/>
        <v>0</v>
      </c>
      <c r="AL120" s="229">
        <f t="shared" si="126"/>
        <v>0</v>
      </c>
      <c r="AM120" s="229">
        <f t="shared" si="126"/>
        <v>0</v>
      </c>
      <c r="AN120" s="229">
        <f t="shared" si="126"/>
        <v>0</v>
      </c>
      <c r="AO120" s="229">
        <f t="shared" ref="AM120:AO123" si="135">IF($M120=AO$13,AO$22*AO$3,IF($M120=AO$14,AO$22*AO$4,IF($M120=AO$15,AO$22*AO$5,IF($M120=AO$16,AO$22*AO$6,IF($M120=AO$17,AO$22*AO$7,IF($M120=AO$18,AO$22*AO$8,IF($M120=AO$19,AO$22*AO$9,IF($M120=AO$20,AO$22*AO$10,0))))))))</f>
        <v>0</v>
      </c>
      <c r="AP120" s="229">
        <f t="shared" si="126"/>
        <v>0</v>
      </c>
      <c r="AQ120" s="229">
        <f t="shared" si="126"/>
        <v>0</v>
      </c>
      <c r="AR120" s="229">
        <f t="shared" si="126"/>
        <v>0</v>
      </c>
      <c r="AS120" s="229">
        <f t="shared" si="120"/>
        <v>0</v>
      </c>
      <c r="AT120" s="229">
        <f t="shared" si="120"/>
        <v>0</v>
      </c>
      <c r="AU120" s="229">
        <f t="shared" si="120"/>
        <v>0</v>
      </c>
      <c r="AV120" s="229">
        <f t="shared" si="120"/>
        <v>0</v>
      </c>
      <c r="AW120" s="229">
        <f t="shared" si="120"/>
        <v>0</v>
      </c>
      <c r="AX120" s="229">
        <f t="shared" si="126"/>
        <v>0</v>
      </c>
      <c r="AY120" s="229">
        <f t="shared" si="126"/>
        <v>0</v>
      </c>
      <c r="AZ120" s="229">
        <f t="shared" si="126"/>
        <v>0</v>
      </c>
      <c r="BA120" s="229">
        <f t="shared" si="126"/>
        <v>0</v>
      </c>
      <c r="BB120" s="229">
        <f t="shared" si="126"/>
        <v>0</v>
      </c>
      <c r="BC120" s="229">
        <f t="shared" si="126"/>
        <v>0</v>
      </c>
      <c r="BD120" s="229">
        <f t="shared" si="127"/>
        <v>0</v>
      </c>
      <c r="BE120" s="229">
        <f t="shared" si="127"/>
        <v>0</v>
      </c>
      <c r="BF120" s="229">
        <f t="shared" si="127"/>
        <v>0</v>
      </c>
      <c r="BG120" s="229">
        <f t="shared" si="127"/>
        <v>0</v>
      </c>
      <c r="BH120" s="229">
        <f t="shared" si="127"/>
        <v>0</v>
      </c>
      <c r="BI120" s="229">
        <f t="shared" si="127"/>
        <v>0</v>
      </c>
      <c r="BJ120" s="229">
        <f t="shared" si="127"/>
        <v>0</v>
      </c>
      <c r="BK120" s="229">
        <f t="shared" si="127"/>
        <v>0</v>
      </c>
      <c r="BL120" s="229">
        <f t="shared" si="127"/>
        <v>0</v>
      </c>
      <c r="BM120" s="229">
        <f t="shared" si="127"/>
        <v>0</v>
      </c>
      <c r="BN120" s="229">
        <f t="shared" si="127"/>
        <v>0</v>
      </c>
      <c r="BO120" s="229">
        <f t="shared" si="127"/>
        <v>0</v>
      </c>
      <c r="BP120" s="229">
        <f t="shared" si="127"/>
        <v>0</v>
      </c>
      <c r="BQ120" s="229">
        <f t="shared" si="128"/>
        <v>0</v>
      </c>
      <c r="BR120" s="229">
        <f t="shared" si="128"/>
        <v>0</v>
      </c>
      <c r="BS120" s="229">
        <f t="shared" si="128"/>
        <v>0</v>
      </c>
      <c r="BT120" s="229">
        <f t="shared" si="128"/>
        <v>0</v>
      </c>
      <c r="BU120" s="229">
        <f t="shared" si="128"/>
        <v>0</v>
      </c>
      <c r="BV120" s="229">
        <f t="shared" si="128"/>
        <v>0</v>
      </c>
      <c r="BW120" s="229">
        <f t="shared" si="128"/>
        <v>0</v>
      </c>
      <c r="BX120" s="229">
        <f t="shared" si="128"/>
        <v>0</v>
      </c>
      <c r="BY120" s="229">
        <f t="shared" si="128"/>
        <v>0</v>
      </c>
      <c r="BZ120" s="229">
        <f t="shared" si="128"/>
        <v>0</v>
      </c>
      <c r="CA120" s="229">
        <f t="shared" si="128"/>
        <v>0</v>
      </c>
      <c r="CB120" s="229">
        <f t="shared" si="128"/>
        <v>0</v>
      </c>
      <c r="CC120" s="229">
        <f t="shared" si="128"/>
        <v>0</v>
      </c>
      <c r="CD120" s="229">
        <f t="shared" si="129"/>
        <v>0</v>
      </c>
      <c r="CE120" s="229">
        <f t="shared" si="130"/>
        <v>0</v>
      </c>
      <c r="CF120" s="229">
        <f t="shared" si="129"/>
        <v>0</v>
      </c>
      <c r="CG120" s="229">
        <f t="shared" si="129"/>
        <v>0</v>
      </c>
      <c r="CH120" s="229">
        <f t="shared" si="129"/>
        <v>0</v>
      </c>
      <c r="CI120" s="229">
        <f t="shared" si="129"/>
        <v>0</v>
      </c>
      <c r="CJ120" s="229">
        <f t="shared" si="70"/>
        <v>0</v>
      </c>
      <c r="CK120" s="229">
        <f t="shared" si="129"/>
        <v>0</v>
      </c>
      <c r="CL120" s="229">
        <f t="shared" si="129"/>
        <v>0</v>
      </c>
      <c r="CM120" s="229">
        <f t="shared" si="129"/>
        <v>0</v>
      </c>
      <c r="CN120" s="229">
        <f t="shared" si="129"/>
        <v>0</v>
      </c>
      <c r="CO120" s="229">
        <f t="shared" si="124"/>
        <v>0</v>
      </c>
      <c r="CP120" s="229">
        <f t="shared" si="124"/>
        <v>0</v>
      </c>
      <c r="CQ120" s="229">
        <f t="shared" si="129"/>
        <v>0</v>
      </c>
      <c r="CR120" s="229">
        <f t="shared" si="129"/>
        <v>0</v>
      </c>
      <c r="CS120" s="229">
        <f t="shared" si="129"/>
        <v>0</v>
      </c>
      <c r="CT120" s="229">
        <f t="shared" si="129"/>
        <v>0</v>
      </c>
      <c r="CU120" s="230"/>
      <c r="CV120" s="243"/>
      <c r="CW120" s="243"/>
      <c r="CX120" s="243"/>
      <c r="CY120" s="243"/>
      <c r="CZ120" s="243"/>
      <c r="DA120" s="243"/>
      <c r="DB120" s="243"/>
      <c r="DC120" s="231"/>
      <c r="DD120" s="231">
        <f>IF(SUM(DD$24:DD119)=DD$22,0,IF(AND($M120&gt;=DD$15,$M120&lt;(DD$16+1)),DD$22/(DD$16-DD$15+1),0))</f>
        <v>0</v>
      </c>
      <c r="DE120" s="231">
        <f>IF(SUM(DE$24:DE119)=DE$22,0,IF(AND($M120&gt;=DE$15,$M120&lt;(DE$16+1)),DE$22/(DE$16-DE$15+1),0))</f>
        <v>0</v>
      </c>
      <c r="DF120" s="231">
        <f>IF(SUM(DF$24:DF119)=DF$22,0,IF(AND($M120&gt;=DF$15,$M120&lt;(DF$16+1)),DF$22/(DF$16-DF$15+1),0))</f>
        <v>0</v>
      </c>
      <c r="DG120" s="231">
        <f>IF(SUM(DG$24:DG119)=DG$22,0,IF(AND($M120&gt;=DG$15,$M120&lt;(DG$16+1)),DG$22/(DG$16-DG$15+1),0))</f>
        <v>0</v>
      </c>
      <c r="DH120" s="231">
        <f t="shared" si="123"/>
        <v>0</v>
      </c>
      <c r="DI120" s="231">
        <f t="shared" si="123"/>
        <v>0</v>
      </c>
      <c r="DJ120" s="231">
        <f t="shared" si="123"/>
        <v>0</v>
      </c>
      <c r="DK120" s="231">
        <f t="shared" si="123"/>
        <v>0</v>
      </c>
      <c r="DL120" s="231">
        <f t="shared" si="123"/>
        <v>0</v>
      </c>
      <c r="DM120" s="231">
        <f t="shared" si="123"/>
        <v>0</v>
      </c>
      <c r="DN120" s="231">
        <f t="shared" si="119"/>
        <v>0</v>
      </c>
      <c r="DO120" s="231">
        <f t="shared" si="123"/>
        <v>0</v>
      </c>
      <c r="DP120" s="231">
        <f t="shared" si="123"/>
        <v>0</v>
      </c>
      <c r="DQ120" s="231">
        <f t="shared" si="123"/>
        <v>0</v>
      </c>
      <c r="DR120" s="231">
        <f t="shared" si="123"/>
        <v>0</v>
      </c>
      <c r="DS120" s="231">
        <f t="shared" si="123"/>
        <v>0</v>
      </c>
      <c r="DT120" s="231">
        <f ca="1">IF(SUM(DT$24:DT119)=DT$22,0,IF(AND($M120&gt;=DT$15,$M120&lt;(DT$16+1)),DT$22/(DT$16-DT$15+1),0))</f>
        <v>0</v>
      </c>
      <c r="DU120" s="231">
        <f ca="1">IF(SUM(DU$24:DU119)=DU$22,0,IF(AND($M120&gt;=DU$15,$M120&lt;(DU$16+1)),DU$22/(DU$16-DU$15+1),0))</f>
        <v>0</v>
      </c>
      <c r="DV120" s="231">
        <f ca="1">IF(SUM(DV$24:DV119)=DV$22,0,IF(AND(M120&gt;=DV$15,M120&lt;(DV$16+1)),DV$22/(DV$16-DV$15+1),0))</f>
        <v>0</v>
      </c>
      <c r="DW120" s="231" t="e">
        <f ca="1">IF(SUM(DW$24:DW119)=DW$22,0,IF(AND($M120&gt;=DW$15,$M120&lt;(DW$16+1)),DW$22/(DW$16-DW$15+1),0))</f>
        <v>#N/A</v>
      </c>
      <c r="DX120" s="231">
        <f ca="1">IF(SUM(DX$24:DX119)=DX$22,0,IF(AND($M120&gt;=DX$15,$M120&lt;(DX$16+1)),DX$22/(DX$16-DX$15+1),0))</f>
        <v>0</v>
      </c>
      <c r="DY120" s="231">
        <f ca="1">IF(SUM(DY$24:DY119)=DY$22,0,IF(AND($M120&gt;=DY$15,$M120&lt;(DY$16+1)),DY$22/(DY$16-DY$15+1),0))</f>
        <v>0</v>
      </c>
      <c r="DZ120" s="231">
        <f ca="1">IF(SUM(DZ$24:DZ119)=DZ$22,0,IF(AND($M120&gt;=DZ$15,$M120&lt;(DZ$16+1)),DZ$22/(DZ$16-DZ$15+1),0))</f>
        <v>0</v>
      </c>
      <c r="EA120" s="231" t="e">
        <f ca="1">IF(SUM(EA$24:EA119)=EA$22,0,IF(AND(M120&gt;=EA$15,M120&lt;(EA$16+1)),EA$22/(EA$16-EA$15+1),0))</f>
        <v>#N/A</v>
      </c>
      <c r="EC120" s="234">
        <f t="shared" ref="EC120:EC153" si="136">M120</f>
        <v>93</v>
      </c>
      <c r="ED120" s="234" t="e">
        <f t="shared" ref="ED120:ED153" ca="1" si="137">SUM(O120:EA120)</f>
        <v>#N/A</v>
      </c>
      <c r="EE120" s="235" t="e">
        <f t="shared" ref="EE120:EE151" ca="1" si="138">ED120/ED$22</f>
        <v>#N/A</v>
      </c>
      <c r="EF120" s="234" t="e">
        <f t="shared" ca="1" si="104"/>
        <v>#N/A</v>
      </c>
      <c r="EG120" s="234" t="e">
        <f t="shared" ca="1" si="106"/>
        <v>#N/A</v>
      </c>
      <c r="EH120" s="234" t="e">
        <f t="shared" ca="1" si="112"/>
        <v>#N/A</v>
      </c>
      <c r="EI120" s="234"/>
      <c r="EJ120" s="234"/>
      <c r="EK120" s="153" t="e">
        <f t="shared" ref="EK120:EK151" ca="1" si="139">SUM(ED120,EF120:EJ120)</f>
        <v>#N/A</v>
      </c>
      <c r="EL120" s="231" t="e">
        <f ca="1">IF(SUM(EL$24:EL119)=EL$22,0,IF(AND($M120&gt;=EL$15,$M120&lt;(EL$16+1)),EL$22/(EL$16-EL$15+1),0))</f>
        <v>#N/A</v>
      </c>
      <c r="EM120" s="153" t="e">
        <f t="shared" ref="EM120:EM151" ca="1" si="140">SUM(EK120:EL120)</f>
        <v>#N/A</v>
      </c>
      <c r="EO120" s="60"/>
      <c r="EP120" s="60"/>
    </row>
    <row r="121" spans="1:146" ht="13.9" customHeight="1">
      <c r="A121" s="220"/>
      <c r="B121" s="236">
        <f t="shared" si="100"/>
        <v>94</v>
      </c>
      <c r="C121" s="221">
        <f t="shared" ref="C121:C153" si="141">C120+30.4167</f>
        <v>46419.753100000147</v>
      </c>
      <c r="D121" s="222" t="e">
        <f ca="1">'Offshore INT'!R110</f>
        <v>#N/A</v>
      </c>
      <c r="E121" s="223" t="e">
        <f t="shared" ca="1" si="131"/>
        <v>#N/A</v>
      </c>
      <c r="F121" s="224"/>
      <c r="G121" s="225">
        <f>IF(G120=1,1,SUM($F$24:F121))</f>
        <v>0</v>
      </c>
      <c r="H121" s="226" t="e">
        <f ca="1">IF(H120=0,0,SUM($I$24:I121))</f>
        <v>#N/A</v>
      </c>
      <c r="I121" s="227" t="e">
        <f t="shared" ca="1" si="132"/>
        <v>#N/A</v>
      </c>
      <c r="J121" s="222">
        <f t="shared" ca="1" si="98"/>
        <v>0</v>
      </c>
      <c r="K121" s="60"/>
      <c r="L121" s="228"/>
      <c r="M121" s="228">
        <f t="shared" si="133"/>
        <v>94</v>
      </c>
      <c r="N121" s="221">
        <f t="shared" si="134"/>
        <v>46419.753100000147</v>
      </c>
      <c r="O121" s="229">
        <f t="shared" si="125"/>
        <v>0</v>
      </c>
      <c r="P121" s="229">
        <f t="shared" si="125"/>
        <v>0</v>
      </c>
      <c r="Q121" s="229">
        <f t="shared" si="125"/>
        <v>0</v>
      </c>
      <c r="R121" s="229">
        <f t="shared" si="125"/>
        <v>0</v>
      </c>
      <c r="S121" s="229">
        <f t="shared" si="125"/>
        <v>0</v>
      </c>
      <c r="T121" s="229">
        <f t="shared" si="125"/>
        <v>0</v>
      </c>
      <c r="U121" s="229">
        <f t="shared" si="125"/>
        <v>0</v>
      </c>
      <c r="V121" s="229">
        <f t="shared" si="125"/>
        <v>0</v>
      </c>
      <c r="W121" s="229">
        <f t="shared" si="125"/>
        <v>0</v>
      </c>
      <c r="X121" s="229">
        <f t="shared" si="125"/>
        <v>0</v>
      </c>
      <c r="Y121" s="229">
        <f t="shared" si="125"/>
        <v>0</v>
      </c>
      <c r="Z121" s="229">
        <f t="shared" si="125"/>
        <v>0</v>
      </c>
      <c r="AA121" s="229">
        <f t="shared" si="126"/>
        <v>0</v>
      </c>
      <c r="AB121" s="229">
        <f t="shared" si="126"/>
        <v>0</v>
      </c>
      <c r="AC121" s="229">
        <f t="shared" si="126"/>
        <v>0</v>
      </c>
      <c r="AD121" s="229">
        <f t="shared" si="126"/>
        <v>0</v>
      </c>
      <c r="AE121" s="229">
        <f t="shared" si="126"/>
        <v>0</v>
      </c>
      <c r="AF121" s="229">
        <f t="shared" si="126"/>
        <v>0</v>
      </c>
      <c r="AG121" s="229">
        <f t="shared" si="126"/>
        <v>0</v>
      </c>
      <c r="AH121" s="229">
        <f t="shared" si="126"/>
        <v>0</v>
      </c>
      <c r="AI121" s="229">
        <f t="shared" si="126"/>
        <v>0</v>
      </c>
      <c r="AJ121" s="229">
        <f t="shared" si="126"/>
        <v>0</v>
      </c>
      <c r="AK121" s="229">
        <f t="shared" si="126"/>
        <v>0</v>
      </c>
      <c r="AL121" s="229">
        <f t="shared" si="126"/>
        <v>0</v>
      </c>
      <c r="AM121" s="229">
        <f t="shared" si="135"/>
        <v>0</v>
      </c>
      <c r="AN121" s="229">
        <f t="shared" si="135"/>
        <v>0</v>
      </c>
      <c r="AO121" s="229">
        <f t="shared" si="135"/>
        <v>0</v>
      </c>
      <c r="AP121" s="229">
        <f t="shared" si="126"/>
        <v>0</v>
      </c>
      <c r="AQ121" s="229">
        <f t="shared" si="126"/>
        <v>0</v>
      </c>
      <c r="AR121" s="229">
        <f t="shared" si="126"/>
        <v>0</v>
      </c>
      <c r="AS121" s="229">
        <f t="shared" si="120"/>
        <v>0</v>
      </c>
      <c r="AT121" s="229">
        <f t="shared" si="120"/>
        <v>0</v>
      </c>
      <c r="AU121" s="229">
        <f t="shared" si="120"/>
        <v>0</v>
      </c>
      <c r="AV121" s="229">
        <f t="shared" si="120"/>
        <v>0</v>
      </c>
      <c r="AW121" s="229">
        <f t="shared" si="120"/>
        <v>0</v>
      </c>
      <c r="AX121" s="229">
        <f t="shared" si="126"/>
        <v>0</v>
      </c>
      <c r="AY121" s="229">
        <f t="shared" si="126"/>
        <v>0</v>
      </c>
      <c r="AZ121" s="229">
        <f t="shared" si="126"/>
        <v>0</v>
      </c>
      <c r="BA121" s="229">
        <f t="shared" si="126"/>
        <v>0</v>
      </c>
      <c r="BB121" s="229">
        <f t="shared" si="126"/>
        <v>0</v>
      </c>
      <c r="BC121" s="229">
        <f t="shared" si="126"/>
        <v>0</v>
      </c>
      <c r="BD121" s="229">
        <f t="shared" si="127"/>
        <v>0</v>
      </c>
      <c r="BE121" s="229">
        <f t="shared" si="127"/>
        <v>0</v>
      </c>
      <c r="BF121" s="229">
        <f t="shared" si="127"/>
        <v>0</v>
      </c>
      <c r="BG121" s="229">
        <f t="shared" si="127"/>
        <v>0</v>
      </c>
      <c r="BH121" s="229">
        <f t="shared" si="127"/>
        <v>0</v>
      </c>
      <c r="BI121" s="229">
        <f t="shared" si="127"/>
        <v>0</v>
      </c>
      <c r="BJ121" s="229">
        <f t="shared" si="127"/>
        <v>0</v>
      </c>
      <c r="BK121" s="229">
        <f t="shared" si="127"/>
        <v>0</v>
      </c>
      <c r="BL121" s="229">
        <f t="shared" si="127"/>
        <v>0</v>
      </c>
      <c r="BM121" s="229">
        <f t="shared" si="127"/>
        <v>0</v>
      </c>
      <c r="BN121" s="229">
        <f t="shared" si="127"/>
        <v>0</v>
      </c>
      <c r="BO121" s="229">
        <f t="shared" si="127"/>
        <v>0</v>
      </c>
      <c r="BP121" s="229">
        <f t="shared" si="127"/>
        <v>0</v>
      </c>
      <c r="BQ121" s="229">
        <f t="shared" si="128"/>
        <v>0</v>
      </c>
      <c r="BR121" s="229">
        <f t="shared" si="128"/>
        <v>0</v>
      </c>
      <c r="BS121" s="229">
        <f t="shared" si="128"/>
        <v>0</v>
      </c>
      <c r="BT121" s="229">
        <f t="shared" si="128"/>
        <v>0</v>
      </c>
      <c r="BU121" s="229">
        <f t="shared" si="128"/>
        <v>0</v>
      </c>
      <c r="BV121" s="229">
        <f t="shared" si="128"/>
        <v>0</v>
      </c>
      <c r="BW121" s="229">
        <f t="shared" si="128"/>
        <v>0</v>
      </c>
      <c r="BX121" s="229">
        <f t="shared" si="128"/>
        <v>0</v>
      </c>
      <c r="BY121" s="229">
        <f t="shared" si="128"/>
        <v>0</v>
      </c>
      <c r="BZ121" s="229">
        <f t="shared" si="128"/>
        <v>0</v>
      </c>
      <c r="CA121" s="229">
        <f t="shared" si="128"/>
        <v>0</v>
      </c>
      <c r="CB121" s="229">
        <f t="shared" si="128"/>
        <v>0</v>
      </c>
      <c r="CC121" s="229">
        <f t="shared" si="128"/>
        <v>0</v>
      </c>
      <c r="CD121" s="229">
        <f t="shared" si="129"/>
        <v>0</v>
      </c>
      <c r="CE121" s="229">
        <f t="shared" si="130"/>
        <v>0</v>
      </c>
      <c r="CF121" s="229">
        <f t="shared" si="129"/>
        <v>0</v>
      </c>
      <c r="CG121" s="229">
        <f t="shared" si="129"/>
        <v>0</v>
      </c>
      <c r="CH121" s="229">
        <f t="shared" si="129"/>
        <v>0</v>
      </c>
      <c r="CI121" s="229">
        <f t="shared" si="129"/>
        <v>0</v>
      </c>
      <c r="CJ121" s="229">
        <f t="shared" si="70"/>
        <v>0</v>
      </c>
      <c r="CK121" s="229">
        <f t="shared" si="129"/>
        <v>0</v>
      </c>
      <c r="CL121" s="229">
        <f t="shared" si="129"/>
        <v>0</v>
      </c>
      <c r="CM121" s="229">
        <f t="shared" si="129"/>
        <v>0</v>
      </c>
      <c r="CN121" s="229">
        <f t="shared" si="129"/>
        <v>0</v>
      </c>
      <c r="CO121" s="229">
        <f t="shared" si="124"/>
        <v>0</v>
      </c>
      <c r="CP121" s="229">
        <f t="shared" si="124"/>
        <v>0</v>
      </c>
      <c r="CQ121" s="229">
        <f t="shared" si="129"/>
        <v>0</v>
      </c>
      <c r="CR121" s="229">
        <f t="shared" si="129"/>
        <v>0</v>
      </c>
      <c r="CS121" s="229">
        <f t="shared" si="129"/>
        <v>0</v>
      </c>
      <c r="CT121" s="229">
        <f t="shared" si="129"/>
        <v>0</v>
      </c>
      <c r="CU121" s="230"/>
      <c r="CV121" s="231"/>
      <c r="CW121" s="231"/>
      <c r="CX121" s="231"/>
      <c r="CY121" s="231"/>
      <c r="CZ121" s="231"/>
      <c r="DA121" s="231"/>
      <c r="DB121" s="231"/>
      <c r="DC121" s="231"/>
      <c r="DD121" s="231">
        <f>IF(SUM(DD$24:DD120)=DD$22,0,IF(AND($M121&gt;=DD$15,$M121&lt;(DD$16+1)),DD$22/(DD$16-DD$15+1),0))</f>
        <v>0</v>
      </c>
      <c r="DE121" s="231">
        <f>IF(SUM(DE$24:DE120)=DE$22,0,IF(AND($M121&gt;=DE$15,$M121&lt;(DE$16+1)),DE$22/(DE$16-DE$15+1),0))</f>
        <v>0</v>
      </c>
      <c r="DF121" s="231">
        <f>IF(SUM(DF$24:DF120)=DF$22,0,IF(AND($M121&gt;=DF$15,$M121&lt;(DF$16+1)),DF$22/(DF$16-DF$15+1),0))</f>
        <v>0</v>
      </c>
      <c r="DG121" s="231">
        <f>IF(SUM(DG$24:DG120)=DG$22,0,IF(AND($M121&gt;=DG$15,$M121&lt;(DG$16+1)),DG$22/(DG$16-DG$15+1),0))</f>
        <v>0</v>
      </c>
      <c r="DH121" s="231">
        <f t="shared" si="123"/>
        <v>0</v>
      </c>
      <c r="DI121" s="231">
        <f t="shared" si="123"/>
        <v>0</v>
      </c>
      <c r="DJ121" s="231">
        <f t="shared" si="123"/>
        <v>0</v>
      </c>
      <c r="DK121" s="231">
        <f t="shared" si="123"/>
        <v>0</v>
      </c>
      <c r="DL121" s="231">
        <f t="shared" si="123"/>
        <v>0</v>
      </c>
      <c r="DM121" s="231">
        <f t="shared" si="123"/>
        <v>0</v>
      </c>
      <c r="DN121" s="231">
        <f>IF(AND($M121&gt;=DN$15,$M121&lt;(DN$16+1)),DN$22/(DN$16-DN$15+1),0)</f>
        <v>0</v>
      </c>
      <c r="DO121" s="231">
        <f t="shared" si="123"/>
        <v>0</v>
      </c>
      <c r="DP121" s="231">
        <f t="shared" si="123"/>
        <v>0</v>
      </c>
      <c r="DQ121" s="231">
        <f t="shared" si="123"/>
        <v>0</v>
      </c>
      <c r="DR121" s="231">
        <f t="shared" si="123"/>
        <v>0</v>
      </c>
      <c r="DS121" s="231">
        <f t="shared" si="123"/>
        <v>0</v>
      </c>
      <c r="DT121" s="231">
        <f ca="1">IF(SUM(DT$24:DT120)=DT$22,0,IF(AND($M121&gt;=DT$15,$M121&lt;(DT$16+1)),DT$22/(DT$16-DT$15+1),0))</f>
        <v>0</v>
      </c>
      <c r="DU121" s="231">
        <f ca="1">IF(SUM(DU$24:DU120)=DU$22,0,IF(AND($M121&gt;=DU$15,$M121&lt;(DU$16+1)),DU$22/(DU$16-DU$15+1),0))</f>
        <v>0</v>
      </c>
      <c r="DV121" s="231">
        <f ca="1">IF(SUM(DV$24:DV120)=DV$22,0,IF(AND(M121&gt;=DV$15,M121&lt;(DV$16+1)),DV$22/(DV$16-DV$15+1),0))</f>
        <v>0</v>
      </c>
      <c r="DW121" s="231" t="e">
        <f ca="1">IF(SUM(DW$24:DW120)=DW$22,0,IF(AND($M121&gt;=DW$15,$M121&lt;(DW$16+1)),DW$22/(DW$16-DW$15+1),0))</f>
        <v>#N/A</v>
      </c>
      <c r="DX121" s="231">
        <f ca="1">IF(SUM(DX$24:DX120)=DX$22,0,IF(AND($M121&gt;=DX$15,$M121&lt;(DX$16+1)),DX$22/(DX$16-DX$15+1),0))</f>
        <v>0</v>
      </c>
      <c r="DY121" s="231">
        <f ca="1">IF(SUM(DY$24:DY120)=DY$22,0,IF(AND($M121&gt;=DY$15,$M121&lt;(DY$16+1)),DY$22/(DY$16-DY$15+1),0))</f>
        <v>0</v>
      </c>
      <c r="DZ121" s="231">
        <f ca="1">IF(SUM(DZ$24:DZ120)=DZ$22,0,IF(AND($M121&gt;=DZ$15,$M121&lt;(DZ$16+1)),DZ$22/(DZ$16-DZ$15+1),0))</f>
        <v>0</v>
      </c>
      <c r="EA121" s="231" t="e">
        <f ca="1">IF(SUM(EA$24:EA120)=EA$22,0,IF(AND(M121&gt;=EA$15,M121&lt;(EA$16+1)),EA$22/(EA$16-EA$15+1),0))</f>
        <v>#N/A</v>
      </c>
      <c r="EC121" s="234">
        <f t="shared" si="136"/>
        <v>94</v>
      </c>
      <c r="ED121" s="234" t="e">
        <f t="shared" ca="1" si="137"/>
        <v>#N/A</v>
      </c>
      <c r="EE121" s="235" t="e">
        <f t="shared" ca="1" si="138"/>
        <v>#N/A</v>
      </c>
      <c r="EF121" s="234" t="e">
        <f t="shared" ca="1" si="104"/>
        <v>#N/A</v>
      </c>
      <c r="EG121" s="234" t="e">
        <f t="shared" ca="1" si="106"/>
        <v>#N/A</v>
      </c>
      <c r="EH121" s="234" t="e">
        <f t="shared" ca="1" si="112"/>
        <v>#N/A</v>
      </c>
      <c r="EI121" s="234"/>
      <c r="EJ121" s="234"/>
      <c r="EK121" s="153" t="e">
        <f t="shared" ca="1" si="139"/>
        <v>#N/A</v>
      </c>
      <c r="EL121" s="231" t="e">
        <f ca="1">IF(SUM(EL$24:EL120)=EL$22,0,IF(AND($M121&gt;=EL$15,$M121&lt;(EL$16+1)),EL$22/(EL$16-EL$15+1),0))</f>
        <v>#N/A</v>
      </c>
      <c r="EM121" s="153" t="e">
        <f t="shared" ca="1" si="140"/>
        <v>#N/A</v>
      </c>
      <c r="EO121" s="60"/>
      <c r="EP121" s="60"/>
    </row>
    <row r="122" spans="1:146" ht="13.9" customHeight="1">
      <c r="A122" s="220"/>
      <c r="B122" s="236">
        <f t="shared" si="100"/>
        <v>95</v>
      </c>
      <c r="C122" s="221">
        <f t="shared" si="141"/>
        <v>46450.169800000149</v>
      </c>
      <c r="D122" s="222" t="e">
        <f ca="1">'Offshore INT'!R111</f>
        <v>#N/A</v>
      </c>
      <c r="E122" s="223" t="e">
        <f t="shared" ca="1" si="131"/>
        <v>#N/A</v>
      </c>
      <c r="F122" s="224"/>
      <c r="G122" s="225">
        <f>IF(G121=1,1,SUM($F$24:F122))</f>
        <v>0</v>
      </c>
      <c r="H122" s="226" t="e">
        <f ca="1">IF(H121=0,0,SUM($I$24:I122))</f>
        <v>#N/A</v>
      </c>
      <c r="I122" s="227" t="e">
        <f t="shared" ca="1" si="132"/>
        <v>#N/A</v>
      </c>
      <c r="J122" s="222">
        <f t="shared" ca="1" si="98"/>
        <v>0</v>
      </c>
      <c r="K122" s="60"/>
      <c r="L122" s="228"/>
      <c r="M122" s="228">
        <f t="shared" si="133"/>
        <v>95</v>
      </c>
      <c r="N122" s="221">
        <f t="shared" si="134"/>
        <v>46450.169800000149</v>
      </c>
      <c r="O122" s="229">
        <f t="shared" si="125"/>
        <v>0</v>
      </c>
      <c r="P122" s="229">
        <f t="shared" si="125"/>
        <v>0</v>
      </c>
      <c r="Q122" s="229">
        <f t="shared" si="125"/>
        <v>0</v>
      </c>
      <c r="R122" s="229">
        <f t="shared" si="125"/>
        <v>0</v>
      </c>
      <c r="S122" s="229">
        <f t="shared" si="125"/>
        <v>0</v>
      </c>
      <c r="T122" s="229">
        <f t="shared" si="125"/>
        <v>0</v>
      </c>
      <c r="U122" s="229">
        <f t="shared" si="125"/>
        <v>0</v>
      </c>
      <c r="V122" s="229">
        <f t="shared" si="125"/>
        <v>0</v>
      </c>
      <c r="W122" s="229">
        <f t="shared" si="125"/>
        <v>0</v>
      </c>
      <c r="X122" s="229">
        <f t="shared" si="125"/>
        <v>0</v>
      </c>
      <c r="Y122" s="229">
        <f t="shared" si="125"/>
        <v>0</v>
      </c>
      <c r="Z122" s="229">
        <f t="shared" si="125"/>
        <v>0</v>
      </c>
      <c r="AA122" s="229">
        <f t="shared" si="126"/>
        <v>0</v>
      </c>
      <c r="AB122" s="229">
        <f t="shared" si="126"/>
        <v>0</v>
      </c>
      <c r="AC122" s="229">
        <f t="shared" si="126"/>
        <v>0</v>
      </c>
      <c r="AD122" s="229">
        <f t="shared" si="126"/>
        <v>0</v>
      </c>
      <c r="AE122" s="229">
        <f t="shared" si="126"/>
        <v>0</v>
      </c>
      <c r="AF122" s="229">
        <f t="shared" si="126"/>
        <v>0</v>
      </c>
      <c r="AG122" s="229">
        <f t="shared" si="126"/>
        <v>0</v>
      </c>
      <c r="AH122" s="229">
        <f t="shared" si="126"/>
        <v>0</v>
      </c>
      <c r="AI122" s="229">
        <f t="shared" si="126"/>
        <v>0</v>
      </c>
      <c r="AJ122" s="229">
        <f t="shared" si="126"/>
        <v>0</v>
      </c>
      <c r="AK122" s="229">
        <f t="shared" si="126"/>
        <v>0</v>
      </c>
      <c r="AL122" s="229">
        <f t="shared" si="126"/>
        <v>0</v>
      </c>
      <c r="AM122" s="229">
        <f t="shared" si="135"/>
        <v>0</v>
      </c>
      <c r="AN122" s="229">
        <f t="shared" si="135"/>
        <v>0</v>
      </c>
      <c r="AO122" s="229">
        <f t="shared" si="135"/>
        <v>0</v>
      </c>
      <c r="AP122" s="229">
        <f t="shared" si="126"/>
        <v>0</v>
      </c>
      <c r="AQ122" s="229">
        <f t="shared" si="126"/>
        <v>0</v>
      </c>
      <c r="AR122" s="229">
        <f t="shared" si="126"/>
        <v>0</v>
      </c>
      <c r="AS122" s="229">
        <f t="shared" si="120"/>
        <v>0</v>
      </c>
      <c r="AT122" s="229">
        <f t="shared" si="120"/>
        <v>0</v>
      </c>
      <c r="AU122" s="229">
        <f t="shared" si="120"/>
        <v>0</v>
      </c>
      <c r="AV122" s="229">
        <f t="shared" si="120"/>
        <v>0</v>
      </c>
      <c r="AW122" s="229">
        <f t="shared" si="120"/>
        <v>0</v>
      </c>
      <c r="AX122" s="229">
        <f t="shared" si="126"/>
        <v>0</v>
      </c>
      <c r="AY122" s="229">
        <f t="shared" si="126"/>
        <v>0</v>
      </c>
      <c r="AZ122" s="229">
        <f t="shared" si="126"/>
        <v>0</v>
      </c>
      <c r="BA122" s="229">
        <f t="shared" si="126"/>
        <v>0</v>
      </c>
      <c r="BB122" s="229">
        <f t="shared" si="126"/>
        <v>0</v>
      </c>
      <c r="BC122" s="229">
        <f t="shared" si="126"/>
        <v>0</v>
      </c>
      <c r="BD122" s="229">
        <f t="shared" si="127"/>
        <v>0</v>
      </c>
      <c r="BE122" s="229">
        <f t="shared" si="127"/>
        <v>0</v>
      </c>
      <c r="BF122" s="229">
        <f t="shared" si="127"/>
        <v>0</v>
      </c>
      <c r="BG122" s="229">
        <f t="shared" si="127"/>
        <v>0</v>
      </c>
      <c r="BH122" s="229">
        <f t="shared" si="127"/>
        <v>0</v>
      </c>
      <c r="BI122" s="229">
        <f t="shared" si="127"/>
        <v>0</v>
      </c>
      <c r="BJ122" s="229">
        <f t="shared" si="127"/>
        <v>0</v>
      </c>
      <c r="BK122" s="229">
        <f t="shared" si="127"/>
        <v>0</v>
      </c>
      <c r="BL122" s="229">
        <f t="shared" si="127"/>
        <v>0</v>
      </c>
      <c r="BM122" s="229">
        <f t="shared" si="127"/>
        <v>0</v>
      </c>
      <c r="BN122" s="229">
        <f t="shared" si="127"/>
        <v>0</v>
      </c>
      <c r="BO122" s="229">
        <f t="shared" si="127"/>
        <v>0</v>
      </c>
      <c r="BP122" s="229">
        <f t="shared" si="127"/>
        <v>0</v>
      </c>
      <c r="BQ122" s="229">
        <f t="shared" si="128"/>
        <v>0</v>
      </c>
      <c r="BR122" s="229">
        <f t="shared" si="128"/>
        <v>0</v>
      </c>
      <c r="BS122" s="229">
        <f t="shared" si="128"/>
        <v>0</v>
      </c>
      <c r="BT122" s="229">
        <f t="shared" si="128"/>
        <v>0</v>
      </c>
      <c r="BU122" s="229">
        <f t="shared" si="128"/>
        <v>0</v>
      </c>
      <c r="BV122" s="229">
        <f t="shared" si="128"/>
        <v>0</v>
      </c>
      <c r="BW122" s="229">
        <f t="shared" si="128"/>
        <v>0</v>
      </c>
      <c r="BX122" s="229">
        <f t="shared" si="128"/>
        <v>0</v>
      </c>
      <c r="BY122" s="229">
        <f t="shared" si="128"/>
        <v>0</v>
      </c>
      <c r="BZ122" s="229">
        <f t="shared" si="128"/>
        <v>0</v>
      </c>
      <c r="CA122" s="229">
        <f t="shared" si="128"/>
        <v>0</v>
      </c>
      <c r="CB122" s="229">
        <f t="shared" si="128"/>
        <v>0</v>
      </c>
      <c r="CC122" s="229">
        <f t="shared" si="128"/>
        <v>0</v>
      </c>
      <c r="CD122" s="229">
        <f t="shared" si="129"/>
        <v>0</v>
      </c>
      <c r="CE122" s="229">
        <f t="shared" si="130"/>
        <v>0</v>
      </c>
      <c r="CF122" s="229">
        <f t="shared" si="129"/>
        <v>0</v>
      </c>
      <c r="CG122" s="229">
        <f t="shared" si="129"/>
        <v>0</v>
      </c>
      <c r="CH122" s="229">
        <f t="shared" si="129"/>
        <v>0</v>
      </c>
      <c r="CI122" s="229">
        <f t="shared" si="129"/>
        <v>0</v>
      </c>
      <c r="CJ122" s="229">
        <f t="shared" si="70"/>
        <v>0</v>
      </c>
      <c r="CK122" s="229">
        <f t="shared" si="129"/>
        <v>0</v>
      </c>
      <c r="CL122" s="229">
        <f t="shared" si="129"/>
        <v>0</v>
      </c>
      <c r="CM122" s="229">
        <f t="shared" si="129"/>
        <v>0</v>
      </c>
      <c r="CN122" s="229">
        <f t="shared" si="129"/>
        <v>0</v>
      </c>
      <c r="CO122" s="229">
        <f t="shared" si="124"/>
        <v>0</v>
      </c>
      <c r="CP122" s="229">
        <f t="shared" si="124"/>
        <v>0</v>
      </c>
      <c r="CQ122" s="229">
        <f t="shared" si="129"/>
        <v>0</v>
      </c>
      <c r="CR122" s="229">
        <f t="shared" si="129"/>
        <v>0</v>
      </c>
      <c r="CS122" s="229">
        <f t="shared" si="129"/>
        <v>0</v>
      </c>
      <c r="CT122" s="229">
        <f t="shared" si="129"/>
        <v>0</v>
      </c>
      <c r="CU122" s="230"/>
      <c r="CV122" s="231"/>
      <c r="CW122" s="231"/>
      <c r="CX122" s="231"/>
      <c r="CY122" s="231"/>
      <c r="CZ122" s="231"/>
      <c r="DA122" s="231"/>
      <c r="DB122" s="231"/>
      <c r="DC122" s="231"/>
      <c r="DD122" s="231">
        <f>IF(SUM(DD$24:DD121)=DD$22,0,IF(AND($M122&gt;=DD$15,$M122&lt;(DD$16+1)),DD$22/(DD$16-DD$15+1),0))</f>
        <v>0</v>
      </c>
      <c r="DE122" s="231">
        <f>IF(SUM(DE$24:DE121)=DE$22,0,IF(AND($M122&gt;=DE$15,$M122&lt;(DE$16+1)),DE$22/(DE$16-DE$15+1),0))</f>
        <v>0</v>
      </c>
      <c r="DF122" s="231">
        <f>IF(SUM(DF$24:DF121)=DF$22,0,IF(AND($M122&gt;=DF$15,$M122&lt;(DF$16+1)),DF$22/(DF$16-DF$15+1),0))</f>
        <v>0</v>
      </c>
      <c r="DG122" s="231">
        <f>IF(SUM(DG$24:DG121)=DG$22,0,IF(AND($M122&gt;=DG$15,$M122&lt;(DG$16+1)),DG$22/(DG$16-DG$15+1),0))</f>
        <v>0</v>
      </c>
      <c r="DH122" s="231">
        <f t="shared" si="123"/>
        <v>0</v>
      </c>
      <c r="DI122" s="231">
        <f t="shared" si="123"/>
        <v>0</v>
      </c>
      <c r="DJ122" s="231">
        <f t="shared" si="123"/>
        <v>0</v>
      </c>
      <c r="DK122" s="231">
        <f t="shared" si="123"/>
        <v>0</v>
      </c>
      <c r="DL122" s="231">
        <f t="shared" si="123"/>
        <v>0</v>
      </c>
      <c r="DM122" s="231">
        <f t="shared" si="123"/>
        <v>0</v>
      </c>
      <c r="DN122" s="231">
        <f>IF(AND($M122&gt;=DN$15,$M122&lt;(DN$16+1)),DN$22/(DN$16-DN$15+1),0)</f>
        <v>0</v>
      </c>
      <c r="DO122" s="231">
        <f t="shared" si="123"/>
        <v>0</v>
      </c>
      <c r="DP122" s="231">
        <f t="shared" si="123"/>
        <v>0</v>
      </c>
      <c r="DQ122" s="231">
        <f t="shared" si="123"/>
        <v>0</v>
      </c>
      <c r="DR122" s="231">
        <f t="shared" si="123"/>
        <v>0</v>
      </c>
      <c r="DS122" s="231">
        <f t="shared" si="123"/>
        <v>0</v>
      </c>
      <c r="DT122" s="231">
        <f ca="1">IF(SUM(DT$24:DT121)=DT$22,0,IF(AND($M122&gt;=DT$15,$M122&lt;(DT$16+1)),DT$22/(DT$16-DT$15+1),0))</f>
        <v>0</v>
      </c>
      <c r="DU122" s="231">
        <f ca="1">IF(SUM(DU$24:DU121)=DU$22,0,IF(AND($M122&gt;=DU$15,$M122&lt;(DU$16+1)),DU$22/(DU$16-DU$15+1),0))</f>
        <v>0</v>
      </c>
      <c r="DV122" s="231">
        <f ca="1">IF(SUM(DV$24:DV121)=DV$22,0,IF(AND(M122&gt;=DV$15,M122&lt;(DV$16+1)),DV$22/(DV$16-DV$15+1),0))</f>
        <v>0</v>
      </c>
      <c r="DW122" s="231" t="e">
        <f ca="1">IF(SUM(DW$24:DW121)=DW$22,0,IF(AND($M122&gt;=DW$15,$M122&lt;(DW$16+1)),DW$22/(DW$16-DW$15+1),0))</f>
        <v>#N/A</v>
      </c>
      <c r="DX122" s="231">
        <f ca="1">IF(SUM(DX$24:DX121)=DX$22,0,IF(AND($M122&gt;=DX$15,$M122&lt;(DX$16+1)),DX$22/(DX$16-DX$15+1),0))</f>
        <v>0</v>
      </c>
      <c r="DY122" s="231">
        <f ca="1">IF(SUM(DY$24:DY121)=DY$22,0,IF(AND($M122&gt;=DY$15,$M122&lt;(DY$16+1)),DY$22/(DY$16-DY$15+1),0))</f>
        <v>0</v>
      </c>
      <c r="DZ122" s="231">
        <f ca="1">IF(SUM(DZ$24:DZ121)=DZ$22,0,IF(AND($M122&gt;=DZ$15,$M122&lt;(DZ$16+1)),DZ$22/(DZ$16-DZ$15+1),0))</f>
        <v>0</v>
      </c>
      <c r="EA122" s="231" t="e">
        <f ca="1">IF(SUM(EA$24:EA121)=EA$22,0,IF(AND(M122&gt;=EA$15,M122&lt;(EA$16+1)),EA$22/(EA$16-EA$15+1),0))</f>
        <v>#N/A</v>
      </c>
      <c r="EC122" s="234">
        <f t="shared" si="136"/>
        <v>95</v>
      </c>
      <c r="ED122" s="234" t="e">
        <f t="shared" ca="1" si="137"/>
        <v>#N/A</v>
      </c>
      <c r="EE122" s="235" t="e">
        <f t="shared" ca="1" si="138"/>
        <v>#N/A</v>
      </c>
      <c r="EF122" s="234" t="e">
        <f t="shared" ca="1" si="104"/>
        <v>#N/A</v>
      </c>
      <c r="EG122" s="234" t="e">
        <f t="shared" ca="1" si="106"/>
        <v>#N/A</v>
      </c>
      <c r="EH122" s="234" t="e">
        <f t="shared" ca="1" si="112"/>
        <v>#N/A</v>
      </c>
      <c r="EI122" s="234"/>
      <c r="EJ122" s="234"/>
      <c r="EK122" s="153" t="e">
        <f t="shared" ca="1" si="139"/>
        <v>#N/A</v>
      </c>
      <c r="EL122" s="231" t="e">
        <f ca="1">IF(SUM(EL$24:EL121)=EL$22,0,IF(AND($M122&gt;=EL$15,$M122&lt;(EL$16+1)),EL$22/(EL$16-EL$15+1),0))</f>
        <v>#N/A</v>
      </c>
      <c r="EM122" s="153" t="e">
        <f t="shared" ca="1" si="140"/>
        <v>#N/A</v>
      </c>
      <c r="EO122" s="60"/>
      <c r="EP122" s="60"/>
    </row>
    <row r="123" spans="1:146" ht="13.9" customHeight="1">
      <c r="A123" s="220"/>
      <c r="B123" s="236">
        <f t="shared" si="100"/>
        <v>96</v>
      </c>
      <c r="C123" s="221">
        <f t="shared" si="141"/>
        <v>46480.58650000015</v>
      </c>
      <c r="D123" s="222" t="e">
        <f ca="1">'Offshore INT'!R112</f>
        <v>#N/A</v>
      </c>
      <c r="E123" s="223" t="e">
        <f t="shared" ca="1" si="131"/>
        <v>#N/A</v>
      </c>
      <c r="F123" s="224"/>
      <c r="G123" s="225">
        <f>IF(G122=1,1,SUM($F$24:F123))</f>
        <v>0</v>
      </c>
      <c r="H123" s="226" t="e">
        <f ca="1">IF(H122=0,0,SUM($I$24:I123))</f>
        <v>#N/A</v>
      </c>
      <c r="I123" s="227" t="e">
        <f t="shared" ca="1" si="132"/>
        <v>#N/A</v>
      </c>
      <c r="J123" s="222">
        <f t="shared" ca="1" si="98"/>
        <v>0</v>
      </c>
      <c r="K123" s="60"/>
      <c r="L123" s="228"/>
      <c r="M123" s="228">
        <f t="shared" si="133"/>
        <v>96</v>
      </c>
      <c r="N123" s="221">
        <f t="shared" si="134"/>
        <v>46480.58650000015</v>
      </c>
      <c r="O123" s="229">
        <f t="shared" si="125"/>
        <v>0</v>
      </c>
      <c r="P123" s="229">
        <f t="shared" si="125"/>
        <v>0</v>
      </c>
      <c r="Q123" s="229">
        <f t="shared" si="125"/>
        <v>0</v>
      </c>
      <c r="R123" s="229">
        <f t="shared" si="125"/>
        <v>0</v>
      </c>
      <c r="S123" s="229">
        <f t="shared" si="125"/>
        <v>0</v>
      </c>
      <c r="T123" s="229">
        <f t="shared" si="125"/>
        <v>0</v>
      </c>
      <c r="U123" s="229">
        <f t="shared" si="125"/>
        <v>0</v>
      </c>
      <c r="V123" s="229">
        <f t="shared" si="125"/>
        <v>0</v>
      </c>
      <c r="W123" s="229">
        <f t="shared" si="125"/>
        <v>0</v>
      </c>
      <c r="X123" s="229">
        <f t="shared" si="125"/>
        <v>0</v>
      </c>
      <c r="Y123" s="229">
        <f t="shared" si="125"/>
        <v>0</v>
      </c>
      <c r="Z123" s="229">
        <f t="shared" si="125"/>
        <v>0</v>
      </c>
      <c r="AA123" s="229">
        <f>IF($M123=AA$13,AA$22*AA$3,IF($M123=AA$14,AA$22*AA$4,IF($M123=AA$15,AA$22*AA$5,IF($M123=AA$16,AA$22*AA$6,IF($M123=AA$17,AA$22*AA$7,IF($M123=AA$18,AA$22*AA$8,IF($M123=AA$19,AA$22*AA$9,IF($M123=AA$20,AA$22*AA$10,0))))))))</f>
        <v>0</v>
      </c>
      <c r="AB123" s="229">
        <f t="shared" si="126"/>
        <v>0</v>
      </c>
      <c r="AC123" s="229">
        <f t="shared" si="126"/>
        <v>0</v>
      </c>
      <c r="AD123" s="229">
        <f t="shared" si="126"/>
        <v>0</v>
      </c>
      <c r="AE123" s="229">
        <f t="shared" si="126"/>
        <v>0</v>
      </c>
      <c r="AF123" s="229">
        <f t="shared" si="126"/>
        <v>0</v>
      </c>
      <c r="AG123" s="229">
        <f t="shared" si="126"/>
        <v>0</v>
      </c>
      <c r="AH123" s="229">
        <f t="shared" si="126"/>
        <v>0</v>
      </c>
      <c r="AI123" s="229">
        <f t="shared" si="126"/>
        <v>0</v>
      </c>
      <c r="AJ123" s="229">
        <f t="shared" si="126"/>
        <v>0</v>
      </c>
      <c r="AK123" s="229">
        <f t="shared" si="126"/>
        <v>0</v>
      </c>
      <c r="AL123" s="229">
        <f t="shared" si="126"/>
        <v>0</v>
      </c>
      <c r="AM123" s="229">
        <f t="shared" si="135"/>
        <v>0</v>
      </c>
      <c r="AN123" s="229">
        <f t="shared" si="135"/>
        <v>0</v>
      </c>
      <c r="AO123" s="229">
        <f t="shared" si="135"/>
        <v>0</v>
      </c>
      <c r="AP123" s="229">
        <f t="shared" si="126"/>
        <v>0</v>
      </c>
      <c r="AQ123" s="229">
        <f t="shared" si="126"/>
        <v>0</v>
      </c>
      <c r="AR123" s="229">
        <f t="shared" si="126"/>
        <v>0</v>
      </c>
      <c r="AS123" s="229">
        <f t="shared" ref="AS123:AW138" si="142">IF($M123=AS$13,AS$22*AS$3,IF($M123=AS$14,AS$22*AS$4,IF($M123=AS$15,AS$22*AS$5,IF($M123=AS$16,AS$22*AS$6,IF($M123=AS$17,AS$22*AS$7,IF($M123=AS$18,AS$22*AS$8,IF($M123=AS$19,AS$22*AS$9,IF($M123=AS$20,AS$22*AS$10,0))))))))</f>
        <v>0</v>
      </c>
      <c r="AT123" s="229">
        <f t="shared" si="142"/>
        <v>0</v>
      </c>
      <c r="AU123" s="229">
        <f t="shared" si="142"/>
        <v>0</v>
      </c>
      <c r="AV123" s="229">
        <f t="shared" si="142"/>
        <v>0</v>
      </c>
      <c r="AW123" s="229">
        <f t="shared" si="142"/>
        <v>0</v>
      </c>
      <c r="AX123" s="229">
        <f t="shared" si="126"/>
        <v>0</v>
      </c>
      <c r="AY123" s="229">
        <f t="shared" si="126"/>
        <v>0</v>
      </c>
      <c r="AZ123" s="229">
        <f>IF($M123=AZ$13,AZ$22*AZ$3,IF($M123=AZ$14,AZ$22*AZ$4,IF($M123=AZ$15,AZ$22*AZ$5,IF($M123=AZ$16,AZ$22*AZ$6,IF($M123=AZ$17,AZ$22*AZ$7,IF($M123=AZ$18,AZ$22*AZ$8,IF($M123=AZ$19,AZ$22*AZ$9,IF($M123=AZ$20,AZ$22*AZ$10,0))))))))</f>
        <v>0</v>
      </c>
      <c r="BA123" s="229">
        <f t="shared" si="126"/>
        <v>0</v>
      </c>
      <c r="BB123" s="229">
        <f>IF($M123=BB$13,BB$22*BB$3,IF($M123=BB$14,BB$22*BB$4,IF($M123=BB$15,BB$22*BB$5,IF($M123=BB$16,BB$22*BB$6,IF($M123=BB$17,BB$22*BB$7,IF($M123=BB$18,BB$22*BB$8,IF($M123=BB$19,BB$22*BB$9,IF($M123=BB$20,BB$22*BB$10,0))))))))</f>
        <v>0</v>
      </c>
      <c r="BC123" s="229">
        <f>IF($M123=BC$13,BC$22*BC$3,IF($M123=BC$14,BC$22*BC$4,IF($M123=BC$15,BC$22*BC$5,IF($M123=BC$16,BC$22*BC$6,IF($M123=BC$17,BC$22*BC$7,IF($M123=BC$18,BC$22*BC$8,IF($M123=BC$19,BC$22*BC$9,IF($M123=BC$20,BC$22*BC$10,0))))))))</f>
        <v>0</v>
      </c>
      <c r="BD123" s="229">
        <f t="shared" si="127"/>
        <v>0</v>
      </c>
      <c r="BE123" s="229">
        <f t="shared" si="127"/>
        <v>0</v>
      </c>
      <c r="BF123" s="229">
        <f t="shared" si="127"/>
        <v>0</v>
      </c>
      <c r="BG123" s="229">
        <f t="shared" si="127"/>
        <v>0</v>
      </c>
      <c r="BH123" s="229">
        <f t="shared" si="127"/>
        <v>0</v>
      </c>
      <c r="BI123" s="229">
        <f t="shared" si="127"/>
        <v>0</v>
      </c>
      <c r="BJ123" s="229">
        <f t="shared" si="127"/>
        <v>0</v>
      </c>
      <c r="BK123" s="229">
        <f t="shared" si="127"/>
        <v>0</v>
      </c>
      <c r="BL123" s="229">
        <f t="shared" si="127"/>
        <v>0</v>
      </c>
      <c r="BM123" s="229">
        <f t="shared" si="127"/>
        <v>0</v>
      </c>
      <c r="BN123" s="229">
        <f t="shared" si="127"/>
        <v>0</v>
      </c>
      <c r="BO123" s="229">
        <f t="shared" si="127"/>
        <v>0</v>
      </c>
      <c r="BP123" s="229">
        <f t="shared" si="127"/>
        <v>0</v>
      </c>
      <c r="BQ123" s="229">
        <f t="shared" si="128"/>
        <v>0</v>
      </c>
      <c r="BR123" s="229">
        <f t="shared" si="128"/>
        <v>0</v>
      </c>
      <c r="BS123" s="229">
        <f t="shared" si="128"/>
        <v>0</v>
      </c>
      <c r="BT123" s="229">
        <f t="shared" si="128"/>
        <v>0</v>
      </c>
      <c r="BU123" s="229">
        <f t="shared" si="128"/>
        <v>0</v>
      </c>
      <c r="BV123" s="229">
        <f t="shared" si="128"/>
        <v>0</v>
      </c>
      <c r="BW123" s="229">
        <f t="shared" si="128"/>
        <v>0</v>
      </c>
      <c r="BX123" s="229">
        <f t="shared" si="128"/>
        <v>0</v>
      </c>
      <c r="BY123" s="229">
        <f t="shared" si="128"/>
        <v>0</v>
      </c>
      <c r="BZ123" s="229">
        <f t="shared" si="128"/>
        <v>0</v>
      </c>
      <c r="CA123" s="229">
        <f t="shared" si="128"/>
        <v>0</v>
      </c>
      <c r="CB123" s="229">
        <f t="shared" si="128"/>
        <v>0</v>
      </c>
      <c r="CC123" s="229">
        <f t="shared" si="128"/>
        <v>0</v>
      </c>
      <c r="CD123" s="229">
        <f t="shared" si="129"/>
        <v>0</v>
      </c>
      <c r="CE123" s="229">
        <f t="shared" si="130"/>
        <v>0</v>
      </c>
      <c r="CF123" s="229">
        <f t="shared" si="129"/>
        <v>0</v>
      </c>
      <c r="CG123" s="229">
        <f t="shared" si="129"/>
        <v>0</v>
      </c>
      <c r="CH123" s="229">
        <f t="shared" si="129"/>
        <v>0</v>
      </c>
      <c r="CI123" s="229">
        <f t="shared" si="129"/>
        <v>0</v>
      </c>
      <c r="CJ123" s="229">
        <f t="shared" si="70"/>
        <v>0</v>
      </c>
      <c r="CK123" s="229">
        <f t="shared" si="129"/>
        <v>0</v>
      </c>
      <c r="CL123" s="229">
        <f t="shared" si="129"/>
        <v>0</v>
      </c>
      <c r="CM123" s="229">
        <f t="shared" si="129"/>
        <v>0</v>
      </c>
      <c r="CN123" s="229">
        <f t="shared" si="129"/>
        <v>0</v>
      </c>
      <c r="CO123" s="229">
        <f t="shared" si="124"/>
        <v>0</v>
      </c>
      <c r="CP123" s="229">
        <f t="shared" si="124"/>
        <v>0</v>
      </c>
      <c r="CQ123" s="229">
        <f t="shared" si="129"/>
        <v>0</v>
      </c>
      <c r="CR123" s="229">
        <f t="shared" si="129"/>
        <v>0</v>
      </c>
      <c r="CS123" s="229">
        <f t="shared" si="129"/>
        <v>0</v>
      </c>
      <c r="CT123" s="229">
        <f t="shared" si="129"/>
        <v>0</v>
      </c>
      <c r="CU123" s="230"/>
      <c r="CV123" s="231"/>
      <c r="CW123" s="231"/>
      <c r="CX123" s="231"/>
      <c r="CY123" s="231"/>
      <c r="CZ123" s="231"/>
      <c r="DA123" s="231"/>
      <c r="DB123" s="231"/>
      <c r="DC123" s="231"/>
      <c r="DD123" s="231">
        <f>IF(SUM(DD$24:DD122)=DD$22,0,IF(AND($M123&gt;=DD$15,$M123&lt;(DD$16+1)),DD$22/(DD$16-DD$15+1),0))</f>
        <v>0</v>
      </c>
      <c r="DE123" s="231">
        <f>IF(SUM(DE$24:DE122)=DE$22,0,IF(AND($M123&gt;=DE$15,$M123&lt;(DE$16+1)),DE$22/(DE$16-DE$15+1),0))</f>
        <v>0</v>
      </c>
      <c r="DF123" s="231">
        <f>IF(SUM(DF$24:DF122)=DF$22,0,IF(AND($M123&gt;=DF$15,$M123&lt;(DF$16+1)),DF$22/(DF$16-DF$15+1),0))</f>
        <v>0</v>
      </c>
      <c r="DG123" s="231">
        <f>IF(SUM(DG$24:DG122)=DG$22,0,IF(AND($M123&gt;=DG$15,$M123&lt;(DG$16+1)),DG$22/(DG$16-DG$15+1),0))</f>
        <v>0</v>
      </c>
      <c r="DH123" s="231">
        <f t="shared" si="123"/>
        <v>0</v>
      </c>
      <c r="DI123" s="231">
        <f t="shared" si="123"/>
        <v>0</v>
      </c>
      <c r="DJ123" s="231">
        <f t="shared" si="123"/>
        <v>0</v>
      </c>
      <c r="DK123" s="231">
        <f t="shared" si="123"/>
        <v>0</v>
      </c>
      <c r="DL123" s="231">
        <f t="shared" si="123"/>
        <v>0</v>
      </c>
      <c r="DM123" s="231">
        <f t="shared" si="123"/>
        <v>0</v>
      </c>
      <c r="DN123" s="231">
        <f>IF(AND($M123&gt;=DN$15,$M123&lt;(DN$16+1)),DN$22/(DN$16-DN$15+1),0)</f>
        <v>0</v>
      </c>
      <c r="DO123" s="231">
        <f t="shared" si="123"/>
        <v>0</v>
      </c>
      <c r="DP123" s="231">
        <f t="shared" si="123"/>
        <v>0</v>
      </c>
      <c r="DQ123" s="231">
        <f t="shared" si="123"/>
        <v>0</v>
      </c>
      <c r="DR123" s="231">
        <f t="shared" si="123"/>
        <v>0</v>
      </c>
      <c r="DS123" s="231">
        <f t="shared" si="123"/>
        <v>0</v>
      </c>
      <c r="DT123" s="231">
        <f ca="1">IF(SUM(DT$24:DT122)=DT$22,0,IF(AND($M123&gt;=DT$15,$M123&lt;(DT$16+1)),DT$22/(DT$16-DT$15+1),0))</f>
        <v>0</v>
      </c>
      <c r="DU123" s="231">
        <f ca="1">IF(SUM(DU$24:DU122)=DU$22,0,IF(AND($M123&gt;=DU$15,$M123&lt;(DU$16+1)),DU$22/(DU$16-DU$15+1),0))</f>
        <v>0</v>
      </c>
      <c r="DV123" s="231">
        <f ca="1">IF(SUM(DV$24:DV122)=DV$22,0,IF(AND(M123&gt;=DV$15,M123&lt;(DV$16+1)),DV$22/(DV$16-DV$15+1),0))</f>
        <v>0</v>
      </c>
      <c r="DW123" s="231" t="e">
        <f ca="1">IF(SUM(DW$24:DW122)=DW$22,0,IF(AND($M123&gt;=DW$15,$M123&lt;(DW$16+1)),DW$22/(DW$16-DW$15+1),0))</f>
        <v>#N/A</v>
      </c>
      <c r="DX123" s="231">
        <f ca="1">IF(SUM(DX$24:DX122)=DX$22,0,IF(AND($M123&gt;=DX$15,$M123&lt;(DX$16+1)),DX$22/(DX$16-DX$15+1),0))</f>
        <v>0</v>
      </c>
      <c r="DY123" s="231">
        <f ca="1">IF(SUM(DY$24:DY122)=DY$22,0,IF(AND($M123&gt;=DY$15,$M123&lt;(DY$16+1)),DY$22/(DY$16-DY$15+1),0))</f>
        <v>0</v>
      </c>
      <c r="DZ123" s="231">
        <f ca="1">IF(SUM(DZ$24:DZ122)=DZ$22,0,IF(AND($M123&gt;=DZ$15,$M123&lt;(DZ$16+1)),DZ$22/(DZ$16-DZ$15+1),0))</f>
        <v>0</v>
      </c>
      <c r="EA123" s="231" t="e">
        <f ca="1">IF(SUM(EA$24:EA122)=EA$22,0,IF(AND(M123&gt;=EA$15,M123&lt;(EA$16+1)),EA$22/(EA$16-EA$15+1),0))</f>
        <v>#N/A</v>
      </c>
      <c r="EC123" s="234">
        <f t="shared" si="136"/>
        <v>96</v>
      </c>
      <c r="ED123" s="234" t="e">
        <f t="shared" ca="1" si="137"/>
        <v>#N/A</v>
      </c>
      <c r="EE123" s="235" t="e">
        <f t="shared" ca="1" si="138"/>
        <v>#N/A</v>
      </c>
      <c r="EF123" s="234" t="e">
        <f t="shared" ca="1" si="104"/>
        <v>#N/A</v>
      </c>
      <c r="EG123" s="234" t="e">
        <f t="shared" ca="1" si="106"/>
        <v>#N/A</v>
      </c>
      <c r="EH123" s="234" t="e">
        <f t="shared" ca="1" si="112"/>
        <v>#N/A</v>
      </c>
      <c r="EI123" s="234"/>
      <c r="EJ123" s="234"/>
      <c r="EK123" s="153" t="e">
        <f t="shared" ca="1" si="139"/>
        <v>#N/A</v>
      </c>
      <c r="EL123" s="231" t="e">
        <f ca="1">IF(SUM(EL$24:EL122)=EL$22,0,IF(AND($M123&gt;=EL$15,$M123&lt;(EL$16+1)),EL$22/(EL$16-EL$15+1),0))</f>
        <v>#N/A</v>
      </c>
      <c r="EM123" s="153" t="e">
        <f t="shared" ca="1" si="140"/>
        <v>#N/A</v>
      </c>
      <c r="EO123" s="60"/>
      <c r="EP123" s="60"/>
    </row>
    <row r="124" spans="1:146" ht="13.9" customHeight="1">
      <c r="A124" s="220"/>
      <c r="B124" s="236">
        <f t="shared" si="100"/>
        <v>97</v>
      </c>
      <c r="C124" s="221">
        <f t="shared" si="141"/>
        <v>46511.003200000152</v>
      </c>
      <c r="D124" s="222" t="e">
        <f ca="1">'Offshore INT'!R113</f>
        <v>#N/A</v>
      </c>
      <c r="E124" s="223" t="e">
        <f t="shared" ca="1" si="131"/>
        <v>#N/A</v>
      </c>
      <c r="F124" s="224"/>
      <c r="G124" s="225">
        <f>IF(G123=1,1,SUM($F$24:F124))</f>
        <v>0</v>
      </c>
      <c r="H124" s="226" t="e">
        <f ca="1">IF(H123=0,0,SUM($I$24:I124))</f>
        <v>#N/A</v>
      </c>
      <c r="I124" s="227" t="e">
        <f t="shared" ca="1" si="132"/>
        <v>#N/A</v>
      </c>
      <c r="J124" s="222">
        <f t="shared" ca="1" si="98"/>
        <v>0</v>
      </c>
      <c r="K124" s="60"/>
      <c r="L124" s="228"/>
      <c r="M124" s="228">
        <f t="shared" si="133"/>
        <v>97</v>
      </c>
      <c r="N124" s="221">
        <f t="shared" si="134"/>
        <v>46511.003200000152</v>
      </c>
      <c r="O124" s="229">
        <f t="shared" si="125"/>
        <v>0</v>
      </c>
      <c r="P124" s="229">
        <f t="shared" si="125"/>
        <v>0</v>
      </c>
      <c r="Q124" s="229">
        <f t="shared" si="125"/>
        <v>0</v>
      </c>
      <c r="R124" s="229">
        <f t="shared" si="125"/>
        <v>0</v>
      </c>
      <c r="S124" s="229">
        <f t="shared" si="125"/>
        <v>0</v>
      </c>
      <c r="T124" s="229">
        <f t="shared" si="125"/>
        <v>0</v>
      </c>
      <c r="U124" s="229">
        <f t="shared" si="125"/>
        <v>0</v>
      </c>
      <c r="V124" s="229">
        <f t="shared" si="125"/>
        <v>0</v>
      </c>
      <c r="W124" s="229">
        <f t="shared" si="125"/>
        <v>0</v>
      </c>
      <c r="X124" s="229">
        <f t="shared" si="125"/>
        <v>0</v>
      </c>
      <c r="Y124" s="229">
        <f t="shared" si="125"/>
        <v>0</v>
      </c>
      <c r="Z124" s="229">
        <f t="shared" si="125"/>
        <v>0</v>
      </c>
      <c r="AA124" s="229">
        <f t="shared" ref="AA124:BC133" si="143">IF($M124=AA$13,AA$22*AA$3,IF($M124=AA$14,AA$22*AA$4,IF($M124=AA$15,AA$22*AA$5,IF($M124=AA$16,AA$22*AA$6,IF($M124=AA$17,AA$22*AA$7,IF($M124=AA$18,AA$22*AA$8,IF($M124=AA$19,AA$22*AA$9,IF($M124=AA$20,AA$22*AA$10,0))))))))</f>
        <v>0</v>
      </c>
      <c r="AB124" s="229">
        <f t="shared" si="143"/>
        <v>0</v>
      </c>
      <c r="AC124" s="229">
        <f t="shared" si="143"/>
        <v>0</v>
      </c>
      <c r="AD124" s="229">
        <f t="shared" si="143"/>
        <v>0</v>
      </c>
      <c r="AE124" s="229">
        <f t="shared" si="143"/>
        <v>0</v>
      </c>
      <c r="AF124" s="229">
        <f t="shared" si="143"/>
        <v>0</v>
      </c>
      <c r="AG124" s="229">
        <f t="shared" si="143"/>
        <v>0</v>
      </c>
      <c r="AH124" s="229">
        <f t="shared" si="143"/>
        <v>0</v>
      </c>
      <c r="AI124" s="229">
        <f t="shared" si="143"/>
        <v>0</v>
      </c>
      <c r="AJ124" s="229">
        <f t="shared" si="143"/>
        <v>0</v>
      </c>
      <c r="AK124" s="229">
        <f t="shared" si="143"/>
        <v>0</v>
      </c>
      <c r="AL124" s="229">
        <f t="shared" si="143"/>
        <v>0</v>
      </c>
      <c r="AM124" s="229">
        <f t="shared" si="143"/>
        <v>0</v>
      </c>
      <c r="AN124" s="229">
        <f t="shared" si="143"/>
        <v>0</v>
      </c>
      <c r="AO124" s="229">
        <f t="shared" si="143"/>
        <v>0</v>
      </c>
      <c r="AP124" s="229">
        <f t="shared" si="143"/>
        <v>0</v>
      </c>
      <c r="AQ124" s="229">
        <f t="shared" si="143"/>
        <v>0</v>
      </c>
      <c r="AR124" s="229">
        <f t="shared" si="143"/>
        <v>0</v>
      </c>
      <c r="AS124" s="229">
        <f t="shared" si="142"/>
        <v>0</v>
      </c>
      <c r="AT124" s="229">
        <f t="shared" si="142"/>
        <v>0</v>
      </c>
      <c r="AU124" s="229">
        <f t="shared" si="142"/>
        <v>0</v>
      </c>
      <c r="AV124" s="229">
        <f t="shared" si="142"/>
        <v>0</v>
      </c>
      <c r="AW124" s="229">
        <f t="shared" si="142"/>
        <v>0</v>
      </c>
      <c r="AX124" s="229">
        <f t="shared" si="143"/>
        <v>0</v>
      </c>
      <c r="AY124" s="229">
        <f t="shared" si="143"/>
        <v>0</v>
      </c>
      <c r="AZ124" s="229">
        <f t="shared" si="143"/>
        <v>0</v>
      </c>
      <c r="BA124" s="229">
        <f t="shared" si="143"/>
        <v>0</v>
      </c>
      <c r="BB124" s="229">
        <f t="shared" si="143"/>
        <v>0</v>
      </c>
      <c r="BC124" s="229">
        <f t="shared" si="143"/>
        <v>0</v>
      </c>
      <c r="BD124" s="229">
        <f t="shared" ref="BD124:BP133" si="144">IF($M124=BD$13,BD$22*BD$3,IF($M124=BD$14,BD$22*BD$4,IF($M124=BD$15,BD$22*BD$5,IF($M124=BD$16,BD$22*BD$6,IF($M124=BD$17,BD$22*BD$7,IF($M124=BD$18,BD$22*BD$8,IF($M124=BD$19,BD$22*BD$9,IF($M124=BD$20,BD$22*BD$10,0))))))))</f>
        <v>0</v>
      </c>
      <c r="BE124" s="229">
        <f t="shared" si="144"/>
        <v>0</v>
      </c>
      <c r="BF124" s="229">
        <f t="shared" si="144"/>
        <v>0</v>
      </c>
      <c r="BG124" s="229">
        <f t="shared" si="144"/>
        <v>0</v>
      </c>
      <c r="BH124" s="229">
        <f t="shared" si="144"/>
        <v>0</v>
      </c>
      <c r="BI124" s="229">
        <f t="shared" si="144"/>
        <v>0</v>
      </c>
      <c r="BJ124" s="229">
        <f t="shared" si="144"/>
        <v>0</v>
      </c>
      <c r="BK124" s="229">
        <f t="shared" si="144"/>
        <v>0</v>
      </c>
      <c r="BL124" s="229">
        <f t="shared" si="144"/>
        <v>0</v>
      </c>
      <c r="BM124" s="229">
        <f t="shared" si="144"/>
        <v>0</v>
      </c>
      <c r="BN124" s="229">
        <f t="shared" si="144"/>
        <v>0</v>
      </c>
      <c r="BO124" s="229">
        <f t="shared" si="144"/>
        <v>0</v>
      </c>
      <c r="BP124" s="229">
        <f t="shared" si="144"/>
        <v>0</v>
      </c>
      <c r="BQ124" s="229">
        <f t="shared" ref="BQ124:CC133" si="145">IF($M124=BQ$13,BQ$22*BQ$3,IF($M124=BQ$14,BQ$22*BQ$4,IF($M124=BQ$15,BQ$22*BQ$5,IF($M124=BQ$16,BQ$22*BQ$6,IF($M124=BQ$17,BQ$22*BQ$7,IF($M124=BQ$18,BQ$22*BQ$8,IF($M124=BQ$19,BQ$22*BQ$9,IF($M124=BQ$20,BQ$22*BQ$10,0))))))))</f>
        <v>0</v>
      </c>
      <c r="BR124" s="229">
        <f t="shared" si="145"/>
        <v>0</v>
      </c>
      <c r="BS124" s="229">
        <f t="shared" si="145"/>
        <v>0</v>
      </c>
      <c r="BT124" s="229">
        <f t="shared" si="145"/>
        <v>0</v>
      </c>
      <c r="BU124" s="229">
        <f t="shared" si="145"/>
        <v>0</v>
      </c>
      <c r="BV124" s="229">
        <f t="shared" si="145"/>
        <v>0</v>
      </c>
      <c r="BW124" s="229">
        <f t="shared" si="145"/>
        <v>0</v>
      </c>
      <c r="BX124" s="229">
        <f t="shared" si="145"/>
        <v>0</v>
      </c>
      <c r="BY124" s="229">
        <f t="shared" si="145"/>
        <v>0</v>
      </c>
      <c r="BZ124" s="229">
        <f t="shared" si="145"/>
        <v>0</v>
      </c>
      <c r="CA124" s="229">
        <f t="shared" si="145"/>
        <v>0</v>
      </c>
      <c r="CB124" s="229">
        <f t="shared" si="145"/>
        <v>0</v>
      </c>
      <c r="CC124" s="229">
        <f t="shared" si="145"/>
        <v>0</v>
      </c>
      <c r="CD124" s="229">
        <f t="shared" ref="CD124:CT133" si="146">IF($M124=CD$13,CD$22*CD$3,IF($M124=CD$14,CD$22*CD$4,IF($M124=CD$15,CD$22*CD$5,IF($M124=CD$16,CD$22*CD$6,IF($M124=CD$17,CD$22*CD$7,IF($M124=CD$18,CD$22*CD$8,IF($M124=CD$19,CD$22*CD$9,IF($M124=CD$20,CD$22*CD$10,0))))))))</f>
        <v>0</v>
      </c>
      <c r="CE124" s="229">
        <f t="shared" si="130"/>
        <v>0</v>
      </c>
      <c r="CF124" s="229">
        <f t="shared" si="146"/>
        <v>0</v>
      </c>
      <c r="CG124" s="229">
        <f t="shared" si="146"/>
        <v>0</v>
      </c>
      <c r="CH124" s="229">
        <f t="shared" si="146"/>
        <v>0</v>
      </c>
      <c r="CI124" s="229">
        <f t="shared" si="146"/>
        <v>0</v>
      </c>
      <c r="CJ124" s="229">
        <f t="shared" si="70"/>
        <v>0</v>
      </c>
      <c r="CK124" s="229">
        <f t="shared" si="146"/>
        <v>0</v>
      </c>
      <c r="CL124" s="229">
        <f t="shared" si="146"/>
        <v>0</v>
      </c>
      <c r="CM124" s="229">
        <f t="shared" si="146"/>
        <v>0</v>
      </c>
      <c r="CN124" s="229">
        <f t="shared" si="146"/>
        <v>0</v>
      </c>
      <c r="CO124" s="229">
        <f t="shared" si="124"/>
        <v>0</v>
      </c>
      <c r="CP124" s="229">
        <f t="shared" si="124"/>
        <v>0</v>
      </c>
      <c r="CQ124" s="229">
        <f t="shared" si="146"/>
        <v>0</v>
      </c>
      <c r="CR124" s="229">
        <f t="shared" si="146"/>
        <v>0</v>
      </c>
      <c r="CS124" s="229">
        <f t="shared" si="146"/>
        <v>0</v>
      </c>
      <c r="CT124" s="229">
        <f t="shared" si="146"/>
        <v>0</v>
      </c>
      <c r="CU124" s="230"/>
      <c r="CV124" s="231"/>
      <c r="CW124" s="231"/>
      <c r="CX124" s="231"/>
      <c r="CY124" s="231"/>
      <c r="CZ124" s="231"/>
      <c r="DA124" s="231"/>
      <c r="DB124" s="231"/>
      <c r="DC124" s="231"/>
      <c r="DD124" s="231">
        <f>IF(SUM(DD$24:DD123)=DD$22,0,IF(AND($M124&gt;=DD$15,$M124&lt;(DD$16+1)),DD$22/(DD$16-DD$15+1),0))</f>
        <v>0</v>
      </c>
      <c r="DE124" s="231">
        <f>IF(SUM(DE$24:DE123)=DE$22,0,IF(AND($M124&gt;=DE$15,$M124&lt;(DE$16+1)),DE$22/(DE$16-DE$15+1),0))</f>
        <v>0</v>
      </c>
      <c r="DF124" s="231">
        <f>IF(SUM(DF$24:DF123)=DF$22,0,IF(AND($M124&gt;=DF$15,$M124&lt;(DF$16+1)),DF$22/(DF$16-DF$15+1),0))</f>
        <v>0</v>
      </c>
      <c r="DG124" s="231">
        <f>IF(SUM(DG$24:DG123)=DG$22,0,IF(AND($M124&gt;=DG$15,$M124&lt;(DG$16+1)),DG$22/(DG$16-DG$15+1),0))</f>
        <v>0</v>
      </c>
      <c r="DH124" s="231">
        <f t="shared" si="123"/>
        <v>0</v>
      </c>
      <c r="DI124" s="231">
        <f t="shared" si="123"/>
        <v>0</v>
      </c>
      <c r="DJ124" s="231">
        <f t="shared" si="123"/>
        <v>0</v>
      </c>
      <c r="DK124" s="231">
        <f t="shared" si="123"/>
        <v>0</v>
      </c>
      <c r="DL124" s="231">
        <f t="shared" si="123"/>
        <v>0</v>
      </c>
      <c r="DM124" s="231">
        <f t="shared" si="123"/>
        <v>0</v>
      </c>
      <c r="DN124" s="231">
        <f>IF(AND($M124&gt;=DN$15,$M124&lt;(DN$16+1)),DN$22/(DN$16-DN$15+1),0)</f>
        <v>0</v>
      </c>
      <c r="DO124" s="231">
        <f t="shared" si="123"/>
        <v>0</v>
      </c>
      <c r="DP124" s="231">
        <f t="shared" si="123"/>
        <v>0</v>
      </c>
      <c r="DQ124" s="231">
        <f t="shared" si="123"/>
        <v>0</v>
      </c>
      <c r="DR124" s="231">
        <f t="shared" si="123"/>
        <v>0</v>
      </c>
      <c r="DS124" s="231">
        <f t="shared" si="123"/>
        <v>0</v>
      </c>
      <c r="DT124" s="231">
        <f ca="1">IF(SUM(DT$24:DT123)=DT$22,0,IF(AND($M124&gt;=DT$15,$M124&lt;(DT$16+1)),DT$22/(DT$16-DT$15+1),0))</f>
        <v>0</v>
      </c>
      <c r="DU124" s="231">
        <f ca="1">IF(SUM(DU$24:DU123)=DU$22,0,IF(AND($M124&gt;=DU$15,$M124&lt;(DU$16+1)),DU$22/(DU$16-DU$15+1),0))</f>
        <v>0</v>
      </c>
      <c r="DV124" s="231">
        <f ca="1">IF(SUM(DV$24:DV123)=DV$22,0,IF(AND(M124&gt;=DV$15,M124&lt;(DV$16+1)),DV$22/(DV$16-DV$15+1),0))</f>
        <v>0</v>
      </c>
      <c r="DW124" s="231" t="e">
        <f ca="1">IF(SUM(DW$24:DW123)=DW$22,0,IF(AND($M124&gt;=DW$15,$M124&lt;(DW$16+1)),DW$22/(DW$16-DW$15+1),0))</f>
        <v>#N/A</v>
      </c>
      <c r="DX124" s="231">
        <f ca="1">IF(SUM(DX$24:DX123)=DX$22,0,IF(AND($M124&gt;=DX$15,$M124&lt;(DX$16+1)),DX$22/(DX$16-DX$15+1),0))</f>
        <v>0</v>
      </c>
      <c r="DY124" s="231">
        <f ca="1">IF(SUM(DY$24:DY123)=DY$22,0,IF(AND($M124&gt;=DY$15,$M124&lt;(DY$16+1)),DY$22/(DY$16-DY$15+1),0))</f>
        <v>0</v>
      </c>
      <c r="DZ124" s="231">
        <f ca="1">IF(SUM(DZ$24:DZ123)=DZ$22,0,IF(AND($M124&gt;=DZ$15,$M124&lt;(DZ$16+1)),DZ$22/(DZ$16-DZ$15+1),0))</f>
        <v>0</v>
      </c>
      <c r="EA124" s="231" t="e">
        <f ca="1">IF(SUM(EA$24:EA123)=EA$22,0,IF(AND(M124&gt;=EA$15,M124&lt;(EA$16+1)),EA$22/(EA$16-EA$15+1),0))</f>
        <v>#N/A</v>
      </c>
      <c r="EC124" s="234">
        <f t="shared" si="136"/>
        <v>97</v>
      </c>
      <c r="ED124" s="234" t="e">
        <f t="shared" ca="1" si="137"/>
        <v>#N/A</v>
      </c>
      <c r="EE124" s="235" t="e">
        <f t="shared" ca="1" si="138"/>
        <v>#N/A</v>
      </c>
      <c r="EF124" s="234" t="e">
        <f t="shared" ca="1" si="104"/>
        <v>#N/A</v>
      </c>
      <c r="EG124" s="234" t="e">
        <f t="shared" ca="1" si="106"/>
        <v>#N/A</v>
      </c>
      <c r="EH124" s="234" t="e">
        <f t="shared" ca="1" si="112"/>
        <v>#N/A</v>
      </c>
      <c r="EI124" s="234"/>
      <c r="EJ124" s="234"/>
      <c r="EK124" s="153" t="e">
        <f t="shared" ca="1" si="139"/>
        <v>#N/A</v>
      </c>
      <c r="EL124" s="231" t="e">
        <f ca="1">IF(SUM(EL$24:EL123)=EL$22,0,IF(AND($M124&gt;=EL$15,$M124&lt;(EL$16+1)),EL$22/(EL$16-EL$15+1),0))</f>
        <v>#N/A</v>
      </c>
      <c r="EM124" s="153" t="e">
        <f t="shared" ca="1" si="140"/>
        <v>#N/A</v>
      </c>
      <c r="EO124" s="60"/>
      <c r="EP124" s="60"/>
    </row>
    <row r="125" spans="1:146" ht="13.9" customHeight="1">
      <c r="A125" s="220"/>
      <c r="B125" s="236">
        <f t="shared" si="100"/>
        <v>98</v>
      </c>
      <c r="C125" s="221">
        <f t="shared" si="141"/>
        <v>46541.419900000154</v>
      </c>
      <c r="D125" s="222" t="e">
        <f ca="1">'Offshore INT'!R114</f>
        <v>#N/A</v>
      </c>
      <c r="E125" s="223" t="e">
        <f t="shared" ca="1" si="131"/>
        <v>#N/A</v>
      </c>
      <c r="F125" s="224"/>
      <c r="G125" s="225">
        <f>IF(G124=1,1,SUM($F$24:F125))</f>
        <v>0</v>
      </c>
      <c r="H125" s="226" t="e">
        <f ca="1">IF(H124=0,0,SUM($I$24:I125))</f>
        <v>#N/A</v>
      </c>
      <c r="I125" s="227" t="e">
        <f t="shared" ca="1" si="132"/>
        <v>#N/A</v>
      </c>
      <c r="J125" s="222">
        <f t="shared" ca="1" si="98"/>
        <v>0</v>
      </c>
      <c r="K125" s="60"/>
      <c r="L125" s="228"/>
      <c r="M125" s="228">
        <f t="shared" si="133"/>
        <v>98</v>
      </c>
      <c r="N125" s="221">
        <f t="shared" si="134"/>
        <v>46541.419900000154</v>
      </c>
      <c r="O125" s="229">
        <f t="shared" si="125"/>
        <v>0</v>
      </c>
      <c r="P125" s="229">
        <f t="shared" si="125"/>
        <v>0</v>
      </c>
      <c r="Q125" s="229">
        <f t="shared" si="125"/>
        <v>0</v>
      </c>
      <c r="R125" s="229">
        <f t="shared" si="125"/>
        <v>0</v>
      </c>
      <c r="S125" s="229">
        <f t="shared" si="125"/>
        <v>0</v>
      </c>
      <c r="T125" s="229">
        <f t="shared" si="125"/>
        <v>0</v>
      </c>
      <c r="U125" s="229">
        <f t="shared" si="125"/>
        <v>0</v>
      </c>
      <c r="V125" s="229">
        <f t="shared" si="125"/>
        <v>0</v>
      </c>
      <c r="W125" s="229">
        <f t="shared" si="125"/>
        <v>0</v>
      </c>
      <c r="X125" s="229">
        <f t="shared" si="125"/>
        <v>0</v>
      </c>
      <c r="Y125" s="229">
        <f t="shared" si="125"/>
        <v>0</v>
      </c>
      <c r="Z125" s="229">
        <f t="shared" si="125"/>
        <v>0</v>
      </c>
      <c r="AA125" s="229">
        <f t="shared" si="143"/>
        <v>0</v>
      </c>
      <c r="AB125" s="229">
        <f t="shared" si="143"/>
        <v>0</v>
      </c>
      <c r="AC125" s="229">
        <f t="shared" si="143"/>
        <v>0</v>
      </c>
      <c r="AD125" s="229">
        <f t="shared" si="143"/>
        <v>0</v>
      </c>
      <c r="AE125" s="229">
        <f t="shared" si="143"/>
        <v>0</v>
      </c>
      <c r="AF125" s="229">
        <f t="shared" si="143"/>
        <v>0</v>
      </c>
      <c r="AG125" s="229">
        <f t="shared" si="143"/>
        <v>0</v>
      </c>
      <c r="AH125" s="229">
        <f t="shared" si="143"/>
        <v>0</v>
      </c>
      <c r="AI125" s="229">
        <f t="shared" si="143"/>
        <v>0</v>
      </c>
      <c r="AJ125" s="229">
        <f t="shared" si="143"/>
        <v>0</v>
      </c>
      <c r="AK125" s="229">
        <f t="shared" si="143"/>
        <v>0</v>
      </c>
      <c r="AL125" s="229">
        <f t="shared" si="143"/>
        <v>0</v>
      </c>
      <c r="AM125" s="229">
        <f t="shared" si="143"/>
        <v>0</v>
      </c>
      <c r="AN125" s="229">
        <f t="shared" si="143"/>
        <v>0</v>
      </c>
      <c r="AO125" s="229">
        <f t="shared" si="143"/>
        <v>0</v>
      </c>
      <c r="AP125" s="229">
        <f t="shared" si="143"/>
        <v>0</v>
      </c>
      <c r="AQ125" s="229">
        <f t="shared" si="143"/>
        <v>0</v>
      </c>
      <c r="AR125" s="229">
        <f t="shared" si="143"/>
        <v>0</v>
      </c>
      <c r="AS125" s="229">
        <f t="shared" si="142"/>
        <v>0</v>
      </c>
      <c r="AT125" s="229">
        <f t="shared" si="142"/>
        <v>0</v>
      </c>
      <c r="AU125" s="229">
        <f t="shared" si="142"/>
        <v>0</v>
      </c>
      <c r="AV125" s="229">
        <f t="shared" si="142"/>
        <v>0</v>
      </c>
      <c r="AW125" s="229">
        <f t="shared" si="142"/>
        <v>0</v>
      </c>
      <c r="AX125" s="229">
        <f t="shared" si="143"/>
        <v>0</v>
      </c>
      <c r="AY125" s="229">
        <f t="shared" si="143"/>
        <v>0</v>
      </c>
      <c r="AZ125" s="229">
        <f t="shared" si="143"/>
        <v>0</v>
      </c>
      <c r="BA125" s="229">
        <f t="shared" si="143"/>
        <v>0</v>
      </c>
      <c r="BB125" s="229">
        <f t="shared" si="143"/>
        <v>0</v>
      </c>
      <c r="BC125" s="229">
        <f t="shared" si="143"/>
        <v>0</v>
      </c>
      <c r="BD125" s="229">
        <f t="shared" si="144"/>
        <v>0</v>
      </c>
      <c r="BE125" s="229">
        <f t="shared" si="144"/>
        <v>0</v>
      </c>
      <c r="BF125" s="229">
        <f t="shared" si="144"/>
        <v>0</v>
      </c>
      <c r="BG125" s="229">
        <f t="shared" si="144"/>
        <v>0</v>
      </c>
      <c r="BH125" s="229">
        <f t="shared" si="144"/>
        <v>0</v>
      </c>
      <c r="BI125" s="229">
        <f t="shared" si="144"/>
        <v>0</v>
      </c>
      <c r="BJ125" s="229">
        <f t="shared" si="144"/>
        <v>0</v>
      </c>
      <c r="BK125" s="229">
        <f t="shared" si="144"/>
        <v>0</v>
      </c>
      <c r="BL125" s="229">
        <f t="shared" si="144"/>
        <v>0</v>
      </c>
      <c r="BM125" s="229">
        <f t="shared" si="144"/>
        <v>0</v>
      </c>
      <c r="BN125" s="229">
        <f t="shared" si="144"/>
        <v>0</v>
      </c>
      <c r="BO125" s="229">
        <f t="shared" si="144"/>
        <v>0</v>
      </c>
      <c r="BP125" s="229">
        <f t="shared" si="144"/>
        <v>0</v>
      </c>
      <c r="BQ125" s="229">
        <f t="shared" si="145"/>
        <v>0</v>
      </c>
      <c r="BR125" s="229">
        <f t="shared" si="145"/>
        <v>0</v>
      </c>
      <c r="BS125" s="229">
        <f t="shared" si="145"/>
        <v>0</v>
      </c>
      <c r="BT125" s="229">
        <f t="shared" si="145"/>
        <v>0</v>
      </c>
      <c r="BU125" s="229">
        <f t="shared" si="145"/>
        <v>0</v>
      </c>
      <c r="BV125" s="229">
        <f t="shared" si="145"/>
        <v>0</v>
      </c>
      <c r="BW125" s="229">
        <f t="shared" si="145"/>
        <v>0</v>
      </c>
      <c r="BX125" s="229">
        <f t="shared" si="145"/>
        <v>0</v>
      </c>
      <c r="BY125" s="229">
        <f t="shared" si="145"/>
        <v>0</v>
      </c>
      <c r="BZ125" s="229">
        <f t="shared" si="145"/>
        <v>0</v>
      </c>
      <c r="CA125" s="229">
        <f t="shared" si="145"/>
        <v>0</v>
      </c>
      <c r="CB125" s="229">
        <f t="shared" si="145"/>
        <v>0</v>
      </c>
      <c r="CC125" s="229">
        <f t="shared" si="145"/>
        <v>0</v>
      </c>
      <c r="CD125" s="229">
        <f t="shared" si="146"/>
        <v>0</v>
      </c>
      <c r="CE125" s="229">
        <f t="shared" si="130"/>
        <v>0</v>
      </c>
      <c r="CF125" s="229">
        <f t="shared" si="146"/>
        <v>0</v>
      </c>
      <c r="CG125" s="229">
        <f t="shared" si="146"/>
        <v>0</v>
      </c>
      <c r="CH125" s="229">
        <f t="shared" si="146"/>
        <v>0</v>
      </c>
      <c r="CI125" s="229">
        <f t="shared" si="146"/>
        <v>0</v>
      </c>
      <c r="CJ125" s="229">
        <f t="shared" si="70"/>
        <v>0</v>
      </c>
      <c r="CK125" s="229">
        <f t="shared" si="146"/>
        <v>0</v>
      </c>
      <c r="CL125" s="229">
        <f t="shared" si="146"/>
        <v>0</v>
      </c>
      <c r="CM125" s="229">
        <f t="shared" si="146"/>
        <v>0</v>
      </c>
      <c r="CN125" s="229">
        <f t="shared" si="146"/>
        <v>0</v>
      </c>
      <c r="CO125" s="229">
        <f t="shared" si="124"/>
        <v>0</v>
      </c>
      <c r="CP125" s="229">
        <f t="shared" si="124"/>
        <v>0</v>
      </c>
      <c r="CQ125" s="229">
        <f t="shared" si="146"/>
        <v>0</v>
      </c>
      <c r="CR125" s="229">
        <f t="shared" si="146"/>
        <v>0</v>
      </c>
      <c r="CS125" s="229">
        <f t="shared" si="146"/>
        <v>0</v>
      </c>
      <c r="CT125" s="229">
        <f t="shared" si="146"/>
        <v>0</v>
      </c>
      <c r="CU125" s="230"/>
      <c r="CV125" s="231"/>
      <c r="CW125" s="231"/>
      <c r="CX125" s="231"/>
      <c r="CY125" s="231"/>
      <c r="CZ125" s="231"/>
      <c r="DA125" s="231"/>
      <c r="DB125" s="231"/>
      <c r="DC125" s="231"/>
      <c r="DD125" s="231">
        <f>IF(SUM(DD$24:DD124)=DD$22,0,IF(AND($M125&gt;=DD$15,$M125&lt;(DD$16+1)),DD$22/(DD$16-DD$15+1),0))</f>
        <v>0</v>
      </c>
      <c r="DE125" s="231">
        <f>IF(SUM(DE$24:DE124)=DE$22,0,IF(AND($M125&gt;=DE$15,$M125&lt;(DE$16+1)),DE$22/(DE$16-DE$15+1),0))</f>
        <v>0</v>
      </c>
      <c r="DF125" s="231">
        <f>IF(SUM(DF$24:DF124)=DF$22,0,IF(AND($M125&gt;=DF$15,$M125&lt;(DF$16+1)),DF$22/(DF$16-DF$15+1),0))</f>
        <v>0</v>
      </c>
      <c r="DG125" s="231">
        <f>IF(SUM(DG$24:DG124)=DG$22,0,IF(AND($M125&gt;=DG$15,$M125&lt;(DG$16+1)),DG$22/(DG$16-DG$15+1),0))</f>
        <v>0</v>
      </c>
      <c r="DH125" s="231">
        <f t="shared" si="123"/>
        <v>0</v>
      </c>
      <c r="DI125" s="231">
        <f t="shared" si="123"/>
        <v>0</v>
      </c>
      <c r="DJ125" s="231">
        <f t="shared" si="123"/>
        <v>0</v>
      </c>
      <c r="DK125" s="231">
        <f t="shared" si="123"/>
        <v>0</v>
      </c>
      <c r="DL125" s="231">
        <f t="shared" si="123"/>
        <v>0</v>
      </c>
      <c r="DM125" s="231">
        <f t="shared" ref="DM125:DN140" si="147">IF(AND($M125&gt;=DM$15,$M125&lt;(DM$16+1)),DM$22/(DM$16-DM$15+1),0)</f>
        <v>0</v>
      </c>
      <c r="DN125" s="231">
        <f t="shared" si="147"/>
        <v>0</v>
      </c>
      <c r="DO125" s="231">
        <f t="shared" si="123"/>
        <v>0</v>
      </c>
      <c r="DP125" s="231">
        <f t="shared" si="123"/>
        <v>0</v>
      </c>
      <c r="DQ125" s="231">
        <f t="shared" si="123"/>
        <v>0</v>
      </c>
      <c r="DR125" s="231">
        <f t="shared" si="123"/>
        <v>0</v>
      </c>
      <c r="DS125" s="231">
        <f t="shared" si="123"/>
        <v>0</v>
      </c>
      <c r="DT125" s="231">
        <f ca="1">IF(SUM(DT$24:DT124)=DT$22,0,IF(AND($M125&gt;=DT$15,$M125&lt;(DT$16+1)),DT$22/(DT$16-DT$15+1),0))</f>
        <v>0</v>
      </c>
      <c r="DU125" s="231">
        <f ca="1">IF(SUM(DU$24:DU124)=DU$22,0,IF(AND($M125&gt;=DU$15,$M125&lt;(DU$16+1)),DU$22/(DU$16-DU$15+1),0))</f>
        <v>0</v>
      </c>
      <c r="DV125" s="231">
        <f ca="1">IF(SUM(DV$24:DV124)=DV$22,0,IF(AND(M125&gt;=DV$15,M125&lt;(DV$16+1)),DV$22/(DV$16-DV$15+1),0))</f>
        <v>0</v>
      </c>
      <c r="DW125" s="231" t="e">
        <f ca="1">IF(SUM(DW$24:DW124)=DW$22,0,IF(AND($M125&gt;=DW$15,$M125&lt;(DW$16+1)),DW$22/(DW$16-DW$15+1),0))</f>
        <v>#N/A</v>
      </c>
      <c r="DX125" s="231">
        <f ca="1">IF(SUM(DX$24:DX124)=DX$22,0,IF(AND($M125&gt;=DX$15,$M125&lt;(DX$16+1)),DX$22/(DX$16-DX$15+1),0))</f>
        <v>0</v>
      </c>
      <c r="DY125" s="231">
        <f ca="1">IF(SUM(DY$24:DY124)=DY$22,0,IF(AND($M125&gt;=DY$15,$M125&lt;(DY$16+1)),DY$22/(DY$16-DY$15+1),0))</f>
        <v>0</v>
      </c>
      <c r="DZ125" s="231">
        <f ca="1">IF(SUM(DZ$24:DZ124)=DZ$22,0,IF(AND($M125&gt;=DZ$15,$M125&lt;(DZ$16+1)),DZ$22/(DZ$16-DZ$15+1),0))</f>
        <v>0</v>
      </c>
      <c r="EA125" s="231" t="e">
        <f ca="1">IF(SUM(EA$24:EA124)=EA$22,0,IF(AND(M125&gt;=EA$15,M125&lt;(EA$16+1)),EA$22/(EA$16-EA$15+1),0))</f>
        <v>#N/A</v>
      </c>
      <c r="EC125" s="234">
        <f t="shared" si="136"/>
        <v>98</v>
      </c>
      <c r="ED125" s="234" t="e">
        <f t="shared" ca="1" si="137"/>
        <v>#N/A</v>
      </c>
      <c r="EE125" s="235" t="e">
        <f t="shared" ca="1" si="138"/>
        <v>#N/A</v>
      </c>
      <c r="EF125" s="234" t="e">
        <f t="shared" ca="1" si="104"/>
        <v>#N/A</v>
      </c>
      <c r="EG125" s="234" t="e">
        <f t="shared" ca="1" si="106"/>
        <v>#N/A</v>
      </c>
      <c r="EH125" s="234" t="e">
        <f t="shared" ca="1" si="112"/>
        <v>#N/A</v>
      </c>
      <c r="EI125" s="234"/>
      <c r="EJ125" s="234"/>
      <c r="EK125" s="153" t="e">
        <f t="shared" ca="1" si="139"/>
        <v>#N/A</v>
      </c>
      <c r="EL125" s="231" t="e">
        <f ca="1">IF(SUM(EL$24:EL124)=EL$22,0,IF(AND($M125&gt;=EL$15,$M125&lt;(EL$16+1)),EL$22/(EL$16-EL$15+1),0))</f>
        <v>#N/A</v>
      </c>
      <c r="EM125" s="153" t="e">
        <f t="shared" ca="1" si="140"/>
        <v>#N/A</v>
      </c>
      <c r="EO125" s="60"/>
      <c r="EP125" s="60"/>
    </row>
    <row r="126" spans="1:146" ht="13.9" customHeight="1">
      <c r="A126" s="220"/>
      <c r="B126" s="236">
        <f t="shared" si="100"/>
        <v>99</v>
      </c>
      <c r="C126" s="221">
        <f t="shared" si="141"/>
        <v>46571.836600000155</v>
      </c>
      <c r="D126" s="222" t="e">
        <f ca="1">'Offshore INT'!R115</f>
        <v>#N/A</v>
      </c>
      <c r="E126" s="223" t="e">
        <f t="shared" ca="1" si="131"/>
        <v>#N/A</v>
      </c>
      <c r="F126" s="224"/>
      <c r="G126" s="225">
        <f>IF(G125=1,1,SUM($F$24:F126))</f>
        <v>0</v>
      </c>
      <c r="H126" s="226" t="e">
        <f ca="1">IF(H125=0,0,SUM($I$24:I126))</f>
        <v>#N/A</v>
      </c>
      <c r="I126" s="227" t="e">
        <f t="shared" ca="1" si="132"/>
        <v>#N/A</v>
      </c>
      <c r="J126" s="222">
        <f t="shared" ca="1" si="98"/>
        <v>0</v>
      </c>
      <c r="K126" s="60"/>
      <c r="L126" s="228"/>
      <c r="M126" s="228">
        <f t="shared" si="133"/>
        <v>99</v>
      </c>
      <c r="N126" s="221">
        <f t="shared" si="134"/>
        <v>46571.836600000155</v>
      </c>
      <c r="O126" s="229">
        <f t="shared" si="125"/>
        <v>0</v>
      </c>
      <c r="P126" s="229">
        <f t="shared" si="125"/>
        <v>0</v>
      </c>
      <c r="Q126" s="229">
        <f t="shared" si="125"/>
        <v>0</v>
      </c>
      <c r="R126" s="229">
        <f t="shared" si="125"/>
        <v>0</v>
      </c>
      <c r="S126" s="229">
        <f t="shared" si="125"/>
        <v>0</v>
      </c>
      <c r="T126" s="229">
        <f t="shared" si="125"/>
        <v>0</v>
      </c>
      <c r="U126" s="229">
        <f t="shared" si="125"/>
        <v>0</v>
      </c>
      <c r="V126" s="229">
        <f t="shared" si="125"/>
        <v>0</v>
      </c>
      <c r="W126" s="229">
        <f t="shared" si="125"/>
        <v>0</v>
      </c>
      <c r="X126" s="229">
        <f t="shared" si="125"/>
        <v>0</v>
      </c>
      <c r="Y126" s="229">
        <f t="shared" si="125"/>
        <v>0</v>
      </c>
      <c r="Z126" s="229">
        <f t="shared" si="125"/>
        <v>0</v>
      </c>
      <c r="AA126" s="229">
        <f t="shared" si="143"/>
        <v>0</v>
      </c>
      <c r="AB126" s="229">
        <f t="shared" si="143"/>
        <v>0</v>
      </c>
      <c r="AC126" s="229">
        <f t="shared" si="143"/>
        <v>0</v>
      </c>
      <c r="AD126" s="229">
        <f t="shared" si="143"/>
        <v>0</v>
      </c>
      <c r="AE126" s="229">
        <f t="shared" si="143"/>
        <v>0</v>
      </c>
      <c r="AF126" s="229">
        <f t="shared" si="143"/>
        <v>0</v>
      </c>
      <c r="AG126" s="229">
        <f t="shared" si="143"/>
        <v>0</v>
      </c>
      <c r="AH126" s="229">
        <f t="shared" si="143"/>
        <v>0</v>
      </c>
      <c r="AI126" s="229">
        <f t="shared" si="143"/>
        <v>0</v>
      </c>
      <c r="AJ126" s="229">
        <f t="shared" si="143"/>
        <v>0</v>
      </c>
      <c r="AK126" s="229">
        <f t="shared" si="143"/>
        <v>0</v>
      </c>
      <c r="AL126" s="229">
        <f t="shared" si="143"/>
        <v>0</v>
      </c>
      <c r="AM126" s="229">
        <f t="shared" si="143"/>
        <v>0</v>
      </c>
      <c r="AN126" s="229">
        <f t="shared" si="143"/>
        <v>0</v>
      </c>
      <c r="AO126" s="229">
        <f t="shared" si="143"/>
        <v>0</v>
      </c>
      <c r="AP126" s="229">
        <f t="shared" si="143"/>
        <v>0</v>
      </c>
      <c r="AQ126" s="229">
        <f t="shared" si="143"/>
        <v>0</v>
      </c>
      <c r="AR126" s="229">
        <f t="shared" si="143"/>
        <v>0</v>
      </c>
      <c r="AS126" s="229">
        <f t="shared" si="142"/>
        <v>0</v>
      </c>
      <c r="AT126" s="229">
        <f t="shared" si="142"/>
        <v>0</v>
      </c>
      <c r="AU126" s="229">
        <f t="shared" si="142"/>
        <v>0</v>
      </c>
      <c r="AV126" s="229">
        <f t="shared" si="142"/>
        <v>0</v>
      </c>
      <c r="AW126" s="229">
        <f t="shared" si="142"/>
        <v>0</v>
      </c>
      <c r="AX126" s="229">
        <f t="shared" si="143"/>
        <v>0</v>
      </c>
      <c r="AY126" s="229">
        <f t="shared" si="143"/>
        <v>0</v>
      </c>
      <c r="AZ126" s="229">
        <f t="shared" si="143"/>
        <v>0</v>
      </c>
      <c r="BA126" s="229">
        <f t="shared" si="143"/>
        <v>0</v>
      </c>
      <c r="BB126" s="229">
        <f t="shared" si="143"/>
        <v>0</v>
      </c>
      <c r="BC126" s="229">
        <f t="shared" si="143"/>
        <v>0</v>
      </c>
      <c r="BD126" s="229">
        <f t="shared" si="144"/>
        <v>0</v>
      </c>
      <c r="BE126" s="229">
        <f t="shared" si="144"/>
        <v>0</v>
      </c>
      <c r="BF126" s="229">
        <f t="shared" si="144"/>
        <v>0</v>
      </c>
      <c r="BG126" s="229">
        <f t="shared" si="144"/>
        <v>0</v>
      </c>
      <c r="BH126" s="229">
        <f t="shared" si="144"/>
        <v>0</v>
      </c>
      <c r="BI126" s="229">
        <f t="shared" si="144"/>
        <v>0</v>
      </c>
      <c r="BJ126" s="229">
        <f t="shared" si="144"/>
        <v>0</v>
      </c>
      <c r="BK126" s="229">
        <f t="shared" si="144"/>
        <v>0</v>
      </c>
      <c r="BL126" s="229">
        <f t="shared" si="144"/>
        <v>0</v>
      </c>
      <c r="BM126" s="229">
        <f t="shared" si="144"/>
        <v>0</v>
      </c>
      <c r="BN126" s="229">
        <f t="shared" si="144"/>
        <v>0</v>
      </c>
      <c r="BO126" s="229">
        <f t="shared" si="144"/>
        <v>0</v>
      </c>
      <c r="BP126" s="229">
        <f t="shared" si="144"/>
        <v>0</v>
      </c>
      <c r="BQ126" s="229">
        <f t="shared" si="145"/>
        <v>0</v>
      </c>
      <c r="BR126" s="229">
        <f t="shared" si="145"/>
        <v>0</v>
      </c>
      <c r="BS126" s="229">
        <f t="shared" si="145"/>
        <v>0</v>
      </c>
      <c r="BT126" s="229">
        <f t="shared" si="145"/>
        <v>0</v>
      </c>
      <c r="BU126" s="229">
        <f t="shared" si="145"/>
        <v>0</v>
      </c>
      <c r="BV126" s="229">
        <f t="shared" si="145"/>
        <v>0</v>
      </c>
      <c r="BW126" s="229">
        <f t="shared" si="145"/>
        <v>0</v>
      </c>
      <c r="BX126" s="229">
        <f t="shared" si="145"/>
        <v>0</v>
      </c>
      <c r="BY126" s="229">
        <f t="shared" si="145"/>
        <v>0</v>
      </c>
      <c r="BZ126" s="229">
        <f t="shared" si="145"/>
        <v>0</v>
      </c>
      <c r="CA126" s="229">
        <f t="shared" si="145"/>
        <v>0</v>
      </c>
      <c r="CB126" s="229">
        <f t="shared" si="145"/>
        <v>0</v>
      </c>
      <c r="CC126" s="229">
        <f t="shared" si="145"/>
        <v>0</v>
      </c>
      <c r="CD126" s="229">
        <f t="shared" si="146"/>
        <v>0</v>
      </c>
      <c r="CE126" s="229">
        <f t="shared" si="130"/>
        <v>0</v>
      </c>
      <c r="CF126" s="229">
        <f t="shared" si="146"/>
        <v>0</v>
      </c>
      <c r="CG126" s="229">
        <f t="shared" si="146"/>
        <v>0</v>
      </c>
      <c r="CH126" s="229">
        <f t="shared" si="146"/>
        <v>0</v>
      </c>
      <c r="CI126" s="229">
        <f t="shared" si="146"/>
        <v>0</v>
      </c>
      <c r="CJ126" s="229">
        <f t="shared" si="70"/>
        <v>0</v>
      </c>
      <c r="CK126" s="229">
        <f t="shared" si="146"/>
        <v>0</v>
      </c>
      <c r="CL126" s="229">
        <f t="shared" si="146"/>
        <v>0</v>
      </c>
      <c r="CM126" s="229">
        <f t="shared" si="146"/>
        <v>0</v>
      </c>
      <c r="CN126" s="229">
        <f t="shared" si="146"/>
        <v>0</v>
      </c>
      <c r="CO126" s="229">
        <f t="shared" si="124"/>
        <v>0</v>
      </c>
      <c r="CP126" s="229">
        <f t="shared" si="124"/>
        <v>0</v>
      </c>
      <c r="CQ126" s="229">
        <f t="shared" si="146"/>
        <v>0</v>
      </c>
      <c r="CR126" s="229">
        <f t="shared" si="146"/>
        <v>0</v>
      </c>
      <c r="CS126" s="229">
        <f t="shared" si="146"/>
        <v>0</v>
      </c>
      <c r="CT126" s="229">
        <f t="shared" si="146"/>
        <v>0</v>
      </c>
      <c r="CU126" s="230"/>
      <c r="CV126" s="231"/>
      <c r="CW126" s="231"/>
      <c r="CX126" s="231"/>
      <c r="CY126" s="231"/>
      <c r="CZ126" s="231"/>
      <c r="DA126" s="231"/>
      <c r="DB126" s="231"/>
      <c r="DC126" s="231"/>
      <c r="DD126" s="231">
        <f>IF(SUM(DD$24:DD125)=DD$22,0,IF(AND($M126&gt;=DD$15,$M126&lt;(DD$16+1)),DD$22/(DD$16-DD$15+1),0))</f>
        <v>0</v>
      </c>
      <c r="DE126" s="231">
        <f>IF(SUM(DE$24:DE125)=DE$22,0,IF(AND($M126&gt;=DE$15,$M126&lt;(DE$16+1)),DE$22/(DE$16-DE$15+1),0))</f>
        <v>0</v>
      </c>
      <c r="DF126" s="231">
        <f>IF(SUM(DF$24:DF125)=DF$22,0,IF(AND($M126&gt;=DF$15,$M126&lt;(DF$16+1)),DF$22/(DF$16-DF$15+1),0))</f>
        <v>0</v>
      </c>
      <c r="DG126" s="231">
        <f>IF(SUM(DG$24:DG125)=DG$22,0,IF(AND($M126&gt;=DG$15,$M126&lt;(DG$16+1)),DG$22/(DG$16-DG$15+1),0))</f>
        <v>0</v>
      </c>
      <c r="DH126" s="231">
        <f t="shared" si="123"/>
        <v>0</v>
      </c>
      <c r="DI126" s="231">
        <f t="shared" si="123"/>
        <v>0</v>
      </c>
      <c r="DJ126" s="231">
        <f t="shared" si="123"/>
        <v>0</v>
      </c>
      <c r="DK126" s="231">
        <f t="shared" si="123"/>
        <v>0</v>
      </c>
      <c r="DL126" s="231">
        <f t="shared" si="123"/>
        <v>0</v>
      </c>
      <c r="DM126" s="231">
        <f t="shared" si="147"/>
        <v>0</v>
      </c>
      <c r="DN126" s="231">
        <f t="shared" si="147"/>
        <v>0</v>
      </c>
      <c r="DO126" s="231">
        <f t="shared" si="123"/>
        <v>0</v>
      </c>
      <c r="DP126" s="231">
        <f t="shared" si="123"/>
        <v>0</v>
      </c>
      <c r="DQ126" s="231">
        <f t="shared" si="123"/>
        <v>0</v>
      </c>
      <c r="DR126" s="231">
        <f t="shared" si="123"/>
        <v>0</v>
      </c>
      <c r="DS126" s="231">
        <f t="shared" si="123"/>
        <v>0</v>
      </c>
      <c r="DT126" s="231">
        <f ca="1">IF(SUM(DT$24:DT125)=DT$22,0,IF(AND($M126&gt;=DT$15,$M126&lt;(DT$16+1)),DT$22/(DT$16-DT$15+1),0))</f>
        <v>0</v>
      </c>
      <c r="DU126" s="231">
        <f ca="1">IF(SUM(DU$24:DU125)=DU$22,0,IF(AND($M126&gt;=DU$15,$M126&lt;(DU$16+1)),DU$22/(DU$16-DU$15+1),0))</f>
        <v>0</v>
      </c>
      <c r="DV126" s="231">
        <f ca="1">IF(SUM(DV$24:DV125)=DV$22,0,IF(AND(M126&gt;=DV$15,M126&lt;(DV$16+1)),DV$22/(DV$16-DV$15+1),0))</f>
        <v>0</v>
      </c>
      <c r="DW126" s="231" t="e">
        <f ca="1">IF(SUM(DW$24:DW125)=DW$22,0,IF(AND($M126&gt;=DW$15,$M126&lt;(DW$16+1)),DW$22/(DW$16-DW$15+1),0))</f>
        <v>#N/A</v>
      </c>
      <c r="DX126" s="231">
        <f ca="1">IF(SUM(DX$24:DX125)=DX$22,0,IF(AND($M126&gt;=DX$15,$M126&lt;(DX$16+1)),DX$22/(DX$16-DX$15+1),0))</f>
        <v>0</v>
      </c>
      <c r="DY126" s="231">
        <f ca="1">IF(SUM(DY$24:DY125)=DY$22,0,IF(AND($M126&gt;=DY$15,$M126&lt;(DY$16+1)),DY$22/(DY$16-DY$15+1),0))</f>
        <v>0</v>
      </c>
      <c r="DZ126" s="231">
        <f ca="1">IF(SUM(DZ$24:DZ125)=DZ$22,0,IF(AND($M126&gt;=DZ$15,$M126&lt;(DZ$16+1)),DZ$22/(DZ$16-DZ$15+1),0))</f>
        <v>0</v>
      </c>
      <c r="EA126" s="231" t="e">
        <f ca="1">IF(SUM(EA$24:EA125)=EA$22,0,IF(AND(M126&gt;=EA$15,M126&lt;(EA$16+1)),EA$22/(EA$16-EA$15+1),0))</f>
        <v>#N/A</v>
      </c>
      <c r="EC126" s="234">
        <f t="shared" si="136"/>
        <v>99</v>
      </c>
      <c r="ED126" s="234" t="e">
        <f t="shared" ca="1" si="137"/>
        <v>#N/A</v>
      </c>
      <c r="EE126" s="235" t="e">
        <f t="shared" ca="1" si="138"/>
        <v>#N/A</v>
      </c>
      <c r="EF126" s="234" t="e">
        <f t="shared" ca="1" si="104"/>
        <v>#N/A</v>
      </c>
      <c r="EG126" s="234" t="e">
        <f t="shared" ca="1" si="106"/>
        <v>#N/A</v>
      </c>
      <c r="EH126" s="234" t="e">
        <f t="shared" ca="1" si="112"/>
        <v>#N/A</v>
      </c>
      <c r="EI126" s="234"/>
      <c r="EJ126" s="234"/>
      <c r="EK126" s="153" t="e">
        <f t="shared" ca="1" si="139"/>
        <v>#N/A</v>
      </c>
      <c r="EL126" s="231" t="e">
        <f ca="1">IF(SUM(EL$24:EL125)=EL$22,0,IF(AND($M126&gt;=EL$15,$M126&lt;(EL$16+1)),EL$22/(EL$16-EL$15+1),0))</f>
        <v>#N/A</v>
      </c>
      <c r="EM126" s="153" t="e">
        <f t="shared" ca="1" si="140"/>
        <v>#N/A</v>
      </c>
      <c r="EO126" s="60"/>
      <c r="EP126" s="60"/>
    </row>
    <row r="127" spans="1:146" ht="13.9" customHeight="1">
      <c r="A127" s="220"/>
      <c r="B127" s="236">
        <f t="shared" si="100"/>
        <v>100</v>
      </c>
      <c r="C127" s="221">
        <f t="shared" si="141"/>
        <v>46602.253300000157</v>
      </c>
      <c r="D127" s="222" t="e">
        <f ca="1">'Offshore INT'!R116</f>
        <v>#N/A</v>
      </c>
      <c r="E127" s="223" t="e">
        <f t="shared" ca="1" si="131"/>
        <v>#N/A</v>
      </c>
      <c r="F127" s="224"/>
      <c r="G127" s="225">
        <f>IF(G126=1,1,SUM($F$24:F127))</f>
        <v>0</v>
      </c>
      <c r="H127" s="226" t="e">
        <f ca="1">IF(H126=0,0,SUM($I$24:I127))</f>
        <v>#N/A</v>
      </c>
      <c r="I127" s="227" t="e">
        <f t="shared" ca="1" si="132"/>
        <v>#N/A</v>
      </c>
      <c r="J127" s="222">
        <f t="shared" ca="1" si="98"/>
        <v>0</v>
      </c>
      <c r="K127" s="60"/>
      <c r="L127" s="228"/>
      <c r="M127" s="228">
        <f t="shared" si="133"/>
        <v>100</v>
      </c>
      <c r="N127" s="221">
        <f t="shared" si="134"/>
        <v>46602.253300000157</v>
      </c>
      <c r="O127" s="229">
        <f t="shared" si="125"/>
        <v>0</v>
      </c>
      <c r="P127" s="229">
        <f t="shared" si="125"/>
        <v>0</v>
      </c>
      <c r="Q127" s="229">
        <f t="shared" si="125"/>
        <v>0</v>
      </c>
      <c r="R127" s="229">
        <f t="shared" si="125"/>
        <v>0</v>
      </c>
      <c r="S127" s="229">
        <f t="shared" si="125"/>
        <v>0</v>
      </c>
      <c r="T127" s="229">
        <f t="shared" si="125"/>
        <v>0</v>
      </c>
      <c r="U127" s="229">
        <f t="shared" si="125"/>
        <v>0</v>
      </c>
      <c r="V127" s="229">
        <f t="shared" si="125"/>
        <v>0</v>
      </c>
      <c r="W127" s="229">
        <f t="shared" si="125"/>
        <v>0</v>
      </c>
      <c r="X127" s="229">
        <f t="shared" si="125"/>
        <v>0</v>
      </c>
      <c r="Y127" s="229">
        <f t="shared" si="125"/>
        <v>0</v>
      </c>
      <c r="Z127" s="229">
        <f t="shared" si="125"/>
        <v>0</v>
      </c>
      <c r="AA127" s="229">
        <f t="shared" si="143"/>
        <v>0</v>
      </c>
      <c r="AB127" s="229">
        <f t="shared" si="143"/>
        <v>0</v>
      </c>
      <c r="AC127" s="229">
        <f t="shared" si="143"/>
        <v>0</v>
      </c>
      <c r="AD127" s="229">
        <f t="shared" si="143"/>
        <v>0</v>
      </c>
      <c r="AE127" s="229">
        <f t="shared" si="143"/>
        <v>0</v>
      </c>
      <c r="AF127" s="229">
        <f t="shared" si="143"/>
        <v>0</v>
      </c>
      <c r="AG127" s="229">
        <f t="shared" si="143"/>
        <v>0</v>
      </c>
      <c r="AH127" s="229">
        <f t="shared" si="143"/>
        <v>0</v>
      </c>
      <c r="AI127" s="229">
        <f t="shared" si="143"/>
        <v>0</v>
      </c>
      <c r="AJ127" s="229">
        <f t="shared" si="143"/>
        <v>0</v>
      </c>
      <c r="AK127" s="229">
        <f t="shared" si="143"/>
        <v>0</v>
      </c>
      <c r="AL127" s="229">
        <f t="shared" si="143"/>
        <v>0</v>
      </c>
      <c r="AM127" s="229">
        <f t="shared" si="143"/>
        <v>0</v>
      </c>
      <c r="AN127" s="229">
        <f t="shared" si="143"/>
        <v>0</v>
      </c>
      <c r="AO127" s="229">
        <f t="shared" si="143"/>
        <v>0</v>
      </c>
      <c r="AP127" s="229">
        <f t="shared" si="143"/>
        <v>0</v>
      </c>
      <c r="AQ127" s="229">
        <f t="shared" si="143"/>
        <v>0</v>
      </c>
      <c r="AR127" s="229">
        <f t="shared" si="143"/>
        <v>0</v>
      </c>
      <c r="AS127" s="229">
        <f t="shared" si="142"/>
        <v>0</v>
      </c>
      <c r="AT127" s="229">
        <f t="shared" si="142"/>
        <v>0</v>
      </c>
      <c r="AU127" s="229">
        <f t="shared" si="142"/>
        <v>0</v>
      </c>
      <c r="AV127" s="229">
        <f t="shared" si="142"/>
        <v>0</v>
      </c>
      <c r="AW127" s="229">
        <f t="shared" si="142"/>
        <v>0</v>
      </c>
      <c r="AX127" s="229">
        <f t="shared" si="143"/>
        <v>0</v>
      </c>
      <c r="AY127" s="229">
        <f t="shared" si="143"/>
        <v>0</v>
      </c>
      <c r="AZ127" s="229">
        <f t="shared" si="143"/>
        <v>0</v>
      </c>
      <c r="BA127" s="229">
        <f t="shared" si="143"/>
        <v>0</v>
      </c>
      <c r="BB127" s="229">
        <f t="shared" si="143"/>
        <v>0</v>
      </c>
      <c r="BC127" s="229">
        <f t="shared" si="143"/>
        <v>0</v>
      </c>
      <c r="BD127" s="229">
        <f t="shared" si="144"/>
        <v>0</v>
      </c>
      <c r="BE127" s="229">
        <f t="shared" si="144"/>
        <v>0</v>
      </c>
      <c r="BF127" s="229">
        <f t="shared" si="144"/>
        <v>0</v>
      </c>
      <c r="BG127" s="229">
        <f t="shared" si="144"/>
        <v>0</v>
      </c>
      <c r="BH127" s="229">
        <f t="shared" si="144"/>
        <v>0</v>
      </c>
      <c r="BI127" s="229">
        <f t="shared" si="144"/>
        <v>0</v>
      </c>
      <c r="BJ127" s="229">
        <f t="shared" si="144"/>
        <v>0</v>
      </c>
      <c r="BK127" s="229">
        <f t="shared" si="144"/>
        <v>0</v>
      </c>
      <c r="BL127" s="229">
        <f t="shared" si="144"/>
        <v>0</v>
      </c>
      <c r="BM127" s="229">
        <f t="shared" si="144"/>
        <v>0</v>
      </c>
      <c r="BN127" s="229">
        <f t="shared" si="144"/>
        <v>0</v>
      </c>
      <c r="BO127" s="229">
        <f t="shared" si="144"/>
        <v>0</v>
      </c>
      <c r="BP127" s="229">
        <f t="shared" si="144"/>
        <v>0</v>
      </c>
      <c r="BQ127" s="229">
        <f t="shared" si="145"/>
        <v>0</v>
      </c>
      <c r="BR127" s="229">
        <f t="shared" si="145"/>
        <v>0</v>
      </c>
      <c r="BS127" s="229">
        <f t="shared" si="145"/>
        <v>0</v>
      </c>
      <c r="BT127" s="229">
        <f t="shared" si="145"/>
        <v>0</v>
      </c>
      <c r="BU127" s="229">
        <f t="shared" si="145"/>
        <v>0</v>
      </c>
      <c r="BV127" s="229">
        <f t="shared" si="145"/>
        <v>0</v>
      </c>
      <c r="BW127" s="229">
        <f t="shared" si="145"/>
        <v>0</v>
      </c>
      <c r="BX127" s="229">
        <f t="shared" si="145"/>
        <v>0</v>
      </c>
      <c r="BY127" s="229">
        <f t="shared" si="145"/>
        <v>0</v>
      </c>
      <c r="BZ127" s="229">
        <f t="shared" si="145"/>
        <v>0</v>
      </c>
      <c r="CA127" s="229">
        <f t="shared" si="145"/>
        <v>0</v>
      </c>
      <c r="CB127" s="229">
        <f t="shared" si="145"/>
        <v>0</v>
      </c>
      <c r="CC127" s="229">
        <f t="shared" si="145"/>
        <v>0</v>
      </c>
      <c r="CD127" s="229">
        <f t="shared" si="146"/>
        <v>0</v>
      </c>
      <c r="CE127" s="229">
        <f t="shared" si="130"/>
        <v>0</v>
      </c>
      <c r="CF127" s="229">
        <f t="shared" si="146"/>
        <v>0</v>
      </c>
      <c r="CG127" s="229">
        <f t="shared" si="146"/>
        <v>0</v>
      </c>
      <c r="CH127" s="229">
        <f t="shared" si="146"/>
        <v>0</v>
      </c>
      <c r="CI127" s="229">
        <f t="shared" si="146"/>
        <v>0</v>
      </c>
      <c r="CJ127" s="229">
        <f t="shared" si="70"/>
        <v>0</v>
      </c>
      <c r="CK127" s="229">
        <f t="shared" si="146"/>
        <v>0</v>
      </c>
      <c r="CL127" s="229">
        <f t="shared" si="146"/>
        <v>0</v>
      </c>
      <c r="CM127" s="229">
        <f t="shared" si="146"/>
        <v>0</v>
      </c>
      <c r="CN127" s="229">
        <f t="shared" si="146"/>
        <v>0</v>
      </c>
      <c r="CO127" s="229">
        <f t="shared" ref="CO127:CP142" si="148">IF($M127=CO$13,CO$22*CO$3,IF($M127=CO$14,CO$22*CO$4,IF($M127=CO$15,CO$22*CO$5,IF($M127=CO$16,CO$22*CO$6,IF($M127=CO$17,CO$22*CO$7,IF($M127=CO$18,CO$22*CO$8,IF($M127=CO$19,CO$22*CO$9,IF($M127=CO$20,CO$22*CO$10,0))))))))</f>
        <v>0</v>
      </c>
      <c r="CP127" s="229">
        <f t="shared" si="148"/>
        <v>0</v>
      </c>
      <c r="CQ127" s="229">
        <f t="shared" si="146"/>
        <v>0</v>
      </c>
      <c r="CR127" s="229">
        <f t="shared" si="146"/>
        <v>0</v>
      </c>
      <c r="CS127" s="229">
        <f t="shared" si="146"/>
        <v>0</v>
      </c>
      <c r="CT127" s="229">
        <f t="shared" si="146"/>
        <v>0</v>
      </c>
      <c r="CU127" s="230"/>
      <c r="CV127" s="231"/>
      <c r="CW127" s="231"/>
      <c r="CX127" s="231"/>
      <c r="CY127" s="231"/>
      <c r="CZ127" s="231"/>
      <c r="DA127" s="231"/>
      <c r="DB127" s="231"/>
      <c r="DC127" s="231"/>
      <c r="DD127" s="231">
        <f>IF(SUM(DD$24:DD126)=DD$22,0,IF(AND($M127&gt;=DD$15,$M127&lt;(DD$16+1)),DD$22/(DD$16-DD$15+1),0))</f>
        <v>0</v>
      </c>
      <c r="DE127" s="231">
        <f>IF(SUM(DE$24:DE126)=DE$22,0,IF(AND($M127&gt;=DE$15,$M127&lt;(DE$16+1)),DE$22/(DE$16-DE$15+1),0))</f>
        <v>0</v>
      </c>
      <c r="DF127" s="231">
        <f>IF(SUM(DF$24:DF126)=DF$22,0,IF(AND($M127&gt;=DF$15,$M127&lt;(DF$16+1)),DF$22/(DF$16-DF$15+1),0))</f>
        <v>0</v>
      </c>
      <c r="DG127" s="231">
        <f>IF(SUM(DG$24:DG126)=DG$22,0,IF(AND($M127&gt;=DG$15,$M127&lt;(DG$16+1)),DG$22/(DG$16-DG$15+1),0))</f>
        <v>0</v>
      </c>
      <c r="DH127" s="231">
        <f t="shared" si="123"/>
        <v>0</v>
      </c>
      <c r="DI127" s="231">
        <f t="shared" si="123"/>
        <v>0</v>
      </c>
      <c r="DJ127" s="231">
        <f t="shared" si="123"/>
        <v>0</v>
      </c>
      <c r="DK127" s="231">
        <f t="shared" si="123"/>
        <v>0</v>
      </c>
      <c r="DL127" s="231">
        <f t="shared" si="123"/>
        <v>0</v>
      </c>
      <c r="DM127" s="231">
        <f t="shared" si="147"/>
        <v>0</v>
      </c>
      <c r="DN127" s="231">
        <f t="shared" si="147"/>
        <v>0</v>
      </c>
      <c r="DO127" s="231">
        <f t="shared" si="123"/>
        <v>0</v>
      </c>
      <c r="DP127" s="231">
        <f t="shared" si="123"/>
        <v>0</v>
      </c>
      <c r="DQ127" s="231">
        <f t="shared" si="123"/>
        <v>0</v>
      </c>
      <c r="DR127" s="231">
        <f t="shared" si="123"/>
        <v>0</v>
      </c>
      <c r="DS127" s="231">
        <f t="shared" si="123"/>
        <v>0</v>
      </c>
      <c r="DT127" s="231">
        <f ca="1">IF(SUM(DT$24:DT126)=DT$22,0,IF(AND($M127&gt;=DT$15,$M127&lt;(DT$16+1)),DT$22/(DT$16-DT$15+1),0))</f>
        <v>0</v>
      </c>
      <c r="DU127" s="231">
        <f ca="1">IF(SUM(DU$24:DU126)=DU$22,0,IF(AND($M127&gt;=DU$15,$M127&lt;(DU$16+1)),DU$22/(DU$16-DU$15+1),0))</f>
        <v>0</v>
      </c>
      <c r="DV127" s="231">
        <f ca="1">IF(SUM(DV$24:DV126)=DV$22,0,IF(AND(M127&gt;=DV$15,M127&lt;(DV$16+1)),DV$22/(DV$16-DV$15+1),0))</f>
        <v>0</v>
      </c>
      <c r="DW127" s="231" t="e">
        <f ca="1">IF(SUM(DW$24:DW126)=DW$22,0,IF(AND($M127&gt;=DW$15,$M127&lt;(DW$16+1)),DW$22/(DW$16-DW$15+1),0))</f>
        <v>#N/A</v>
      </c>
      <c r="DX127" s="231">
        <f ca="1">IF(SUM(DX$24:DX126)=DX$22,0,IF(AND($M127&gt;=DX$15,$M127&lt;(DX$16+1)),DX$22/(DX$16-DX$15+1),0))</f>
        <v>0</v>
      </c>
      <c r="DY127" s="231">
        <f ca="1">IF(SUM(DY$24:DY126)=DY$22,0,IF(AND($M127&gt;=DY$15,$M127&lt;(DY$16+1)),DY$22/(DY$16-DY$15+1),0))</f>
        <v>0</v>
      </c>
      <c r="DZ127" s="231">
        <f ca="1">IF(SUM(DZ$24:DZ126)=DZ$22,0,IF(AND($M127&gt;=DZ$15,$M127&lt;(DZ$16+1)),DZ$22/(DZ$16-DZ$15+1),0))</f>
        <v>0</v>
      </c>
      <c r="EA127" s="231" t="e">
        <f ca="1">IF(SUM(EA$24:EA126)=EA$22,0,IF(AND(M127&gt;=EA$15,M127&lt;(EA$16+1)),EA$22/(EA$16-EA$15+1),0))</f>
        <v>#N/A</v>
      </c>
      <c r="EC127" s="234">
        <f t="shared" si="136"/>
        <v>100</v>
      </c>
      <c r="ED127" s="234" t="e">
        <f t="shared" ca="1" si="137"/>
        <v>#N/A</v>
      </c>
      <c r="EE127" s="235" t="e">
        <f t="shared" ca="1" si="138"/>
        <v>#N/A</v>
      </c>
      <c r="EF127" s="234" t="e">
        <f t="shared" ca="1" si="104"/>
        <v>#N/A</v>
      </c>
      <c r="EG127" s="234" t="e">
        <f t="shared" ca="1" si="106"/>
        <v>#N/A</v>
      </c>
      <c r="EH127" s="234" t="e">
        <f t="shared" ca="1" si="112"/>
        <v>#N/A</v>
      </c>
      <c r="EI127" s="234"/>
      <c r="EJ127" s="234"/>
      <c r="EK127" s="153" t="e">
        <f t="shared" ca="1" si="139"/>
        <v>#N/A</v>
      </c>
      <c r="EL127" s="231" t="e">
        <f ca="1">IF(SUM(EL$24:EL126)=EL$22,0,IF(AND($M127&gt;=EL$15,$M127&lt;(EL$16+1)),EL$22/(EL$16-EL$15+1),0))</f>
        <v>#N/A</v>
      </c>
      <c r="EM127" s="153" t="e">
        <f t="shared" ca="1" si="140"/>
        <v>#N/A</v>
      </c>
      <c r="EO127" s="60"/>
      <c r="EP127" s="60"/>
    </row>
    <row r="128" spans="1:146" ht="13.9" customHeight="1">
      <c r="A128" s="220"/>
      <c r="B128" s="236">
        <f t="shared" si="100"/>
        <v>101</v>
      </c>
      <c r="C128" s="221">
        <f t="shared" si="141"/>
        <v>46632.670000000158</v>
      </c>
      <c r="D128" s="222" t="e">
        <f ca="1">'Offshore INT'!R117</f>
        <v>#N/A</v>
      </c>
      <c r="E128" s="223" t="e">
        <f t="shared" ca="1" si="131"/>
        <v>#N/A</v>
      </c>
      <c r="F128" s="224"/>
      <c r="G128" s="225">
        <f>IF(G127=1,1,SUM($F$24:F128))</f>
        <v>0</v>
      </c>
      <c r="H128" s="226" t="e">
        <f ca="1">IF(H127=0,0,SUM($I$24:I128))</f>
        <v>#N/A</v>
      </c>
      <c r="I128" s="227" t="e">
        <f t="shared" ca="1" si="132"/>
        <v>#N/A</v>
      </c>
      <c r="J128" s="222">
        <f t="shared" ca="1" si="98"/>
        <v>0</v>
      </c>
      <c r="K128" s="60"/>
      <c r="L128" s="228"/>
      <c r="M128" s="228">
        <f t="shared" si="133"/>
        <v>101</v>
      </c>
      <c r="N128" s="221">
        <f t="shared" si="134"/>
        <v>46632.670000000158</v>
      </c>
      <c r="O128" s="229">
        <f t="shared" si="125"/>
        <v>0</v>
      </c>
      <c r="P128" s="229">
        <f t="shared" si="125"/>
        <v>0</v>
      </c>
      <c r="Q128" s="229">
        <f t="shared" si="125"/>
        <v>0</v>
      </c>
      <c r="R128" s="229">
        <f t="shared" si="125"/>
        <v>0</v>
      </c>
      <c r="S128" s="229">
        <f t="shared" si="125"/>
        <v>0</v>
      </c>
      <c r="T128" s="229">
        <f t="shared" si="125"/>
        <v>0</v>
      </c>
      <c r="U128" s="229">
        <f t="shared" si="125"/>
        <v>0</v>
      </c>
      <c r="V128" s="229">
        <f t="shared" si="125"/>
        <v>0</v>
      </c>
      <c r="W128" s="229">
        <f t="shared" si="125"/>
        <v>0</v>
      </c>
      <c r="X128" s="229">
        <f t="shared" si="125"/>
        <v>0</v>
      </c>
      <c r="Y128" s="229">
        <f t="shared" si="125"/>
        <v>0</v>
      </c>
      <c r="Z128" s="229">
        <f t="shared" si="125"/>
        <v>0</v>
      </c>
      <c r="AA128" s="229">
        <f t="shared" si="143"/>
        <v>0</v>
      </c>
      <c r="AB128" s="229">
        <f t="shared" si="143"/>
        <v>0</v>
      </c>
      <c r="AC128" s="229">
        <f t="shared" si="143"/>
        <v>0</v>
      </c>
      <c r="AD128" s="229">
        <f t="shared" si="143"/>
        <v>0</v>
      </c>
      <c r="AE128" s="229">
        <f t="shared" si="143"/>
        <v>0</v>
      </c>
      <c r="AF128" s="229">
        <f t="shared" si="143"/>
        <v>0</v>
      </c>
      <c r="AG128" s="229">
        <f t="shared" si="143"/>
        <v>0</v>
      </c>
      <c r="AH128" s="229">
        <f t="shared" si="143"/>
        <v>0</v>
      </c>
      <c r="AI128" s="229">
        <f t="shared" si="143"/>
        <v>0</v>
      </c>
      <c r="AJ128" s="229">
        <f t="shared" si="143"/>
        <v>0</v>
      </c>
      <c r="AK128" s="229">
        <f t="shared" si="143"/>
        <v>0</v>
      </c>
      <c r="AL128" s="229">
        <f t="shared" si="143"/>
        <v>0</v>
      </c>
      <c r="AM128" s="229">
        <f t="shared" si="143"/>
        <v>0</v>
      </c>
      <c r="AN128" s="229">
        <f t="shared" si="143"/>
        <v>0</v>
      </c>
      <c r="AO128" s="229">
        <f t="shared" si="143"/>
        <v>0</v>
      </c>
      <c r="AP128" s="229">
        <f t="shared" si="143"/>
        <v>0</v>
      </c>
      <c r="AQ128" s="229">
        <f t="shared" si="143"/>
        <v>0</v>
      </c>
      <c r="AR128" s="229">
        <f t="shared" si="143"/>
        <v>0</v>
      </c>
      <c r="AS128" s="229">
        <f t="shared" si="142"/>
        <v>0</v>
      </c>
      <c r="AT128" s="229">
        <f t="shared" si="142"/>
        <v>0</v>
      </c>
      <c r="AU128" s="229">
        <f t="shared" si="142"/>
        <v>0</v>
      </c>
      <c r="AV128" s="229">
        <f t="shared" si="142"/>
        <v>0</v>
      </c>
      <c r="AW128" s="229">
        <f t="shared" si="142"/>
        <v>0</v>
      </c>
      <c r="AX128" s="229">
        <f t="shared" si="143"/>
        <v>0</v>
      </c>
      <c r="AY128" s="229">
        <f t="shared" si="143"/>
        <v>0</v>
      </c>
      <c r="AZ128" s="229">
        <f t="shared" si="143"/>
        <v>0</v>
      </c>
      <c r="BA128" s="229">
        <f t="shared" si="143"/>
        <v>0</v>
      </c>
      <c r="BB128" s="229">
        <f t="shared" si="143"/>
        <v>0</v>
      </c>
      <c r="BC128" s="229">
        <f t="shared" si="143"/>
        <v>0</v>
      </c>
      <c r="BD128" s="229">
        <f t="shared" si="144"/>
        <v>0</v>
      </c>
      <c r="BE128" s="229">
        <f t="shared" si="144"/>
        <v>0</v>
      </c>
      <c r="BF128" s="229">
        <f t="shared" si="144"/>
        <v>0</v>
      </c>
      <c r="BG128" s="229">
        <f t="shared" si="144"/>
        <v>0</v>
      </c>
      <c r="BH128" s="229">
        <f t="shared" si="144"/>
        <v>0</v>
      </c>
      <c r="BI128" s="229">
        <f t="shared" si="144"/>
        <v>0</v>
      </c>
      <c r="BJ128" s="229">
        <f t="shared" si="144"/>
        <v>0</v>
      </c>
      <c r="BK128" s="229">
        <f t="shared" si="144"/>
        <v>0</v>
      </c>
      <c r="BL128" s="229">
        <f t="shared" si="144"/>
        <v>0</v>
      </c>
      <c r="BM128" s="229">
        <f t="shared" si="144"/>
        <v>0</v>
      </c>
      <c r="BN128" s="229">
        <f t="shared" si="144"/>
        <v>0</v>
      </c>
      <c r="BO128" s="229">
        <f t="shared" si="144"/>
        <v>0</v>
      </c>
      <c r="BP128" s="229">
        <f t="shared" si="144"/>
        <v>0</v>
      </c>
      <c r="BQ128" s="229">
        <f t="shared" si="145"/>
        <v>0</v>
      </c>
      <c r="BR128" s="229">
        <f t="shared" si="145"/>
        <v>0</v>
      </c>
      <c r="BS128" s="229">
        <f t="shared" si="145"/>
        <v>0</v>
      </c>
      <c r="BT128" s="229">
        <f t="shared" si="145"/>
        <v>0</v>
      </c>
      <c r="BU128" s="229">
        <f t="shared" si="145"/>
        <v>0</v>
      </c>
      <c r="BV128" s="229">
        <f t="shared" si="145"/>
        <v>0</v>
      </c>
      <c r="BW128" s="229">
        <f t="shared" si="145"/>
        <v>0</v>
      </c>
      <c r="BX128" s="229">
        <f t="shared" si="145"/>
        <v>0</v>
      </c>
      <c r="BY128" s="229">
        <f t="shared" si="145"/>
        <v>0</v>
      </c>
      <c r="BZ128" s="229">
        <f t="shared" si="145"/>
        <v>0</v>
      </c>
      <c r="CA128" s="229">
        <f t="shared" si="145"/>
        <v>0</v>
      </c>
      <c r="CB128" s="229">
        <f t="shared" si="145"/>
        <v>0</v>
      </c>
      <c r="CC128" s="229">
        <f t="shared" si="145"/>
        <v>0</v>
      </c>
      <c r="CD128" s="229">
        <f t="shared" si="146"/>
        <v>0</v>
      </c>
      <c r="CE128" s="229">
        <f t="shared" si="130"/>
        <v>0</v>
      </c>
      <c r="CF128" s="229">
        <f t="shared" si="146"/>
        <v>0</v>
      </c>
      <c r="CG128" s="229">
        <f t="shared" si="146"/>
        <v>0</v>
      </c>
      <c r="CH128" s="229">
        <f t="shared" si="146"/>
        <v>0</v>
      </c>
      <c r="CI128" s="229">
        <f t="shared" si="146"/>
        <v>0</v>
      </c>
      <c r="CJ128" s="229">
        <f t="shared" si="70"/>
        <v>0</v>
      </c>
      <c r="CK128" s="229">
        <f t="shared" si="146"/>
        <v>0</v>
      </c>
      <c r="CL128" s="229">
        <f t="shared" si="146"/>
        <v>0</v>
      </c>
      <c r="CM128" s="229">
        <f t="shared" si="146"/>
        <v>0</v>
      </c>
      <c r="CN128" s="229">
        <f t="shared" si="146"/>
        <v>0</v>
      </c>
      <c r="CO128" s="229">
        <f t="shared" si="148"/>
        <v>0</v>
      </c>
      <c r="CP128" s="229">
        <f t="shared" si="148"/>
        <v>0</v>
      </c>
      <c r="CQ128" s="229">
        <f t="shared" si="146"/>
        <v>0</v>
      </c>
      <c r="CR128" s="229">
        <f t="shared" si="146"/>
        <v>0</v>
      </c>
      <c r="CS128" s="229">
        <f t="shared" si="146"/>
        <v>0</v>
      </c>
      <c r="CT128" s="229">
        <f t="shared" si="146"/>
        <v>0</v>
      </c>
      <c r="CU128" s="230"/>
      <c r="CV128" s="231"/>
      <c r="CW128" s="231"/>
      <c r="CX128" s="231"/>
      <c r="CY128" s="231"/>
      <c r="CZ128" s="231"/>
      <c r="DA128" s="231"/>
      <c r="DB128" s="231"/>
      <c r="DC128" s="231"/>
      <c r="DD128" s="231">
        <f>IF(SUM(DD$24:DD127)=DD$22,0,IF(AND($M128&gt;=DD$15,$M128&lt;(DD$16+1)),DD$22/(DD$16-DD$15+1),0))</f>
        <v>0</v>
      </c>
      <c r="DE128" s="231">
        <f>IF(SUM(DE$24:DE127)=DE$22,0,IF(AND($M128&gt;=DE$15,$M128&lt;(DE$16+1)),DE$22/(DE$16-DE$15+1),0))</f>
        <v>0</v>
      </c>
      <c r="DF128" s="231">
        <f>IF(SUM(DF$24:DF127)=DF$22,0,IF(AND($M128&gt;=DF$15,$M128&lt;(DF$16+1)),DF$22/(DF$16-DF$15+1),0))</f>
        <v>0</v>
      </c>
      <c r="DG128" s="231">
        <f>IF(SUM(DG$24:DG127)=DG$22,0,IF(AND($M128&gt;=DG$15,$M128&lt;(DG$16+1)),DG$22/(DG$16-DG$15+1),0))</f>
        <v>0</v>
      </c>
      <c r="DH128" s="231">
        <f t="shared" si="123"/>
        <v>0</v>
      </c>
      <c r="DI128" s="231">
        <f t="shared" si="123"/>
        <v>0</v>
      </c>
      <c r="DJ128" s="231">
        <f t="shared" si="123"/>
        <v>0</v>
      </c>
      <c r="DK128" s="231">
        <f t="shared" si="123"/>
        <v>0</v>
      </c>
      <c r="DL128" s="231">
        <f t="shared" si="123"/>
        <v>0</v>
      </c>
      <c r="DM128" s="231">
        <f t="shared" si="147"/>
        <v>0</v>
      </c>
      <c r="DN128" s="231">
        <f t="shared" si="147"/>
        <v>0</v>
      </c>
      <c r="DO128" s="231">
        <f t="shared" si="123"/>
        <v>0</v>
      </c>
      <c r="DP128" s="231">
        <f t="shared" si="123"/>
        <v>0</v>
      </c>
      <c r="DQ128" s="231">
        <f t="shared" si="123"/>
        <v>0</v>
      </c>
      <c r="DR128" s="231">
        <f t="shared" si="123"/>
        <v>0</v>
      </c>
      <c r="DS128" s="231">
        <f t="shared" si="123"/>
        <v>0</v>
      </c>
      <c r="DT128" s="231">
        <f ca="1">IF(SUM(DT$24:DT127)=DT$22,0,IF(AND($M128&gt;=DT$15,$M128&lt;(DT$16+1)),DT$22/(DT$16-DT$15+1),0))</f>
        <v>0</v>
      </c>
      <c r="DU128" s="231">
        <f ca="1">IF(SUM(DU$24:DU127)=DU$22,0,IF(AND($M128&gt;=DU$15,$M128&lt;(DU$16+1)),DU$22/(DU$16-DU$15+1),0))</f>
        <v>0</v>
      </c>
      <c r="DV128" s="231">
        <f ca="1">IF(SUM(DV$24:DV127)=DV$22,0,IF(AND(M128&gt;=DV$15,M128&lt;(DV$16+1)),DV$22/(DV$16-DV$15+1),0))</f>
        <v>0</v>
      </c>
      <c r="DW128" s="231" t="e">
        <f ca="1">IF(SUM(DW$24:DW127)=DW$22,0,IF(AND($M128&gt;=DW$15,$M128&lt;(DW$16+1)),DW$22/(DW$16-DW$15+1),0))</f>
        <v>#N/A</v>
      </c>
      <c r="DX128" s="231">
        <f ca="1">IF(SUM(DX$24:DX127)=DX$22,0,IF(AND($M128&gt;=DX$15,$M128&lt;(DX$16+1)),DX$22/(DX$16-DX$15+1),0))</f>
        <v>0</v>
      </c>
      <c r="DY128" s="231">
        <f ca="1">IF(SUM(DY$24:DY127)=DY$22,0,IF(AND($M128&gt;=DY$15,$M128&lt;(DY$16+1)),DY$22/(DY$16-DY$15+1),0))</f>
        <v>0</v>
      </c>
      <c r="DZ128" s="231">
        <f ca="1">IF(SUM(DZ$24:DZ127)=DZ$22,0,IF(AND($M128&gt;=DZ$15,$M128&lt;(DZ$16+1)),DZ$22/(DZ$16-DZ$15+1),0))</f>
        <v>0</v>
      </c>
      <c r="EA128" s="231" t="e">
        <f ca="1">IF(SUM(EA$24:EA127)=EA$22,0,IF(AND(M128&gt;=EA$15,M128&lt;(EA$16+1)),EA$22/(EA$16-EA$15+1),0))</f>
        <v>#N/A</v>
      </c>
      <c r="EC128" s="234">
        <f t="shared" si="136"/>
        <v>101</v>
      </c>
      <c r="ED128" s="234" t="e">
        <f t="shared" ca="1" si="137"/>
        <v>#N/A</v>
      </c>
      <c r="EE128" s="235" t="e">
        <f t="shared" ca="1" si="138"/>
        <v>#N/A</v>
      </c>
      <c r="EF128" s="234" t="e">
        <f t="shared" ca="1" si="104"/>
        <v>#N/A</v>
      </c>
      <c r="EG128" s="234" t="e">
        <f t="shared" ca="1" si="106"/>
        <v>#N/A</v>
      </c>
      <c r="EH128" s="234" t="e">
        <f t="shared" ca="1" si="112"/>
        <v>#N/A</v>
      </c>
      <c r="EI128" s="234"/>
      <c r="EJ128" s="234"/>
      <c r="EK128" s="153" t="e">
        <f t="shared" ca="1" si="139"/>
        <v>#N/A</v>
      </c>
      <c r="EL128" s="231" t="e">
        <f ca="1">IF(SUM(EL$24:EL127)=EL$22,0,IF(AND($M128&gt;=EL$15,$M128&lt;(EL$16+1)),EL$22/(EL$16-EL$15+1),0))</f>
        <v>#N/A</v>
      </c>
      <c r="EM128" s="153" t="e">
        <f t="shared" ca="1" si="140"/>
        <v>#N/A</v>
      </c>
      <c r="EO128" s="60"/>
      <c r="EP128" s="60"/>
    </row>
    <row r="129" spans="1:146" ht="13.9" customHeight="1">
      <c r="A129" s="220"/>
      <c r="B129" s="236">
        <f t="shared" si="100"/>
        <v>102</v>
      </c>
      <c r="C129" s="221">
        <f t="shared" si="141"/>
        <v>46663.08670000016</v>
      </c>
      <c r="D129" s="222" t="e">
        <f ca="1">'Offshore INT'!R118</f>
        <v>#N/A</v>
      </c>
      <c r="E129" s="223" t="e">
        <f t="shared" ca="1" si="131"/>
        <v>#N/A</v>
      </c>
      <c r="F129" s="224"/>
      <c r="G129" s="225">
        <f>IF(G128=1,1,SUM($F$24:F129))</f>
        <v>0</v>
      </c>
      <c r="H129" s="226" t="e">
        <f ca="1">IF(H128=0,0,SUM($I$24:I129))</f>
        <v>#N/A</v>
      </c>
      <c r="I129" s="227" t="e">
        <f t="shared" ca="1" si="132"/>
        <v>#N/A</v>
      </c>
      <c r="J129" s="222">
        <f t="shared" ca="1" si="98"/>
        <v>0</v>
      </c>
      <c r="K129" s="60"/>
      <c r="L129" s="228"/>
      <c r="M129" s="228">
        <f t="shared" si="133"/>
        <v>102</v>
      </c>
      <c r="N129" s="221">
        <f t="shared" si="134"/>
        <v>46663.08670000016</v>
      </c>
      <c r="O129" s="229">
        <f t="shared" si="125"/>
        <v>0</v>
      </c>
      <c r="P129" s="229">
        <f t="shared" si="125"/>
        <v>0</v>
      </c>
      <c r="Q129" s="229">
        <f t="shared" si="125"/>
        <v>0</v>
      </c>
      <c r="R129" s="229">
        <f t="shared" si="125"/>
        <v>0</v>
      </c>
      <c r="S129" s="229">
        <f t="shared" si="125"/>
        <v>0</v>
      </c>
      <c r="T129" s="229">
        <f t="shared" si="125"/>
        <v>0</v>
      </c>
      <c r="U129" s="229">
        <f t="shared" si="125"/>
        <v>0</v>
      </c>
      <c r="V129" s="229">
        <f t="shared" si="125"/>
        <v>0</v>
      </c>
      <c r="W129" s="229">
        <f t="shared" si="125"/>
        <v>0</v>
      </c>
      <c r="X129" s="229">
        <f t="shared" si="125"/>
        <v>0</v>
      </c>
      <c r="Y129" s="229">
        <f t="shared" si="125"/>
        <v>0</v>
      </c>
      <c r="Z129" s="229">
        <f t="shared" si="125"/>
        <v>0</v>
      </c>
      <c r="AA129" s="229">
        <f t="shared" si="143"/>
        <v>0</v>
      </c>
      <c r="AB129" s="229">
        <f t="shared" si="143"/>
        <v>0</v>
      </c>
      <c r="AC129" s="229">
        <f t="shared" si="143"/>
        <v>0</v>
      </c>
      <c r="AD129" s="229">
        <f t="shared" si="143"/>
        <v>0</v>
      </c>
      <c r="AE129" s="229">
        <f t="shared" si="143"/>
        <v>0</v>
      </c>
      <c r="AF129" s="229">
        <f t="shared" si="143"/>
        <v>0</v>
      </c>
      <c r="AG129" s="229">
        <f t="shared" si="143"/>
        <v>0</v>
      </c>
      <c r="AH129" s="229">
        <f t="shared" si="143"/>
        <v>0</v>
      </c>
      <c r="AI129" s="229">
        <f t="shared" si="143"/>
        <v>0</v>
      </c>
      <c r="AJ129" s="229">
        <f t="shared" si="143"/>
        <v>0</v>
      </c>
      <c r="AK129" s="229">
        <f t="shared" si="143"/>
        <v>0</v>
      </c>
      <c r="AL129" s="229">
        <f t="shared" si="143"/>
        <v>0</v>
      </c>
      <c r="AM129" s="229">
        <f t="shared" si="143"/>
        <v>0</v>
      </c>
      <c r="AN129" s="229">
        <f t="shared" si="143"/>
        <v>0</v>
      </c>
      <c r="AO129" s="229">
        <f t="shared" si="143"/>
        <v>0</v>
      </c>
      <c r="AP129" s="229">
        <f t="shared" si="143"/>
        <v>0</v>
      </c>
      <c r="AQ129" s="229">
        <f t="shared" si="143"/>
        <v>0</v>
      </c>
      <c r="AR129" s="229">
        <f t="shared" si="143"/>
        <v>0</v>
      </c>
      <c r="AS129" s="229">
        <f t="shared" si="142"/>
        <v>0</v>
      </c>
      <c r="AT129" s="229">
        <f t="shared" si="142"/>
        <v>0</v>
      </c>
      <c r="AU129" s="229">
        <f t="shared" si="142"/>
        <v>0</v>
      </c>
      <c r="AV129" s="229">
        <f t="shared" si="142"/>
        <v>0</v>
      </c>
      <c r="AW129" s="229">
        <f t="shared" si="142"/>
        <v>0</v>
      </c>
      <c r="AX129" s="229">
        <f t="shared" si="143"/>
        <v>0</v>
      </c>
      <c r="AY129" s="229">
        <f t="shared" si="143"/>
        <v>0</v>
      </c>
      <c r="AZ129" s="229">
        <f t="shared" si="143"/>
        <v>0</v>
      </c>
      <c r="BA129" s="229">
        <f t="shared" si="143"/>
        <v>0</v>
      </c>
      <c r="BB129" s="229">
        <f t="shared" si="143"/>
        <v>0</v>
      </c>
      <c r="BC129" s="229">
        <f t="shared" si="143"/>
        <v>0</v>
      </c>
      <c r="BD129" s="229">
        <f t="shared" si="144"/>
        <v>0</v>
      </c>
      <c r="BE129" s="229">
        <f t="shared" si="144"/>
        <v>0</v>
      </c>
      <c r="BF129" s="229">
        <f t="shared" si="144"/>
        <v>0</v>
      </c>
      <c r="BG129" s="229">
        <f t="shared" si="144"/>
        <v>0</v>
      </c>
      <c r="BH129" s="229">
        <f t="shared" si="144"/>
        <v>0</v>
      </c>
      <c r="BI129" s="229">
        <f t="shared" si="144"/>
        <v>0</v>
      </c>
      <c r="BJ129" s="229">
        <f t="shared" si="144"/>
        <v>0</v>
      </c>
      <c r="BK129" s="229">
        <f t="shared" si="144"/>
        <v>0</v>
      </c>
      <c r="BL129" s="229">
        <f t="shared" si="144"/>
        <v>0</v>
      </c>
      <c r="BM129" s="229">
        <f t="shared" si="144"/>
        <v>0</v>
      </c>
      <c r="BN129" s="229">
        <f t="shared" si="144"/>
        <v>0</v>
      </c>
      <c r="BO129" s="229">
        <f t="shared" si="144"/>
        <v>0</v>
      </c>
      <c r="BP129" s="229">
        <f t="shared" si="144"/>
        <v>0</v>
      </c>
      <c r="BQ129" s="229">
        <f t="shared" si="145"/>
        <v>0</v>
      </c>
      <c r="BR129" s="229">
        <f t="shared" si="145"/>
        <v>0</v>
      </c>
      <c r="BS129" s="229">
        <f t="shared" si="145"/>
        <v>0</v>
      </c>
      <c r="BT129" s="229">
        <f t="shared" si="145"/>
        <v>0</v>
      </c>
      <c r="BU129" s="229">
        <f t="shared" si="145"/>
        <v>0</v>
      </c>
      <c r="BV129" s="229">
        <f t="shared" si="145"/>
        <v>0</v>
      </c>
      <c r="BW129" s="229">
        <f t="shared" si="145"/>
        <v>0</v>
      </c>
      <c r="BX129" s="229">
        <f t="shared" si="145"/>
        <v>0</v>
      </c>
      <c r="BY129" s="229">
        <f t="shared" si="145"/>
        <v>0</v>
      </c>
      <c r="BZ129" s="229">
        <f t="shared" si="145"/>
        <v>0</v>
      </c>
      <c r="CA129" s="229">
        <f t="shared" si="145"/>
        <v>0</v>
      </c>
      <c r="CB129" s="229">
        <f t="shared" si="145"/>
        <v>0</v>
      </c>
      <c r="CC129" s="229">
        <f t="shared" si="145"/>
        <v>0</v>
      </c>
      <c r="CD129" s="229">
        <f t="shared" si="146"/>
        <v>0</v>
      </c>
      <c r="CE129" s="229">
        <f t="shared" ref="CE129:CE138" si="149">IF($M129=CE$13,CE$22*CE$3,IF($M129=CE$14,CE$22*CE$4,IF($M129=CE$15,CE$22*CE$5,IF($M129=CE$16,CE$22*CE$6,IF($M129=CE$17,CE$22*CE$7,IF($M129=CE$18,CE$22*CE$8,IF($M129=CE$19,CE$22*CE$9,IF($M129=CE$20,CE$22*CE$10,0))))))))</f>
        <v>0</v>
      </c>
      <c r="CF129" s="229">
        <f t="shared" si="146"/>
        <v>0</v>
      </c>
      <c r="CG129" s="229">
        <f t="shared" si="146"/>
        <v>0</v>
      </c>
      <c r="CH129" s="229">
        <f t="shared" si="146"/>
        <v>0</v>
      </c>
      <c r="CI129" s="229">
        <f t="shared" si="146"/>
        <v>0</v>
      </c>
      <c r="CJ129" s="229">
        <f t="shared" si="70"/>
        <v>0</v>
      </c>
      <c r="CK129" s="229">
        <f t="shared" si="146"/>
        <v>0</v>
      </c>
      <c r="CL129" s="229">
        <f t="shared" si="146"/>
        <v>0</v>
      </c>
      <c r="CM129" s="229">
        <f t="shared" si="146"/>
        <v>0</v>
      </c>
      <c r="CN129" s="229">
        <f t="shared" si="146"/>
        <v>0</v>
      </c>
      <c r="CO129" s="229">
        <f t="shared" si="148"/>
        <v>0</v>
      </c>
      <c r="CP129" s="229">
        <f t="shared" si="148"/>
        <v>0</v>
      </c>
      <c r="CQ129" s="229">
        <f t="shared" si="146"/>
        <v>0</v>
      </c>
      <c r="CR129" s="229">
        <f t="shared" si="146"/>
        <v>0</v>
      </c>
      <c r="CS129" s="229">
        <f t="shared" si="146"/>
        <v>0</v>
      </c>
      <c r="CT129" s="229">
        <f t="shared" si="146"/>
        <v>0</v>
      </c>
      <c r="CU129" s="230"/>
      <c r="CV129" s="231"/>
      <c r="CW129" s="231"/>
      <c r="CX129" s="231"/>
      <c r="CY129" s="231"/>
      <c r="CZ129" s="231"/>
      <c r="DA129" s="231"/>
      <c r="DB129" s="231"/>
      <c r="DC129" s="231"/>
      <c r="DD129" s="231">
        <f>IF(SUM(DD$24:DD128)=DD$22,0,IF(AND($M129&gt;=DD$15,$M129&lt;(DD$16+1)),DD$22/(DD$16-DD$15+1),0))</f>
        <v>0</v>
      </c>
      <c r="DE129" s="231">
        <f>IF(SUM(DE$24:DE128)=DE$22,0,IF(AND($M129&gt;=DE$15,$M129&lt;(DE$16+1)),DE$22/(DE$16-DE$15+1),0))</f>
        <v>0</v>
      </c>
      <c r="DF129" s="231">
        <f>IF(SUM(DF$24:DF128)=DF$22,0,IF(AND($M129&gt;=DF$15,$M129&lt;(DF$16+1)),DF$22/(DF$16-DF$15+1),0))</f>
        <v>0</v>
      </c>
      <c r="DG129" s="231">
        <f>IF(SUM(DG$24:DG128)=DG$22,0,IF(AND($M129&gt;=DG$15,$M129&lt;(DG$16+1)),DG$22/(DG$16-DG$15+1),0))</f>
        <v>0</v>
      </c>
      <c r="DH129" s="231">
        <f t="shared" si="123"/>
        <v>0</v>
      </c>
      <c r="DI129" s="231">
        <f t="shared" si="123"/>
        <v>0</v>
      </c>
      <c r="DJ129" s="231">
        <f t="shared" si="123"/>
        <v>0</v>
      </c>
      <c r="DK129" s="231">
        <f t="shared" si="123"/>
        <v>0</v>
      </c>
      <c r="DL129" s="231">
        <f t="shared" si="123"/>
        <v>0</v>
      </c>
      <c r="DM129" s="231">
        <f t="shared" si="147"/>
        <v>0</v>
      </c>
      <c r="DN129" s="231">
        <f t="shared" si="147"/>
        <v>0</v>
      </c>
      <c r="DO129" s="231">
        <f t="shared" si="123"/>
        <v>0</v>
      </c>
      <c r="DP129" s="231">
        <f t="shared" si="123"/>
        <v>0</v>
      </c>
      <c r="DQ129" s="231">
        <f t="shared" si="123"/>
        <v>0</v>
      </c>
      <c r="DR129" s="231">
        <f t="shared" si="123"/>
        <v>0</v>
      </c>
      <c r="DS129" s="231">
        <f t="shared" si="123"/>
        <v>0</v>
      </c>
      <c r="DT129" s="231">
        <f ca="1">IF(SUM(DT$24:DT128)=DT$22,0,IF(AND($M129&gt;=DT$15,$M129&lt;(DT$16+1)),DT$22/(DT$16-DT$15+1),0))</f>
        <v>0</v>
      </c>
      <c r="DU129" s="231">
        <f ca="1">IF(SUM(DU$24:DU128)=DU$22,0,IF(AND($M129&gt;=DU$15,$M129&lt;(DU$16+1)),DU$22/(DU$16-DU$15+1),0))</f>
        <v>0</v>
      </c>
      <c r="DV129" s="231">
        <f ca="1">IF(SUM(DV$24:DV128)=DV$22,0,IF(AND(M129&gt;=DV$15,M129&lt;(DV$16+1)),DV$22/(DV$16-DV$15+1),0))</f>
        <v>0</v>
      </c>
      <c r="DW129" s="231" t="e">
        <f ca="1">IF(SUM(DW$24:DW128)=DW$22,0,IF(AND($M129&gt;=DW$15,$M129&lt;(DW$16+1)),DW$22/(DW$16-DW$15+1),0))</f>
        <v>#N/A</v>
      </c>
      <c r="DX129" s="231">
        <f ca="1">IF(SUM(DX$24:DX128)=DX$22,0,IF(AND($M129&gt;=DX$15,$M129&lt;(DX$16+1)),DX$22/(DX$16-DX$15+1),0))</f>
        <v>0</v>
      </c>
      <c r="DY129" s="231">
        <f ca="1">IF(SUM(DY$24:DY128)=DY$22,0,IF(AND($M129&gt;=DY$15,$M129&lt;(DY$16+1)),DY$22/(DY$16-DY$15+1),0))</f>
        <v>0</v>
      </c>
      <c r="DZ129" s="231">
        <f ca="1">IF(SUM(DZ$24:DZ128)=DZ$22,0,IF(AND($M129&gt;=DZ$15,$M129&lt;(DZ$16+1)),DZ$22/(DZ$16-DZ$15+1),0))</f>
        <v>0</v>
      </c>
      <c r="EA129" s="231" t="e">
        <f ca="1">IF(SUM(EA$24:EA128)=EA$22,0,IF(AND(M129&gt;=EA$15,M129&lt;(EA$16+1)),EA$22/(EA$16-EA$15+1),0))</f>
        <v>#N/A</v>
      </c>
      <c r="EC129" s="234">
        <f t="shared" si="136"/>
        <v>102</v>
      </c>
      <c r="ED129" s="234" t="e">
        <f t="shared" ca="1" si="137"/>
        <v>#N/A</v>
      </c>
      <c r="EE129" s="235" t="e">
        <f t="shared" ca="1" si="138"/>
        <v>#N/A</v>
      </c>
      <c r="EF129" s="234" t="e">
        <f t="shared" ca="1" si="104"/>
        <v>#N/A</v>
      </c>
      <c r="EG129" s="234" t="e">
        <f t="shared" ca="1" si="106"/>
        <v>#N/A</v>
      </c>
      <c r="EH129" s="234" t="e">
        <f t="shared" ca="1" si="112"/>
        <v>#N/A</v>
      </c>
      <c r="EI129" s="234"/>
      <c r="EJ129" s="234"/>
      <c r="EK129" s="153" t="e">
        <f t="shared" ca="1" si="139"/>
        <v>#N/A</v>
      </c>
      <c r="EL129" s="231" t="e">
        <f ca="1">IF(SUM(EL$24:EL128)=EL$22,0,IF(AND($M129&gt;=EL$15,$M129&lt;(EL$16+1)),EL$22/(EL$16-EL$15+1),0))</f>
        <v>#N/A</v>
      </c>
      <c r="EM129" s="153" t="e">
        <f t="shared" ca="1" si="140"/>
        <v>#N/A</v>
      </c>
      <c r="EO129" s="60"/>
      <c r="EP129" s="60"/>
    </row>
    <row r="130" spans="1:146" ht="13.9" customHeight="1">
      <c r="A130" s="220"/>
      <c r="B130" s="236">
        <f t="shared" si="100"/>
        <v>103</v>
      </c>
      <c r="C130" s="221">
        <f t="shared" si="141"/>
        <v>46693.503400000161</v>
      </c>
      <c r="D130" s="222" t="e">
        <f ca="1">'Offshore INT'!R119</f>
        <v>#N/A</v>
      </c>
      <c r="E130" s="223" t="e">
        <f t="shared" ca="1" si="131"/>
        <v>#N/A</v>
      </c>
      <c r="F130" s="224"/>
      <c r="G130" s="225">
        <f>IF(G129=1,1,SUM($F$24:F130))</f>
        <v>0</v>
      </c>
      <c r="H130" s="226" t="e">
        <f ca="1">IF(H129=0,0,SUM($I$24:I130))</f>
        <v>#N/A</v>
      </c>
      <c r="I130" s="227" t="e">
        <f t="shared" ca="1" si="132"/>
        <v>#N/A</v>
      </c>
      <c r="J130" s="222">
        <f t="shared" ca="1" si="98"/>
        <v>0</v>
      </c>
      <c r="K130" s="60"/>
      <c r="L130" s="228"/>
      <c r="M130" s="228">
        <f t="shared" si="133"/>
        <v>103</v>
      </c>
      <c r="N130" s="221">
        <f t="shared" si="134"/>
        <v>46693.503400000161</v>
      </c>
      <c r="O130" s="229">
        <f t="shared" si="125"/>
        <v>0</v>
      </c>
      <c r="P130" s="229">
        <f t="shared" si="125"/>
        <v>0</v>
      </c>
      <c r="Q130" s="229">
        <f t="shared" si="125"/>
        <v>0</v>
      </c>
      <c r="R130" s="229">
        <f t="shared" si="125"/>
        <v>0</v>
      </c>
      <c r="S130" s="229">
        <f t="shared" si="125"/>
        <v>0</v>
      </c>
      <c r="T130" s="229">
        <f t="shared" si="125"/>
        <v>0</v>
      </c>
      <c r="U130" s="229">
        <f t="shared" si="125"/>
        <v>0</v>
      </c>
      <c r="V130" s="229">
        <f t="shared" si="125"/>
        <v>0</v>
      </c>
      <c r="W130" s="229">
        <f t="shared" si="125"/>
        <v>0</v>
      </c>
      <c r="X130" s="229">
        <f t="shared" si="125"/>
        <v>0</v>
      </c>
      <c r="Y130" s="229">
        <f t="shared" si="125"/>
        <v>0</v>
      </c>
      <c r="Z130" s="229">
        <f t="shared" si="125"/>
        <v>0</v>
      </c>
      <c r="AA130" s="229">
        <f t="shared" si="143"/>
        <v>0</v>
      </c>
      <c r="AB130" s="229">
        <f t="shared" si="143"/>
        <v>0</v>
      </c>
      <c r="AC130" s="229">
        <f t="shared" si="143"/>
        <v>0</v>
      </c>
      <c r="AD130" s="229">
        <f t="shared" si="143"/>
        <v>0</v>
      </c>
      <c r="AE130" s="229">
        <f t="shared" si="143"/>
        <v>0</v>
      </c>
      <c r="AF130" s="229">
        <f t="shared" si="143"/>
        <v>0</v>
      </c>
      <c r="AG130" s="229">
        <f t="shared" si="143"/>
        <v>0</v>
      </c>
      <c r="AH130" s="229">
        <f t="shared" si="143"/>
        <v>0</v>
      </c>
      <c r="AI130" s="229">
        <f t="shared" si="143"/>
        <v>0</v>
      </c>
      <c r="AJ130" s="229">
        <f t="shared" si="143"/>
        <v>0</v>
      </c>
      <c r="AK130" s="229">
        <f t="shared" si="143"/>
        <v>0</v>
      </c>
      <c r="AL130" s="229">
        <f t="shared" si="143"/>
        <v>0</v>
      </c>
      <c r="AM130" s="229">
        <f t="shared" si="143"/>
        <v>0</v>
      </c>
      <c r="AN130" s="229">
        <f t="shared" si="143"/>
        <v>0</v>
      </c>
      <c r="AO130" s="229">
        <f t="shared" ref="AM130:AO133" si="150">IF($M130=AO$13,AO$22*AO$3,IF($M130=AO$14,AO$22*AO$4,IF($M130=AO$15,AO$22*AO$5,IF($M130=AO$16,AO$22*AO$6,IF($M130=AO$17,AO$22*AO$7,IF($M130=AO$18,AO$22*AO$8,IF($M130=AO$19,AO$22*AO$9,IF($M130=AO$20,AO$22*AO$10,0))))))))</f>
        <v>0</v>
      </c>
      <c r="AP130" s="229">
        <f t="shared" si="143"/>
        <v>0</v>
      </c>
      <c r="AQ130" s="229">
        <f t="shared" si="143"/>
        <v>0</v>
      </c>
      <c r="AR130" s="229">
        <f t="shared" si="143"/>
        <v>0</v>
      </c>
      <c r="AS130" s="229">
        <f t="shared" si="142"/>
        <v>0</v>
      </c>
      <c r="AT130" s="229">
        <f t="shared" si="142"/>
        <v>0</v>
      </c>
      <c r="AU130" s="229">
        <f t="shared" si="142"/>
        <v>0</v>
      </c>
      <c r="AV130" s="229">
        <f t="shared" si="142"/>
        <v>0</v>
      </c>
      <c r="AW130" s="229">
        <f t="shared" si="142"/>
        <v>0</v>
      </c>
      <c r="AX130" s="229">
        <f t="shared" si="143"/>
        <v>0</v>
      </c>
      <c r="AY130" s="229">
        <f t="shared" si="143"/>
        <v>0</v>
      </c>
      <c r="AZ130" s="229">
        <f t="shared" si="143"/>
        <v>0</v>
      </c>
      <c r="BA130" s="229">
        <f t="shared" si="143"/>
        <v>0</v>
      </c>
      <c r="BB130" s="229">
        <f t="shared" si="143"/>
        <v>0</v>
      </c>
      <c r="BC130" s="229">
        <f t="shared" si="143"/>
        <v>0</v>
      </c>
      <c r="BD130" s="229">
        <f t="shared" si="144"/>
        <v>0</v>
      </c>
      <c r="BE130" s="229">
        <f t="shared" si="144"/>
        <v>0</v>
      </c>
      <c r="BF130" s="229">
        <f t="shared" si="144"/>
        <v>0</v>
      </c>
      <c r="BG130" s="229">
        <f t="shared" si="144"/>
        <v>0</v>
      </c>
      <c r="BH130" s="229">
        <f t="shared" si="144"/>
        <v>0</v>
      </c>
      <c r="BI130" s="229">
        <f t="shared" si="144"/>
        <v>0</v>
      </c>
      <c r="BJ130" s="229">
        <f t="shared" si="144"/>
        <v>0</v>
      </c>
      <c r="BK130" s="229">
        <f t="shared" si="144"/>
        <v>0</v>
      </c>
      <c r="BL130" s="229">
        <f t="shared" si="144"/>
        <v>0</v>
      </c>
      <c r="BM130" s="229">
        <f t="shared" si="144"/>
        <v>0</v>
      </c>
      <c r="BN130" s="229">
        <f t="shared" si="144"/>
        <v>0</v>
      </c>
      <c r="BO130" s="229">
        <f t="shared" si="144"/>
        <v>0</v>
      </c>
      <c r="BP130" s="229">
        <f t="shared" si="144"/>
        <v>0</v>
      </c>
      <c r="BQ130" s="229">
        <f t="shared" si="145"/>
        <v>0</v>
      </c>
      <c r="BR130" s="229">
        <f t="shared" si="145"/>
        <v>0</v>
      </c>
      <c r="BS130" s="229">
        <f t="shared" si="145"/>
        <v>0</v>
      </c>
      <c r="BT130" s="229">
        <f t="shared" si="145"/>
        <v>0</v>
      </c>
      <c r="BU130" s="229">
        <f t="shared" si="145"/>
        <v>0</v>
      </c>
      <c r="BV130" s="229">
        <f t="shared" si="145"/>
        <v>0</v>
      </c>
      <c r="BW130" s="229">
        <f t="shared" si="145"/>
        <v>0</v>
      </c>
      <c r="BX130" s="229">
        <f t="shared" si="145"/>
        <v>0</v>
      </c>
      <c r="BY130" s="229">
        <f t="shared" si="145"/>
        <v>0</v>
      </c>
      <c r="BZ130" s="229">
        <f t="shared" si="145"/>
        <v>0</v>
      </c>
      <c r="CA130" s="229">
        <f t="shared" si="145"/>
        <v>0</v>
      </c>
      <c r="CB130" s="229">
        <f t="shared" si="145"/>
        <v>0</v>
      </c>
      <c r="CC130" s="229">
        <f t="shared" si="145"/>
        <v>0</v>
      </c>
      <c r="CD130" s="229">
        <f t="shared" si="146"/>
        <v>0</v>
      </c>
      <c r="CE130" s="229">
        <f t="shared" si="149"/>
        <v>0</v>
      </c>
      <c r="CF130" s="229">
        <f t="shared" si="146"/>
        <v>0</v>
      </c>
      <c r="CG130" s="229">
        <f t="shared" si="146"/>
        <v>0</v>
      </c>
      <c r="CH130" s="229">
        <f t="shared" si="146"/>
        <v>0</v>
      </c>
      <c r="CI130" s="229">
        <f t="shared" si="146"/>
        <v>0</v>
      </c>
      <c r="CJ130" s="229">
        <f t="shared" si="70"/>
        <v>0</v>
      </c>
      <c r="CK130" s="229">
        <f t="shared" si="146"/>
        <v>0</v>
      </c>
      <c r="CL130" s="229">
        <f t="shared" si="146"/>
        <v>0</v>
      </c>
      <c r="CM130" s="229">
        <f t="shared" si="146"/>
        <v>0</v>
      </c>
      <c r="CN130" s="229">
        <f t="shared" si="146"/>
        <v>0</v>
      </c>
      <c r="CO130" s="229">
        <f t="shared" si="148"/>
        <v>0</v>
      </c>
      <c r="CP130" s="229">
        <f t="shared" si="148"/>
        <v>0</v>
      </c>
      <c r="CQ130" s="229">
        <f t="shared" si="146"/>
        <v>0</v>
      </c>
      <c r="CR130" s="229">
        <f t="shared" si="146"/>
        <v>0</v>
      </c>
      <c r="CS130" s="229">
        <f t="shared" si="146"/>
        <v>0</v>
      </c>
      <c r="CT130" s="229">
        <f t="shared" si="146"/>
        <v>0</v>
      </c>
      <c r="CU130" s="230"/>
      <c r="CV130" s="231"/>
      <c r="CW130" s="231"/>
      <c r="CX130" s="231"/>
      <c r="CY130" s="231"/>
      <c r="CZ130" s="231"/>
      <c r="DA130" s="231"/>
      <c r="DB130" s="231"/>
      <c r="DC130" s="231"/>
      <c r="DD130" s="231">
        <f>IF(SUM(DD$24:DD129)=DD$22,0,IF(AND($M130&gt;=DD$15,$M130&lt;(DD$16+1)),DD$22/(DD$16-DD$15+1),0))</f>
        <v>0</v>
      </c>
      <c r="DE130" s="231">
        <f>IF(SUM(DE$24:DE129)=DE$22,0,IF(AND($M130&gt;=DE$15,$M130&lt;(DE$16+1)),DE$22/(DE$16-DE$15+1),0))</f>
        <v>0</v>
      </c>
      <c r="DF130" s="231">
        <f>IF(SUM(DF$24:DF129)=DF$22,0,IF(AND($M130&gt;=DF$15,$M130&lt;(DF$16+1)),DF$22/(DF$16-DF$15+1),0))</f>
        <v>0</v>
      </c>
      <c r="DG130" s="231">
        <f>IF(SUM(DG$24:DG129)=DG$22,0,IF(AND($M130&gt;=DG$15,$M130&lt;(DG$16+1)),DG$22/(DG$16-DG$15+1),0))</f>
        <v>0</v>
      </c>
      <c r="DH130" s="231">
        <f t="shared" ref="DH130:DS153" si="151">IF(AND($M130&gt;=DH$15,$M130&lt;(DH$16+1)),DH$22/(DH$16-DH$15+1),0)</f>
        <v>0</v>
      </c>
      <c r="DI130" s="231">
        <f t="shared" si="151"/>
        <v>0</v>
      </c>
      <c r="DJ130" s="231">
        <f t="shared" si="151"/>
        <v>0</v>
      </c>
      <c r="DK130" s="231">
        <f t="shared" si="151"/>
        <v>0</v>
      </c>
      <c r="DL130" s="231">
        <f t="shared" si="151"/>
        <v>0</v>
      </c>
      <c r="DM130" s="231">
        <f t="shared" si="151"/>
        <v>0</v>
      </c>
      <c r="DN130" s="231">
        <f t="shared" si="147"/>
        <v>0</v>
      </c>
      <c r="DO130" s="231">
        <f t="shared" si="151"/>
        <v>0</v>
      </c>
      <c r="DP130" s="231">
        <f t="shared" si="151"/>
        <v>0</v>
      </c>
      <c r="DQ130" s="231">
        <f t="shared" si="151"/>
        <v>0</v>
      </c>
      <c r="DR130" s="231">
        <f t="shared" si="151"/>
        <v>0</v>
      </c>
      <c r="DS130" s="231">
        <f t="shared" si="151"/>
        <v>0</v>
      </c>
      <c r="DT130" s="231">
        <f ca="1">IF(SUM(DT$24:DT129)=DT$22,0,IF(AND($M130&gt;=DT$15,$M130&lt;(DT$16+1)),DT$22/(DT$16-DT$15+1),0))</f>
        <v>0</v>
      </c>
      <c r="DU130" s="231">
        <f ca="1">IF(SUM(DU$24:DU129)=DU$22,0,IF(AND($M130&gt;=DU$15,$M130&lt;(DU$16+1)),DU$22/(DU$16-DU$15+1),0))</f>
        <v>0</v>
      </c>
      <c r="DV130" s="231">
        <f ca="1">IF(SUM(DV$24:DV129)=DV$22,0,IF(AND(M130&gt;=DV$15,M130&lt;(DV$16+1)),DV$22/(DV$16-DV$15+1),0))</f>
        <v>0</v>
      </c>
      <c r="DW130" s="231" t="e">
        <f ca="1">IF(SUM(DW$24:DW129)=DW$22,0,IF(AND($M130&gt;=DW$15,$M130&lt;(DW$16+1)),DW$22/(DW$16-DW$15+1),0))</f>
        <v>#N/A</v>
      </c>
      <c r="DX130" s="231">
        <f ca="1">IF(SUM(DX$24:DX129)=DX$22,0,IF(AND($M130&gt;=DX$15,$M130&lt;(DX$16+1)),DX$22/(DX$16-DX$15+1),0))</f>
        <v>0</v>
      </c>
      <c r="DY130" s="231">
        <f ca="1">IF(SUM(DY$24:DY129)=DY$22,0,IF(AND($M130&gt;=DY$15,$M130&lt;(DY$16+1)),DY$22/(DY$16-DY$15+1),0))</f>
        <v>0</v>
      </c>
      <c r="DZ130" s="231">
        <f ca="1">IF(SUM(DZ$24:DZ129)=DZ$22,0,IF(AND($M130&gt;=DZ$15,$M130&lt;(DZ$16+1)),DZ$22/(DZ$16-DZ$15+1),0))</f>
        <v>0</v>
      </c>
      <c r="EA130" s="231" t="e">
        <f ca="1">IF(SUM(EA$24:EA129)=EA$22,0,IF(AND(M130&gt;=EA$15,M130&lt;(EA$16+1)),EA$22/(EA$16-EA$15+1),0))</f>
        <v>#N/A</v>
      </c>
      <c r="EC130" s="234">
        <f t="shared" si="136"/>
        <v>103</v>
      </c>
      <c r="ED130" s="234" t="e">
        <f t="shared" ca="1" si="137"/>
        <v>#N/A</v>
      </c>
      <c r="EE130" s="235" t="e">
        <f t="shared" ca="1" si="138"/>
        <v>#N/A</v>
      </c>
      <c r="EF130" s="234" t="e">
        <f t="shared" ca="1" si="104"/>
        <v>#N/A</v>
      </c>
      <c r="EG130" s="234" t="e">
        <f t="shared" ca="1" si="106"/>
        <v>#N/A</v>
      </c>
      <c r="EH130" s="234" t="e">
        <f t="shared" ca="1" si="112"/>
        <v>#N/A</v>
      </c>
      <c r="EI130" s="234"/>
      <c r="EJ130" s="234"/>
      <c r="EK130" s="153" t="e">
        <f t="shared" ca="1" si="139"/>
        <v>#N/A</v>
      </c>
      <c r="EL130" s="231" t="e">
        <f ca="1">IF(SUM(EL$24:EL129)=EL$22,0,IF(AND($M130&gt;=EL$15,$M130&lt;(EL$16+1)),EL$22/(EL$16-EL$15+1),0))</f>
        <v>#N/A</v>
      </c>
      <c r="EM130" s="153" t="e">
        <f t="shared" ca="1" si="140"/>
        <v>#N/A</v>
      </c>
      <c r="EO130" s="60"/>
      <c r="EP130" s="60"/>
    </row>
    <row r="131" spans="1:146" ht="13.9" customHeight="1">
      <c r="A131" s="220"/>
      <c r="B131" s="236">
        <f t="shared" si="100"/>
        <v>104</v>
      </c>
      <c r="C131" s="221">
        <f t="shared" si="141"/>
        <v>46723.920100000163</v>
      </c>
      <c r="D131" s="222" t="e">
        <f ca="1">'Offshore INT'!R120</f>
        <v>#N/A</v>
      </c>
      <c r="E131" s="223" t="e">
        <f t="shared" ca="1" si="131"/>
        <v>#N/A</v>
      </c>
      <c r="F131" s="224"/>
      <c r="G131" s="225">
        <f>IF(G130=1,1,SUM($F$24:F131))</f>
        <v>0</v>
      </c>
      <c r="H131" s="226" t="e">
        <f ca="1">IF(H130=0,0,SUM($I$24:I131))</f>
        <v>#N/A</v>
      </c>
      <c r="I131" s="227" t="e">
        <f t="shared" ca="1" si="132"/>
        <v>#N/A</v>
      </c>
      <c r="J131" s="222">
        <f t="shared" ca="1" si="98"/>
        <v>0</v>
      </c>
      <c r="K131" s="60"/>
      <c r="L131" s="228"/>
      <c r="M131" s="228">
        <f t="shared" si="133"/>
        <v>104</v>
      </c>
      <c r="N131" s="221">
        <f t="shared" si="134"/>
        <v>46723.920100000163</v>
      </c>
      <c r="O131" s="229">
        <f t="shared" si="125"/>
        <v>0</v>
      </c>
      <c r="P131" s="229">
        <f t="shared" si="125"/>
        <v>0</v>
      </c>
      <c r="Q131" s="229">
        <f t="shared" si="125"/>
        <v>0</v>
      </c>
      <c r="R131" s="229">
        <f t="shared" si="125"/>
        <v>0</v>
      </c>
      <c r="S131" s="229">
        <f t="shared" si="125"/>
        <v>0</v>
      </c>
      <c r="T131" s="229">
        <f t="shared" si="125"/>
        <v>0</v>
      </c>
      <c r="U131" s="229">
        <f t="shared" si="125"/>
        <v>0</v>
      </c>
      <c r="V131" s="229">
        <f t="shared" si="125"/>
        <v>0</v>
      </c>
      <c r="W131" s="229">
        <f t="shared" si="125"/>
        <v>0</v>
      </c>
      <c r="X131" s="229">
        <f t="shared" si="125"/>
        <v>0</v>
      </c>
      <c r="Y131" s="229">
        <f t="shared" si="125"/>
        <v>0</v>
      </c>
      <c r="Z131" s="229">
        <f t="shared" si="125"/>
        <v>0</v>
      </c>
      <c r="AA131" s="229">
        <f t="shared" si="143"/>
        <v>0</v>
      </c>
      <c r="AB131" s="229">
        <f t="shared" si="143"/>
        <v>0</v>
      </c>
      <c r="AC131" s="229">
        <f t="shared" si="143"/>
        <v>0</v>
      </c>
      <c r="AD131" s="229">
        <f t="shared" si="143"/>
        <v>0</v>
      </c>
      <c r="AE131" s="229">
        <f t="shared" si="143"/>
        <v>0</v>
      </c>
      <c r="AF131" s="229">
        <f t="shared" si="143"/>
        <v>0</v>
      </c>
      <c r="AG131" s="229">
        <f t="shared" si="143"/>
        <v>0</v>
      </c>
      <c r="AH131" s="229">
        <f t="shared" si="143"/>
        <v>0</v>
      </c>
      <c r="AI131" s="229">
        <f t="shared" si="143"/>
        <v>0</v>
      </c>
      <c r="AJ131" s="229">
        <f t="shared" si="143"/>
        <v>0</v>
      </c>
      <c r="AK131" s="229">
        <f t="shared" si="143"/>
        <v>0</v>
      </c>
      <c r="AL131" s="229">
        <f t="shared" si="143"/>
        <v>0</v>
      </c>
      <c r="AM131" s="229">
        <f t="shared" si="150"/>
        <v>0</v>
      </c>
      <c r="AN131" s="229">
        <f t="shared" si="150"/>
        <v>0</v>
      </c>
      <c r="AO131" s="229">
        <f t="shared" si="150"/>
        <v>0</v>
      </c>
      <c r="AP131" s="229">
        <f t="shared" si="143"/>
        <v>0</v>
      </c>
      <c r="AQ131" s="229">
        <f t="shared" si="143"/>
        <v>0</v>
      </c>
      <c r="AR131" s="229">
        <f t="shared" si="143"/>
        <v>0</v>
      </c>
      <c r="AS131" s="229">
        <f t="shared" si="142"/>
        <v>0</v>
      </c>
      <c r="AT131" s="229">
        <f t="shared" si="142"/>
        <v>0</v>
      </c>
      <c r="AU131" s="229">
        <f t="shared" si="142"/>
        <v>0</v>
      </c>
      <c r="AV131" s="229">
        <f t="shared" si="142"/>
        <v>0</v>
      </c>
      <c r="AW131" s="229">
        <f t="shared" si="142"/>
        <v>0</v>
      </c>
      <c r="AX131" s="229">
        <f t="shared" si="143"/>
        <v>0</v>
      </c>
      <c r="AY131" s="229">
        <f t="shared" si="143"/>
        <v>0</v>
      </c>
      <c r="AZ131" s="229">
        <f t="shared" si="143"/>
        <v>0</v>
      </c>
      <c r="BA131" s="229">
        <f t="shared" si="143"/>
        <v>0</v>
      </c>
      <c r="BB131" s="229">
        <f t="shared" si="143"/>
        <v>0</v>
      </c>
      <c r="BC131" s="229">
        <f t="shared" si="143"/>
        <v>0</v>
      </c>
      <c r="BD131" s="229">
        <f t="shared" si="144"/>
        <v>0</v>
      </c>
      <c r="BE131" s="229">
        <f t="shared" si="144"/>
        <v>0</v>
      </c>
      <c r="BF131" s="229">
        <f t="shared" si="144"/>
        <v>0</v>
      </c>
      <c r="BG131" s="229">
        <f t="shared" si="144"/>
        <v>0</v>
      </c>
      <c r="BH131" s="229">
        <f t="shared" si="144"/>
        <v>0</v>
      </c>
      <c r="BI131" s="229">
        <f t="shared" si="144"/>
        <v>0</v>
      </c>
      <c r="BJ131" s="229">
        <f t="shared" si="144"/>
        <v>0</v>
      </c>
      <c r="BK131" s="229">
        <f t="shared" si="144"/>
        <v>0</v>
      </c>
      <c r="BL131" s="229">
        <f t="shared" si="144"/>
        <v>0</v>
      </c>
      <c r="BM131" s="229">
        <f t="shared" si="144"/>
        <v>0</v>
      </c>
      <c r="BN131" s="229">
        <f t="shared" si="144"/>
        <v>0</v>
      </c>
      <c r="BO131" s="229">
        <f t="shared" si="144"/>
        <v>0</v>
      </c>
      <c r="BP131" s="229">
        <f t="shared" si="144"/>
        <v>0</v>
      </c>
      <c r="BQ131" s="229">
        <f t="shared" si="145"/>
        <v>0</v>
      </c>
      <c r="BR131" s="229">
        <f t="shared" si="145"/>
        <v>0</v>
      </c>
      <c r="BS131" s="229">
        <f t="shared" si="145"/>
        <v>0</v>
      </c>
      <c r="BT131" s="229">
        <f t="shared" si="145"/>
        <v>0</v>
      </c>
      <c r="BU131" s="229">
        <f t="shared" si="145"/>
        <v>0</v>
      </c>
      <c r="BV131" s="229">
        <f t="shared" si="145"/>
        <v>0</v>
      </c>
      <c r="BW131" s="229">
        <f t="shared" si="145"/>
        <v>0</v>
      </c>
      <c r="BX131" s="229">
        <f t="shared" si="145"/>
        <v>0</v>
      </c>
      <c r="BY131" s="229">
        <f t="shared" si="145"/>
        <v>0</v>
      </c>
      <c r="BZ131" s="229">
        <f t="shared" si="145"/>
        <v>0</v>
      </c>
      <c r="CA131" s="229">
        <f t="shared" si="145"/>
        <v>0</v>
      </c>
      <c r="CB131" s="229">
        <f t="shared" si="145"/>
        <v>0</v>
      </c>
      <c r="CC131" s="229">
        <f t="shared" si="145"/>
        <v>0</v>
      </c>
      <c r="CD131" s="229">
        <f t="shared" si="146"/>
        <v>0</v>
      </c>
      <c r="CE131" s="229">
        <f t="shared" si="149"/>
        <v>0</v>
      </c>
      <c r="CF131" s="229">
        <f t="shared" si="146"/>
        <v>0</v>
      </c>
      <c r="CG131" s="229">
        <f t="shared" si="146"/>
        <v>0</v>
      </c>
      <c r="CH131" s="229">
        <f t="shared" si="146"/>
        <v>0</v>
      </c>
      <c r="CI131" s="229">
        <f t="shared" si="146"/>
        <v>0</v>
      </c>
      <c r="CJ131" s="229">
        <f t="shared" si="70"/>
        <v>0</v>
      </c>
      <c r="CK131" s="229">
        <f t="shared" si="146"/>
        <v>0</v>
      </c>
      <c r="CL131" s="229">
        <f t="shared" si="146"/>
        <v>0</v>
      </c>
      <c r="CM131" s="229">
        <f t="shared" si="146"/>
        <v>0</v>
      </c>
      <c r="CN131" s="229">
        <f t="shared" si="146"/>
        <v>0</v>
      </c>
      <c r="CO131" s="229">
        <f t="shared" si="148"/>
        <v>0</v>
      </c>
      <c r="CP131" s="229">
        <f t="shared" si="148"/>
        <v>0</v>
      </c>
      <c r="CQ131" s="229">
        <f t="shared" si="146"/>
        <v>0</v>
      </c>
      <c r="CR131" s="229">
        <f t="shared" si="146"/>
        <v>0</v>
      </c>
      <c r="CS131" s="229">
        <f t="shared" si="146"/>
        <v>0</v>
      </c>
      <c r="CT131" s="229">
        <f t="shared" si="146"/>
        <v>0</v>
      </c>
      <c r="CU131" s="230"/>
      <c r="CV131" s="231"/>
      <c r="CW131" s="231"/>
      <c r="CX131" s="231"/>
      <c r="CY131" s="231"/>
      <c r="CZ131" s="231"/>
      <c r="DA131" s="231"/>
      <c r="DB131" s="231"/>
      <c r="DC131" s="231"/>
      <c r="DD131" s="231">
        <f>IF(SUM(DD$24:DD130)=DD$22,0,IF(AND($M131&gt;=DD$15,$M131&lt;(DD$16+1)),DD$22/(DD$16-DD$15+1),0))</f>
        <v>0</v>
      </c>
      <c r="DE131" s="231">
        <f>IF(SUM(DE$24:DE130)=DE$22,0,IF(AND($M131&gt;=DE$15,$M131&lt;(DE$16+1)),DE$22/(DE$16-DE$15+1),0))</f>
        <v>0</v>
      </c>
      <c r="DF131" s="231">
        <f>IF(SUM(DF$24:DF130)=DF$22,0,IF(AND($M131&gt;=DF$15,$M131&lt;(DF$16+1)),DF$22/(DF$16-DF$15+1),0))</f>
        <v>0</v>
      </c>
      <c r="DG131" s="231">
        <f>IF(SUM(DG$24:DG130)=DG$22,0,IF(AND($M131&gt;=DG$15,$M131&lt;(DG$16+1)),DG$22/(DG$16-DG$15+1),0))</f>
        <v>0</v>
      </c>
      <c r="DH131" s="231">
        <f t="shared" si="151"/>
        <v>0</v>
      </c>
      <c r="DI131" s="231">
        <f t="shared" si="151"/>
        <v>0</v>
      </c>
      <c r="DJ131" s="231">
        <f t="shared" si="151"/>
        <v>0</v>
      </c>
      <c r="DK131" s="231">
        <f t="shared" si="151"/>
        <v>0</v>
      </c>
      <c r="DL131" s="231">
        <f t="shared" si="151"/>
        <v>0</v>
      </c>
      <c r="DM131" s="231">
        <f t="shared" si="151"/>
        <v>0</v>
      </c>
      <c r="DN131" s="231">
        <f t="shared" si="147"/>
        <v>0</v>
      </c>
      <c r="DO131" s="231">
        <f t="shared" si="151"/>
        <v>0</v>
      </c>
      <c r="DP131" s="231">
        <f t="shared" si="151"/>
        <v>0</v>
      </c>
      <c r="DQ131" s="231">
        <f t="shared" si="151"/>
        <v>0</v>
      </c>
      <c r="DR131" s="231">
        <f t="shared" si="151"/>
        <v>0</v>
      </c>
      <c r="DS131" s="231">
        <f t="shared" si="151"/>
        <v>0</v>
      </c>
      <c r="DT131" s="231">
        <f ca="1">IF(SUM(DT$24:DT130)=DT$22,0,IF(AND($M131&gt;=DT$15,$M131&lt;(DT$16+1)),DT$22/(DT$16-DT$15+1),0))</f>
        <v>0</v>
      </c>
      <c r="DU131" s="231">
        <f ca="1">IF(SUM(DU$24:DU130)=DU$22,0,IF(AND($M131&gt;=DU$15,$M131&lt;(DU$16+1)),DU$22/(DU$16-DU$15+1),0))</f>
        <v>0</v>
      </c>
      <c r="DV131" s="231">
        <f ca="1">IF(SUM(DV$24:DV130)=DV$22,0,IF(AND(M131&gt;=DV$15,M131&lt;(DV$16+1)),DV$22/(DV$16-DV$15+1),0))</f>
        <v>0</v>
      </c>
      <c r="DW131" s="231" t="e">
        <f ca="1">IF(SUM(DW$24:DW130)=DW$22,0,IF(AND($M131&gt;=DW$15,$M131&lt;(DW$16+1)),DW$22/(DW$16-DW$15+1),0))</f>
        <v>#N/A</v>
      </c>
      <c r="DX131" s="231">
        <f ca="1">IF(SUM(DX$24:DX130)=DX$22,0,IF(AND($M131&gt;=DX$15,$M131&lt;(DX$16+1)),DX$22/(DX$16-DX$15+1),0))</f>
        <v>0</v>
      </c>
      <c r="DY131" s="231">
        <f ca="1">IF(SUM(DY$24:DY130)=DY$22,0,IF(AND($M131&gt;=DY$15,$M131&lt;(DY$16+1)),DY$22/(DY$16-DY$15+1),0))</f>
        <v>0</v>
      </c>
      <c r="DZ131" s="231">
        <f ca="1">IF(SUM(DZ$24:DZ130)=DZ$22,0,IF(AND($M131&gt;=DZ$15,$M131&lt;(DZ$16+1)),DZ$22/(DZ$16-DZ$15+1),0))</f>
        <v>0</v>
      </c>
      <c r="EA131" s="231" t="e">
        <f ca="1">IF(SUM(EA$24:EA130)=EA$22,0,IF(AND(M131&gt;=EA$15,M131&lt;(EA$16+1)),EA$22/(EA$16-EA$15+1),0))</f>
        <v>#N/A</v>
      </c>
      <c r="EC131" s="234">
        <f t="shared" si="136"/>
        <v>104</v>
      </c>
      <c r="ED131" s="234" t="e">
        <f t="shared" ca="1" si="137"/>
        <v>#N/A</v>
      </c>
      <c r="EE131" s="235" t="e">
        <f t="shared" ca="1" si="138"/>
        <v>#N/A</v>
      </c>
      <c r="EF131" s="234" t="e">
        <f t="shared" ca="1" si="104"/>
        <v>#N/A</v>
      </c>
      <c r="EG131" s="234" t="e">
        <f t="shared" ca="1" si="106"/>
        <v>#N/A</v>
      </c>
      <c r="EH131" s="234" t="e">
        <f t="shared" ca="1" si="112"/>
        <v>#N/A</v>
      </c>
      <c r="EI131" s="234"/>
      <c r="EJ131" s="234"/>
      <c r="EK131" s="153" t="e">
        <f t="shared" ca="1" si="139"/>
        <v>#N/A</v>
      </c>
      <c r="EL131" s="231" t="e">
        <f ca="1">IF(SUM(EL$24:EL130)=EL$22,0,IF(AND($M131&gt;=EL$15,$M131&lt;(EL$16+1)),EL$22/(EL$16-EL$15+1),0))</f>
        <v>#N/A</v>
      </c>
      <c r="EM131" s="153" t="e">
        <f t="shared" ca="1" si="140"/>
        <v>#N/A</v>
      </c>
      <c r="EO131" s="60"/>
      <c r="EP131" s="60"/>
    </row>
    <row r="132" spans="1:146" ht="13.9" customHeight="1">
      <c r="A132" s="220"/>
      <c r="B132" s="236">
        <f t="shared" si="100"/>
        <v>105</v>
      </c>
      <c r="C132" s="221">
        <f t="shared" si="141"/>
        <v>46754.336800000165</v>
      </c>
      <c r="D132" s="222" t="e">
        <f ca="1">'Offshore INT'!R121</f>
        <v>#N/A</v>
      </c>
      <c r="E132" s="223" t="e">
        <f t="shared" ca="1" si="131"/>
        <v>#N/A</v>
      </c>
      <c r="F132" s="224"/>
      <c r="G132" s="225">
        <f>IF(G131=1,1,SUM($F$24:F132))</f>
        <v>0</v>
      </c>
      <c r="H132" s="226" t="e">
        <f ca="1">IF(H131=0,0,SUM($I$24:I132))</f>
        <v>#N/A</v>
      </c>
      <c r="I132" s="227" t="e">
        <f t="shared" ca="1" si="132"/>
        <v>#N/A</v>
      </c>
      <c r="J132" s="222">
        <f t="shared" ca="1" si="98"/>
        <v>0</v>
      </c>
      <c r="K132" s="60"/>
      <c r="L132" s="228"/>
      <c r="M132" s="228">
        <f t="shared" si="133"/>
        <v>105</v>
      </c>
      <c r="N132" s="221">
        <f t="shared" si="134"/>
        <v>46754.336800000165</v>
      </c>
      <c r="O132" s="229">
        <f t="shared" si="125"/>
        <v>0</v>
      </c>
      <c r="P132" s="229">
        <f t="shared" si="125"/>
        <v>0</v>
      </c>
      <c r="Q132" s="229">
        <f t="shared" si="125"/>
        <v>0</v>
      </c>
      <c r="R132" s="229">
        <f t="shared" si="125"/>
        <v>0</v>
      </c>
      <c r="S132" s="229">
        <f t="shared" si="125"/>
        <v>0</v>
      </c>
      <c r="T132" s="229">
        <f t="shared" si="125"/>
        <v>0</v>
      </c>
      <c r="U132" s="229">
        <f t="shared" si="125"/>
        <v>0</v>
      </c>
      <c r="V132" s="229">
        <f t="shared" si="125"/>
        <v>0</v>
      </c>
      <c r="W132" s="229">
        <f t="shared" si="125"/>
        <v>0</v>
      </c>
      <c r="X132" s="229">
        <f t="shared" si="125"/>
        <v>0</v>
      </c>
      <c r="Y132" s="229">
        <f t="shared" si="125"/>
        <v>0</v>
      </c>
      <c r="Z132" s="229">
        <f t="shared" si="125"/>
        <v>0</v>
      </c>
      <c r="AA132" s="229">
        <f t="shared" si="143"/>
        <v>0</v>
      </c>
      <c r="AB132" s="229">
        <f t="shared" si="143"/>
        <v>0</v>
      </c>
      <c r="AC132" s="229">
        <f t="shared" si="143"/>
        <v>0</v>
      </c>
      <c r="AD132" s="229">
        <f t="shared" si="143"/>
        <v>0</v>
      </c>
      <c r="AE132" s="229">
        <f t="shared" si="143"/>
        <v>0</v>
      </c>
      <c r="AF132" s="229">
        <f t="shared" si="143"/>
        <v>0</v>
      </c>
      <c r="AG132" s="229">
        <f t="shared" si="143"/>
        <v>0</v>
      </c>
      <c r="AH132" s="229">
        <f t="shared" si="143"/>
        <v>0</v>
      </c>
      <c r="AI132" s="229">
        <f t="shared" si="143"/>
        <v>0</v>
      </c>
      <c r="AJ132" s="229">
        <f t="shared" si="143"/>
        <v>0</v>
      </c>
      <c r="AK132" s="229">
        <f t="shared" si="143"/>
        <v>0</v>
      </c>
      <c r="AL132" s="229">
        <f t="shared" si="143"/>
        <v>0</v>
      </c>
      <c r="AM132" s="229">
        <f t="shared" si="150"/>
        <v>0</v>
      </c>
      <c r="AN132" s="229">
        <f t="shared" si="150"/>
        <v>0</v>
      </c>
      <c r="AO132" s="229">
        <f t="shared" si="150"/>
        <v>0</v>
      </c>
      <c r="AP132" s="229">
        <f t="shared" si="143"/>
        <v>0</v>
      </c>
      <c r="AQ132" s="229">
        <f t="shared" si="143"/>
        <v>0</v>
      </c>
      <c r="AR132" s="229">
        <f t="shared" si="143"/>
        <v>0</v>
      </c>
      <c r="AS132" s="229">
        <f t="shared" si="142"/>
        <v>0</v>
      </c>
      <c r="AT132" s="229">
        <f t="shared" si="142"/>
        <v>0</v>
      </c>
      <c r="AU132" s="229">
        <f t="shared" si="142"/>
        <v>0</v>
      </c>
      <c r="AV132" s="229">
        <f t="shared" si="142"/>
        <v>0</v>
      </c>
      <c r="AW132" s="229">
        <f t="shared" si="142"/>
        <v>0</v>
      </c>
      <c r="AX132" s="229">
        <f t="shared" si="143"/>
        <v>0</v>
      </c>
      <c r="AY132" s="229">
        <f t="shared" si="143"/>
        <v>0</v>
      </c>
      <c r="AZ132" s="229">
        <f t="shared" si="143"/>
        <v>0</v>
      </c>
      <c r="BA132" s="229">
        <f t="shared" si="143"/>
        <v>0</v>
      </c>
      <c r="BB132" s="229">
        <f t="shared" si="143"/>
        <v>0</v>
      </c>
      <c r="BC132" s="229">
        <f t="shared" si="143"/>
        <v>0</v>
      </c>
      <c r="BD132" s="229">
        <f t="shared" si="144"/>
        <v>0</v>
      </c>
      <c r="BE132" s="229">
        <f t="shared" si="144"/>
        <v>0</v>
      </c>
      <c r="BF132" s="229">
        <f t="shared" si="144"/>
        <v>0</v>
      </c>
      <c r="BG132" s="229">
        <f t="shared" si="144"/>
        <v>0</v>
      </c>
      <c r="BH132" s="229">
        <f t="shared" si="144"/>
        <v>0</v>
      </c>
      <c r="BI132" s="229">
        <f t="shared" si="144"/>
        <v>0</v>
      </c>
      <c r="BJ132" s="229">
        <f t="shared" si="144"/>
        <v>0</v>
      </c>
      <c r="BK132" s="229">
        <f t="shared" si="144"/>
        <v>0</v>
      </c>
      <c r="BL132" s="229">
        <f t="shared" si="144"/>
        <v>0</v>
      </c>
      <c r="BM132" s="229">
        <f t="shared" si="144"/>
        <v>0</v>
      </c>
      <c r="BN132" s="229">
        <f t="shared" si="144"/>
        <v>0</v>
      </c>
      <c r="BO132" s="229">
        <f t="shared" si="144"/>
        <v>0</v>
      </c>
      <c r="BP132" s="229">
        <f t="shared" si="144"/>
        <v>0</v>
      </c>
      <c r="BQ132" s="229">
        <f t="shared" si="145"/>
        <v>0</v>
      </c>
      <c r="BR132" s="229">
        <f t="shared" si="145"/>
        <v>0</v>
      </c>
      <c r="BS132" s="229">
        <f t="shared" si="145"/>
        <v>0</v>
      </c>
      <c r="BT132" s="229">
        <f t="shared" si="145"/>
        <v>0</v>
      </c>
      <c r="BU132" s="229">
        <f t="shared" si="145"/>
        <v>0</v>
      </c>
      <c r="BV132" s="229">
        <f t="shared" si="145"/>
        <v>0</v>
      </c>
      <c r="BW132" s="229">
        <f t="shared" si="145"/>
        <v>0</v>
      </c>
      <c r="BX132" s="229">
        <f t="shared" si="145"/>
        <v>0</v>
      </c>
      <c r="BY132" s="229">
        <f t="shared" si="145"/>
        <v>0</v>
      </c>
      <c r="BZ132" s="229">
        <f t="shared" si="145"/>
        <v>0</v>
      </c>
      <c r="CA132" s="229">
        <f t="shared" si="145"/>
        <v>0</v>
      </c>
      <c r="CB132" s="229">
        <f t="shared" si="145"/>
        <v>0</v>
      </c>
      <c r="CC132" s="229">
        <f t="shared" si="145"/>
        <v>0</v>
      </c>
      <c r="CD132" s="229">
        <f t="shared" si="146"/>
        <v>0</v>
      </c>
      <c r="CE132" s="229">
        <f t="shared" si="149"/>
        <v>0</v>
      </c>
      <c r="CF132" s="229">
        <f t="shared" si="146"/>
        <v>0</v>
      </c>
      <c r="CG132" s="229">
        <f t="shared" si="146"/>
        <v>0</v>
      </c>
      <c r="CH132" s="229">
        <f t="shared" si="146"/>
        <v>0</v>
      </c>
      <c r="CI132" s="229">
        <f t="shared" si="146"/>
        <v>0</v>
      </c>
      <c r="CJ132" s="229">
        <f t="shared" si="70"/>
        <v>0</v>
      </c>
      <c r="CK132" s="229">
        <f t="shared" si="146"/>
        <v>0</v>
      </c>
      <c r="CL132" s="229">
        <f t="shared" si="146"/>
        <v>0</v>
      </c>
      <c r="CM132" s="229">
        <f t="shared" si="146"/>
        <v>0</v>
      </c>
      <c r="CN132" s="229">
        <f t="shared" si="146"/>
        <v>0</v>
      </c>
      <c r="CO132" s="229">
        <f t="shared" si="148"/>
        <v>0</v>
      </c>
      <c r="CP132" s="229">
        <f t="shared" si="148"/>
        <v>0</v>
      </c>
      <c r="CQ132" s="229">
        <f t="shared" si="146"/>
        <v>0</v>
      </c>
      <c r="CR132" s="229">
        <f t="shared" si="146"/>
        <v>0</v>
      </c>
      <c r="CS132" s="229">
        <f t="shared" si="146"/>
        <v>0</v>
      </c>
      <c r="CT132" s="229">
        <f t="shared" si="146"/>
        <v>0</v>
      </c>
      <c r="CU132" s="230"/>
      <c r="CV132" s="243"/>
      <c r="CW132" s="243"/>
      <c r="CX132" s="243"/>
      <c r="CY132" s="243"/>
      <c r="CZ132" s="243"/>
      <c r="DA132" s="243"/>
      <c r="DB132" s="243"/>
      <c r="DC132" s="231"/>
      <c r="DD132" s="231">
        <f>IF(SUM(DD$24:DD131)=DD$22,0,IF(AND($M132&gt;=DD$15,$M132&lt;(DD$16+1)),DD$22/(DD$16-DD$15+1),0))</f>
        <v>0</v>
      </c>
      <c r="DE132" s="231">
        <f>IF(SUM(DE$24:DE131)=DE$22,0,IF(AND($M132&gt;=DE$15,$M132&lt;(DE$16+1)),DE$22/(DE$16-DE$15+1),0))</f>
        <v>0</v>
      </c>
      <c r="DF132" s="231">
        <f>IF(SUM(DF$24:DF131)=DF$22,0,IF(AND($M132&gt;=DF$15,$M132&lt;(DF$16+1)),DF$22/(DF$16-DF$15+1),0))</f>
        <v>0</v>
      </c>
      <c r="DG132" s="231">
        <f>IF(SUM(DG$24:DG131)=DG$22,0,IF(AND($M132&gt;=DG$15,$M132&lt;(DG$16+1)),DG$22/(DG$16-DG$15+1),0))</f>
        <v>0</v>
      </c>
      <c r="DH132" s="231">
        <f t="shared" si="151"/>
        <v>0</v>
      </c>
      <c r="DI132" s="231">
        <f t="shared" si="151"/>
        <v>0</v>
      </c>
      <c r="DJ132" s="231">
        <f t="shared" si="151"/>
        <v>0</v>
      </c>
      <c r="DK132" s="231">
        <f t="shared" si="151"/>
        <v>0</v>
      </c>
      <c r="DL132" s="231">
        <f t="shared" si="151"/>
        <v>0</v>
      </c>
      <c r="DM132" s="231">
        <f t="shared" si="151"/>
        <v>0</v>
      </c>
      <c r="DN132" s="231">
        <f t="shared" si="147"/>
        <v>0</v>
      </c>
      <c r="DO132" s="231">
        <f t="shared" si="151"/>
        <v>0</v>
      </c>
      <c r="DP132" s="231">
        <f t="shared" si="151"/>
        <v>0</v>
      </c>
      <c r="DQ132" s="231">
        <f t="shared" si="151"/>
        <v>0</v>
      </c>
      <c r="DR132" s="231">
        <f t="shared" si="151"/>
        <v>0</v>
      </c>
      <c r="DS132" s="231">
        <f t="shared" si="151"/>
        <v>0</v>
      </c>
      <c r="DT132" s="231">
        <f ca="1">IF(SUM(DT$24:DT131)=DT$22,0,IF(AND($M132&gt;=DT$15,$M132&lt;(DT$16+1)),DT$22/(DT$16-DT$15+1),0))</f>
        <v>0</v>
      </c>
      <c r="DU132" s="231">
        <f ca="1">IF(SUM(DU$24:DU131)=DU$22,0,IF(AND($M132&gt;=DU$15,$M132&lt;(DU$16+1)),DU$22/(DU$16-DU$15+1),0))</f>
        <v>0</v>
      </c>
      <c r="DV132" s="231">
        <f ca="1">IF(SUM(DV$24:DV131)=DV$22,0,IF(AND(M132&gt;=DV$15,M132&lt;(DV$16+1)),DV$22/(DV$16-DV$15+1),0))</f>
        <v>0</v>
      </c>
      <c r="DW132" s="231" t="e">
        <f ca="1">IF(SUM(DW$24:DW131)=DW$22,0,IF(AND($M132&gt;=DW$15,$M132&lt;(DW$16+1)),DW$22/(DW$16-DW$15+1),0))</f>
        <v>#N/A</v>
      </c>
      <c r="DX132" s="231">
        <f ca="1">IF(SUM(DX$24:DX131)=DX$22,0,IF(AND($M132&gt;=DX$15,$M132&lt;(DX$16+1)),DX$22/(DX$16-DX$15+1),0))</f>
        <v>0</v>
      </c>
      <c r="DY132" s="231">
        <f ca="1">IF(SUM(DY$24:DY131)=DY$22,0,IF(AND($M132&gt;=DY$15,$M132&lt;(DY$16+1)),DY$22/(DY$16-DY$15+1),0))</f>
        <v>0</v>
      </c>
      <c r="DZ132" s="231">
        <f ca="1">IF(SUM(DZ$24:DZ131)=DZ$22,0,IF(AND($M132&gt;=DZ$15,$M132&lt;(DZ$16+1)),DZ$22/(DZ$16-DZ$15+1),0))</f>
        <v>0</v>
      </c>
      <c r="EA132" s="231" t="e">
        <f ca="1">IF(SUM(EA$24:EA131)=EA$22,0,IF(AND(M132&gt;=EA$15,M132&lt;(EA$16+1)),EA$22/(EA$16-EA$15+1),0))</f>
        <v>#N/A</v>
      </c>
      <c r="EC132" s="234">
        <f t="shared" si="136"/>
        <v>105</v>
      </c>
      <c r="ED132" s="234" t="e">
        <f t="shared" ca="1" si="137"/>
        <v>#N/A</v>
      </c>
      <c r="EE132" s="235" t="e">
        <f t="shared" ca="1" si="138"/>
        <v>#N/A</v>
      </c>
      <c r="EF132" s="234" t="e">
        <f t="shared" ca="1" si="104"/>
        <v>#N/A</v>
      </c>
      <c r="EG132" s="234" t="e">
        <f t="shared" ca="1" si="106"/>
        <v>#N/A</v>
      </c>
      <c r="EH132" s="234" t="e">
        <f t="shared" ca="1" si="112"/>
        <v>#N/A</v>
      </c>
      <c r="EI132" s="234"/>
      <c r="EJ132" s="234"/>
      <c r="EK132" s="153" t="e">
        <f t="shared" ca="1" si="139"/>
        <v>#N/A</v>
      </c>
      <c r="EL132" s="231" t="e">
        <f ca="1">IF(SUM(EL$24:EL131)=EL$22,0,IF(AND($M132&gt;=EL$15,$M132&lt;(EL$16+1)),EL$22/(EL$16-EL$15+1),0))</f>
        <v>#N/A</v>
      </c>
      <c r="EM132" s="153" t="e">
        <f t="shared" ca="1" si="140"/>
        <v>#N/A</v>
      </c>
      <c r="EO132" s="60"/>
      <c r="EP132" s="60"/>
    </row>
    <row r="133" spans="1:146" ht="13.9" customHeight="1">
      <c r="A133" s="220"/>
      <c r="B133" s="236">
        <f t="shared" si="100"/>
        <v>106</v>
      </c>
      <c r="C133" s="221">
        <f t="shared" si="141"/>
        <v>46784.753500000166</v>
      </c>
      <c r="D133" s="222" t="e">
        <f ca="1">'Offshore INT'!R122</f>
        <v>#N/A</v>
      </c>
      <c r="E133" s="223" t="e">
        <f t="shared" ca="1" si="131"/>
        <v>#N/A</v>
      </c>
      <c r="F133" s="224"/>
      <c r="G133" s="225">
        <f>IF(G132=1,1,SUM($F$24:F133))</f>
        <v>0</v>
      </c>
      <c r="H133" s="226" t="e">
        <f ca="1">IF(H132=0,0,SUM($I$24:I133))</f>
        <v>#N/A</v>
      </c>
      <c r="I133" s="227" t="e">
        <f t="shared" ca="1" si="132"/>
        <v>#N/A</v>
      </c>
      <c r="J133" s="222">
        <f t="shared" ca="1" si="98"/>
        <v>0</v>
      </c>
      <c r="K133" s="60"/>
      <c r="L133" s="228"/>
      <c r="M133" s="228">
        <f t="shared" si="133"/>
        <v>106</v>
      </c>
      <c r="N133" s="221">
        <f t="shared" si="134"/>
        <v>46784.753500000166</v>
      </c>
      <c r="O133" s="229">
        <f t="shared" ref="O133:Z153" si="152">IF($M133=O$13,O$22*O$3,IF($M133=O$14,O$22*O$4,IF($M133=O$15,O$22*O$5,IF($M133=O$16,O$22*O$6,IF($M133=O$17,O$22*O$7,IF($M133=O$18,O$22*O$8,IF($M133=O$19,O$22*O$9,IF($M133=O$20,O$22*O$10,0))))))))</f>
        <v>0</v>
      </c>
      <c r="P133" s="229">
        <f t="shared" si="152"/>
        <v>0</v>
      </c>
      <c r="Q133" s="229">
        <f t="shared" si="152"/>
        <v>0</v>
      </c>
      <c r="R133" s="229">
        <f t="shared" si="152"/>
        <v>0</v>
      </c>
      <c r="S133" s="229">
        <f t="shared" si="152"/>
        <v>0</v>
      </c>
      <c r="T133" s="229">
        <f t="shared" si="152"/>
        <v>0</v>
      </c>
      <c r="U133" s="229">
        <f t="shared" si="152"/>
        <v>0</v>
      </c>
      <c r="V133" s="229">
        <f t="shared" si="152"/>
        <v>0</v>
      </c>
      <c r="W133" s="229">
        <f t="shared" si="152"/>
        <v>0</v>
      </c>
      <c r="X133" s="229">
        <f t="shared" si="152"/>
        <v>0</v>
      </c>
      <c r="Y133" s="229">
        <f t="shared" si="152"/>
        <v>0</v>
      </c>
      <c r="Z133" s="229">
        <f t="shared" si="152"/>
        <v>0</v>
      </c>
      <c r="AA133" s="229">
        <f>IF($M133=AA$13,AA$22*AA$3,IF($M133=AA$14,AA$22*AA$4,IF($M133=AA$15,AA$22*AA$5,IF($M133=AA$16,AA$22*AA$6,IF($M133=AA$17,AA$22*AA$7,IF($M133=AA$18,AA$22*AA$8,IF($M133=AA$19,AA$22*AA$9,IF($M133=AA$20,AA$22*AA$10,0))))))))</f>
        <v>0</v>
      </c>
      <c r="AB133" s="229">
        <f t="shared" si="143"/>
        <v>0</v>
      </c>
      <c r="AC133" s="229">
        <f t="shared" si="143"/>
        <v>0</v>
      </c>
      <c r="AD133" s="229">
        <f t="shared" si="143"/>
        <v>0</v>
      </c>
      <c r="AE133" s="229">
        <f t="shared" si="143"/>
        <v>0</v>
      </c>
      <c r="AF133" s="229">
        <f t="shared" si="143"/>
        <v>0</v>
      </c>
      <c r="AG133" s="229">
        <f t="shared" si="143"/>
        <v>0</v>
      </c>
      <c r="AH133" s="229">
        <f t="shared" si="143"/>
        <v>0</v>
      </c>
      <c r="AI133" s="229">
        <f t="shared" si="143"/>
        <v>0</v>
      </c>
      <c r="AJ133" s="229">
        <f t="shared" si="143"/>
        <v>0</v>
      </c>
      <c r="AK133" s="229">
        <f t="shared" si="143"/>
        <v>0</v>
      </c>
      <c r="AL133" s="229">
        <f t="shared" si="143"/>
        <v>0</v>
      </c>
      <c r="AM133" s="229">
        <f t="shared" si="150"/>
        <v>0</v>
      </c>
      <c r="AN133" s="229">
        <f t="shared" si="150"/>
        <v>0</v>
      </c>
      <c r="AO133" s="229">
        <f t="shared" si="150"/>
        <v>0</v>
      </c>
      <c r="AP133" s="229">
        <f t="shared" si="143"/>
        <v>0</v>
      </c>
      <c r="AQ133" s="229">
        <f t="shared" si="143"/>
        <v>0</v>
      </c>
      <c r="AR133" s="229">
        <f t="shared" si="143"/>
        <v>0</v>
      </c>
      <c r="AS133" s="229">
        <f t="shared" si="142"/>
        <v>0</v>
      </c>
      <c r="AT133" s="229">
        <f t="shared" si="142"/>
        <v>0</v>
      </c>
      <c r="AU133" s="229">
        <f t="shared" si="142"/>
        <v>0</v>
      </c>
      <c r="AV133" s="229">
        <f t="shared" si="142"/>
        <v>0</v>
      </c>
      <c r="AW133" s="229">
        <f t="shared" si="142"/>
        <v>0</v>
      </c>
      <c r="AX133" s="229">
        <f t="shared" si="143"/>
        <v>0</v>
      </c>
      <c r="AY133" s="229">
        <f t="shared" si="143"/>
        <v>0</v>
      </c>
      <c r="AZ133" s="229">
        <f>IF($M133=AZ$13,AZ$22*AZ$3,IF($M133=AZ$14,AZ$22*AZ$4,IF($M133=AZ$15,AZ$22*AZ$5,IF($M133=AZ$16,AZ$22*AZ$6,IF($M133=AZ$17,AZ$22*AZ$7,IF($M133=AZ$18,AZ$22*AZ$8,IF($M133=AZ$19,AZ$22*AZ$9,IF($M133=AZ$20,AZ$22*AZ$10,0))))))))</f>
        <v>0</v>
      </c>
      <c r="BA133" s="229">
        <f t="shared" si="143"/>
        <v>0</v>
      </c>
      <c r="BB133" s="229">
        <f>IF($M133=BB$13,BB$22*BB$3,IF($M133=BB$14,BB$22*BB$4,IF($M133=BB$15,BB$22*BB$5,IF($M133=BB$16,BB$22*BB$6,IF($M133=BB$17,BB$22*BB$7,IF($M133=BB$18,BB$22*BB$8,IF($M133=BB$19,BB$22*BB$9,IF($M133=BB$20,BB$22*BB$10,0))))))))</f>
        <v>0</v>
      </c>
      <c r="BC133" s="229">
        <f>IF($M133=BC$13,BC$22*BC$3,IF($M133=BC$14,BC$22*BC$4,IF($M133=BC$15,BC$22*BC$5,IF($M133=BC$16,BC$22*BC$6,IF($M133=BC$17,BC$22*BC$7,IF($M133=BC$18,BC$22*BC$8,IF($M133=BC$19,BC$22*BC$9,IF($M133=BC$20,BC$22*BC$10,0))))))))</f>
        <v>0</v>
      </c>
      <c r="BD133" s="229">
        <f t="shared" si="144"/>
        <v>0</v>
      </c>
      <c r="BE133" s="229">
        <f t="shared" si="144"/>
        <v>0</v>
      </c>
      <c r="BF133" s="229">
        <f t="shared" si="144"/>
        <v>0</v>
      </c>
      <c r="BG133" s="229">
        <f t="shared" si="144"/>
        <v>0</v>
      </c>
      <c r="BH133" s="229">
        <f t="shared" si="144"/>
        <v>0</v>
      </c>
      <c r="BI133" s="229">
        <f t="shared" si="144"/>
        <v>0</v>
      </c>
      <c r="BJ133" s="229">
        <f t="shared" si="144"/>
        <v>0</v>
      </c>
      <c r="BK133" s="229">
        <f t="shared" si="144"/>
        <v>0</v>
      </c>
      <c r="BL133" s="229">
        <f t="shared" si="144"/>
        <v>0</v>
      </c>
      <c r="BM133" s="229">
        <f t="shared" si="144"/>
        <v>0</v>
      </c>
      <c r="BN133" s="229">
        <f t="shared" si="144"/>
        <v>0</v>
      </c>
      <c r="BO133" s="229">
        <f t="shared" si="144"/>
        <v>0</v>
      </c>
      <c r="BP133" s="229">
        <f t="shared" si="144"/>
        <v>0</v>
      </c>
      <c r="BQ133" s="229">
        <f t="shared" si="145"/>
        <v>0</v>
      </c>
      <c r="BR133" s="229">
        <f t="shared" si="145"/>
        <v>0</v>
      </c>
      <c r="BS133" s="229">
        <f t="shared" si="145"/>
        <v>0</v>
      </c>
      <c r="BT133" s="229">
        <f t="shared" si="145"/>
        <v>0</v>
      </c>
      <c r="BU133" s="229">
        <f t="shared" si="145"/>
        <v>0</v>
      </c>
      <c r="BV133" s="229">
        <f t="shared" si="145"/>
        <v>0</v>
      </c>
      <c r="BW133" s="229">
        <f t="shared" si="145"/>
        <v>0</v>
      </c>
      <c r="BX133" s="229">
        <f t="shared" si="145"/>
        <v>0</v>
      </c>
      <c r="BY133" s="229">
        <f t="shared" si="145"/>
        <v>0</v>
      </c>
      <c r="BZ133" s="229">
        <f t="shared" si="145"/>
        <v>0</v>
      </c>
      <c r="CA133" s="229">
        <f t="shared" si="145"/>
        <v>0</v>
      </c>
      <c r="CB133" s="229">
        <f t="shared" si="145"/>
        <v>0</v>
      </c>
      <c r="CC133" s="229">
        <f t="shared" si="145"/>
        <v>0</v>
      </c>
      <c r="CD133" s="229">
        <f t="shared" si="146"/>
        <v>0</v>
      </c>
      <c r="CE133" s="229">
        <f t="shared" si="149"/>
        <v>0</v>
      </c>
      <c r="CF133" s="229">
        <f t="shared" si="146"/>
        <v>0</v>
      </c>
      <c r="CG133" s="229">
        <f t="shared" si="146"/>
        <v>0</v>
      </c>
      <c r="CH133" s="229">
        <f t="shared" si="146"/>
        <v>0</v>
      </c>
      <c r="CI133" s="229">
        <f t="shared" si="146"/>
        <v>0</v>
      </c>
      <c r="CJ133" s="229">
        <f t="shared" ref="CJ133:CJ153" si="153">IF($M133=CJ$13,CJ$22*CJ$3,IF($M133=CJ$14,CJ$22*CJ$4,IF($M133=CJ$15,CJ$22*CJ$5,IF($M133=CJ$16,CJ$22*CJ$6,IF($M133=CJ$17,CJ$22*CJ$7,IF($M133=CJ$18,CJ$22*CJ$8,IF($M133=CJ$19,CJ$22*CJ$9,IF($M133=CJ$20,CJ$22*CJ$10,0))))))))</f>
        <v>0</v>
      </c>
      <c r="CK133" s="229">
        <f t="shared" si="146"/>
        <v>0</v>
      </c>
      <c r="CL133" s="229">
        <f t="shared" si="146"/>
        <v>0</v>
      </c>
      <c r="CM133" s="229">
        <f t="shared" si="146"/>
        <v>0</v>
      </c>
      <c r="CN133" s="229">
        <f t="shared" si="146"/>
        <v>0</v>
      </c>
      <c r="CO133" s="229">
        <f t="shared" si="148"/>
        <v>0</v>
      </c>
      <c r="CP133" s="229">
        <f t="shared" si="148"/>
        <v>0</v>
      </c>
      <c r="CQ133" s="229">
        <f t="shared" si="146"/>
        <v>0</v>
      </c>
      <c r="CR133" s="229">
        <f t="shared" si="146"/>
        <v>0</v>
      </c>
      <c r="CS133" s="229">
        <f t="shared" si="146"/>
        <v>0</v>
      </c>
      <c r="CT133" s="229">
        <f t="shared" si="146"/>
        <v>0</v>
      </c>
      <c r="CU133" s="230"/>
      <c r="CV133" s="231"/>
      <c r="CW133" s="231"/>
      <c r="CX133" s="231"/>
      <c r="CY133" s="231"/>
      <c r="CZ133" s="231"/>
      <c r="DA133" s="231"/>
      <c r="DB133" s="231"/>
      <c r="DC133" s="231"/>
      <c r="DD133" s="231">
        <f>IF(SUM(DD$24:DD132)=DD$22,0,IF(AND($M133&gt;=DD$15,$M133&lt;(DD$16+1)),DD$22/(DD$16-DD$15+1),0))</f>
        <v>0</v>
      </c>
      <c r="DE133" s="231">
        <f>IF(SUM(DE$24:DE132)=DE$22,0,IF(AND($M133&gt;=DE$15,$M133&lt;(DE$16+1)),DE$22/(DE$16-DE$15+1),0))</f>
        <v>0</v>
      </c>
      <c r="DF133" s="231">
        <f>IF(SUM(DF$24:DF132)=DF$22,0,IF(AND($M133&gt;=DF$15,$M133&lt;(DF$16+1)),DF$22/(DF$16-DF$15+1),0))</f>
        <v>0</v>
      </c>
      <c r="DG133" s="231">
        <f>IF(SUM(DG$24:DG132)=DG$22,0,IF(AND($M133&gt;=DG$15,$M133&lt;(DG$16+1)),DG$22/(DG$16-DG$15+1),0))</f>
        <v>0</v>
      </c>
      <c r="DH133" s="231">
        <f t="shared" si="151"/>
        <v>0</v>
      </c>
      <c r="DI133" s="231">
        <f t="shared" si="151"/>
        <v>0</v>
      </c>
      <c r="DJ133" s="231">
        <f t="shared" si="151"/>
        <v>0</v>
      </c>
      <c r="DK133" s="231">
        <f t="shared" si="151"/>
        <v>0</v>
      </c>
      <c r="DL133" s="231">
        <f t="shared" si="151"/>
        <v>0</v>
      </c>
      <c r="DM133" s="231">
        <f t="shared" si="151"/>
        <v>0</v>
      </c>
      <c r="DN133" s="231">
        <f t="shared" si="147"/>
        <v>0</v>
      </c>
      <c r="DO133" s="231">
        <f t="shared" si="151"/>
        <v>0</v>
      </c>
      <c r="DP133" s="231">
        <f t="shared" si="151"/>
        <v>0</v>
      </c>
      <c r="DQ133" s="231">
        <f t="shared" si="151"/>
        <v>0</v>
      </c>
      <c r="DR133" s="231">
        <f t="shared" si="151"/>
        <v>0</v>
      </c>
      <c r="DS133" s="231">
        <f t="shared" si="151"/>
        <v>0</v>
      </c>
      <c r="DT133" s="231">
        <f ca="1">IF(SUM(DT$24:DT132)=DT$22,0,IF(AND($M133&gt;=DT$15,$M133&lt;(DT$16+1)),DT$22/(DT$16-DT$15+1),0))</f>
        <v>0</v>
      </c>
      <c r="DU133" s="231">
        <f ca="1">IF(SUM(DU$24:DU132)=DU$22,0,IF(AND($M133&gt;=DU$15,$M133&lt;(DU$16+1)),DU$22/(DU$16-DU$15+1),0))</f>
        <v>0</v>
      </c>
      <c r="DV133" s="231">
        <f ca="1">IF(SUM(DV$24:DV132)=DV$22,0,IF(AND(M133&gt;=DV$15,M133&lt;(DV$16+1)),DV$22/(DV$16-DV$15+1),0))</f>
        <v>0</v>
      </c>
      <c r="DW133" s="231" t="e">
        <f ca="1">IF(SUM(DW$24:DW132)=DW$22,0,IF(AND($M133&gt;=DW$15,$M133&lt;(DW$16+1)),DW$22/(DW$16-DW$15+1),0))</f>
        <v>#N/A</v>
      </c>
      <c r="DX133" s="231">
        <f ca="1">IF(SUM(DX$24:DX132)=DX$22,0,IF(AND($M133&gt;=DX$15,$M133&lt;(DX$16+1)),DX$22/(DX$16-DX$15+1),0))</f>
        <v>0</v>
      </c>
      <c r="DY133" s="231">
        <f ca="1">IF(SUM(DY$24:DY132)=DY$22,0,IF(AND($M133&gt;=DY$15,$M133&lt;(DY$16+1)),DY$22/(DY$16-DY$15+1),0))</f>
        <v>0</v>
      </c>
      <c r="DZ133" s="231">
        <f ca="1">IF(SUM(DZ$24:DZ132)=DZ$22,0,IF(AND($M133&gt;=DZ$15,$M133&lt;(DZ$16+1)),DZ$22/(DZ$16-DZ$15+1),0))</f>
        <v>0</v>
      </c>
      <c r="EA133" s="231" t="e">
        <f ca="1">IF(SUM(EA$24:EA132)=EA$22,0,IF(AND(M133&gt;=EA$15,M133&lt;(EA$16+1)),EA$22/(EA$16-EA$15+1),0))</f>
        <v>#N/A</v>
      </c>
      <c r="EC133" s="234">
        <f t="shared" si="136"/>
        <v>106</v>
      </c>
      <c r="ED133" s="234" t="e">
        <f t="shared" ca="1" si="137"/>
        <v>#N/A</v>
      </c>
      <c r="EE133" s="235" t="e">
        <f t="shared" ca="1" si="138"/>
        <v>#N/A</v>
      </c>
      <c r="EF133" s="234" t="e">
        <f t="shared" ca="1" si="104"/>
        <v>#N/A</v>
      </c>
      <c r="EG133" s="234" t="e">
        <f t="shared" ca="1" si="106"/>
        <v>#N/A</v>
      </c>
      <c r="EH133" s="234" t="e">
        <f t="shared" ca="1" si="112"/>
        <v>#N/A</v>
      </c>
      <c r="EI133" s="234"/>
      <c r="EJ133" s="234"/>
      <c r="EK133" s="153" t="e">
        <f t="shared" ca="1" si="139"/>
        <v>#N/A</v>
      </c>
      <c r="EL133" s="231" t="e">
        <f ca="1">IF(SUM(EL$24:EL132)=EL$22,0,IF(AND($M133&gt;=EL$15,$M133&lt;(EL$16+1)),EL$22/(EL$16-EL$15+1),0))</f>
        <v>#N/A</v>
      </c>
      <c r="EM133" s="153" t="e">
        <f t="shared" ca="1" si="140"/>
        <v>#N/A</v>
      </c>
      <c r="EO133" s="60"/>
      <c r="EP133" s="60"/>
    </row>
    <row r="134" spans="1:146" ht="13.9" customHeight="1">
      <c r="A134" s="220"/>
      <c r="B134" s="236">
        <f t="shared" si="100"/>
        <v>107</v>
      </c>
      <c r="C134" s="221">
        <f t="shared" si="141"/>
        <v>46815.170200000168</v>
      </c>
      <c r="D134" s="222" t="e">
        <f ca="1">'Offshore INT'!R123</f>
        <v>#N/A</v>
      </c>
      <c r="E134" s="223" t="e">
        <f t="shared" ca="1" si="131"/>
        <v>#N/A</v>
      </c>
      <c r="F134" s="224"/>
      <c r="G134" s="225">
        <f>IF(G133=1,1,SUM($F$24:F134))</f>
        <v>0</v>
      </c>
      <c r="H134" s="226" t="e">
        <f ca="1">IF(H133=0,0,SUM($I$24:I134))</f>
        <v>#N/A</v>
      </c>
      <c r="I134" s="227" t="e">
        <f t="shared" ca="1" si="132"/>
        <v>#N/A</v>
      </c>
      <c r="J134" s="222">
        <f t="shared" ref="J134:J153" ca="1" si="154">IF(ISERROR(SUM(EM134)),0,SUM(EM134))</f>
        <v>0</v>
      </c>
      <c r="K134" s="60"/>
      <c r="L134" s="228"/>
      <c r="M134" s="228">
        <f t="shared" si="133"/>
        <v>107</v>
      </c>
      <c r="N134" s="221">
        <f t="shared" si="134"/>
        <v>46815.170200000168</v>
      </c>
      <c r="O134" s="229">
        <f t="shared" si="152"/>
        <v>0</v>
      </c>
      <c r="P134" s="229">
        <f t="shared" si="152"/>
        <v>0</v>
      </c>
      <c r="Q134" s="229">
        <f t="shared" si="152"/>
        <v>0</v>
      </c>
      <c r="R134" s="229">
        <f t="shared" si="152"/>
        <v>0</v>
      </c>
      <c r="S134" s="229">
        <f t="shared" si="152"/>
        <v>0</v>
      </c>
      <c r="T134" s="229">
        <f t="shared" si="152"/>
        <v>0</v>
      </c>
      <c r="U134" s="229">
        <f t="shared" si="152"/>
        <v>0</v>
      </c>
      <c r="V134" s="229">
        <f t="shared" si="152"/>
        <v>0</v>
      </c>
      <c r="W134" s="229">
        <f t="shared" si="152"/>
        <v>0</v>
      </c>
      <c r="X134" s="229">
        <f t="shared" si="152"/>
        <v>0</v>
      </c>
      <c r="Y134" s="229">
        <f t="shared" si="152"/>
        <v>0</v>
      </c>
      <c r="Z134" s="229">
        <f t="shared" si="152"/>
        <v>0</v>
      </c>
      <c r="AA134" s="229">
        <f t="shared" ref="AA134:BC143" si="155">IF($M134=AA$13,AA$22*AA$3,IF($M134=AA$14,AA$22*AA$4,IF($M134=AA$15,AA$22*AA$5,IF($M134=AA$16,AA$22*AA$6,IF($M134=AA$17,AA$22*AA$7,IF($M134=AA$18,AA$22*AA$8,IF($M134=AA$19,AA$22*AA$9,IF($M134=AA$20,AA$22*AA$10,0))))))))</f>
        <v>0</v>
      </c>
      <c r="AB134" s="229">
        <f t="shared" si="155"/>
        <v>0</v>
      </c>
      <c r="AC134" s="229">
        <f t="shared" si="155"/>
        <v>0</v>
      </c>
      <c r="AD134" s="229">
        <f t="shared" si="155"/>
        <v>0</v>
      </c>
      <c r="AE134" s="229">
        <f t="shared" si="155"/>
        <v>0</v>
      </c>
      <c r="AF134" s="229">
        <f t="shared" si="155"/>
        <v>0</v>
      </c>
      <c r="AG134" s="229">
        <f t="shared" si="155"/>
        <v>0</v>
      </c>
      <c r="AH134" s="229">
        <f t="shared" si="155"/>
        <v>0</v>
      </c>
      <c r="AI134" s="229">
        <f t="shared" si="155"/>
        <v>0</v>
      </c>
      <c r="AJ134" s="229">
        <f t="shared" si="155"/>
        <v>0</v>
      </c>
      <c r="AK134" s="229">
        <f t="shared" si="155"/>
        <v>0</v>
      </c>
      <c r="AL134" s="229">
        <f t="shared" si="155"/>
        <v>0</v>
      </c>
      <c r="AM134" s="229">
        <f t="shared" si="155"/>
        <v>0</v>
      </c>
      <c r="AN134" s="229">
        <f t="shared" si="155"/>
        <v>0</v>
      </c>
      <c r="AO134" s="229">
        <f t="shared" si="155"/>
        <v>0</v>
      </c>
      <c r="AP134" s="229">
        <f t="shared" si="155"/>
        <v>0</v>
      </c>
      <c r="AQ134" s="229">
        <f t="shared" si="155"/>
        <v>0</v>
      </c>
      <c r="AR134" s="229">
        <f t="shared" si="155"/>
        <v>0</v>
      </c>
      <c r="AS134" s="229">
        <f t="shared" si="142"/>
        <v>0</v>
      </c>
      <c r="AT134" s="229">
        <f t="shared" si="142"/>
        <v>0</v>
      </c>
      <c r="AU134" s="229">
        <f t="shared" si="142"/>
        <v>0</v>
      </c>
      <c r="AV134" s="229">
        <f t="shared" si="142"/>
        <v>0</v>
      </c>
      <c r="AW134" s="229">
        <f t="shared" si="142"/>
        <v>0</v>
      </c>
      <c r="AX134" s="229">
        <f t="shared" si="155"/>
        <v>0</v>
      </c>
      <c r="AY134" s="229">
        <f t="shared" si="155"/>
        <v>0</v>
      </c>
      <c r="AZ134" s="229">
        <f t="shared" si="155"/>
        <v>0</v>
      </c>
      <c r="BA134" s="229">
        <f t="shared" si="155"/>
        <v>0</v>
      </c>
      <c r="BB134" s="229">
        <f t="shared" si="155"/>
        <v>0</v>
      </c>
      <c r="BC134" s="229">
        <f t="shared" si="155"/>
        <v>0</v>
      </c>
      <c r="BD134" s="229">
        <f t="shared" ref="BD134:BP143" si="156">IF($M134=BD$13,BD$22*BD$3,IF($M134=BD$14,BD$22*BD$4,IF($M134=BD$15,BD$22*BD$5,IF($M134=BD$16,BD$22*BD$6,IF($M134=BD$17,BD$22*BD$7,IF($M134=BD$18,BD$22*BD$8,IF($M134=BD$19,BD$22*BD$9,IF($M134=BD$20,BD$22*BD$10,0))))))))</f>
        <v>0</v>
      </c>
      <c r="BE134" s="229">
        <f t="shared" si="156"/>
        <v>0</v>
      </c>
      <c r="BF134" s="229">
        <f t="shared" si="156"/>
        <v>0</v>
      </c>
      <c r="BG134" s="229">
        <f t="shared" si="156"/>
        <v>0</v>
      </c>
      <c r="BH134" s="229">
        <f t="shared" si="156"/>
        <v>0</v>
      </c>
      <c r="BI134" s="229">
        <f t="shared" si="156"/>
        <v>0</v>
      </c>
      <c r="BJ134" s="229">
        <f t="shared" si="156"/>
        <v>0</v>
      </c>
      <c r="BK134" s="229">
        <f t="shared" si="156"/>
        <v>0</v>
      </c>
      <c r="BL134" s="229">
        <f t="shared" si="156"/>
        <v>0</v>
      </c>
      <c r="BM134" s="229">
        <f t="shared" si="156"/>
        <v>0</v>
      </c>
      <c r="BN134" s="229">
        <f t="shared" si="156"/>
        <v>0</v>
      </c>
      <c r="BO134" s="229">
        <f t="shared" si="156"/>
        <v>0</v>
      </c>
      <c r="BP134" s="229">
        <f t="shared" si="156"/>
        <v>0</v>
      </c>
      <c r="BQ134" s="229">
        <f t="shared" ref="BQ134:CC143" si="157">IF($M134=BQ$13,BQ$22*BQ$3,IF($M134=BQ$14,BQ$22*BQ$4,IF($M134=BQ$15,BQ$22*BQ$5,IF($M134=BQ$16,BQ$22*BQ$6,IF($M134=BQ$17,BQ$22*BQ$7,IF($M134=BQ$18,BQ$22*BQ$8,IF($M134=BQ$19,BQ$22*BQ$9,IF($M134=BQ$20,BQ$22*BQ$10,0))))))))</f>
        <v>0</v>
      </c>
      <c r="BR134" s="229">
        <f t="shared" si="157"/>
        <v>0</v>
      </c>
      <c r="BS134" s="229">
        <f t="shared" si="157"/>
        <v>0</v>
      </c>
      <c r="BT134" s="229">
        <f t="shared" si="157"/>
        <v>0</v>
      </c>
      <c r="BU134" s="229">
        <f t="shared" si="157"/>
        <v>0</v>
      </c>
      <c r="BV134" s="229">
        <f t="shared" si="157"/>
        <v>0</v>
      </c>
      <c r="BW134" s="229">
        <f t="shared" si="157"/>
        <v>0</v>
      </c>
      <c r="BX134" s="229">
        <f t="shared" si="157"/>
        <v>0</v>
      </c>
      <c r="BY134" s="229">
        <f t="shared" si="157"/>
        <v>0</v>
      </c>
      <c r="BZ134" s="229">
        <f t="shared" si="157"/>
        <v>0</v>
      </c>
      <c r="CA134" s="229">
        <f t="shared" si="157"/>
        <v>0</v>
      </c>
      <c r="CB134" s="229">
        <f t="shared" si="157"/>
        <v>0</v>
      </c>
      <c r="CC134" s="229">
        <f t="shared" si="157"/>
        <v>0</v>
      </c>
      <c r="CD134" s="229">
        <f t="shared" ref="CD134:CT143" si="158">IF($M134=CD$13,CD$22*CD$3,IF($M134=CD$14,CD$22*CD$4,IF($M134=CD$15,CD$22*CD$5,IF($M134=CD$16,CD$22*CD$6,IF($M134=CD$17,CD$22*CD$7,IF($M134=CD$18,CD$22*CD$8,IF($M134=CD$19,CD$22*CD$9,IF($M134=CD$20,CD$22*CD$10,0))))))))</f>
        <v>0</v>
      </c>
      <c r="CE134" s="229">
        <f t="shared" si="149"/>
        <v>0</v>
      </c>
      <c r="CF134" s="229">
        <f t="shared" si="158"/>
        <v>0</v>
      </c>
      <c r="CG134" s="229">
        <f t="shared" si="158"/>
        <v>0</v>
      </c>
      <c r="CH134" s="229">
        <f t="shared" si="158"/>
        <v>0</v>
      </c>
      <c r="CI134" s="229">
        <f t="shared" si="158"/>
        <v>0</v>
      </c>
      <c r="CJ134" s="229">
        <f t="shared" si="153"/>
        <v>0</v>
      </c>
      <c r="CK134" s="229">
        <f t="shared" si="158"/>
        <v>0</v>
      </c>
      <c r="CL134" s="229">
        <f t="shared" si="158"/>
        <v>0</v>
      </c>
      <c r="CM134" s="229">
        <f t="shared" si="158"/>
        <v>0</v>
      </c>
      <c r="CN134" s="229">
        <f t="shared" si="158"/>
        <v>0</v>
      </c>
      <c r="CO134" s="229">
        <f t="shared" si="148"/>
        <v>0</v>
      </c>
      <c r="CP134" s="229">
        <f t="shared" si="148"/>
        <v>0</v>
      </c>
      <c r="CQ134" s="229">
        <f t="shared" si="158"/>
        <v>0</v>
      </c>
      <c r="CR134" s="229">
        <f t="shared" si="158"/>
        <v>0</v>
      </c>
      <c r="CS134" s="229">
        <f t="shared" si="158"/>
        <v>0</v>
      </c>
      <c r="CT134" s="229">
        <f t="shared" si="158"/>
        <v>0</v>
      </c>
      <c r="CU134" s="230"/>
      <c r="CV134" s="231"/>
      <c r="CW134" s="231"/>
      <c r="CX134" s="231"/>
      <c r="CY134" s="231"/>
      <c r="CZ134" s="231"/>
      <c r="DA134" s="231"/>
      <c r="DB134" s="231"/>
      <c r="DC134" s="231"/>
      <c r="DD134" s="231">
        <f>IF(SUM(DD$24:DD133)=DD$22,0,IF(AND($M134&gt;=DD$15,$M134&lt;(DD$16+1)),DD$22/(DD$16-DD$15+1),0))</f>
        <v>0</v>
      </c>
      <c r="DE134" s="231">
        <f>IF(SUM(DE$24:DE133)=DE$22,0,IF(AND($M134&gt;=DE$15,$M134&lt;(DE$16+1)),DE$22/(DE$16-DE$15+1),0))</f>
        <v>0</v>
      </c>
      <c r="DF134" s="231">
        <f>IF(SUM(DF$24:DF133)=DF$22,0,IF(AND($M134&gt;=DF$15,$M134&lt;(DF$16+1)),DF$22/(DF$16-DF$15+1),0))</f>
        <v>0</v>
      </c>
      <c r="DG134" s="231">
        <f>IF(SUM(DG$24:DG133)=DG$22,0,IF(AND($M134&gt;=DG$15,$M134&lt;(DG$16+1)),DG$22/(DG$16-DG$15+1),0))</f>
        <v>0</v>
      </c>
      <c r="DH134" s="231">
        <f t="shared" si="151"/>
        <v>0</v>
      </c>
      <c r="DI134" s="231">
        <f t="shared" si="151"/>
        <v>0</v>
      </c>
      <c r="DJ134" s="231">
        <f t="shared" si="151"/>
        <v>0</v>
      </c>
      <c r="DK134" s="231">
        <f t="shared" si="151"/>
        <v>0</v>
      </c>
      <c r="DL134" s="231">
        <f t="shared" si="151"/>
        <v>0</v>
      </c>
      <c r="DM134" s="231">
        <f t="shared" si="151"/>
        <v>0</v>
      </c>
      <c r="DN134" s="231">
        <f t="shared" si="147"/>
        <v>0</v>
      </c>
      <c r="DO134" s="231">
        <f t="shared" si="151"/>
        <v>0</v>
      </c>
      <c r="DP134" s="231">
        <f t="shared" si="151"/>
        <v>0</v>
      </c>
      <c r="DQ134" s="231">
        <f t="shared" si="151"/>
        <v>0</v>
      </c>
      <c r="DR134" s="231">
        <f t="shared" si="151"/>
        <v>0</v>
      </c>
      <c r="DS134" s="231">
        <f t="shared" si="151"/>
        <v>0</v>
      </c>
      <c r="DT134" s="231">
        <f ca="1">IF(SUM(DT$24:DT133)=DT$22,0,IF(AND($M134&gt;=DT$15,$M134&lt;(DT$16+1)),DT$22/(DT$16-DT$15+1),0))</f>
        <v>0</v>
      </c>
      <c r="DU134" s="231">
        <f ca="1">IF(SUM(DU$24:DU133)=DU$22,0,IF(AND($M134&gt;=DU$15,$M134&lt;(DU$16+1)),DU$22/(DU$16-DU$15+1),0))</f>
        <v>0</v>
      </c>
      <c r="DV134" s="231">
        <f ca="1">IF(SUM(DV$24:DV133)=DV$22,0,IF(AND(M134&gt;=DV$15,M134&lt;(DV$16+1)),DV$22/(DV$16-DV$15+1),0))</f>
        <v>0</v>
      </c>
      <c r="DW134" s="231" t="e">
        <f ca="1">IF(SUM(DW$24:DW133)=DW$22,0,IF(AND($M134&gt;=DW$15,$M134&lt;(DW$16+1)),DW$22/(DW$16-DW$15+1),0))</f>
        <v>#N/A</v>
      </c>
      <c r="DX134" s="231">
        <f ca="1">IF(SUM(DX$24:DX133)=DX$22,0,IF(AND($M134&gt;=DX$15,$M134&lt;(DX$16+1)),DX$22/(DX$16-DX$15+1),0))</f>
        <v>0</v>
      </c>
      <c r="DY134" s="231">
        <f ca="1">IF(SUM(DY$24:DY133)=DY$22,0,IF(AND($M134&gt;=DY$15,$M134&lt;(DY$16+1)),DY$22/(DY$16-DY$15+1),0))</f>
        <v>0</v>
      </c>
      <c r="DZ134" s="231">
        <f ca="1">IF(SUM(DZ$24:DZ133)=DZ$22,0,IF(AND($M134&gt;=DZ$15,$M134&lt;(DZ$16+1)),DZ$22/(DZ$16-DZ$15+1),0))</f>
        <v>0</v>
      </c>
      <c r="EA134" s="231" t="e">
        <f ca="1">IF(SUM(EA$24:EA133)=EA$22,0,IF(AND(M134&gt;=EA$15,M134&lt;(EA$16+1)),EA$22/(EA$16-EA$15+1),0))</f>
        <v>#N/A</v>
      </c>
      <c r="EC134" s="234">
        <f t="shared" si="136"/>
        <v>107</v>
      </c>
      <c r="ED134" s="234" t="e">
        <f t="shared" ca="1" si="137"/>
        <v>#N/A</v>
      </c>
      <c r="EE134" s="235" t="e">
        <f t="shared" ca="1" si="138"/>
        <v>#N/A</v>
      </c>
      <c r="EF134" s="234" t="e">
        <f t="shared" ca="1" si="104"/>
        <v>#N/A</v>
      </c>
      <c r="EG134" s="234" t="e">
        <f t="shared" ca="1" si="106"/>
        <v>#N/A</v>
      </c>
      <c r="EH134" s="234" t="e">
        <f t="shared" ca="1" si="112"/>
        <v>#N/A</v>
      </c>
      <c r="EI134" s="234"/>
      <c r="EJ134" s="234"/>
      <c r="EK134" s="153" t="e">
        <f t="shared" ca="1" si="139"/>
        <v>#N/A</v>
      </c>
      <c r="EL134" s="231" t="e">
        <f ca="1">IF(SUM(EL$24:EL133)=EL$22,0,IF(AND($M134&gt;=EL$15,$M134&lt;(EL$16+1)),EL$22/(EL$16-EL$15+1),0))</f>
        <v>#N/A</v>
      </c>
      <c r="EM134" s="153" t="e">
        <f t="shared" ca="1" si="140"/>
        <v>#N/A</v>
      </c>
      <c r="EO134" s="60"/>
      <c r="EP134" s="60"/>
    </row>
    <row r="135" spans="1:146" ht="13.9" customHeight="1">
      <c r="A135" s="220"/>
      <c r="B135" s="236">
        <f t="shared" si="100"/>
        <v>108</v>
      </c>
      <c r="C135" s="221">
        <f t="shared" si="141"/>
        <v>46845.586900000169</v>
      </c>
      <c r="D135" s="222" t="e">
        <f ca="1">'Offshore INT'!R124</f>
        <v>#N/A</v>
      </c>
      <c r="E135" s="223" t="e">
        <f t="shared" ca="1" si="131"/>
        <v>#N/A</v>
      </c>
      <c r="F135" s="224"/>
      <c r="G135" s="225">
        <f>IF(G134=1,1,SUM($F$24:F135))</f>
        <v>0</v>
      </c>
      <c r="H135" s="226" t="e">
        <f ca="1">IF(H134=0,0,SUM($I$24:I135))</f>
        <v>#N/A</v>
      </c>
      <c r="I135" s="227" t="e">
        <f t="shared" ca="1" si="132"/>
        <v>#N/A</v>
      </c>
      <c r="J135" s="222">
        <f t="shared" ca="1" si="154"/>
        <v>0</v>
      </c>
      <c r="K135" s="60"/>
      <c r="L135" s="228"/>
      <c r="M135" s="228">
        <f t="shared" si="133"/>
        <v>108</v>
      </c>
      <c r="N135" s="221">
        <f t="shared" si="134"/>
        <v>46845.586900000169</v>
      </c>
      <c r="O135" s="229">
        <f t="shared" si="152"/>
        <v>0</v>
      </c>
      <c r="P135" s="229">
        <f t="shared" si="152"/>
        <v>0</v>
      </c>
      <c r="Q135" s="229">
        <f t="shared" si="152"/>
        <v>0</v>
      </c>
      <c r="R135" s="229">
        <f t="shared" si="152"/>
        <v>0</v>
      </c>
      <c r="S135" s="229">
        <f t="shared" si="152"/>
        <v>0</v>
      </c>
      <c r="T135" s="229">
        <f t="shared" si="152"/>
        <v>0</v>
      </c>
      <c r="U135" s="229">
        <f t="shared" si="152"/>
        <v>0</v>
      </c>
      <c r="V135" s="229">
        <f t="shared" si="152"/>
        <v>0</v>
      </c>
      <c r="W135" s="229">
        <f t="shared" si="152"/>
        <v>0</v>
      </c>
      <c r="X135" s="229">
        <f t="shared" si="152"/>
        <v>0</v>
      </c>
      <c r="Y135" s="229">
        <f t="shared" si="152"/>
        <v>0</v>
      </c>
      <c r="Z135" s="229">
        <f t="shared" si="152"/>
        <v>0</v>
      </c>
      <c r="AA135" s="229">
        <f t="shared" si="155"/>
        <v>0</v>
      </c>
      <c r="AB135" s="229">
        <f t="shared" si="155"/>
        <v>0</v>
      </c>
      <c r="AC135" s="229">
        <f t="shared" si="155"/>
        <v>0</v>
      </c>
      <c r="AD135" s="229">
        <f t="shared" si="155"/>
        <v>0</v>
      </c>
      <c r="AE135" s="229">
        <f t="shared" si="155"/>
        <v>0</v>
      </c>
      <c r="AF135" s="229">
        <f t="shared" si="155"/>
        <v>0</v>
      </c>
      <c r="AG135" s="229">
        <f t="shared" si="155"/>
        <v>0</v>
      </c>
      <c r="AH135" s="229">
        <f t="shared" si="155"/>
        <v>0</v>
      </c>
      <c r="AI135" s="229">
        <f t="shared" si="155"/>
        <v>0</v>
      </c>
      <c r="AJ135" s="229">
        <f t="shared" si="155"/>
        <v>0</v>
      </c>
      <c r="AK135" s="229">
        <f t="shared" si="155"/>
        <v>0</v>
      </c>
      <c r="AL135" s="229">
        <f t="shared" si="155"/>
        <v>0</v>
      </c>
      <c r="AM135" s="229">
        <f t="shared" si="155"/>
        <v>0</v>
      </c>
      <c r="AN135" s="229">
        <f t="shared" si="155"/>
        <v>0</v>
      </c>
      <c r="AO135" s="229">
        <f t="shared" si="155"/>
        <v>0</v>
      </c>
      <c r="AP135" s="229">
        <f t="shared" si="155"/>
        <v>0</v>
      </c>
      <c r="AQ135" s="229">
        <f t="shared" si="155"/>
        <v>0</v>
      </c>
      <c r="AR135" s="229">
        <f t="shared" si="155"/>
        <v>0</v>
      </c>
      <c r="AS135" s="229">
        <f t="shared" si="142"/>
        <v>0</v>
      </c>
      <c r="AT135" s="229">
        <f t="shared" si="142"/>
        <v>0</v>
      </c>
      <c r="AU135" s="229">
        <f t="shared" si="142"/>
        <v>0</v>
      </c>
      <c r="AV135" s="229">
        <f t="shared" si="142"/>
        <v>0</v>
      </c>
      <c r="AW135" s="229">
        <f t="shared" si="142"/>
        <v>0</v>
      </c>
      <c r="AX135" s="229">
        <f t="shared" si="155"/>
        <v>0</v>
      </c>
      <c r="AY135" s="229">
        <f t="shared" si="155"/>
        <v>0</v>
      </c>
      <c r="AZ135" s="229">
        <f t="shared" si="155"/>
        <v>0</v>
      </c>
      <c r="BA135" s="229">
        <f t="shared" si="155"/>
        <v>0</v>
      </c>
      <c r="BB135" s="229">
        <f t="shared" si="155"/>
        <v>0</v>
      </c>
      <c r="BC135" s="229">
        <f t="shared" si="155"/>
        <v>0</v>
      </c>
      <c r="BD135" s="229">
        <f t="shared" si="156"/>
        <v>0</v>
      </c>
      <c r="BE135" s="229">
        <f t="shared" si="156"/>
        <v>0</v>
      </c>
      <c r="BF135" s="229">
        <f t="shared" si="156"/>
        <v>0</v>
      </c>
      <c r="BG135" s="229">
        <f t="shared" si="156"/>
        <v>0</v>
      </c>
      <c r="BH135" s="229">
        <f t="shared" si="156"/>
        <v>0</v>
      </c>
      <c r="BI135" s="229">
        <f t="shared" si="156"/>
        <v>0</v>
      </c>
      <c r="BJ135" s="229">
        <f t="shared" si="156"/>
        <v>0</v>
      </c>
      <c r="BK135" s="229">
        <f t="shared" si="156"/>
        <v>0</v>
      </c>
      <c r="BL135" s="229">
        <f t="shared" si="156"/>
        <v>0</v>
      </c>
      <c r="BM135" s="229">
        <f t="shared" si="156"/>
        <v>0</v>
      </c>
      <c r="BN135" s="229">
        <f t="shared" si="156"/>
        <v>0</v>
      </c>
      <c r="BO135" s="229">
        <f t="shared" si="156"/>
        <v>0</v>
      </c>
      <c r="BP135" s="229">
        <f t="shared" si="156"/>
        <v>0</v>
      </c>
      <c r="BQ135" s="229">
        <f t="shared" si="157"/>
        <v>0</v>
      </c>
      <c r="BR135" s="229">
        <f t="shared" si="157"/>
        <v>0</v>
      </c>
      <c r="BS135" s="229">
        <f t="shared" si="157"/>
        <v>0</v>
      </c>
      <c r="BT135" s="229">
        <f t="shared" si="157"/>
        <v>0</v>
      </c>
      <c r="BU135" s="229">
        <f t="shared" si="157"/>
        <v>0</v>
      </c>
      <c r="BV135" s="229">
        <f t="shared" si="157"/>
        <v>0</v>
      </c>
      <c r="BW135" s="229">
        <f t="shared" si="157"/>
        <v>0</v>
      </c>
      <c r="BX135" s="229">
        <f t="shared" si="157"/>
        <v>0</v>
      </c>
      <c r="BY135" s="229">
        <f t="shared" si="157"/>
        <v>0</v>
      </c>
      <c r="BZ135" s="229">
        <f t="shared" si="157"/>
        <v>0</v>
      </c>
      <c r="CA135" s="229">
        <f t="shared" si="157"/>
        <v>0</v>
      </c>
      <c r="CB135" s="229">
        <f t="shared" si="157"/>
        <v>0</v>
      </c>
      <c r="CC135" s="229">
        <f t="shared" si="157"/>
        <v>0</v>
      </c>
      <c r="CD135" s="229">
        <f t="shared" si="158"/>
        <v>0</v>
      </c>
      <c r="CE135" s="229">
        <f t="shared" si="149"/>
        <v>0</v>
      </c>
      <c r="CF135" s="229">
        <f t="shared" si="158"/>
        <v>0</v>
      </c>
      <c r="CG135" s="229">
        <f t="shared" si="158"/>
        <v>0</v>
      </c>
      <c r="CH135" s="229">
        <f t="shared" si="158"/>
        <v>0</v>
      </c>
      <c r="CI135" s="229">
        <f t="shared" si="158"/>
        <v>0</v>
      </c>
      <c r="CJ135" s="229">
        <f t="shared" si="153"/>
        <v>0</v>
      </c>
      <c r="CK135" s="229">
        <f t="shared" si="158"/>
        <v>0</v>
      </c>
      <c r="CL135" s="229">
        <f t="shared" si="158"/>
        <v>0</v>
      </c>
      <c r="CM135" s="229">
        <f t="shared" si="158"/>
        <v>0</v>
      </c>
      <c r="CN135" s="229">
        <f t="shared" si="158"/>
        <v>0</v>
      </c>
      <c r="CO135" s="229">
        <f t="shared" si="148"/>
        <v>0</v>
      </c>
      <c r="CP135" s="229">
        <f t="shared" si="148"/>
        <v>0</v>
      </c>
      <c r="CQ135" s="229">
        <f t="shared" si="158"/>
        <v>0</v>
      </c>
      <c r="CR135" s="229">
        <f t="shared" si="158"/>
        <v>0</v>
      </c>
      <c r="CS135" s="229">
        <f t="shared" si="158"/>
        <v>0</v>
      </c>
      <c r="CT135" s="229">
        <f t="shared" si="158"/>
        <v>0</v>
      </c>
      <c r="CU135" s="230"/>
      <c r="CV135" s="231"/>
      <c r="CW135" s="231"/>
      <c r="CX135" s="231"/>
      <c r="CY135" s="231"/>
      <c r="CZ135" s="231"/>
      <c r="DA135" s="231"/>
      <c r="DB135" s="231"/>
      <c r="DC135" s="231"/>
      <c r="DD135" s="231">
        <f>IF(SUM(DD$24:DD134)=DD$22,0,IF(AND($M135&gt;=DD$15,$M135&lt;(DD$16+1)),DD$22/(DD$16-DD$15+1),0))</f>
        <v>0</v>
      </c>
      <c r="DE135" s="231">
        <f>IF(SUM(DE$24:DE134)=DE$22,0,IF(AND($M135&gt;=DE$15,$M135&lt;(DE$16+1)),DE$22/(DE$16-DE$15+1),0))</f>
        <v>0</v>
      </c>
      <c r="DF135" s="231">
        <f>IF(SUM(DF$24:DF134)=DF$22,0,IF(AND($M135&gt;=DF$15,$M135&lt;(DF$16+1)),DF$22/(DF$16-DF$15+1),0))</f>
        <v>0</v>
      </c>
      <c r="DG135" s="231">
        <f>IF(SUM(DG$24:DG134)=DG$22,0,IF(AND($M135&gt;=DG$15,$M135&lt;(DG$16+1)),DG$22/(DG$16-DG$15+1),0))</f>
        <v>0</v>
      </c>
      <c r="DH135" s="231">
        <f t="shared" si="151"/>
        <v>0</v>
      </c>
      <c r="DI135" s="231">
        <f t="shared" si="151"/>
        <v>0</v>
      </c>
      <c r="DJ135" s="231">
        <f t="shared" si="151"/>
        <v>0</v>
      </c>
      <c r="DK135" s="231">
        <f t="shared" si="151"/>
        <v>0</v>
      </c>
      <c r="DL135" s="231">
        <f t="shared" si="151"/>
        <v>0</v>
      </c>
      <c r="DM135" s="231">
        <f t="shared" si="151"/>
        <v>0</v>
      </c>
      <c r="DN135" s="231">
        <f t="shared" si="147"/>
        <v>0</v>
      </c>
      <c r="DO135" s="231">
        <f t="shared" si="151"/>
        <v>0</v>
      </c>
      <c r="DP135" s="231">
        <f t="shared" si="151"/>
        <v>0</v>
      </c>
      <c r="DQ135" s="231">
        <f t="shared" si="151"/>
        <v>0</v>
      </c>
      <c r="DR135" s="231">
        <f t="shared" si="151"/>
        <v>0</v>
      </c>
      <c r="DS135" s="231">
        <f t="shared" si="151"/>
        <v>0</v>
      </c>
      <c r="DT135" s="231">
        <f ca="1">IF(SUM(DT$24:DT134)=DT$22,0,IF(AND($M135&gt;=DT$15,$M135&lt;(DT$16+1)),DT$22/(DT$16-DT$15+1),0))</f>
        <v>0</v>
      </c>
      <c r="DU135" s="231">
        <f ca="1">IF(SUM(DU$24:DU134)=DU$22,0,IF(AND($M135&gt;=DU$15,$M135&lt;(DU$16+1)),DU$22/(DU$16-DU$15+1),0))</f>
        <v>0</v>
      </c>
      <c r="DV135" s="231">
        <f ca="1">IF(SUM(DV$24:DV134)=DV$22,0,IF(AND(M135&gt;=DV$15,M135&lt;(DV$16+1)),DV$22/(DV$16-DV$15+1),0))</f>
        <v>0</v>
      </c>
      <c r="DW135" s="231" t="e">
        <f ca="1">IF(SUM(DW$24:DW134)=DW$22,0,IF(AND($M135&gt;=DW$15,$M135&lt;(DW$16+1)),DW$22/(DW$16-DW$15+1),0))</f>
        <v>#N/A</v>
      </c>
      <c r="DX135" s="231">
        <f ca="1">IF(SUM(DX$24:DX134)=DX$22,0,IF(AND($M135&gt;=DX$15,$M135&lt;(DX$16+1)),DX$22/(DX$16-DX$15+1),0))</f>
        <v>0</v>
      </c>
      <c r="DY135" s="231">
        <f ca="1">IF(SUM(DY$24:DY134)=DY$22,0,IF(AND($M135&gt;=DY$15,$M135&lt;(DY$16+1)),DY$22/(DY$16-DY$15+1),0))</f>
        <v>0</v>
      </c>
      <c r="DZ135" s="231">
        <f ca="1">IF(SUM(DZ$24:DZ134)=DZ$22,0,IF(AND($M135&gt;=DZ$15,$M135&lt;(DZ$16+1)),DZ$22/(DZ$16-DZ$15+1),0))</f>
        <v>0</v>
      </c>
      <c r="EA135" s="231" t="e">
        <f ca="1">IF(SUM(EA$24:EA134)=EA$22,0,IF(AND(M135&gt;=EA$15,M135&lt;(EA$16+1)),EA$22/(EA$16-EA$15+1),0))</f>
        <v>#N/A</v>
      </c>
      <c r="EC135" s="234">
        <f t="shared" si="136"/>
        <v>108</v>
      </c>
      <c r="ED135" s="234" t="e">
        <f t="shared" ca="1" si="137"/>
        <v>#N/A</v>
      </c>
      <c r="EE135" s="235" t="e">
        <f t="shared" ca="1" si="138"/>
        <v>#N/A</v>
      </c>
      <c r="EF135" s="234" t="e">
        <f t="shared" ca="1" si="104"/>
        <v>#N/A</v>
      </c>
      <c r="EG135" s="234" t="e">
        <f t="shared" ca="1" si="106"/>
        <v>#N/A</v>
      </c>
      <c r="EH135" s="234" t="e">
        <f t="shared" ca="1" si="112"/>
        <v>#N/A</v>
      </c>
      <c r="EI135" s="234"/>
      <c r="EJ135" s="234"/>
      <c r="EK135" s="153" t="e">
        <f t="shared" ca="1" si="139"/>
        <v>#N/A</v>
      </c>
      <c r="EL135" s="231" t="e">
        <f ca="1">IF(SUM(EL$24:EL134)=EL$22,0,IF(AND($M135&gt;=EL$15,$M135&lt;(EL$16+1)),EL$22/(EL$16-EL$15+1),0))</f>
        <v>#N/A</v>
      </c>
      <c r="EM135" s="153" t="e">
        <f t="shared" ca="1" si="140"/>
        <v>#N/A</v>
      </c>
      <c r="EO135" s="60"/>
      <c r="EP135" s="60"/>
    </row>
    <row r="136" spans="1:146" ht="13.9" customHeight="1">
      <c r="A136" s="220"/>
      <c r="B136" s="236">
        <f t="shared" si="100"/>
        <v>109</v>
      </c>
      <c r="C136" s="221">
        <f t="shared" si="141"/>
        <v>46876.003600000171</v>
      </c>
      <c r="D136" s="222" t="e">
        <f ca="1">'Offshore INT'!R125</f>
        <v>#N/A</v>
      </c>
      <c r="E136" s="223" t="e">
        <f t="shared" ca="1" si="131"/>
        <v>#N/A</v>
      </c>
      <c r="F136" s="224"/>
      <c r="G136" s="225">
        <f>IF(G135=1,1,SUM($F$24:F136))</f>
        <v>0</v>
      </c>
      <c r="H136" s="226" t="e">
        <f ca="1">IF(H135=0,0,SUM($I$24:I136))</f>
        <v>#N/A</v>
      </c>
      <c r="I136" s="227" t="e">
        <f t="shared" ca="1" si="132"/>
        <v>#N/A</v>
      </c>
      <c r="J136" s="222">
        <f t="shared" ca="1" si="154"/>
        <v>0</v>
      </c>
      <c r="K136" s="60"/>
      <c r="L136" s="228"/>
      <c r="M136" s="228">
        <f t="shared" si="133"/>
        <v>109</v>
      </c>
      <c r="N136" s="221">
        <f t="shared" si="134"/>
        <v>46876.003600000171</v>
      </c>
      <c r="O136" s="229">
        <f t="shared" si="152"/>
        <v>0</v>
      </c>
      <c r="P136" s="229">
        <f t="shared" si="152"/>
        <v>0</v>
      </c>
      <c r="Q136" s="229">
        <f t="shared" si="152"/>
        <v>0</v>
      </c>
      <c r="R136" s="229">
        <f t="shared" si="152"/>
        <v>0</v>
      </c>
      <c r="S136" s="229">
        <f t="shared" si="152"/>
        <v>0</v>
      </c>
      <c r="T136" s="229">
        <f t="shared" si="152"/>
        <v>0</v>
      </c>
      <c r="U136" s="229">
        <f t="shared" si="152"/>
        <v>0</v>
      </c>
      <c r="V136" s="229">
        <f t="shared" si="152"/>
        <v>0</v>
      </c>
      <c r="W136" s="229">
        <f t="shared" si="152"/>
        <v>0</v>
      </c>
      <c r="X136" s="229">
        <f t="shared" si="152"/>
        <v>0</v>
      </c>
      <c r="Y136" s="229">
        <f t="shared" si="152"/>
        <v>0</v>
      </c>
      <c r="Z136" s="229">
        <f t="shared" si="152"/>
        <v>0</v>
      </c>
      <c r="AA136" s="229">
        <f t="shared" si="155"/>
        <v>0</v>
      </c>
      <c r="AB136" s="229">
        <f t="shared" si="155"/>
        <v>0</v>
      </c>
      <c r="AC136" s="229">
        <f t="shared" si="155"/>
        <v>0</v>
      </c>
      <c r="AD136" s="229">
        <f t="shared" si="155"/>
        <v>0</v>
      </c>
      <c r="AE136" s="229">
        <f t="shared" si="155"/>
        <v>0</v>
      </c>
      <c r="AF136" s="229">
        <f t="shared" si="155"/>
        <v>0</v>
      </c>
      <c r="AG136" s="229">
        <f t="shared" si="155"/>
        <v>0</v>
      </c>
      <c r="AH136" s="229">
        <f t="shared" si="155"/>
        <v>0</v>
      </c>
      <c r="AI136" s="229">
        <f t="shared" si="155"/>
        <v>0</v>
      </c>
      <c r="AJ136" s="229">
        <f t="shared" si="155"/>
        <v>0</v>
      </c>
      <c r="AK136" s="229">
        <f t="shared" si="155"/>
        <v>0</v>
      </c>
      <c r="AL136" s="229">
        <f t="shared" si="155"/>
        <v>0</v>
      </c>
      <c r="AM136" s="229">
        <f t="shared" si="155"/>
        <v>0</v>
      </c>
      <c r="AN136" s="229">
        <f t="shared" si="155"/>
        <v>0</v>
      </c>
      <c r="AO136" s="229">
        <f t="shared" si="155"/>
        <v>0</v>
      </c>
      <c r="AP136" s="229">
        <f t="shared" si="155"/>
        <v>0</v>
      </c>
      <c r="AQ136" s="229">
        <f t="shared" si="155"/>
        <v>0</v>
      </c>
      <c r="AR136" s="229">
        <f t="shared" si="155"/>
        <v>0</v>
      </c>
      <c r="AS136" s="229">
        <f t="shared" si="142"/>
        <v>0</v>
      </c>
      <c r="AT136" s="229">
        <f t="shared" si="142"/>
        <v>0</v>
      </c>
      <c r="AU136" s="229">
        <f t="shared" si="142"/>
        <v>0</v>
      </c>
      <c r="AV136" s="229">
        <f t="shared" si="142"/>
        <v>0</v>
      </c>
      <c r="AW136" s="229">
        <f t="shared" si="142"/>
        <v>0</v>
      </c>
      <c r="AX136" s="229">
        <f t="shared" si="155"/>
        <v>0</v>
      </c>
      <c r="AY136" s="229">
        <f t="shared" si="155"/>
        <v>0</v>
      </c>
      <c r="AZ136" s="229">
        <f t="shared" si="155"/>
        <v>0</v>
      </c>
      <c r="BA136" s="229">
        <f t="shared" si="155"/>
        <v>0</v>
      </c>
      <c r="BB136" s="229">
        <f t="shared" si="155"/>
        <v>0</v>
      </c>
      <c r="BC136" s="229">
        <f t="shared" si="155"/>
        <v>0</v>
      </c>
      <c r="BD136" s="229">
        <f t="shared" si="156"/>
        <v>0</v>
      </c>
      <c r="BE136" s="229">
        <f t="shared" si="156"/>
        <v>0</v>
      </c>
      <c r="BF136" s="229">
        <f t="shared" si="156"/>
        <v>0</v>
      </c>
      <c r="BG136" s="229">
        <f t="shared" si="156"/>
        <v>0</v>
      </c>
      <c r="BH136" s="229">
        <f t="shared" si="156"/>
        <v>0</v>
      </c>
      <c r="BI136" s="229">
        <f t="shared" si="156"/>
        <v>0</v>
      </c>
      <c r="BJ136" s="229">
        <f t="shared" si="156"/>
        <v>0</v>
      </c>
      <c r="BK136" s="229">
        <f t="shared" si="156"/>
        <v>0</v>
      </c>
      <c r="BL136" s="229">
        <f t="shared" si="156"/>
        <v>0</v>
      </c>
      <c r="BM136" s="229">
        <f t="shared" si="156"/>
        <v>0</v>
      </c>
      <c r="BN136" s="229">
        <f t="shared" si="156"/>
        <v>0</v>
      </c>
      <c r="BO136" s="229">
        <f t="shared" si="156"/>
        <v>0</v>
      </c>
      <c r="BP136" s="229">
        <f t="shared" si="156"/>
        <v>0</v>
      </c>
      <c r="BQ136" s="229">
        <f t="shared" si="157"/>
        <v>0</v>
      </c>
      <c r="BR136" s="229">
        <f t="shared" si="157"/>
        <v>0</v>
      </c>
      <c r="BS136" s="229">
        <f t="shared" si="157"/>
        <v>0</v>
      </c>
      <c r="BT136" s="229">
        <f t="shared" si="157"/>
        <v>0</v>
      </c>
      <c r="BU136" s="229">
        <f t="shared" si="157"/>
        <v>0</v>
      </c>
      <c r="BV136" s="229">
        <f t="shared" si="157"/>
        <v>0</v>
      </c>
      <c r="BW136" s="229">
        <f t="shared" si="157"/>
        <v>0</v>
      </c>
      <c r="BX136" s="229">
        <f t="shared" si="157"/>
        <v>0</v>
      </c>
      <c r="BY136" s="229">
        <f t="shared" si="157"/>
        <v>0</v>
      </c>
      <c r="BZ136" s="229">
        <f t="shared" si="157"/>
        <v>0</v>
      </c>
      <c r="CA136" s="229">
        <f t="shared" si="157"/>
        <v>0</v>
      </c>
      <c r="CB136" s="229">
        <f t="shared" si="157"/>
        <v>0</v>
      </c>
      <c r="CC136" s="229">
        <f t="shared" si="157"/>
        <v>0</v>
      </c>
      <c r="CD136" s="229">
        <f t="shared" si="158"/>
        <v>0</v>
      </c>
      <c r="CE136" s="229">
        <f t="shared" si="149"/>
        <v>0</v>
      </c>
      <c r="CF136" s="229">
        <f t="shared" si="158"/>
        <v>0</v>
      </c>
      <c r="CG136" s="229">
        <f t="shared" si="158"/>
        <v>0</v>
      </c>
      <c r="CH136" s="229">
        <f t="shared" si="158"/>
        <v>0</v>
      </c>
      <c r="CI136" s="229">
        <f t="shared" si="158"/>
        <v>0</v>
      </c>
      <c r="CJ136" s="229">
        <f t="shared" si="153"/>
        <v>0</v>
      </c>
      <c r="CK136" s="229">
        <f t="shared" si="158"/>
        <v>0</v>
      </c>
      <c r="CL136" s="229">
        <f t="shared" si="158"/>
        <v>0</v>
      </c>
      <c r="CM136" s="229">
        <f t="shared" si="158"/>
        <v>0</v>
      </c>
      <c r="CN136" s="229">
        <f t="shared" si="158"/>
        <v>0</v>
      </c>
      <c r="CO136" s="229">
        <f t="shared" si="148"/>
        <v>0</v>
      </c>
      <c r="CP136" s="229">
        <f t="shared" si="148"/>
        <v>0</v>
      </c>
      <c r="CQ136" s="229">
        <f t="shared" si="158"/>
        <v>0</v>
      </c>
      <c r="CR136" s="229">
        <f t="shared" si="158"/>
        <v>0</v>
      </c>
      <c r="CS136" s="229">
        <f t="shared" si="158"/>
        <v>0</v>
      </c>
      <c r="CT136" s="229">
        <f t="shared" si="158"/>
        <v>0</v>
      </c>
      <c r="CU136" s="230"/>
      <c r="CV136" s="231"/>
      <c r="CW136" s="231"/>
      <c r="CX136" s="231"/>
      <c r="CY136" s="231"/>
      <c r="CZ136" s="231"/>
      <c r="DA136" s="231"/>
      <c r="DB136" s="231"/>
      <c r="DC136" s="231"/>
      <c r="DD136" s="231">
        <f>IF(SUM(DD$24:DD135)=DD$22,0,IF(AND($M136&gt;=DD$15,$M136&lt;(DD$16+1)),DD$22/(DD$16-DD$15+1),0))</f>
        <v>0</v>
      </c>
      <c r="DE136" s="231">
        <f>IF(SUM(DE$24:DE135)=DE$22,0,IF(AND($M136&gt;=DE$15,$M136&lt;(DE$16+1)),DE$22/(DE$16-DE$15+1),0))</f>
        <v>0</v>
      </c>
      <c r="DF136" s="231">
        <f>IF(SUM(DF$24:DF135)=DF$22,0,IF(AND($M136&gt;=DF$15,$M136&lt;(DF$16+1)),DF$22/(DF$16-DF$15+1),0))</f>
        <v>0</v>
      </c>
      <c r="DG136" s="231">
        <f>IF(SUM(DG$24:DG135)=DG$22,0,IF(AND($M136&gt;=DG$15,$M136&lt;(DG$16+1)),DG$22/(DG$16-DG$15+1),0))</f>
        <v>0</v>
      </c>
      <c r="DH136" s="231">
        <f t="shared" si="151"/>
        <v>0</v>
      </c>
      <c r="DI136" s="231">
        <f t="shared" si="151"/>
        <v>0</v>
      </c>
      <c r="DJ136" s="231">
        <f t="shared" si="151"/>
        <v>0</v>
      </c>
      <c r="DK136" s="231">
        <f t="shared" si="151"/>
        <v>0</v>
      </c>
      <c r="DL136" s="231">
        <f t="shared" si="151"/>
        <v>0</v>
      </c>
      <c r="DM136" s="231">
        <f t="shared" si="151"/>
        <v>0</v>
      </c>
      <c r="DN136" s="231">
        <f t="shared" si="147"/>
        <v>0</v>
      </c>
      <c r="DO136" s="231">
        <f t="shared" si="151"/>
        <v>0</v>
      </c>
      <c r="DP136" s="231">
        <f t="shared" si="151"/>
        <v>0</v>
      </c>
      <c r="DQ136" s="231">
        <f t="shared" si="151"/>
        <v>0</v>
      </c>
      <c r="DR136" s="231">
        <f t="shared" si="151"/>
        <v>0</v>
      </c>
      <c r="DS136" s="231">
        <f t="shared" si="151"/>
        <v>0</v>
      </c>
      <c r="DT136" s="231">
        <f ca="1">IF(SUM(DT$24:DT135)=DT$22,0,IF(AND($M136&gt;=DT$15,$M136&lt;(DT$16+1)),DT$22/(DT$16-DT$15+1),0))</f>
        <v>0</v>
      </c>
      <c r="DU136" s="231">
        <f ca="1">IF(SUM(DU$24:DU135)=DU$22,0,IF(AND($M136&gt;=DU$15,$M136&lt;(DU$16+1)),DU$22/(DU$16-DU$15+1),0))</f>
        <v>0</v>
      </c>
      <c r="DV136" s="231">
        <f ca="1">IF(SUM(DV$24:DV135)=DV$22,0,IF(AND(M136&gt;=DV$15,M136&lt;(DV$16+1)),DV$22/(DV$16-DV$15+1),0))</f>
        <v>0</v>
      </c>
      <c r="DW136" s="231" t="e">
        <f ca="1">IF(SUM(DW$24:DW135)=DW$22,0,IF(AND($M136&gt;=DW$15,$M136&lt;(DW$16+1)),DW$22/(DW$16-DW$15+1),0))</f>
        <v>#N/A</v>
      </c>
      <c r="DX136" s="231">
        <f ca="1">IF(SUM(DX$24:DX135)=DX$22,0,IF(AND($M136&gt;=DX$15,$M136&lt;(DX$16+1)),DX$22/(DX$16-DX$15+1),0))</f>
        <v>0</v>
      </c>
      <c r="DY136" s="231">
        <f ca="1">IF(SUM(DY$24:DY135)=DY$22,0,IF(AND($M136&gt;=DY$15,$M136&lt;(DY$16+1)),DY$22/(DY$16-DY$15+1),0))</f>
        <v>0</v>
      </c>
      <c r="DZ136" s="231">
        <f ca="1">IF(SUM(DZ$24:DZ135)=DZ$22,0,IF(AND($M136&gt;=DZ$15,$M136&lt;(DZ$16+1)),DZ$22/(DZ$16-DZ$15+1),0))</f>
        <v>0</v>
      </c>
      <c r="EA136" s="231" t="e">
        <f ca="1">IF(SUM(EA$24:EA135)=EA$22,0,IF(AND(M136&gt;=EA$15,M136&lt;(EA$16+1)),EA$22/(EA$16-EA$15+1),0))</f>
        <v>#N/A</v>
      </c>
      <c r="EC136" s="234">
        <f t="shared" si="136"/>
        <v>109</v>
      </c>
      <c r="ED136" s="234" t="e">
        <f t="shared" ca="1" si="137"/>
        <v>#N/A</v>
      </c>
      <c r="EE136" s="235" t="e">
        <f t="shared" ca="1" si="138"/>
        <v>#N/A</v>
      </c>
      <c r="EF136" s="234" t="e">
        <f t="shared" ca="1" si="104"/>
        <v>#N/A</v>
      </c>
      <c r="EG136" s="234" t="e">
        <f t="shared" ca="1" si="106"/>
        <v>#N/A</v>
      </c>
      <c r="EH136" s="234" t="e">
        <f t="shared" ca="1" si="112"/>
        <v>#N/A</v>
      </c>
      <c r="EI136" s="234"/>
      <c r="EJ136" s="234"/>
      <c r="EK136" s="153" t="e">
        <f t="shared" ca="1" si="139"/>
        <v>#N/A</v>
      </c>
      <c r="EL136" s="231" t="e">
        <f ca="1">IF(SUM(EL$24:EL135)=EL$22,0,IF(AND($M136&gt;=EL$15,$M136&lt;(EL$16+1)),EL$22/(EL$16-EL$15+1),0))</f>
        <v>#N/A</v>
      </c>
      <c r="EM136" s="153" t="e">
        <f t="shared" ca="1" si="140"/>
        <v>#N/A</v>
      </c>
      <c r="EO136" s="60"/>
      <c r="EP136" s="60"/>
    </row>
    <row r="137" spans="1:146" ht="13.9" customHeight="1">
      <c r="A137" s="220"/>
      <c r="B137" s="236">
        <f t="shared" si="100"/>
        <v>110</v>
      </c>
      <c r="C137" s="221">
        <f t="shared" si="141"/>
        <v>46906.420300000173</v>
      </c>
      <c r="D137" s="222" t="e">
        <f ca="1">'Offshore INT'!R126</f>
        <v>#N/A</v>
      </c>
      <c r="E137" s="223" t="e">
        <f t="shared" ca="1" si="131"/>
        <v>#N/A</v>
      </c>
      <c r="F137" s="224"/>
      <c r="G137" s="225">
        <f>IF(G136=1,1,SUM($F$24:F137))</f>
        <v>0</v>
      </c>
      <c r="H137" s="226" t="e">
        <f ca="1">IF(H136=0,0,SUM($I$24:I137))</f>
        <v>#N/A</v>
      </c>
      <c r="I137" s="227" t="e">
        <f t="shared" ca="1" si="132"/>
        <v>#N/A</v>
      </c>
      <c r="J137" s="222">
        <f t="shared" ca="1" si="154"/>
        <v>0</v>
      </c>
      <c r="K137" s="60"/>
      <c r="L137" s="228"/>
      <c r="M137" s="228">
        <f t="shared" si="133"/>
        <v>110</v>
      </c>
      <c r="N137" s="221">
        <f t="shared" si="134"/>
        <v>46906.420300000173</v>
      </c>
      <c r="O137" s="229">
        <f t="shared" si="152"/>
        <v>0</v>
      </c>
      <c r="P137" s="229">
        <f t="shared" si="152"/>
        <v>0</v>
      </c>
      <c r="Q137" s="229">
        <f t="shared" si="152"/>
        <v>0</v>
      </c>
      <c r="R137" s="229">
        <f t="shared" si="152"/>
        <v>0</v>
      </c>
      <c r="S137" s="229">
        <f t="shared" si="152"/>
        <v>0</v>
      </c>
      <c r="T137" s="229">
        <f t="shared" si="152"/>
        <v>0</v>
      </c>
      <c r="U137" s="229">
        <f t="shared" si="152"/>
        <v>0</v>
      </c>
      <c r="V137" s="229">
        <f t="shared" si="152"/>
        <v>0</v>
      </c>
      <c r="W137" s="229">
        <f t="shared" si="152"/>
        <v>0</v>
      </c>
      <c r="X137" s="229">
        <f t="shared" si="152"/>
        <v>0</v>
      </c>
      <c r="Y137" s="229">
        <f t="shared" si="152"/>
        <v>0</v>
      </c>
      <c r="Z137" s="229">
        <f t="shared" si="152"/>
        <v>0</v>
      </c>
      <c r="AA137" s="229">
        <f t="shared" si="155"/>
        <v>0</v>
      </c>
      <c r="AB137" s="229">
        <f t="shared" si="155"/>
        <v>0</v>
      </c>
      <c r="AC137" s="229">
        <f t="shared" si="155"/>
        <v>0</v>
      </c>
      <c r="AD137" s="229">
        <f t="shared" si="155"/>
        <v>0</v>
      </c>
      <c r="AE137" s="229">
        <f t="shared" si="155"/>
        <v>0</v>
      </c>
      <c r="AF137" s="229">
        <f t="shared" si="155"/>
        <v>0</v>
      </c>
      <c r="AG137" s="229">
        <f t="shared" si="155"/>
        <v>0</v>
      </c>
      <c r="AH137" s="229">
        <f t="shared" si="155"/>
        <v>0</v>
      </c>
      <c r="AI137" s="229">
        <f t="shared" si="155"/>
        <v>0</v>
      </c>
      <c r="AJ137" s="229">
        <f t="shared" si="155"/>
        <v>0</v>
      </c>
      <c r="AK137" s="229">
        <f t="shared" si="155"/>
        <v>0</v>
      </c>
      <c r="AL137" s="229">
        <f t="shared" si="155"/>
        <v>0</v>
      </c>
      <c r="AM137" s="229">
        <f t="shared" si="155"/>
        <v>0</v>
      </c>
      <c r="AN137" s="229">
        <f t="shared" si="155"/>
        <v>0</v>
      </c>
      <c r="AO137" s="229">
        <f t="shared" si="155"/>
        <v>0</v>
      </c>
      <c r="AP137" s="229">
        <f t="shared" si="155"/>
        <v>0</v>
      </c>
      <c r="AQ137" s="229">
        <f t="shared" si="155"/>
        <v>0</v>
      </c>
      <c r="AR137" s="229">
        <f t="shared" si="155"/>
        <v>0</v>
      </c>
      <c r="AS137" s="229">
        <f t="shared" si="142"/>
        <v>0</v>
      </c>
      <c r="AT137" s="229">
        <f t="shared" si="142"/>
        <v>0</v>
      </c>
      <c r="AU137" s="229">
        <f t="shared" si="142"/>
        <v>0</v>
      </c>
      <c r="AV137" s="229">
        <f t="shared" si="142"/>
        <v>0</v>
      </c>
      <c r="AW137" s="229">
        <f t="shared" si="142"/>
        <v>0</v>
      </c>
      <c r="AX137" s="229">
        <f t="shared" si="155"/>
        <v>0</v>
      </c>
      <c r="AY137" s="229">
        <f t="shared" si="155"/>
        <v>0</v>
      </c>
      <c r="AZ137" s="229">
        <f t="shared" si="155"/>
        <v>0</v>
      </c>
      <c r="BA137" s="229">
        <f t="shared" si="155"/>
        <v>0</v>
      </c>
      <c r="BB137" s="229">
        <f t="shared" si="155"/>
        <v>0</v>
      </c>
      <c r="BC137" s="229">
        <f t="shared" si="155"/>
        <v>0</v>
      </c>
      <c r="BD137" s="229">
        <f t="shared" si="156"/>
        <v>0</v>
      </c>
      <c r="BE137" s="229">
        <f t="shared" si="156"/>
        <v>0</v>
      </c>
      <c r="BF137" s="229">
        <f t="shared" si="156"/>
        <v>0</v>
      </c>
      <c r="BG137" s="229">
        <f t="shared" si="156"/>
        <v>0</v>
      </c>
      <c r="BH137" s="229">
        <f t="shared" si="156"/>
        <v>0</v>
      </c>
      <c r="BI137" s="229">
        <f t="shared" si="156"/>
        <v>0</v>
      </c>
      <c r="BJ137" s="229">
        <f t="shared" si="156"/>
        <v>0</v>
      </c>
      <c r="BK137" s="229">
        <f t="shared" si="156"/>
        <v>0</v>
      </c>
      <c r="BL137" s="229">
        <f t="shared" si="156"/>
        <v>0</v>
      </c>
      <c r="BM137" s="229">
        <f t="shared" si="156"/>
        <v>0</v>
      </c>
      <c r="BN137" s="229">
        <f t="shared" si="156"/>
        <v>0</v>
      </c>
      <c r="BO137" s="229">
        <f t="shared" si="156"/>
        <v>0</v>
      </c>
      <c r="BP137" s="229">
        <f t="shared" si="156"/>
        <v>0</v>
      </c>
      <c r="BQ137" s="229">
        <f t="shared" si="157"/>
        <v>0</v>
      </c>
      <c r="BR137" s="229">
        <f t="shared" si="157"/>
        <v>0</v>
      </c>
      <c r="BS137" s="229">
        <f t="shared" si="157"/>
        <v>0</v>
      </c>
      <c r="BT137" s="229">
        <f t="shared" si="157"/>
        <v>0</v>
      </c>
      <c r="BU137" s="229">
        <f t="shared" si="157"/>
        <v>0</v>
      </c>
      <c r="BV137" s="229">
        <f t="shared" si="157"/>
        <v>0</v>
      </c>
      <c r="BW137" s="229">
        <f t="shared" si="157"/>
        <v>0</v>
      </c>
      <c r="BX137" s="229">
        <f t="shared" si="157"/>
        <v>0</v>
      </c>
      <c r="BY137" s="229">
        <f t="shared" si="157"/>
        <v>0</v>
      </c>
      <c r="BZ137" s="229">
        <f t="shared" si="157"/>
        <v>0</v>
      </c>
      <c r="CA137" s="229">
        <f t="shared" si="157"/>
        <v>0</v>
      </c>
      <c r="CB137" s="229">
        <f t="shared" si="157"/>
        <v>0</v>
      </c>
      <c r="CC137" s="229">
        <f t="shared" si="157"/>
        <v>0</v>
      </c>
      <c r="CD137" s="229">
        <f t="shared" si="158"/>
        <v>0</v>
      </c>
      <c r="CE137" s="229">
        <f t="shared" si="149"/>
        <v>0</v>
      </c>
      <c r="CF137" s="229">
        <f t="shared" si="158"/>
        <v>0</v>
      </c>
      <c r="CG137" s="229">
        <f t="shared" si="158"/>
        <v>0</v>
      </c>
      <c r="CH137" s="229">
        <f t="shared" si="158"/>
        <v>0</v>
      </c>
      <c r="CI137" s="229">
        <f t="shared" si="158"/>
        <v>0</v>
      </c>
      <c r="CJ137" s="229">
        <f t="shared" si="153"/>
        <v>0</v>
      </c>
      <c r="CK137" s="229">
        <f t="shared" si="158"/>
        <v>0</v>
      </c>
      <c r="CL137" s="229">
        <f t="shared" si="158"/>
        <v>0</v>
      </c>
      <c r="CM137" s="229">
        <f t="shared" si="158"/>
        <v>0</v>
      </c>
      <c r="CN137" s="229">
        <f t="shared" si="158"/>
        <v>0</v>
      </c>
      <c r="CO137" s="229">
        <f t="shared" si="148"/>
        <v>0</v>
      </c>
      <c r="CP137" s="229">
        <f t="shared" si="148"/>
        <v>0</v>
      </c>
      <c r="CQ137" s="229">
        <f t="shared" si="158"/>
        <v>0</v>
      </c>
      <c r="CR137" s="229">
        <f t="shared" si="158"/>
        <v>0</v>
      </c>
      <c r="CS137" s="229">
        <f t="shared" si="158"/>
        <v>0</v>
      </c>
      <c r="CT137" s="229">
        <f t="shared" si="158"/>
        <v>0</v>
      </c>
      <c r="CU137" s="230"/>
      <c r="CV137" s="231"/>
      <c r="CW137" s="231"/>
      <c r="CX137" s="231"/>
      <c r="CY137" s="231"/>
      <c r="CZ137" s="231"/>
      <c r="DA137" s="231"/>
      <c r="DB137" s="231"/>
      <c r="DC137" s="231"/>
      <c r="DD137" s="231">
        <f>IF(SUM(DD$24:DD136)=DD$22,0,IF(AND($M137&gt;=DD$15,$M137&lt;(DD$16+1)),DD$22/(DD$16-DD$15+1),0))</f>
        <v>0</v>
      </c>
      <c r="DE137" s="231">
        <f>IF(SUM(DE$24:DE136)=DE$22,0,IF(AND($M137&gt;=DE$15,$M137&lt;(DE$16+1)),DE$22/(DE$16-DE$15+1),0))</f>
        <v>0</v>
      </c>
      <c r="DF137" s="231">
        <f>IF(SUM(DF$24:DF136)=DF$22,0,IF(AND($M137&gt;=DF$15,$M137&lt;(DF$16+1)),DF$22/(DF$16-DF$15+1),0))</f>
        <v>0</v>
      </c>
      <c r="DG137" s="231">
        <f>IF(SUM(DG$24:DG136)=DG$22,0,IF(AND($M137&gt;=DG$15,$M137&lt;(DG$16+1)),DG$22/(DG$16-DG$15+1),0))</f>
        <v>0</v>
      </c>
      <c r="DH137" s="231">
        <f t="shared" si="151"/>
        <v>0</v>
      </c>
      <c r="DI137" s="231">
        <f t="shared" si="151"/>
        <v>0</v>
      </c>
      <c r="DJ137" s="231">
        <f t="shared" si="151"/>
        <v>0</v>
      </c>
      <c r="DK137" s="231">
        <f t="shared" si="151"/>
        <v>0</v>
      </c>
      <c r="DL137" s="231">
        <f t="shared" si="151"/>
        <v>0</v>
      </c>
      <c r="DM137" s="231">
        <f t="shared" si="151"/>
        <v>0</v>
      </c>
      <c r="DN137" s="231">
        <f t="shared" si="147"/>
        <v>0</v>
      </c>
      <c r="DO137" s="231">
        <f t="shared" si="151"/>
        <v>0</v>
      </c>
      <c r="DP137" s="231">
        <f t="shared" si="151"/>
        <v>0</v>
      </c>
      <c r="DQ137" s="231">
        <f t="shared" si="151"/>
        <v>0</v>
      </c>
      <c r="DR137" s="231">
        <f t="shared" si="151"/>
        <v>0</v>
      </c>
      <c r="DS137" s="231">
        <f t="shared" si="151"/>
        <v>0</v>
      </c>
      <c r="DT137" s="231">
        <f ca="1">IF(SUM(DT$24:DT136)=DT$22,0,IF(AND($M137&gt;=DT$15,$M137&lt;(DT$16+1)),DT$22/(DT$16-DT$15+1),0))</f>
        <v>0</v>
      </c>
      <c r="DU137" s="231">
        <f ca="1">IF(SUM(DU$24:DU136)=DU$22,0,IF(AND($M137&gt;=DU$15,$M137&lt;(DU$16+1)),DU$22/(DU$16-DU$15+1),0))</f>
        <v>0</v>
      </c>
      <c r="DV137" s="231">
        <f ca="1">IF(SUM(DV$24:DV136)=DV$22,0,IF(AND(M137&gt;=DV$15,M137&lt;(DV$16+1)),DV$22/(DV$16-DV$15+1),0))</f>
        <v>0</v>
      </c>
      <c r="DW137" s="231" t="e">
        <f ca="1">IF(SUM(DW$24:DW136)=DW$22,0,IF(AND($M137&gt;=DW$15,$M137&lt;(DW$16+1)),DW$22/(DW$16-DW$15+1),0))</f>
        <v>#N/A</v>
      </c>
      <c r="DX137" s="231">
        <f ca="1">IF(SUM(DX$24:DX136)=DX$22,0,IF(AND($M137&gt;=DX$15,$M137&lt;(DX$16+1)),DX$22/(DX$16-DX$15+1),0))</f>
        <v>0</v>
      </c>
      <c r="DY137" s="231">
        <f ca="1">IF(SUM(DY$24:DY136)=DY$22,0,IF(AND($M137&gt;=DY$15,$M137&lt;(DY$16+1)),DY$22/(DY$16-DY$15+1),0))</f>
        <v>0</v>
      </c>
      <c r="DZ137" s="231">
        <f ca="1">IF(SUM(DZ$24:DZ136)=DZ$22,0,IF(AND($M137&gt;=DZ$15,$M137&lt;(DZ$16+1)),DZ$22/(DZ$16-DZ$15+1),0))</f>
        <v>0</v>
      </c>
      <c r="EA137" s="231" t="e">
        <f ca="1">IF(SUM(EA$24:EA136)=EA$22,0,IF(AND(M137&gt;=EA$15,M137&lt;(EA$16+1)),EA$22/(EA$16-EA$15+1),0))</f>
        <v>#N/A</v>
      </c>
      <c r="EC137" s="234">
        <f t="shared" si="136"/>
        <v>110</v>
      </c>
      <c r="ED137" s="234" t="e">
        <f t="shared" ca="1" si="137"/>
        <v>#N/A</v>
      </c>
      <c r="EE137" s="235" t="e">
        <f t="shared" ca="1" si="138"/>
        <v>#N/A</v>
      </c>
      <c r="EF137" s="234" t="e">
        <f t="shared" ca="1" si="104"/>
        <v>#N/A</v>
      </c>
      <c r="EG137" s="234" t="e">
        <f t="shared" ca="1" si="106"/>
        <v>#N/A</v>
      </c>
      <c r="EH137" s="234" t="e">
        <f t="shared" ca="1" si="112"/>
        <v>#N/A</v>
      </c>
      <c r="EI137" s="234"/>
      <c r="EJ137" s="234"/>
      <c r="EK137" s="153" t="e">
        <f t="shared" ca="1" si="139"/>
        <v>#N/A</v>
      </c>
      <c r="EL137" s="231" t="e">
        <f ca="1">IF(SUM(EL$24:EL136)=EL$22,0,IF(AND($M137&gt;=EL$15,$M137&lt;(EL$16+1)),EL$22/(EL$16-EL$15+1),0))</f>
        <v>#N/A</v>
      </c>
      <c r="EM137" s="153" t="e">
        <f t="shared" ca="1" si="140"/>
        <v>#N/A</v>
      </c>
      <c r="EO137" s="60"/>
      <c r="EP137" s="60"/>
    </row>
    <row r="138" spans="1:146" ht="13.9" customHeight="1">
      <c r="A138" s="220"/>
      <c r="B138" s="236">
        <f t="shared" si="100"/>
        <v>111</v>
      </c>
      <c r="C138" s="221">
        <f t="shared" si="141"/>
        <v>46936.837000000174</v>
      </c>
      <c r="D138" s="222" t="e">
        <f ca="1">'Offshore INT'!R127</f>
        <v>#N/A</v>
      </c>
      <c r="E138" s="223" t="e">
        <f t="shared" ca="1" si="131"/>
        <v>#N/A</v>
      </c>
      <c r="F138" s="224"/>
      <c r="G138" s="225">
        <f>IF(G137=1,1,SUM($F$24:F138))</f>
        <v>0</v>
      </c>
      <c r="H138" s="226" t="e">
        <f ca="1">IF(H137=0,0,SUM($I$24:I138))</f>
        <v>#N/A</v>
      </c>
      <c r="I138" s="227" t="e">
        <f t="shared" ca="1" si="132"/>
        <v>#N/A</v>
      </c>
      <c r="J138" s="222">
        <f t="shared" ca="1" si="154"/>
        <v>0</v>
      </c>
      <c r="K138" s="60"/>
      <c r="L138" s="228"/>
      <c r="M138" s="228">
        <f t="shared" si="133"/>
        <v>111</v>
      </c>
      <c r="N138" s="221">
        <f t="shared" si="134"/>
        <v>46936.837000000174</v>
      </c>
      <c r="O138" s="229">
        <f t="shared" si="152"/>
        <v>0</v>
      </c>
      <c r="P138" s="229">
        <f t="shared" si="152"/>
        <v>0</v>
      </c>
      <c r="Q138" s="229">
        <f t="shared" si="152"/>
        <v>0</v>
      </c>
      <c r="R138" s="229">
        <f t="shared" si="152"/>
        <v>0</v>
      </c>
      <c r="S138" s="229">
        <f t="shared" si="152"/>
        <v>0</v>
      </c>
      <c r="T138" s="229">
        <f t="shared" si="152"/>
        <v>0</v>
      </c>
      <c r="U138" s="229">
        <f t="shared" si="152"/>
        <v>0</v>
      </c>
      <c r="V138" s="229">
        <f t="shared" si="152"/>
        <v>0</v>
      </c>
      <c r="W138" s="229">
        <f t="shared" si="152"/>
        <v>0</v>
      </c>
      <c r="X138" s="229">
        <f t="shared" si="152"/>
        <v>0</v>
      </c>
      <c r="Y138" s="229">
        <f t="shared" si="152"/>
        <v>0</v>
      </c>
      <c r="Z138" s="229">
        <f t="shared" si="152"/>
        <v>0</v>
      </c>
      <c r="AA138" s="229">
        <f t="shared" si="155"/>
        <v>0</v>
      </c>
      <c r="AB138" s="229">
        <f t="shared" si="155"/>
        <v>0</v>
      </c>
      <c r="AC138" s="229">
        <f t="shared" si="155"/>
        <v>0</v>
      </c>
      <c r="AD138" s="229">
        <f t="shared" si="155"/>
        <v>0</v>
      </c>
      <c r="AE138" s="229">
        <f t="shared" si="155"/>
        <v>0</v>
      </c>
      <c r="AF138" s="229">
        <f t="shared" si="155"/>
        <v>0</v>
      </c>
      <c r="AG138" s="229">
        <f t="shared" si="155"/>
        <v>0</v>
      </c>
      <c r="AH138" s="229">
        <f t="shared" si="155"/>
        <v>0</v>
      </c>
      <c r="AI138" s="229">
        <f t="shared" si="155"/>
        <v>0</v>
      </c>
      <c r="AJ138" s="229">
        <f t="shared" si="155"/>
        <v>0</v>
      </c>
      <c r="AK138" s="229">
        <f t="shared" si="155"/>
        <v>0</v>
      </c>
      <c r="AL138" s="229">
        <f t="shared" si="155"/>
        <v>0</v>
      </c>
      <c r="AM138" s="229">
        <f t="shared" si="155"/>
        <v>0</v>
      </c>
      <c r="AN138" s="229">
        <f t="shared" si="155"/>
        <v>0</v>
      </c>
      <c r="AO138" s="229">
        <f t="shared" si="155"/>
        <v>0</v>
      </c>
      <c r="AP138" s="229">
        <f t="shared" si="155"/>
        <v>0</v>
      </c>
      <c r="AQ138" s="229">
        <f t="shared" si="155"/>
        <v>0</v>
      </c>
      <c r="AR138" s="229">
        <f t="shared" si="155"/>
        <v>0</v>
      </c>
      <c r="AS138" s="229">
        <f t="shared" si="142"/>
        <v>0</v>
      </c>
      <c r="AT138" s="229">
        <f t="shared" si="142"/>
        <v>0</v>
      </c>
      <c r="AU138" s="229">
        <f t="shared" si="142"/>
        <v>0</v>
      </c>
      <c r="AV138" s="229">
        <f t="shared" si="142"/>
        <v>0</v>
      </c>
      <c r="AW138" s="229">
        <f t="shared" si="142"/>
        <v>0</v>
      </c>
      <c r="AX138" s="229">
        <f t="shared" si="155"/>
        <v>0</v>
      </c>
      <c r="AY138" s="229">
        <f t="shared" si="155"/>
        <v>0</v>
      </c>
      <c r="AZ138" s="229">
        <f t="shared" si="155"/>
        <v>0</v>
      </c>
      <c r="BA138" s="229">
        <f t="shared" si="155"/>
        <v>0</v>
      </c>
      <c r="BB138" s="229">
        <f t="shared" si="155"/>
        <v>0</v>
      </c>
      <c r="BC138" s="229">
        <f t="shared" si="155"/>
        <v>0</v>
      </c>
      <c r="BD138" s="229">
        <f t="shared" si="156"/>
        <v>0</v>
      </c>
      <c r="BE138" s="229">
        <f t="shared" si="156"/>
        <v>0</v>
      </c>
      <c r="BF138" s="229">
        <f t="shared" si="156"/>
        <v>0</v>
      </c>
      <c r="BG138" s="229">
        <f t="shared" si="156"/>
        <v>0</v>
      </c>
      <c r="BH138" s="229">
        <f t="shared" si="156"/>
        <v>0</v>
      </c>
      <c r="BI138" s="229">
        <f t="shared" si="156"/>
        <v>0</v>
      </c>
      <c r="BJ138" s="229">
        <f t="shared" si="156"/>
        <v>0</v>
      </c>
      <c r="BK138" s="229">
        <f t="shared" si="156"/>
        <v>0</v>
      </c>
      <c r="BL138" s="229">
        <f t="shared" si="156"/>
        <v>0</v>
      </c>
      <c r="BM138" s="229">
        <f t="shared" si="156"/>
        <v>0</v>
      </c>
      <c r="BN138" s="229">
        <f t="shared" si="156"/>
        <v>0</v>
      </c>
      <c r="BO138" s="229">
        <f t="shared" si="156"/>
        <v>0</v>
      </c>
      <c r="BP138" s="229">
        <f t="shared" si="156"/>
        <v>0</v>
      </c>
      <c r="BQ138" s="229">
        <f t="shared" si="157"/>
        <v>0</v>
      </c>
      <c r="BR138" s="229">
        <f t="shared" si="157"/>
        <v>0</v>
      </c>
      <c r="BS138" s="229">
        <f t="shared" si="157"/>
        <v>0</v>
      </c>
      <c r="BT138" s="229">
        <f t="shared" si="157"/>
        <v>0</v>
      </c>
      <c r="BU138" s="229">
        <f t="shared" si="157"/>
        <v>0</v>
      </c>
      <c r="BV138" s="229">
        <f t="shared" si="157"/>
        <v>0</v>
      </c>
      <c r="BW138" s="229">
        <f t="shared" si="157"/>
        <v>0</v>
      </c>
      <c r="BX138" s="229">
        <f t="shared" si="157"/>
        <v>0</v>
      </c>
      <c r="BY138" s="229">
        <f t="shared" si="157"/>
        <v>0</v>
      </c>
      <c r="BZ138" s="229">
        <f t="shared" si="157"/>
        <v>0</v>
      </c>
      <c r="CA138" s="229">
        <f t="shared" si="157"/>
        <v>0</v>
      </c>
      <c r="CB138" s="229">
        <f t="shared" si="157"/>
        <v>0</v>
      </c>
      <c r="CC138" s="229">
        <f t="shared" si="157"/>
        <v>0</v>
      </c>
      <c r="CD138" s="229">
        <f t="shared" si="158"/>
        <v>0</v>
      </c>
      <c r="CE138" s="229">
        <f t="shared" si="149"/>
        <v>0</v>
      </c>
      <c r="CF138" s="229">
        <f t="shared" si="158"/>
        <v>0</v>
      </c>
      <c r="CG138" s="229">
        <f t="shared" si="158"/>
        <v>0</v>
      </c>
      <c r="CH138" s="229">
        <f t="shared" si="158"/>
        <v>0</v>
      </c>
      <c r="CI138" s="229">
        <f t="shared" si="158"/>
        <v>0</v>
      </c>
      <c r="CJ138" s="229">
        <f t="shared" si="153"/>
        <v>0</v>
      </c>
      <c r="CK138" s="229">
        <f t="shared" si="158"/>
        <v>0</v>
      </c>
      <c r="CL138" s="229">
        <f t="shared" si="158"/>
        <v>0</v>
      </c>
      <c r="CM138" s="229">
        <f t="shared" si="158"/>
        <v>0</v>
      </c>
      <c r="CN138" s="229">
        <f t="shared" si="158"/>
        <v>0</v>
      </c>
      <c r="CO138" s="229">
        <f t="shared" si="148"/>
        <v>0</v>
      </c>
      <c r="CP138" s="229">
        <f t="shared" si="148"/>
        <v>0</v>
      </c>
      <c r="CQ138" s="229">
        <f t="shared" si="158"/>
        <v>0</v>
      </c>
      <c r="CR138" s="229">
        <f t="shared" si="158"/>
        <v>0</v>
      </c>
      <c r="CS138" s="229">
        <f t="shared" si="158"/>
        <v>0</v>
      </c>
      <c r="CT138" s="229">
        <f t="shared" si="158"/>
        <v>0</v>
      </c>
      <c r="CU138" s="230"/>
      <c r="CV138" s="231"/>
      <c r="CW138" s="231"/>
      <c r="CX138" s="231"/>
      <c r="CY138" s="231"/>
      <c r="CZ138" s="231"/>
      <c r="DA138" s="231"/>
      <c r="DB138" s="231"/>
      <c r="DC138" s="231"/>
      <c r="DD138" s="231">
        <f>IF(SUM(DD$24:DD137)=DD$22,0,IF(AND($M138&gt;=DD$15,$M138&lt;(DD$16+1)),DD$22/(DD$16-DD$15+1),0))</f>
        <v>0</v>
      </c>
      <c r="DE138" s="231">
        <f>IF(SUM(DE$24:DE137)=DE$22,0,IF(AND($M138&gt;=DE$15,$M138&lt;(DE$16+1)),DE$22/(DE$16-DE$15+1),0))</f>
        <v>0</v>
      </c>
      <c r="DF138" s="231">
        <f>IF(SUM(DF$24:DF137)=DF$22,0,IF(AND($M138&gt;=DF$15,$M138&lt;(DF$16+1)),DF$22/(DF$16-DF$15+1),0))</f>
        <v>0</v>
      </c>
      <c r="DG138" s="231">
        <f>IF(SUM(DG$24:DG137)=DG$22,0,IF(AND($M138&gt;=DG$15,$M138&lt;(DG$16+1)),DG$22/(DG$16-DG$15+1),0))</f>
        <v>0</v>
      </c>
      <c r="DH138" s="231">
        <f t="shared" si="151"/>
        <v>0</v>
      </c>
      <c r="DI138" s="231">
        <f t="shared" si="151"/>
        <v>0</v>
      </c>
      <c r="DJ138" s="231">
        <f t="shared" si="151"/>
        <v>0</v>
      </c>
      <c r="DK138" s="231">
        <f t="shared" si="151"/>
        <v>0</v>
      </c>
      <c r="DL138" s="231">
        <f t="shared" si="151"/>
        <v>0</v>
      </c>
      <c r="DM138" s="231">
        <f t="shared" si="151"/>
        <v>0</v>
      </c>
      <c r="DN138" s="231">
        <f t="shared" si="147"/>
        <v>0</v>
      </c>
      <c r="DO138" s="231">
        <f t="shared" si="151"/>
        <v>0</v>
      </c>
      <c r="DP138" s="231">
        <f t="shared" si="151"/>
        <v>0</v>
      </c>
      <c r="DQ138" s="231">
        <f t="shared" si="151"/>
        <v>0</v>
      </c>
      <c r="DR138" s="231">
        <f t="shared" si="151"/>
        <v>0</v>
      </c>
      <c r="DS138" s="231">
        <f t="shared" si="151"/>
        <v>0</v>
      </c>
      <c r="DT138" s="231">
        <f ca="1">IF(SUM(DT$24:DT137)=DT$22,0,IF(AND($M138&gt;=DT$15,$M138&lt;(DT$16+1)),DT$22/(DT$16-DT$15+1),0))</f>
        <v>0</v>
      </c>
      <c r="DU138" s="231">
        <f ca="1">IF(SUM(DU$24:DU137)=DU$22,0,IF(AND($M138&gt;=DU$15,$M138&lt;(DU$16+1)),DU$22/(DU$16-DU$15+1),0))</f>
        <v>0</v>
      </c>
      <c r="DV138" s="231">
        <f ca="1">IF(SUM(DV$24:DV137)=DV$22,0,IF(AND(M138&gt;=DV$15,M138&lt;(DV$16+1)),DV$22/(DV$16-DV$15+1),0))</f>
        <v>0</v>
      </c>
      <c r="DW138" s="231" t="e">
        <f ca="1">IF(SUM(DW$24:DW137)=DW$22,0,IF(AND($M138&gt;=DW$15,$M138&lt;(DW$16+1)),DW$22/(DW$16-DW$15+1),0))</f>
        <v>#N/A</v>
      </c>
      <c r="DX138" s="231">
        <f ca="1">IF(SUM(DX$24:DX137)=DX$22,0,IF(AND($M138&gt;=DX$15,$M138&lt;(DX$16+1)),DX$22/(DX$16-DX$15+1),0))</f>
        <v>0</v>
      </c>
      <c r="DY138" s="231">
        <f ca="1">IF(SUM(DY$24:DY137)=DY$22,0,IF(AND($M138&gt;=DY$15,$M138&lt;(DY$16+1)),DY$22/(DY$16-DY$15+1),0))</f>
        <v>0</v>
      </c>
      <c r="DZ138" s="231">
        <f ca="1">IF(SUM(DZ$24:DZ137)=DZ$22,0,IF(AND($M138&gt;=DZ$15,$M138&lt;(DZ$16+1)),DZ$22/(DZ$16-DZ$15+1),0))</f>
        <v>0</v>
      </c>
      <c r="EA138" s="231" t="e">
        <f ca="1">IF(SUM(EA$24:EA137)=EA$22,0,IF(AND(M138&gt;=EA$15,M138&lt;(EA$16+1)),EA$22/(EA$16-EA$15+1),0))</f>
        <v>#N/A</v>
      </c>
      <c r="EC138" s="234">
        <f t="shared" si="136"/>
        <v>111</v>
      </c>
      <c r="ED138" s="234" t="e">
        <f t="shared" ca="1" si="137"/>
        <v>#N/A</v>
      </c>
      <c r="EE138" s="235" t="e">
        <f t="shared" ca="1" si="138"/>
        <v>#N/A</v>
      </c>
      <c r="EF138" s="234" t="e">
        <f t="shared" ca="1" si="104"/>
        <v>#N/A</v>
      </c>
      <c r="EG138" s="234" t="e">
        <f t="shared" ca="1" si="106"/>
        <v>#N/A</v>
      </c>
      <c r="EH138" s="234" t="e">
        <f t="shared" ca="1" si="112"/>
        <v>#N/A</v>
      </c>
      <c r="EI138" s="234"/>
      <c r="EJ138" s="234"/>
      <c r="EK138" s="153" t="e">
        <f t="shared" ca="1" si="139"/>
        <v>#N/A</v>
      </c>
      <c r="EL138" s="231" t="e">
        <f ca="1">IF(SUM(EL$24:EL137)=EL$22,0,IF(AND($M138&gt;=EL$15,$M138&lt;(EL$16+1)),EL$22/(EL$16-EL$15+1),0))</f>
        <v>#N/A</v>
      </c>
      <c r="EM138" s="153" t="e">
        <f t="shared" ca="1" si="140"/>
        <v>#N/A</v>
      </c>
      <c r="EO138" s="60"/>
      <c r="EP138" s="60"/>
    </row>
    <row r="139" spans="1:146" ht="12.75" customHeight="1">
      <c r="A139" s="220"/>
      <c r="B139" s="236">
        <f t="shared" si="100"/>
        <v>112</v>
      </c>
      <c r="C139" s="221">
        <f t="shared" si="141"/>
        <v>46967.253700000176</v>
      </c>
      <c r="D139" s="222" t="e">
        <f ca="1">'Offshore INT'!R128</f>
        <v>#N/A</v>
      </c>
      <c r="E139" s="223" t="e">
        <f t="shared" ca="1" si="131"/>
        <v>#N/A</v>
      </c>
      <c r="F139" s="224"/>
      <c r="G139" s="225">
        <f>IF(G138=1,1,SUM($F$24:F139))</f>
        <v>0</v>
      </c>
      <c r="H139" s="226" t="e">
        <f ca="1">IF(H138=0,0,SUM($I$24:I139))</f>
        <v>#N/A</v>
      </c>
      <c r="I139" s="227" t="e">
        <f t="shared" ca="1" si="132"/>
        <v>#N/A</v>
      </c>
      <c r="J139" s="222">
        <f t="shared" ca="1" si="154"/>
        <v>0</v>
      </c>
      <c r="K139" s="60"/>
      <c r="L139" s="228"/>
      <c r="M139" s="228">
        <f t="shared" si="133"/>
        <v>112</v>
      </c>
      <c r="N139" s="221">
        <f t="shared" si="134"/>
        <v>46967.253700000176</v>
      </c>
      <c r="O139" s="229">
        <f t="shared" si="152"/>
        <v>0</v>
      </c>
      <c r="P139" s="229">
        <f t="shared" si="152"/>
        <v>0</v>
      </c>
      <c r="Q139" s="229">
        <f t="shared" si="152"/>
        <v>0</v>
      </c>
      <c r="R139" s="229">
        <f t="shared" si="152"/>
        <v>0</v>
      </c>
      <c r="S139" s="229">
        <f t="shared" si="152"/>
        <v>0</v>
      </c>
      <c r="T139" s="229">
        <f t="shared" si="152"/>
        <v>0</v>
      </c>
      <c r="U139" s="229">
        <f t="shared" si="152"/>
        <v>0</v>
      </c>
      <c r="V139" s="229">
        <f t="shared" si="152"/>
        <v>0</v>
      </c>
      <c r="W139" s="229">
        <f t="shared" si="152"/>
        <v>0</v>
      </c>
      <c r="X139" s="229">
        <f t="shared" si="152"/>
        <v>0</v>
      </c>
      <c r="Y139" s="229">
        <f t="shared" si="152"/>
        <v>0</v>
      </c>
      <c r="Z139" s="229">
        <f t="shared" si="152"/>
        <v>0</v>
      </c>
      <c r="AA139" s="229">
        <f t="shared" si="155"/>
        <v>0</v>
      </c>
      <c r="AB139" s="229">
        <f t="shared" si="155"/>
        <v>0</v>
      </c>
      <c r="AC139" s="229">
        <f t="shared" si="155"/>
        <v>0</v>
      </c>
      <c r="AD139" s="229">
        <f t="shared" si="155"/>
        <v>0</v>
      </c>
      <c r="AE139" s="229">
        <f t="shared" si="155"/>
        <v>0</v>
      </c>
      <c r="AF139" s="229">
        <f t="shared" si="155"/>
        <v>0</v>
      </c>
      <c r="AG139" s="229">
        <f t="shared" si="155"/>
        <v>0</v>
      </c>
      <c r="AH139" s="229">
        <f t="shared" si="155"/>
        <v>0</v>
      </c>
      <c r="AI139" s="229">
        <f t="shared" si="155"/>
        <v>0</v>
      </c>
      <c r="AJ139" s="229">
        <f t="shared" si="155"/>
        <v>0</v>
      </c>
      <c r="AK139" s="229">
        <f t="shared" si="155"/>
        <v>0</v>
      </c>
      <c r="AL139" s="229">
        <f t="shared" si="155"/>
        <v>0</v>
      </c>
      <c r="AM139" s="229">
        <f t="shared" si="155"/>
        <v>0</v>
      </c>
      <c r="AN139" s="229">
        <f t="shared" si="155"/>
        <v>0</v>
      </c>
      <c r="AO139" s="229">
        <f t="shared" si="155"/>
        <v>0</v>
      </c>
      <c r="AP139" s="229">
        <f t="shared" si="155"/>
        <v>0</v>
      </c>
      <c r="AQ139" s="229">
        <f t="shared" si="155"/>
        <v>0</v>
      </c>
      <c r="AR139" s="229">
        <f t="shared" si="155"/>
        <v>0</v>
      </c>
      <c r="AS139" s="229">
        <f t="shared" ref="AS139:AW153" si="159">IF($M139=AS$13,AS$22*AS$3,IF($M139=AS$14,AS$22*AS$4,IF($M139=AS$15,AS$22*AS$5,IF($M139=AS$16,AS$22*AS$6,IF($M139=AS$17,AS$22*AS$7,IF($M139=AS$18,AS$22*AS$8,IF($M139=AS$19,AS$22*AS$9,IF($M139=AS$20,AS$22*AS$10,0))))))))</f>
        <v>0</v>
      </c>
      <c r="AT139" s="229">
        <f t="shared" si="159"/>
        <v>0</v>
      </c>
      <c r="AU139" s="229">
        <f t="shared" si="159"/>
        <v>0</v>
      </c>
      <c r="AV139" s="229">
        <f t="shared" si="159"/>
        <v>0</v>
      </c>
      <c r="AW139" s="229">
        <f t="shared" si="159"/>
        <v>0</v>
      </c>
      <c r="AX139" s="229">
        <f t="shared" si="155"/>
        <v>0</v>
      </c>
      <c r="AY139" s="229">
        <f t="shared" si="155"/>
        <v>0</v>
      </c>
      <c r="AZ139" s="229">
        <f t="shared" si="155"/>
        <v>0</v>
      </c>
      <c r="BA139" s="229">
        <f t="shared" si="155"/>
        <v>0</v>
      </c>
      <c r="BB139" s="229">
        <f t="shared" si="155"/>
        <v>0</v>
      </c>
      <c r="BC139" s="229">
        <f t="shared" si="155"/>
        <v>0</v>
      </c>
      <c r="BD139" s="229">
        <f t="shared" si="156"/>
        <v>0</v>
      </c>
      <c r="BE139" s="229">
        <f t="shared" si="156"/>
        <v>0</v>
      </c>
      <c r="BF139" s="229">
        <f t="shared" si="156"/>
        <v>0</v>
      </c>
      <c r="BG139" s="229">
        <f t="shared" si="156"/>
        <v>0</v>
      </c>
      <c r="BH139" s="229">
        <f t="shared" si="156"/>
        <v>0</v>
      </c>
      <c r="BI139" s="229">
        <f t="shared" si="156"/>
        <v>0</v>
      </c>
      <c r="BJ139" s="229">
        <f t="shared" si="156"/>
        <v>0</v>
      </c>
      <c r="BK139" s="229">
        <f t="shared" si="156"/>
        <v>0</v>
      </c>
      <c r="BL139" s="229">
        <f t="shared" si="156"/>
        <v>0</v>
      </c>
      <c r="BM139" s="229">
        <f t="shared" si="156"/>
        <v>0</v>
      </c>
      <c r="BN139" s="229">
        <f t="shared" si="156"/>
        <v>0</v>
      </c>
      <c r="BO139" s="229">
        <f t="shared" si="156"/>
        <v>0</v>
      </c>
      <c r="BP139" s="229">
        <f t="shared" si="156"/>
        <v>0</v>
      </c>
      <c r="BQ139" s="229">
        <f t="shared" si="157"/>
        <v>0</v>
      </c>
      <c r="BR139" s="229">
        <f t="shared" si="157"/>
        <v>0</v>
      </c>
      <c r="BS139" s="229">
        <f t="shared" si="157"/>
        <v>0</v>
      </c>
      <c r="BT139" s="229">
        <f t="shared" si="157"/>
        <v>0</v>
      </c>
      <c r="BU139" s="229">
        <f t="shared" si="157"/>
        <v>0</v>
      </c>
      <c r="BV139" s="229">
        <f t="shared" si="157"/>
        <v>0</v>
      </c>
      <c r="BW139" s="229">
        <f t="shared" si="157"/>
        <v>0</v>
      </c>
      <c r="BX139" s="229">
        <f t="shared" si="157"/>
        <v>0</v>
      </c>
      <c r="BY139" s="229">
        <f t="shared" si="157"/>
        <v>0</v>
      </c>
      <c r="BZ139" s="229">
        <f t="shared" si="157"/>
        <v>0</v>
      </c>
      <c r="CA139" s="229">
        <f t="shared" si="157"/>
        <v>0</v>
      </c>
      <c r="CB139" s="229">
        <f t="shared" si="157"/>
        <v>0</v>
      </c>
      <c r="CC139" s="229">
        <f t="shared" si="157"/>
        <v>0</v>
      </c>
      <c r="CD139" s="229">
        <f t="shared" si="158"/>
        <v>0</v>
      </c>
      <c r="CE139" s="229">
        <f t="shared" ref="CE139:CE148" si="160">IF($M139=CE$13,CE$22*CE$3,IF($M139=CE$14,CE$22*CE$4,IF($M139=CE$15,CE$22*CE$5,IF($M139=CE$16,CE$22*CE$6,IF($M139=CE$17,CE$22*CE$7,IF($M139=CE$18,CE$22*CE$8,IF($M139=CE$19,CE$22*CE$9,IF($M139=CE$20,CE$22*CE$10,0))))))))</f>
        <v>0</v>
      </c>
      <c r="CF139" s="229">
        <f t="shared" si="158"/>
        <v>0</v>
      </c>
      <c r="CG139" s="229">
        <f t="shared" si="158"/>
        <v>0</v>
      </c>
      <c r="CH139" s="229">
        <f t="shared" si="158"/>
        <v>0</v>
      </c>
      <c r="CI139" s="229">
        <f t="shared" si="158"/>
        <v>0</v>
      </c>
      <c r="CJ139" s="229">
        <f t="shared" si="153"/>
        <v>0</v>
      </c>
      <c r="CK139" s="229">
        <f t="shared" si="158"/>
        <v>0</v>
      </c>
      <c r="CL139" s="229">
        <f t="shared" si="158"/>
        <v>0</v>
      </c>
      <c r="CM139" s="229">
        <f t="shared" si="158"/>
        <v>0</v>
      </c>
      <c r="CN139" s="229">
        <f t="shared" si="158"/>
        <v>0</v>
      </c>
      <c r="CO139" s="229">
        <f t="shared" si="148"/>
        <v>0</v>
      </c>
      <c r="CP139" s="229">
        <f t="shared" si="148"/>
        <v>0</v>
      </c>
      <c r="CQ139" s="229">
        <f t="shared" si="158"/>
        <v>0</v>
      </c>
      <c r="CR139" s="229">
        <f t="shared" si="158"/>
        <v>0</v>
      </c>
      <c r="CS139" s="229">
        <f t="shared" si="158"/>
        <v>0</v>
      </c>
      <c r="CT139" s="229">
        <f t="shared" si="158"/>
        <v>0</v>
      </c>
      <c r="CU139" s="230"/>
      <c r="CV139" s="231"/>
      <c r="CW139" s="231"/>
      <c r="CX139" s="231"/>
      <c r="CY139" s="231"/>
      <c r="CZ139" s="231"/>
      <c r="DA139" s="231"/>
      <c r="DB139" s="231"/>
      <c r="DC139" s="231"/>
      <c r="DD139" s="231">
        <f>IF(SUM(DD$24:DD138)=DD$22,0,IF(AND($M139&gt;=DD$15,$M139&lt;(DD$16+1)),DD$22/(DD$16-DD$15+1),0))</f>
        <v>0</v>
      </c>
      <c r="DE139" s="231">
        <f>IF(SUM(DE$24:DE138)=DE$22,0,IF(AND($M139&gt;=DE$15,$M139&lt;(DE$16+1)),DE$22/(DE$16-DE$15+1),0))</f>
        <v>0</v>
      </c>
      <c r="DF139" s="231">
        <f>IF(SUM(DF$24:DF138)=DF$22,0,IF(AND($M139&gt;=DF$15,$M139&lt;(DF$16+1)),DF$22/(DF$16-DF$15+1),0))</f>
        <v>0</v>
      </c>
      <c r="DG139" s="231">
        <f>IF(SUM(DG$24:DG138)=DG$22,0,IF(AND($M139&gt;=DG$15,$M139&lt;(DG$16+1)),DG$22/(DG$16-DG$15+1),0))</f>
        <v>0</v>
      </c>
      <c r="DH139" s="231">
        <f t="shared" si="151"/>
        <v>0</v>
      </c>
      <c r="DI139" s="231">
        <f t="shared" si="151"/>
        <v>0</v>
      </c>
      <c r="DJ139" s="231">
        <f t="shared" si="151"/>
        <v>0</v>
      </c>
      <c r="DK139" s="231">
        <f t="shared" si="151"/>
        <v>0</v>
      </c>
      <c r="DL139" s="231">
        <f t="shared" si="151"/>
        <v>0</v>
      </c>
      <c r="DM139" s="231">
        <f t="shared" si="151"/>
        <v>0</v>
      </c>
      <c r="DN139" s="231">
        <f t="shared" si="147"/>
        <v>0</v>
      </c>
      <c r="DO139" s="231">
        <f t="shared" si="151"/>
        <v>0</v>
      </c>
      <c r="DP139" s="231">
        <f t="shared" si="151"/>
        <v>0</v>
      </c>
      <c r="DQ139" s="231">
        <f t="shared" si="151"/>
        <v>0</v>
      </c>
      <c r="DR139" s="231">
        <f t="shared" si="151"/>
        <v>0</v>
      </c>
      <c r="DS139" s="231">
        <f t="shared" si="151"/>
        <v>0</v>
      </c>
      <c r="DT139" s="231">
        <f ca="1">IF(SUM(DT$24:DT138)=DT$22,0,IF(AND($M139&gt;=DT$15,$M139&lt;(DT$16+1)),DT$22/(DT$16-DT$15+1),0))</f>
        <v>0</v>
      </c>
      <c r="DU139" s="231">
        <f ca="1">IF(SUM(DU$24:DU138)=DU$22,0,IF(AND($M139&gt;=DU$15,$M139&lt;(DU$16+1)),DU$22/(DU$16-DU$15+1),0))</f>
        <v>0</v>
      </c>
      <c r="DV139" s="231">
        <f ca="1">IF(SUM(DV$24:DV138)=DV$22,0,IF(AND(M139&gt;=DV$15,M139&lt;(DV$16+1)),DV$22/(DV$16-DV$15+1),0))</f>
        <v>0</v>
      </c>
      <c r="DW139" s="231" t="e">
        <f ca="1">IF(SUM(DW$24:DW138)=DW$22,0,IF(AND($M139&gt;=DW$15,$M139&lt;(DW$16+1)),DW$22/(DW$16-DW$15+1),0))</f>
        <v>#N/A</v>
      </c>
      <c r="DX139" s="231">
        <f ca="1">IF(SUM(DX$24:DX138)=DX$22,0,IF(AND($M139&gt;=DX$15,$M139&lt;(DX$16+1)),DX$22/(DX$16-DX$15+1),0))</f>
        <v>0</v>
      </c>
      <c r="DY139" s="231">
        <f ca="1">IF(SUM(DY$24:DY138)=DY$22,0,IF(AND($M139&gt;=DY$15,$M139&lt;(DY$16+1)),DY$22/(DY$16-DY$15+1),0))</f>
        <v>0</v>
      </c>
      <c r="DZ139" s="231">
        <f ca="1">IF(SUM(DZ$24:DZ138)=DZ$22,0,IF(AND($M139&gt;=DZ$15,$M139&lt;(DZ$16+1)),DZ$22/(DZ$16-DZ$15+1),0))</f>
        <v>0</v>
      </c>
      <c r="EA139" s="231" t="e">
        <f ca="1">IF(SUM(EA$24:EA138)=EA$22,0,IF(AND(M139&gt;=EA$15,M139&lt;(EA$16+1)),EA$22/(EA$16-EA$15+1),0))</f>
        <v>#N/A</v>
      </c>
      <c r="EC139" s="234">
        <f t="shared" si="136"/>
        <v>112</v>
      </c>
      <c r="ED139" s="234" t="e">
        <f t="shared" ca="1" si="137"/>
        <v>#N/A</v>
      </c>
      <c r="EE139" s="235" t="e">
        <f t="shared" ca="1" si="138"/>
        <v>#N/A</v>
      </c>
      <c r="EF139" s="234" t="e">
        <f t="shared" ca="1" si="104"/>
        <v>#N/A</v>
      </c>
      <c r="EG139" s="234" t="e">
        <f t="shared" ca="1" si="106"/>
        <v>#N/A</v>
      </c>
      <c r="EH139" s="234" t="e">
        <f t="shared" ca="1" si="112"/>
        <v>#N/A</v>
      </c>
      <c r="EI139" s="234"/>
      <c r="EJ139" s="234"/>
      <c r="EK139" s="153" t="e">
        <f t="shared" ca="1" si="139"/>
        <v>#N/A</v>
      </c>
      <c r="EL139" s="231" t="e">
        <f ca="1">IF(SUM(EL$24:EL138)=EL$22,0,IF(AND($M139&gt;=EL$15,$M139&lt;(EL$16+1)),EL$22/(EL$16-EL$15+1),0))</f>
        <v>#N/A</v>
      </c>
      <c r="EM139" s="153" t="e">
        <f t="shared" ca="1" si="140"/>
        <v>#N/A</v>
      </c>
      <c r="EO139" s="60"/>
      <c r="EP139" s="60"/>
    </row>
    <row r="140" spans="1:146" ht="13.9" customHeight="1">
      <c r="A140" s="220"/>
      <c r="B140" s="236">
        <f t="shared" si="100"/>
        <v>113</v>
      </c>
      <c r="C140" s="221">
        <f t="shared" si="141"/>
        <v>46997.670400000177</v>
      </c>
      <c r="D140" s="222" t="e">
        <f ca="1">'Offshore INT'!R129</f>
        <v>#N/A</v>
      </c>
      <c r="E140" s="223" t="e">
        <f t="shared" ca="1" si="131"/>
        <v>#N/A</v>
      </c>
      <c r="F140" s="224"/>
      <c r="G140" s="225">
        <f>IF(G139=1,1,SUM($F$24:F140))</f>
        <v>0</v>
      </c>
      <c r="H140" s="226" t="e">
        <f ca="1">IF(H139=0,0,SUM($I$24:I140))</f>
        <v>#N/A</v>
      </c>
      <c r="I140" s="227" t="e">
        <f t="shared" ca="1" si="132"/>
        <v>#N/A</v>
      </c>
      <c r="J140" s="222">
        <f t="shared" ca="1" si="154"/>
        <v>0</v>
      </c>
      <c r="K140" s="60"/>
      <c r="L140" s="228"/>
      <c r="M140" s="228">
        <f t="shared" si="133"/>
        <v>113</v>
      </c>
      <c r="N140" s="221">
        <f t="shared" si="134"/>
        <v>46997.670400000177</v>
      </c>
      <c r="O140" s="229">
        <f t="shared" si="152"/>
        <v>0</v>
      </c>
      <c r="P140" s="229">
        <f t="shared" si="152"/>
        <v>0</v>
      </c>
      <c r="Q140" s="229">
        <f t="shared" si="152"/>
        <v>0</v>
      </c>
      <c r="R140" s="229">
        <f t="shared" si="152"/>
        <v>0</v>
      </c>
      <c r="S140" s="229">
        <f t="shared" si="152"/>
        <v>0</v>
      </c>
      <c r="T140" s="229">
        <f t="shared" si="152"/>
        <v>0</v>
      </c>
      <c r="U140" s="229">
        <f t="shared" si="152"/>
        <v>0</v>
      </c>
      <c r="V140" s="229">
        <f t="shared" si="152"/>
        <v>0</v>
      </c>
      <c r="W140" s="229">
        <f t="shared" si="152"/>
        <v>0</v>
      </c>
      <c r="X140" s="229">
        <f t="shared" si="152"/>
        <v>0</v>
      </c>
      <c r="Y140" s="229">
        <f t="shared" si="152"/>
        <v>0</v>
      </c>
      <c r="Z140" s="229">
        <f t="shared" si="152"/>
        <v>0</v>
      </c>
      <c r="AA140" s="229">
        <f t="shared" si="155"/>
        <v>0</v>
      </c>
      <c r="AB140" s="229">
        <f t="shared" si="155"/>
        <v>0</v>
      </c>
      <c r="AC140" s="229">
        <f t="shared" si="155"/>
        <v>0</v>
      </c>
      <c r="AD140" s="229">
        <f t="shared" si="155"/>
        <v>0</v>
      </c>
      <c r="AE140" s="229">
        <f t="shared" si="155"/>
        <v>0</v>
      </c>
      <c r="AF140" s="229">
        <f t="shared" si="155"/>
        <v>0</v>
      </c>
      <c r="AG140" s="229">
        <f t="shared" si="155"/>
        <v>0</v>
      </c>
      <c r="AH140" s="229">
        <f t="shared" si="155"/>
        <v>0</v>
      </c>
      <c r="AI140" s="229">
        <f t="shared" si="155"/>
        <v>0</v>
      </c>
      <c r="AJ140" s="229">
        <f t="shared" si="155"/>
        <v>0</v>
      </c>
      <c r="AK140" s="229">
        <f t="shared" si="155"/>
        <v>0</v>
      </c>
      <c r="AL140" s="229">
        <f t="shared" si="155"/>
        <v>0</v>
      </c>
      <c r="AM140" s="229">
        <f t="shared" si="155"/>
        <v>0</v>
      </c>
      <c r="AN140" s="229">
        <f t="shared" si="155"/>
        <v>0</v>
      </c>
      <c r="AO140" s="229">
        <f t="shared" ref="AM140:AO143" si="161">IF($M140=AO$13,AO$22*AO$3,IF($M140=AO$14,AO$22*AO$4,IF($M140=AO$15,AO$22*AO$5,IF($M140=AO$16,AO$22*AO$6,IF($M140=AO$17,AO$22*AO$7,IF($M140=AO$18,AO$22*AO$8,IF($M140=AO$19,AO$22*AO$9,IF($M140=AO$20,AO$22*AO$10,0))))))))</f>
        <v>0</v>
      </c>
      <c r="AP140" s="229">
        <f t="shared" si="155"/>
        <v>0</v>
      </c>
      <c r="AQ140" s="229">
        <f t="shared" si="155"/>
        <v>0</v>
      </c>
      <c r="AR140" s="229">
        <f t="shared" si="155"/>
        <v>0</v>
      </c>
      <c r="AS140" s="229">
        <f t="shared" si="159"/>
        <v>0</v>
      </c>
      <c r="AT140" s="229">
        <f t="shared" si="159"/>
        <v>0</v>
      </c>
      <c r="AU140" s="229">
        <f t="shared" si="159"/>
        <v>0</v>
      </c>
      <c r="AV140" s="229">
        <f t="shared" si="159"/>
        <v>0</v>
      </c>
      <c r="AW140" s="229">
        <f t="shared" si="159"/>
        <v>0</v>
      </c>
      <c r="AX140" s="229">
        <f t="shared" si="155"/>
        <v>0</v>
      </c>
      <c r="AY140" s="229">
        <f t="shared" si="155"/>
        <v>0</v>
      </c>
      <c r="AZ140" s="229">
        <f t="shared" si="155"/>
        <v>0</v>
      </c>
      <c r="BA140" s="229">
        <f t="shared" si="155"/>
        <v>0</v>
      </c>
      <c r="BB140" s="229">
        <f t="shared" si="155"/>
        <v>0</v>
      </c>
      <c r="BC140" s="229">
        <f t="shared" si="155"/>
        <v>0</v>
      </c>
      <c r="BD140" s="229">
        <f t="shared" si="156"/>
        <v>0</v>
      </c>
      <c r="BE140" s="229">
        <f t="shared" si="156"/>
        <v>0</v>
      </c>
      <c r="BF140" s="229">
        <f t="shared" si="156"/>
        <v>0</v>
      </c>
      <c r="BG140" s="229">
        <f t="shared" si="156"/>
        <v>0</v>
      </c>
      <c r="BH140" s="229">
        <f t="shared" si="156"/>
        <v>0</v>
      </c>
      <c r="BI140" s="229">
        <f t="shared" si="156"/>
        <v>0</v>
      </c>
      <c r="BJ140" s="229">
        <f t="shared" si="156"/>
        <v>0</v>
      </c>
      <c r="BK140" s="229">
        <f t="shared" si="156"/>
        <v>0</v>
      </c>
      <c r="BL140" s="229">
        <f t="shared" si="156"/>
        <v>0</v>
      </c>
      <c r="BM140" s="229">
        <f t="shared" si="156"/>
        <v>0</v>
      </c>
      <c r="BN140" s="229">
        <f t="shared" si="156"/>
        <v>0</v>
      </c>
      <c r="BO140" s="229">
        <f t="shared" si="156"/>
        <v>0</v>
      </c>
      <c r="BP140" s="229">
        <f t="shared" si="156"/>
        <v>0</v>
      </c>
      <c r="BQ140" s="229">
        <f t="shared" si="157"/>
        <v>0</v>
      </c>
      <c r="BR140" s="229">
        <f t="shared" si="157"/>
        <v>0</v>
      </c>
      <c r="BS140" s="229">
        <f t="shared" si="157"/>
        <v>0</v>
      </c>
      <c r="BT140" s="229">
        <f t="shared" si="157"/>
        <v>0</v>
      </c>
      <c r="BU140" s="229">
        <f t="shared" si="157"/>
        <v>0</v>
      </c>
      <c r="BV140" s="229">
        <f t="shared" si="157"/>
        <v>0</v>
      </c>
      <c r="BW140" s="229">
        <f t="shared" si="157"/>
        <v>0</v>
      </c>
      <c r="BX140" s="229">
        <f t="shared" si="157"/>
        <v>0</v>
      </c>
      <c r="BY140" s="229">
        <f t="shared" si="157"/>
        <v>0</v>
      </c>
      <c r="BZ140" s="229">
        <f t="shared" si="157"/>
        <v>0</v>
      </c>
      <c r="CA140" s="229">
        <f t="shared" si="157"/>
        <v>0</v>
      </c>
      <c r="CB140" s="229">
        <f t="shared" si="157"/>
        <v>0</v>
      </c>
      <c r="CC140" s="229">
        <f t="shared" si="157"/>
        <v>0</v>
      </c>
      <c r="CD140" s="229">
        <f t="shared" si="158"/>
        <v>0</v>
      </c>
      <c r="CE140" s="229">
        <f t="shared" si="160"/>
        <v>0</v>
      </c>
      <c r="CF140" s="229">
        <f t="shared" si="158"/>
        <v>0</v>
      </c>
      <c r="CG140" s="229">
        <f t="shared" si="158"/>
        <v>0</v>
      </c>
      <c r="CH140" s="229">
        <f t="shared" si="158"/>
        <v>0</v>
      </c>
      <c r="CI140" s="229">
        <f t="shared" si="158"/>
        <v>0</v>
      </c>
      <c r="CJ140" s="229">
        <f t="shared" si="153"/>
        <v>0</v>
      </c>
      <c r="CK140" s="229">
        <f t="shared" si="158"/>
        <v>0</v>
      </c>
      <c r="CL140" s="229">
        <f t="shared" si="158"/>
        <v>0</v>
      </c>
      <c r="CM140" s="229">
        <f t="shared" si="158"/>
        <v>0</v>
      </c>
      <c r="CN140" s="229">
        <f t="shared" si="158"/>
        <v>0</v>
      </c>
      <c r="CO140" s="229">
        <f t="shared" si="148"/>
        <v>0</v>
      </c>
      <c r="CP140" s="229">
        <f t="shared" si="148"/>
        <v>0</v>
      </c>
      <c r="CQ140" s="229">
        <f t="shared" si="158"/>
        <v>0</v>
      </c>
      <c r="CR140" s="229">
        <f t="shared" si="158"/>
        <v>0</v>
      </c>
      <c r="CS140" s="229">
        <f t="shared" si="158"/>
        <v>0</v>
      </c>
      <c r="CT140" s="229">
        <f t="shared" si="158"/>
        <v>0</v>
      </c>
      <c r="CU140" s="230"/>
      <c r="CV140" s="231"/>
      <c r="CW140" s="231"/>
      <c r="CX140" s="231"/>
      <c r="CY140" s="231"/>
      <c r="CZ140" s="231"/>
      <c r="DA140" s="231"/>
      <c r="DB140" s="231"/>
      <c r="DC140" s="231"/>
      <c r="DD140" s="231">
        <f>IF(SUM(DD$24:DD139)=DD$22,0,IF(AND($M140&gt;=DD$15,$M140&lt;(DD$16+1)),DD$22/(DD$16-DD$15+1),0))</f>
        <v>0</v>
      </c>
      <c r="DE140" s="231">
        <f>IF(SUM(DE$24:DE139)=DE$22,0,IF(AND($M140&gt;=DE$15,$M140&lt;(DE$16+1)),DE$22/(DE$16-DE$15+1),0))</f>
        <v>0</v>
      </c>
      <c r="DF140" s="231">
        <f>IF(SUM(DF$24:DF139)=DF$22,0,IF(AND($M140&gt;=DF$15,$M140&lt;(DF$16+1)),DF$22/(DF$16-DF$15+1),0))</f>
        <v>0</v>
      </c>
      <c r="DG140" s="231">
        <f>IF(SUM(DG$24:DG139)=DG$22,0,IF(AND($M140&gt;=DG$15,$M140&lt;(DG$16+1)),DG$22/(DG$16-DG$15+1),0))</f>
        <v>0</v>
      </c>
      <c r="DH140" s="231">
        <f t="shared" si="151"/>
        <v>0</v>
      </c>
      <c r="DI140" s="231">
        <f t="shared" si="151"/>
        <v>0</v>
      </c>
      <c r="DJ140" s="231">
        <f t="shared" si="151"/>
        <v>0</v>
      </c>
      <c r="DK140" s="231">
        <f t="shared" si="151"/>
        <v>0</v>
      </c>
      <c r="DL140" s="231">
        <f t="shared" si="151"/>
        <v>0</v>
      </c>
      <c r="DM140" s="231">
        <f t="shared" si="151"/>
        <v>0</v>
      </c>
      <c r="DN140" s="231">
        <f t="shared" si="147"/>
        <v>0</v>
      </c>
      <c r="DO140" s="231">
        <f t="shared" si="151"/>
        <v>0</v>
      </c>
      <c r="DP140" s="231">
        <f t="shared" si="151"/>
        <v>0</v>
      </c>
      <c r="DQ140" s="231">
        <f t="shared" si="151"/>
        <v>0</v>
      </c>
      <c r="DR140" s="231">
        <f t="shared" si="151"/>
        <v>0</v>
      </c>
      <c r="DS140" s="231">
        <f t="shared" si="151"/>
        <v>0</v>
      </c>
      <c r="DT140" s="231">
        <f ca="1">IF(SUM(DT$24:DT139)=DT$22,0,IF(AND($M140&gt;=DT$15,$M140&lt;(DT$16+1)),DT$22/(DT$16-DT$15+1),0))</f>
        <v>0</v>
      </c>
      <c r="DU140" s="231">
        <f ca="1">IF(SUM(DU$24:DU139)=DU$22,0,IF(AND($M140&gt;=DU$15,$M140&lt;(DU$16+1)),DU$22/(DU$16-DU$15+1),0))</f>
        <v>0</v>
      </c>
      <c r="DV140" s="231">
        <f ca="1">IF(SUM(DV$24:DV139)=DV$22,0,IF(AND(M140&gt;=DV$15,M140&lt;(DV$16+1)),DV$22/(DV$16-DV$15+1),0))</f>
        <v>0</v>
      </c>
      <c r="DW140" s="231" t="e">
        <f ca="1">IF(SUM(DW$24:DW139)=DW$22,0,IF(AND($M140&gt;=DW$15,$M140&lt;(DW$16+1)),DW$22/(DW$16-DW$15+1),0))</f>
        <v>#N/A</v>
      </c>
      <c r="DX140" s="231">
        <f ca="1">IF(SUM(DX$24:DX139)=DX$22,0,IF(AND($M140&gt;=DX$15,$M140&lt;(DX$16+1)),DX$22/(DX$16-DX$15+1),0))</f>
        <v>0</v>
      </c>
      <c r="DY140" s="231">
        <f ca="1">IF(SUM(DY$24:DY139)=DY$22,0,IF(AND($M140&gt;=DY$15,$M140&lt;(DY$16+1)),DY$22/(DY$16-DY$15+1),0))</f>
        <v>0</v>
      </c>
      <c r="DZ140" s="231">
        <f ca="1">IF(SUM(DZ$24:DZ139)=DZ$22,0,IF(AND($M140&gt;=DZ$15,$M140&lt;(DZ$16+1)),DZ$22/(DZ$16-DZ$15+1),0))</f>
        <v>0</v>
      </c>
      <c r="EA140" s="231" t="e">
        <f ca="1">IF(SUM(EA$24:EA139)=EA$22,0,IF(AND(M140&gt;=EA$15,M140&lt;(EA$16+1)),EA$22/(EA$16-EA$15+1),0))</f>
        <v>#N/A</v>
      </c>
      <c r="EC140" s="234">
        <f t="shared" si="136"/>
        <v>113</v>
      </c>
      <c r="ED140" s="234" t="e">
        <f t="shared" ca="1" si="137"/>
        <v>#N/A</v>
      </c>
      <c r="EE140" s="235" t="e">
        <f t="shared" ca="1" si="138"/>
        <v>#N/A</v>
      </c>
      <c r="EF140" s="234" t="e">
        <f t="shared" ca="1" si="104"/>
        <v>#N/A</v>
      </c>
      <c r="EG140" s="234" t="e">
        <f t="shared" ca="1" si="106"/>
        <v>#N/A</v>
      </c>
      <c r="EH140" s="234" t="e">
        <f t="shared" ca="1" si="112"/>
        <v>#N/A</v>
      </c>
      <c r="EI140" s="234"/>
      <c r="EJ140" s="234"/>
      <c r="EK140" s="153" t="e">
        <f t="shared" ca="1" si="139"/>
        <v>#N/A</v>
      </c>
      <c r="EL140" s="231" t="e">
        <f ca="1">IF(SUM(EL$24:EL139)=EL$22,0,IF(AND($M140&gt;=EL$15,$M140&lt;(EL$16+1)),EL$22/(EL$16-EL$15+1),0))</f>
        <v>#N/A</v>
      </c>
      <c r="EM140" s="153" t="e">
        <f t="shared" ca="1" si="140"/>
        <v>#N/A</v>
      </c>
      <c r="EO140" s="60"/>
      <c r="EP140" s="60"/>
    </row>
    <row r="141" spans="1:146" ht="13.9" customHeight="1">
      <c r="A141" s="220"/>
      <c r="B141" s="236">
        <f t="shared" si="100"/>
        <v>114</v>
      </c>
      <c r="C141" s="221">
        <f t="shared" si="141"/>
        <v>47028.087100000179</v>
      </c>
      <c r="D141" s="222" t="e">
        <f ca="1">'Offshore INT'!R130</f>
        <v>#N/A</v>
      </c>
      <c r="E141" s="223" t="e">
        <f t="shared" ca="1" si="131"/>
        <v>#N/A</v>
      </c>
      <c r="F141" s="224"/>
      <c r="G141" s="225">
        <f>IF(G140=1,1,SUM($F$24:F141))</f>
        <v>0</v>
      </c>
      <c r="H141" s="226" t="e">
        <f ca="1">IF(H140=0,0,SUM($I$24:I141))</f>
        <v>#N/A</v>
      </c>
      <c r="I141" s="227" t="e">
        <f t="shared" ca="1" si="132"/>
        <v>#N/A</v>
      </c>
      <c r="J141" s="222">
        <f t="shared" ca="1" si="154"/>
        <v>0</v>
      </c>
      <c r="K141" s="60"/>
      <c r="L141" s="228"/>
      <c r="M141" s="228">
        <f t="shared" si="133"/>
        <v>114</v>
      </c>
      <c r="N141" s="221">
        <f t="shared" si="134"/>
        <v>47028.087100000179</v>
      </c>
      <c r="O141" s="229">
        <f t="shared" si="152"/>
        <v>0</v>
      </c>
      <c r="P141" s="229">
        <f t="shared" si="152"/>
        <v>0</v>
      </c>
      <c r="Q141" s="229">
        <f t="shared" si="152"/>
        <v>0</v>
      </c>
      <c r="R141" s="229">
        <f t="shared" si="152"/>
        <v>0</v>
      </c>
      <c r="S141" s="229">
        <f t="shared" si="152"/>
        <v>0</v>
      </c>
      <c r="T141" s="229">
        <f t="shared" si="152"/>
        <v>0</v>
      </c>
      <c r="U141" s="229">
        <f t="shared" si="152"/>
        <v>0</v>
      </c>
      <c r="V141" s="229">
        <f t="shared" si="152"/>
        <v>0</v>
      </c>
      <c r="W141" s="229">
        <f t="shared" si="152"/>
        <v>0</v>
      </c>
      <c r="X141" s="229">
        <f t="shared" si="152"/>
        <v>0</v>
      </c>
      <c r="Y141" s="229">
        <f t="shared" si="152"/>
        <v>0</v>
      </c>
      <c r="Z141" s="229">
        <f t="shared" si="152"/>
        <v>0</v>
      </c>
      <c r="AA141" s="229">
        <f t="shared" si="155"/>
        <v>0</v>
      </c>
      <c r="AB141" s="229">
        <f t="shared" si="155"/>
        <v>0</v>
      </c>
      <c r="AC141" s="229">
        <f t="shared" si="155"/>
        <v>0</v>
      </c>
      <c r="AD141" s="229">
        <f t="shared" si="155"/>
        <v>0</v>
      </c>
      <c r="AE141" s="229">
        <f t="shared" si="155"/>
        <v>0</v>
      </c>
      <c r="AF141" s="229">
        <f t="shared" si="155"/>
        <v>0</v>
      </c>
      <c r="AG141" s="229">
        <f t="shared" si="155"/>
        <v>0</v>
      </c>
      <c r="AH141" s="229">
        <f t="shared" si="155"/>
        <v>0</v>
      </c>
      <c r="AI141" s="229">
        <f t="shared" si="155"/>
        <v>0</v>
      </c>
      <c r="AJ141" s="229">
        <f t="shared" si="155"/>
        <v>0</v>
      </c>
      <c r="AK141" s="229">
        <f t="shared" si="155"/>
        <v>0</v>
      </c>
      <c r="AL141" s="229">
        <f t="shared" si="155"/>
        <v>0</v>
      </c>
      <c r="AM141" s="229">
        <f t="shared" si="161"/>
        <v>0</v>
      </c>
      <c r="AN141" s="229">
        <f t="shared" si="161"/>
        <v>0</v>
      </c>
      <c r="AO141" s="229">
        <f t="shared" si="161"/>
        <v>0</v>
      </c>
      <c r="AP141" s="229">
        <f t="shared" si="155"/>
        <v>0</v>
      </c>
      <c r="AQ141" s="229">
        <f t="shared" si="155"/>
        <v>0</v>
      </c>
      <c r="AR141" s="229">
        <f t="shared" si="155"/>
        <v>0</v>
      </c>
      <c r="AS141" s="229">
        <f t="shared" si="159"/>
        <v>0</v>
      </c>
      <c r="AT141" s="229">
        <f t="shared" si="159"/>
        <v>0</v>
      </c>
      <c r="AU141" s="229">
        <f t="shared" si="159"/>
        <v>0</v>
      </c>
      <c r="AV141" s="229">
        <f t="shared" si="159"/>
        <v>0</v>
      </c>
      <c r="AW141" s="229">
        <f t="shared" si="159"/>
        <v>0</v>
      </c>
      <c r="AX141" s="229">
        <f t="shared" si="155"/>
        <v>0</v>
      </c>
      <c r="AY141" s="229">
        <f t="shared" si="155"/>
        <v>0</v>
      </c>
      <c r="AZ141" s="229">
        <f t="shared" si="155"/>
        <v>0</v>
      </c>
      <c r="BA141" s="229">
        <f t="shared" si="155"/>
        <v>0</v>
      </c>
      <c r="BB141" s="229">
        <f t="shared" si="155"/>
        <v>0</v>
      </c>
      <c r="BC141" s="229">
        <f t="shared" si="155"/>
        <v>0</v>
      </c>
      <c r="BD141" s="229">
        <f t="shared" si="156"/>
        <v>0</v>
      </c>
      <c r="BE141" s="229">
        <f t="shared" si="156"/>
        <v>0</v>
      </c>
      <c r="BF141" s="229">
        <f t="shared" si="156"/>
        <v>0</v>
      </c>
      <c r="BG141" s="229">
        <f t="shared" si="156"/>
        <v>0</v>
      </c>
      <c r="BH141" s="229">
        <f t="shared" si="156"/>
        <v>0</v>
      </c>
      <c r="BI141" s="229">
        <f t="shared" si="156"/>
        <v>0</v>
      </c>
      <c r="BJ141" s="229">
        <f t="shared" si="156"/>
        <v>0</v>
      </c>
      <c r="BK141" s="229">
        <f t="shared" si="156"/>
        <v>0</v>
      </c>
      <c r="BL141" s="229">
        <f t="shared" si="156"/>
        <v>0</v>
      </c>
      <c r="BM141" s="229">
        <f t="shared" si="156"/>
        <v>0</v>
      </c>
      <c r="BN141" s="229">
        <f t="shared" si="156"/>
        <v>0</v>
      </c>
      <c r="BO141" s="229">
        <f t="shared" si="156"/>
        <v>0</v>
      </c>
      <c r="BP141" s="229">
        <f t="shared" si="156"/>
        <v>0</v>
      </c>
      <c r="BQ141" s="229">
        <f t="shared" si="157"/>
        <v>0</v>
      </c>
      <c r="BR141" s="229">
        <f t="shared" si="157"/>
        <v>0</v>
      </c>
      <c r="BS141" s="229">
        <f t="shared" si="157"/>
        <v>0</v>
      </c>
      <c r="BT141" s="229">
        <f t="shared" si="157"/>
        <v>0</v>
      </c>
      <c r="BU141" s="229">
        <f t="shared" si="157"/>
        <v>0</v>
      </c>
      <c r="BV141" s="229">
        <f t="shared" si="157"/>
        <v>0</v>
      </c>
      <c r="BW141" s="229">
        <f t="shared" si="157"/>
        <v>0</v>
      </c>
      <c r="BX141" s="229">
        <f t="shared" si="157"/>
        <v>0</v>
      </c>
      <c r="BY141" s="229">
        <f t="shared" si="157"/>
        <v>0</v>
      </c>
      <c r="BZ141" s="229">
        <f t="shared" si="157"/>
        <v>0</v>
      </c>
      <c r="CA141" s="229">
        <f t="shared" si="157"/>
        <v>0</v>
      </c>
      <c r="CB141" s="229">
        <f t="shared" si="157"/>
        <v>0</v>
      </c>
      <c r="CC141" s="229">
        <f t="shared" si="157"/>
        <v>0</v>
      </c>
      <c r="CD141" s="229">
        <f t="shared" si="158"/>
        <v>0</v>
      </c>
      <c r="CE141" s="229">
        <f t="shared" si="160"/>
        <v>0</v>
      </c>
      <c r="CF141" s="229">
        <f t="shared" si="158"/>
        <v>0</v>
      </c>
      <c r="CG141" s="229">
        <f t="shared" si="158"/>
        <v>0</v>
      </c>
      <c r="CH141" s="229">
        <f t="shared" si="158"/>
        <v>0</v>
      </c>
      <c r="CI141" s="229">
        <f t="shared" si="158"/>
        <v>0</v>
      </c>
      <c r="CJ141" s="229">
        <f t="shared" si="153"/>
        <v>0</v>
      </c>
      <c r="CK141" s="229">
        <f t="shared" si="158"/>
        <v>0</v>
      </c>
      <c r="CL141" s="229">
        <f t="shared" si="158"/>
        <v>0</v>
      </c>
      <c r="CM141" s="229">
        <f t="shared" si="158"/>
        <v>0</v>
      </c>
      <c r="CN141" s="229">
        <f t="shared" si="158"/>
        <v>0</v>
      </c>
      <c r="CO141" s="229">
        <f t="shared" si="148"/>
        <v>0</v>
      </c>
      <c r="CP141" s="229">
        <f t="shared" si="148"/>
        <v>0</v>
      </c>
      <c r="CQ141" s="229">
        <f t="shared" si="158"/>
        <v>0</v>
      </c>
      <c r="CR141" s="229">
        <f t="shared" si="158"/>
        <v>0</v>
      </c>
      <c r="CS141" s="229">
        <f t="shared" si="158"/>
        <v>0</v>
      </c>
      <c r="CT141" s="229">
        <f t="shared" si="158"/>
        <v>0</v>
      </c>
      <c r="CU141" s="230"/>
      <c r="CV141" s="231"/>
      <c r="CW141" s="231"/>
      <c r="CX141" s="231"/>
      <c r="CY141" s="231"/>
      <c r="CZ141" s="231"/>
      <c r="DA141" s="231"/>
      <c r="DB141" s="231"/>
      <c r="DC141" s="231"/>
      <c r="DD141" s="231">
        <f>IF(SUM(DD$24:DD140)=DD$22,0,IF(AND($M141&gt;=DD$15,$M141&lt;(DD$16+1)),DD$22/(DD$16-DD$15+1),0))</f>
        <v>0</v>
      </c>
      <c r="DE141" s="231">
        <f>IF(SUM(DE$24:DE140)=DE$22,0,IF(AND($M141&gt;=DE$15,$M141&lt;(DE$16+1)),DE$22/(DE$16-DE$15+1),0))</f>
        <v>0</v>
      </c>
      <c r="DF141" s="231">
        <f>IF(SUM(DF$24:DF140)=DF$22,0,IF(AND($M141&gt;=DF$15,$M141&lt;(DF$16+1)),DF$22/(DF$16-DF$15+1),0))</f>
        <v>0</v>
      </c>
      <c r="DG141" s="231">
        <f>IF(SUM(DG$24:DG140)=DG$22,0,IF(AND($M141&gt;=DG$15,$M141&lt;(DG$16+1)),DG$22/(DG$16-DG$15+1),0))</f>
        <v>0</v>
      </c>
      <c r="DH141" s="231">
        <f t="shared" si="151"/>
        <v>0</v>
      </c>
      <c r="DI141" s="231">
        <f t="shared" si="151"/>
        <v>0</v>
      </c>
      <c r="DJ141" s="231">
        <f t="shared" si="151"/>
        <v>0</v>
      </c>
      <c r="DK141" s="231">
        <f t="shared" si="151"/>
        <v>0</v>
      </c>
      <c r="DL141" s="231">
        <f t="shared" si="151"/>
        <v>0</v>
      </c>
      <c r="DM141" s="231">
        <f t="shared" si="151"/>
        <v>0</v>
      </c>
      <c r="DN141" s="231">
        <f>IF(AND($M141&gt;=DN$15,$M141&lt;(DN$16+1)),DN$22/(DN$16-DN$15+1),0)</f>
        <v>0</v>
      </c>
      <c r="DO141" s="231">
        <f t="shared" si="151"/>
        <v>0</v>
      </c>
      <c r="DP141" s="231">
        <f t="shared" si="151"/>
        <v>0</v>
      </c>
      <c r="DQ141" s="231">
        <f t="shared" si="151"/>
        <v>0</v>
      </c>
      <c r="DR141" s="231">
        <f t="shared" si="151"/>
        <v>0</v>
      </c>
      <c r="DS141" s="231">
        <f t="shared" si="151"/>
        <v>0</v>
      </c>
      <c r="DT141" s="231">
        <f ca="1">IF(SUM(DT$24:DT140)=DT$22,0,IF(AND($M141&gt;=DT$15,$M141&lt;(DT$16+1)),DT$22/(DT$16-DT$15+1),0))</f>
        <v>0</v>
      </c>
      <c r="DU141" s="231">
        <f ca="1">IF(SUM(DU$24:DU140)=DU$22,0,IF(AND($M141&gt;=DU$15,$M141&lt;(DU$16+1)),DU$22/(DU$16-DU$15+1),0))</f>
        <v>0</v>
      </c>
      <c r="DV141" s="231">
        <f ca="1">IF(SUM(DV$24:DV140)=DV$22,0,IF(AND(M141&gt;=DV$15,M141&lt;(DV$16+1)),DV$22/(DV$16-DV$15+1),0))</f>
        <v>0</v>
      </c>
      <c r="DW141" s="231" t="e">
        <f ca="1">IF(SUM(DW$24:DW140)=DW$22,0,IF(AND($M141&gt;=DW$15,$M141&lt;(DW$16+1)),DW$22/(DW$16-DW$15+1),0))</f>
        <v>#N/A</v>
      </c>
      <c r="DX141" s="231">
        <f ca="1">IF(SUM(DX$24:DX140)=DX$22,0,IF(AND($M141&gt;=DX$15,$M141&lt;(DX$16+1)),DX$22/(DX$16-DX$15+1),0))</f>
        <v>0</v>
      </c>
      <c r="DY141" s="231">
        <f ca="1">IF(SUM(DY$24:DY140)=DY$22,0,IF(AND($M141&gt;=DY$15,$M141&lt;(DY$16+1)),DY$22/(DY$16-DY$15+1),0))</f>
        <v>0</v>
      </c>
      <c r="DZ141" s="231">
        <f ca="1">IF(SUM(DZ$24:DZ140)=DZ$22,0,IF(AND($M141&gt;=DZ$15,$M141&lt;(DZ$16+1)),DZ$22/(DZ$16-DZ$15+1),0))</f>
        <v>0</v>
      </c>
      <c r="EA141" s="231" t="e">
        <f ca="1">IF(SUM(EA$24:EA140)=EA$22,0,IF(AND(M141&gt;=EA$15,M141&lt;(EA$16+1)),EA$22/(EA$16-EA$15+1),0))</f>
        <v>#N/A</v>
      </c>
      <c r="EC141" s="234">
        <f t="shared" si="136"/>
        <v>114</v>
      </c>
      <c r="ED141" s="234" t="e">
        <f t="shared" ca="1" si="137"/>
        <v>#N/A</v>
      </c>
      <c r="EE141" s="235" t="e">
        <f t="shared" ca="1" si="138"/>
        <v>#N/A</v>
      </c>
      <c r="EF141" s="234" t="e">
        <f t="shared" ca="1" si="104"/>
        <v>#N/A</v>
      </c>
      <c r="EG141" s="234" t="e">
        <f t="shared" ca="1" si="106"/>
        <v>#N/A</v>
      </c>
      <c r="EH141" s="234" t="e">
        <f t="shared" ca="1" si="112"/>
        <v>#N/A</v>
      </c>
      <c r="EI141" s="234"/>
      <c r="EJ141" s="234"/>
      <c r="EK141" s="153" t="e">
        <f t="shared" ca="1" si="139"/>
        <v>#N/A</v>
      </c>
      <c r="EL141" s="231" t="e">
        <f ca="1">IF(SUM(EL$24:EL140)=EL$22,0,IF(AND($M141&gt;=EL$15,$M141&lt;(EL$16+1)),EL$22/(EL$16-EL$15+1),0))</f>
        <v>#N/A</v>
      </c>
      <c r="EM141" s="153" t="e">
        <f t="shared" ca="1" si="140"/>
        <v>#N/A</v>
      </c>
      <c r="EO141" s="60"/>
      <c r="EP141" s="60"/>
    </row>
    <row r="142" spans="1:146" ht="13.9" customHeight="1">
      <c r="A142" s="220"/>
      <c r="B142" s="236">
        <f t="shared" si="100"/>
        <v>115</v>
      </c>
      <c r="C142" s="221">
        <f t="shared" si="141"/>
        <v>47058.50380000018</v>
      </c>
      <c r="D142" s="222" t="e">
        <f ca="1">'Offshore INT'!R131</f>
        <v>#N/A</v>
      </c>
      <c r="E142" s="223" t="e">
        <f t="shared" ca="1" si="131"/>
        <v>#N/A</v>
      </c>
      <c r="F142" s="224"/>
      <c r="G142" s="225">
        <f>IF(G141=1,1,SUM($F$24:F142))</f>
        <v>0</v>
      </c>
      <c r="H142" s="226" t="e">
        <f ca="1">IF(H141=0,0,SUM($I$24:I142))</f>
        <v>#N/A</v>
      </c>
      <c r="I142" s="227" t="e">
        <f t="shared" ca="1" si="132"/>
        <v>#N/A</v>
      </c>
      <c r="J142" s="222">
        <f t="shared" ca="1" si="154"/>
        <v>0</v>
      </c>
      <c r="K142" s="60"/>
      <c r="L142" s="228"/>
      <c r="M142" s="228">
        <f t="shared" si="133"/>
        <v>115</v>
      </c>
      <c r="N142" s="221">
        <f t="shared" si="134"/>
        <v>47058.50380000018</v>
      </c>
      <c r="O142" s="229">
        <f t="shared" si="152"/>
        <v>0</v>
      </c>
      <c r="P142" s="229">
        <f t="shared" si="152"/>
        <v>0</v>
      </c>
      <c r="Q142" s="229">
        <f t="shared" si="152"/>
        <v>0</v>
      </c>
      <c r="R142" s="229">
        <f t="shared" si="152"/>
        <v>0</v>
      </c>
      <c r="S142" s="229">
        <f t="shared" si="152"/>
        <v>0</v>
      </c>
      <c r="T142" s="229">
        <f t="shared" si="152"/>
        <v>0</v>
      </c>
      <c r="U142" s="229">
        <f t="shared" si="152"/>
        <v>0</v>
      </c>
      <c r="V142" s="229">
        <f t="shared" si="152"/>
        <v>0</v>
      </c>
      <c r="W142" s="229">
        <f t="shared" si="152"/>
        <v>0</v>
      </c>
      <c r="X142" s="229">
        <f t="shared" si="152"/>
        <v>0</v>
      </c>
      <c r="Y142" s="229">
        <f t="shared" si="152"/>
        <v>0</v>
      </c>
      <c r="Z142" s="229">
        <f t="shared" si="152"/>
        <v>0</v>
      </c>
      <c r="AA142" s="229">
        <f t="shared" si="155"/>
        <v>0</v>
      </c>
      <c r="AB142" s="229">
        <f t="shared" si="155"/>
        <v>0</v>
      </c>
      <c r="AC142" s="229">
        <f t="shared" si="155"/>
        <v>0</v>
      </c>
      <c r="AD142" s="229">
        <f t="shared" si="155"/>
        <v>0</v>
      </c>
      <c r="AE142" s="229">
        <f t="shared" si="155"/>
        <v>0</v>
      </c>
      <c r="AF142" s="229">
        <f t="shared" si="155"/>
        <v>0</v>
      </c>
      <c r="AG142" s="229">
        <f t="shared" si="155"/>
        <v>0</v>
      </c>
      <c r="AH142" s="229">
        <f t="shared" si="155"/>
        <v>0</v>
      </c>
      <c r="AI142" s="229">
        <f t="shared" si="155"/>
        <v>0</v>
      </c>
      <c r="AJ142" s="229">
        <f t="shared" si="155"/>
        <v>0</v>
      </c>
      <c r="AK142" s="229">
        <f t="shared" si="155"/>
        <v>0</v>
      </c>
      <c r="AL142" s="229">
        <f t="shared" si="155"/>
        <v>0</v>
      </c>
      <c r="AM142" s="229">
        <f t="shared" si="161"/>
        <v>0</v>
      </c>
      <c r="AN142" s="229">
        <f t="shared" si="161"/>
        <v>0</v>
      </c>
      <c r="AO142" s="229">
        <f t="shared" si="161"/>
        <v>0</v>
      </c>
      <c r="AP142" s="229">
        <f t="shared" si="155"/>
        <v>0</v>
      </c>
      <c r="AQ142" s="229">
        <f t="shared" si="155"/>
        <v>0</v>
      </c>
      <c r="AR142" s="229">
        <f t="shared" si="155"/>
        <v>0</v>
      </c>
      <c r="AS142" s="229">
        <f t="shared" si="159"/>
        <v>0</v>
      </c>
      <c r="AT142" s="229">
        <f t="shared" si="159"/>
        <v>0</v>
      </c>
      <c r="AU142" s="229">
        <f t="shared" si="159"/>
        <v>0</v>
      </c>
      <c r="AV142" s="229">
        <f t="shared" si="159"/>
        <v>0</v>
      </c>
      <c r="AW142" s="229">
        <f t="shared" si="159"/>
        <v>0</v>
      </c>
      <c r="AX142" s="229">
        <f t="shared" si="155"/>
        <v>0</v>
      </c>
      <c r="AY142" s="229">
        <f t="shared" si="155"/>
        <v>0</v>
      </c>
      <c r="AZ142" s="229">
        <f t="shared" si="155"/>
        <v>0</v>
      </c>
      <c r="BA142" s="229">
        <f t="shared" si="155"/>
        <v>0</v>
      </c>
      <c r="BB142" s="229">
        <f t="shared" si="155"/>
        <v>0</v>
      </c>
      <c r="BC142" s="229">
        <f t="shared" si="155"/>
        <v>0</v>
      </c>
      <c r="BD142" s="229">
        <f t="shared" si="156"/>
        <v>0</v>
      </c>
      <c r="BE142" s="229">
        <f t="shared" si="156"/>
        <v>0</v>
      </c>
      <c r="BF142" s="229">
        <f t="shared" si="156"/>
        <v>0</v>
      </c>
      <c r="BG142" s="229">
        <f t="shared" si="156"/>
        <v>0</v>
      </c>
      <c r="BH142" s="229">
        <f t="shared" si="156"/>
        <v>0</v>
      </c>
      <c r="BI142" s="229">
        <f t="shared" si="156"/>
        <v>0</v>
      </c>
      <c r="BJ142" s="229">
        <f t="shared" si="156"/>
        <v>0</v>
      </c>
      <c r="BK142" s="229">
        <f t="shared" si="156"/>
        <v>0</v>
      </c>
      <c r="BL142" s="229">
        <f t="shared" si="156"/>
        <v>0</v>
      </c>
      <c r="BM142" s="229">
        <f t="shared" si="156"/>
        <v>0</v>
      </c>
      <c r="BN142" s="229">
        <f t="shared" si="156"/>
        <v>0</v>
      </c>
      <c r="BO142" s="229">
        <f t="shared" si="156"/>
        <v>0</v>
      </c>
      <c r="BP142" s="229">
        <f t="shared" si="156"/>
        <v>0</v>
      </c>
      <c r="BQ142" s="229">
        <f t="shared" si="157"/>
        <v>0</v>
      </c>
      <c r="BR142" s="229">
        <f t="shared" si="157"/>
        <v>0</v>
      </c>
      <c r="BS142" s="229">
        <f t="shared" si="157"/>
        <v>0</v>
      </c>
      <c r="BT142" s="229">
        <f t="shared" si="157"/>
        <v>0</v>
      </c>
      <c r="BU142" s="229">
        <f t="shared" si="157"/>
        <v>0</v>
      </c>
      <c r="BV142" s="229">
        <f t="shared" si="157"/>
        <v>0</v>
      </c>
      <c r="BW142" s="229">
        <f t="shared" si="157"/>
        <v>0</v>
      </c>
      <c r="BX142" s="229">
        <f t="shared" si="157"/>
        <v>0</v>
      </c>
      <c r="BY142" s="229">
        <f t="shared" si="157"/>
        <v>0</v>
      </c>
      <c r="BZ142" s="229">
        <f t="shared" si="157"/>
        <v>0</v>
      </c>
      <c r="CA142" s="229">
        <f t="shared" si="157"/>
        <v>0</v>
      </c>
      <c r="CB142" s="229">
        <f t="shared" si="157"/>
        <v>0</v>
      </c>
      <c r="CC142" s="229">
        <f t="shared" si="157"/>
        <v>0</v>
      </c>
      <c r="CD142" s="229">
        <f t="shared" si="158"/>
        <v>0</v>
      </c>
      <c r="CE142" s="229">
        <f t="shared" si="160"/>
        <v>0</v>
      </c>
      <c r="CF142" s="229">
        <f t="shared" si="158"/>
        <v>0</v>
      </c>
      <c r="CG142" s="229">
        <f t="shared" si="158"/>
        <v>0</v>
      </c>
      <c r="CH142" s="229">
        <f t="shared" si="158"/>
        <v>0</v>
      </c>
      <c r="CI142" s="229">
        <f t="shared" si="158"/>
        <v>0</v>
      </c>
      <c r="CJ142" s="229">
        <f t="shared" si="153"/>
        <v>0</v>
      </c>
      <c r="CK142" s="229">
        <f t="shared" si="158"/>
        <v>0</v>
      </c>
      <c r="CL142" s="229">
        <f t="shared" si="158"/>
        <v>0</v>
      </c>
      <c r="CM142" s="229">
        <f t="shared" si="158"/>
        <v>0</v>
      </c>
      <c r="CN142" s="229">
        <f t="shared" si="158"/>
        <v>0</v>
      </c>
      <c r="CO142" s="229">
        <f t="shared" si="148"/>
        <v>0</v>
      </c>
      <c r="CP142" s="229">
        <f t="shared" si="148"/>
        <v>0</v>
      </c>
      <c r="CQ142" s="229">
        <f t="shared" si="158"/>
        <v>0</v>
      </c>
      <c r="CR142" s="229">
        <f t="shared" si="158"/>
        <v>0</v>
      </c>
      <c r="CS142" s="229">
        <f t="shared" si="158"/>
        <v>0</v>
      </c>
      <c r="CT142" s="229">
        <f t="shared" si="158"/>
        <v>0</v>
      </c>
      <c r="CU142" s="230"/>
      <c r="CV142" s="231"/>
      <c r="CW142" s="231"/>
      <c r="CX142" s="231"/>
      <c r="CY142" s="231"/>
      <c r="CZ142" s="231"/>
      <c r="DA142" s="231"/>
      <c r="DB142" s="231"/>
      <c r="DC142" s="231"/>
      <c r="DD142" s="231">
        <f>IF(SUM(DD$24:DD141)=DD$22,0,IF(AND($M142&gt;=DD$15,$M142&lt;(DD$16+1)),DD$22/(DD$16-DD$15+1),0))</f>
        <v>0</v>
      </c>
      <c r="DE142" s="231">
        <f>IF(SUM(DE$24:DE141)=DE$22,0,IF(AND($M142&gt;=DE$15,$M142&lt;(DE$16+1)),DE$22/(DE$16-DE$15+1),0))</f>
        <v>0</v>
      </c>
      <c r="DF142" s="231">
        <f>IF(SUM(DF$24:DF141)=DF$22,0,IF(AND($M142&gt;=DF$15,$M142&lt;(DF$16+1)),DF$22/(DF$16-DF$15+1),0))</f>
        <v>0</v>
      </c>
      <c r="DG142" s="231">
        <f>IF(SUM(DG$24:DG141)=DG$22,0,IF(AND($M142&gt;=DG$15,$M142&lt;(DG$16+1)),DG$22/(DG$16-DG$15+1),0))</f>
        <v>0</v>
      </c>
      <c r="DH142" s="231">
        <f t="shared" si="151"/>
        <v>0</v>
      </c>
      <c r="DI142" s="231">
        <f t="shared" si="151"/>
        <v>0</v>
      </c>
      <c r="DJ142" s="231">
        <f t="shared" si="151"/>
        <v>0</v>
      </c>
      <c r="DK142" s="231">
        <f t="shared" si="151"/>
        <v>0</v>
      </c>
      <c r="DL142" s="231">
        <f t="shared" si="151"/>
        <v>0</v>
      </c>
      <c r="DM142" s="231">
        <f t="shared" si="151"/>
        <v>0</v>
      </c>
      <c r="DN142" s="231">
        <f>IF(AND($M142&gt;=DN$15,$M142&lt;(DN$16+1)),DN$22/(DN$16-DN$15+1),0)</f>
        <v>0</v>
      </c>
      <c r="DO142" s="231">
        <f t="shared" si="151"/>
        <v>0</v>
      </c>
      <c r="DP142" s="231">
        <f t="shared" ref="DP142:DS153" si="162">IF(AND($M142&gt;=DP$15,$M142&lt;(DP$16+1)),DP$22/(DP$16-DP$15+1),0)</f>
        <v>0</v>
      </c>
      <c r="DQ142" s="231">
        <f t="shared" si="162"/>
        <v>0</v>
      </c>
      <c r="DR142" s="231">
        <f t="shared" si="162"/>
        <v>0</v>
      </c>
      <c r="DS142" s="231">
        <f t="shared" si="162"/>
        <v>0</v>
      </c>
      <c r="DT142" s="231">
        <f ca="1">IF(SUM(DT$24:DT141)=DT$22,0,IF(AND($M142&gt;=DT$15,$M142&lt;(DT$16+1)),DT$22/(DT$16-DT$15+1),0))</f>
        <v>0</v>
      </c>
      <c r="DU142" s="231">
        <f ca="1">IF(SUM(DU$24:DU141)=DU$22,0,IF(AND($M142&gt;=DU$15,$M142&lt;(DU$16+1)),DU$22/(DU$16-DU$15+1),0))</f>
        <v>0</v>
      </c>
      <c r="DV142" s="231">
        <f ca="1">IF(SUM(DV$24:DV141)=DV$22,0,IF(AND(M142&gt;=DV$15,M142&lt;(DV$16+1)),DV$22/(DV$16-DV$15+1),0))</f>
        <v>0</v>
      </c>
      <c r="DW142" s="231" t="e">
        <f ca="1">IF(SUM(DW$24:DW141)=DW$22,0,IF(AND($M142&gt;=DW$15,$M142&lt;(DW$16+1)),DW$22/(DW$16-DW$15+1),0))</f>
        <v>#N/A</v>
      </c>
      <c r="DX142" s="231">
        <f ca="1">IF(SUM(DX$24:DX141)=DX$22,0,IF(AND($M142&gt;=DX$15,$M142&lt;(DX$16+1)),DX$22/(DX$16-DX$15+1),0))</f>
        <v>0</v>
      </c>
      <c r="DY142" s="231">
        <f ca="1">IF(SUM(DY$24:DY141)=DY$22,0,IF(AND($M142&gt;=DY$15,$M142&lt;(DY$16+1)),DY$22/(DY$16-DY$15+1),0))</f>
        <v>0</v>
      </c>
      <c r="DZ142" s="231">
        <f ca="1">IF(SUM(DZ$24:DZ141)=DZ$22,0,IF(AND($M142&gt;=DZ$15,$M142&lt;(DZ$16+1)),DZ$22/(DZ$16-DZ$15+1),0))</f>
        <v>0</v>
      </c>
      <c r="EA142" s="231" t="e">
        <f ca="1">IF(SUM(EA$24:EA141)=EA$22,0,IF(AND(M142&gt;=EA$15,M142&lt;(EA$16+1)),EA$22/(EA$16-EA$15+1),0))</f>
        <v>#N/A</v>
      </c>
      <c r="EC142" s="234">
        <f t="shared" si="136"/>
        <v>115</v>
      </c>
      <c r="ED142" s="234" t="e">
        <f t="shared" ca="1" si="137"/>
        <v>#N/A</v>
      </c>
      <c r="EE142" s="235" t="e">
        <f t="shared" ca="1" si="138"/>
        <v>#N/A</v>
      </c>
      <c r="EF142" s="234" t="e">
        <f t="shared" ca="1" si="104"/>
        <v>#N/A</v>
      </c>
      <c r="EG142" s="234" t="e">
        <f t="shared" ca="1" si="106"/>
        <v>#N/A</v>
      </c>
      <c r="EH142" s="234" t="e">
        <f t="shared" ca="1" si="112"/>
        <v>#N/A</v>
      </c>
      <c r="EI142" s="234"/>
      <c r="EJ142" s="234"/>
      <c r="EK142" s="153" t="e">
        <f t="shared" ca="1" si="139"/>
        <v>#N/A</v>
      </c>
      <c r="EL142" s="231" t="e">
        <f ca="1">IF(SUM(EL$24:EL141)=EL$22,0,IF(AND($M142&gt;=EL$15,$M142&lt;(EL$16+1)),EL$22/(EL$16-EL$15+1),0))</f>
        <v>#N/A</v>
      </c>
      <c r="EM142" s="153" t="e">
        <f t="shared" ca="1" si="140"/>
        <v>#N/A</v>
      </c>
      <c r="EO142" s="60"/>
      <c r="EP142" s="60"/>
    </row>
    <row r="143" spans="1:146" ht="13.9" customHeight="1">
      <c r="A143" s="220"/>
      <c r="B143" s="236">
        <f t="shared" si="100"/>
        <v>116</v>
      </c>
      <c r="C143" s="221">
        <f t="shared" si="141"/>
        <v>47088.920500000182</v>
      </c>
      <c r="D143" s="222" t="e">
        <f ca="1">'Offshore INT'!R132</f>
        <v>#N/A</v>
      </c>
      <c r="E143" s="223" t="e">
        <f t="shared" ca="1" si="131"/>
        <v>#N/A</v>
      </c>
      <c r="F143" s="224"/>
      <c r="G143" s="225">
        <f>IF(G142=1,1,SUM($F$24:F143))</f>
        <v>0</v>
      </c>
      <c r="H143" s="226" t="e">
        <f ca="1">IF(H142=0,0,SUM($I$24:I143))</f>
        <v>#N/A</v>
      </c>
      <c r="I143" s="227" t="e">
        <f t="shared" ca="1" si="132"/>
        <v>#N/A</v>
      </c>
      <c r="J143" s="222">
        <f t="shared" ca="1" si="154"/>
        <v>0</v>
      </c>
      <c r="K143" s="60"/>
      <c r="L143" s="228"/>
      <c r="M143" s="228">
        <f t="shared" si="133"/>
        <v>116</v>
      </c>
      <c r="N143" s="221">
        <f t="shared" si="134"/>
        <v>47088.920500000182</v>
      </c>
      <c r="O143" s="229">
        <f t="shared" si="152"/>
        <v>0</v>
      </c>
      <c r="P143" s="229">
        <f t="shared" si="152"/>
        <v>0</v>
      </c>
      <c r="Q143" s="229">
        <f t="shared" si="152"/>
        <v>0</v>
      </c>
      <c r="R143" s="229">
        <f t="shared" si="152"/>
        <v>0</v>
      </c>
      <c r="S143" s="229">
        <f t="shared" si="152"/>
        <v>0</v>
      </c>
      <c r="T143" s="229">
        <f t="shared" si="152"/>
        <v>0</v>
      </c>
      <c r="U143" s="229">
        <f t="shared" si="152"/>
        <v>0</v>
      </c>
      <c r="V143" s="229">
        <f t="shared" si="152"/>
        <v>0</v>
      </c>
      <c r="W143" s="229">
        <f t="shared" si="152"/>
        <v>0</v>
      </c>
      <c r="X143" s="229">
        <f t="shared" si="152"/>
        <v>0</v>
      </c>
      <c r="Y143" s="229">
        <f t="shared" si="152"/>
        <v>0</v>
      </c>
      <c r="Z143" s="229">
        <f t="shared" si="152"/>
        <v>0</v>
      </c>
      <c r="AA143" s="229">
        <f>IF($M143=AA$13,AA$22*AA$3,IF($M143=AA$14,AA$22*AA$4,IF($M143=AA$15,AA$22*AA$5,IF($M143=AA$16,AA$22*AA$6,IF($M143=AA$17,AA$22*AA$7,IF($M143=AA$18,AA$22*AA$8,IF($M143=AA$19,AA$22*AA$9,IF($M143=AA$20,AA$22*AA$10,0))))))))</f>
        <v>0</v>
      </c>
      <c r="AB143" s="229">
        <f t="shared" si="155"/>
        <v>0</v>
      </c>
      <c r="AC143" s="229">
        <f t="shared" si="155"/>
        <v>0</v>
      </c>
      <c r="AD143" s="229">
        <f t="shared" si="155"/>
        <v>0</v>
      </c>
      <c r="AE143" s="229">
        <f t="shared" si="155"/>
        <v>0</v>
      </c>
      <c r="AF143" s="229">
        <f t="shared" si="155"/>
        <v>0</v>
      </c>
      <c r="AG143" s="229">
        <f t="shared" si="155"/>
        <v>0</v>
      </c>
      <c r="AH143" s="229">
        <f t="shared" si="155"/>
        <v>0</v>
      </c>
      <c r="AI143" s="229">
        <f t="shared" si="155"/>
        <v>0</v>
      </c>
      <c r="AJ143" s="229">
        <f t="shared" si="155"/>
        <v>0</v>
      </c>
      <c r="AK143" s="229">
        <f t="shared" si="155"/>
        <v>0</v>
      </c>
      <c r="AL143" s="229">
        <f t="shared" si="155"/>
        <v>0</v>
      </c>
      <c r="AM143" s="229">
        <f t="shared" si="161"/>
        <v>0</v>
      </c>
      <c r="AN143" s="229">
        <f t="shared" si="161"/>
        <v>0</v>
      </c>
      <c r="AO143" s="229">
        <f t="shared" si="161"/>
        <v>0</v>
      </c>
      <c r="AP143" s="229">
        <f t="shared" si="155"/>
        <v>0</v>
      </c>
      <c r="AQ143" s="229">
        <f t="shared" si="155"/>
        <v>0</v>
      </c>
      <c r="AR143" s="229">
        <f t="shared" si="155"/>
        <v>0</v>
      </c>
      <c r="AS143" s="229">
        <f t="shared" si="159"/>
        <v>0</v>
      </c>
      <c r="AT143" s="229">
        <f t="shared" si="159"/>
        <v>0</v>
      </c>
      <c r="AU143" s="229">
        <f t="shared" si="159"/>
        <v>0</v>
      </c>
      <c r="AV143" s="229">
        <f t="shared" si="159"/>
        <v>0</v>
      </c>
      <c r="AW143" s="229">
        <f t="shared" si="159"/>
        <v>0</v>
      </c>
      <c r="AX143" s="229">
        <f t="shared" si="155"/>
        <v>0</v>
      </c>
      <c r="AY143" s="229">
        <f t="shared" si="155"/>
        <v>0</v>
      </c>
      <c r="AZ143" s="229">
        <f>IF($M143=AZ$13,AZ$22*AZ$3,IF($M143=AZ$14,AZ$22*AZ$4,IF($M143=AZ$15,AZ$22*AZ$5,IF($M143=AZ$16,AZ$22*AZ$6,IF($M143=AZ$17,AZ$22*AZ$7,IF($M143=AZ$18,AZ$22*AZ$8,IF($M143=AZ$19,AZ$22*AZ$9,IF($M143=AZ$20,AZ$22*AZ$10,0))))))))</f>
        <v>0</v>
      </c>
      <c r="BA143" s="229">
        <f t="shared" si="155"/>
        <v>0</v>
      </c>
      <c r="BB143" s="229">
        <f>IF($M143=BB$13,BB$22*BB$3,IF($M143=BB$14,BB$22*BB$4,IF($M143=BB$15,BB$22*BB$5,IF($M143=BB$16,BB$22*BB$6,IF($M143=BB$17,BB$22*BB$7,IF($M143=BB$18,BB$22*BB$8,IF($M143=BB$19,BB$22*BB$9,IF($M143=BB$20,BB$22*BB$10,0))))))))</f>
        <v>0</v>
      </c>
      <c r="BC143" s="229">
        <f>IF($M143=BC$13,BC$22*BC$3,IF($M143=BC$14,BC$22*BC$4,IF($M143=BC$15,BC$22*BC$5,IF($M143=BC$16,BC$22*BC$6,IF($M143=BC$17,BC$22*BC$7,IF($M143=BC$18,BC$22*BC$8,IF($M143=BC$19,BC$22*BC$9,IF($M143=BC$20,BC$22*BC$10,0))))))))</f>
        <v>0</v>
      </c>
      <c r="BD143" s="229">
        <f t="shared" si="156"/>
        <v>0</v>
      </c>
      <c r="BE143" s="229">
        <f t="shared" si="156"/>
        <v>0</v>
      </c>
      <c r="BF143" s="229">
        <f t="shared" si="156"/>
        <v>0</v>
      </c>
      <c r="BG143" s="229">
        <f t="shared" si="156"/>
        <v>0</v>
      </c>
      <c r="BH143" s="229">
        <f t="shared" si="156"/>
        <v>0</v>
      </c>
      <c r="BI143" s="229">
        <f t="shared" si="156"/>
        <v>0</v>
      </c>
      <c r="BJ143" s="229">
        <f t="shared" si="156"/>
        <v>0</v>
      </c>
      <c r="BK143" s="229">
        <f t="shared" si="156"/>
        <v>0</v>
      </c>
      <c r="BL143" s="229">
        <f t="shared" si="156"/>
        <v>0</v>
      </c>
      <c r="BM143" s="229">
        <f t="shared" si="156"/>
        <v>0</v>
      </c>
      <c r="BN143" s="229">
        <f t="shared" si="156"/>
        <v>0</v>
      </c>
      <c r="BO143" s="229">
        <f t="shared" si="156"/>
        <v>0</v>
      </c>
      <c r="BP143" s="229">
        <f t="shared" si="156"/>
        <v>0</v>
      </c>
      <c r="BQ143" s="229">
        <f t="shared" si="157"/>
        <v>0</v>
      </c>
      <c r="BR143" s="229">
        <f t="shared" si="157"/>
        <v>0</v>
      </c>
      <c r="BS143" s="229">
        <f t="shared" si="157"/>
        <v>0</v>
      </c>
      <c r="BT143" s="229">
        <f t="shared" si="157"/>
        <v>0</v>
      </c>
      <c r="BU143" s="229">
        <f t="shared" si="157"/>
        <v>0</v>
      </c>
      <c r="BV143" s="229">
        <f t="shared" si="157"/>
        <v>0</v>
      </c>
      <c r="BW143" s="229">
        <f t="shared" si="157"/>
        <v>0</v>
      </c>
      <c r="BX143" s="229">
        <f t="shared" si="157"/>
        <v>0</v>
      </c>
      <c r="BY143" s="229">
        <f t="shared" si="157"/>
        <v>0</v>
      </c>
      <c r="BZ143" s="229">
        <f t="shared" si="157"/>
        <v>0</v>
      </c>
      <c r="CA143" s="229">
        <f t="shared" si="157"/>
        <v>0</v>
      </c>
      <c r="CB143" s="229">
        <f t="shared" si="157"/>
        <v>0</v>
      </c>
      <c r="CC143" s="229">
        <f t="shared" si="157"/>
        <v>0</v>
      </c>
      <c r="CD143" s="229">
        <f t="shared" si="158"/>
        <v>0</v>
      </c>
      <c r="CE143" s="229">
        <f t="shared" si="160"/>
        <v>0</v>
      </c>
      <c r="CF143" s="229">
        <f t="shared" si="158"/>
        <v>0</v>
      </c>
      <c r="CG143" s="229">
        <f t="shared" si="158"/>
        <v>0</v>
      </c>
      <c r="CH143" s="229">
        <f t="shared" si="158"/>
        <v>0</v>
      </c>
      <c r="CI143" s="229">
        <f t="shared" si="158"/>
        <v>0</v>
      </c>
      <c r="CJ143" s="229">
        <f t="shared" si="153"/>
        <v>0</v>
      </c>
      <c r="CK143" s="229">
        <f t="shared" si="158"/>
        <v>0</v>
      </c>
      <c r="CL143" s="229">
        <f t="shared" si="158"/>
        <v>0</v>
      </c>
      <c r="CM143" s="229">
        <f t="shared" si="158"/>
        <v>0</v>
      </c>
      <c r="CN143" s="229">
        <f t="shared" si="158"/>
        <v>0</v>
      </c>
      <c r="CO143" s="229">
        <f t="shared" ref="CO143:CP153" si="163">IF($M143=CO$13,CO$22*CO$3,IF($M143=CO$14,CO$22*CO$4,IF($M143=CO$15,CO$22*CO$5,IF($M143=CO$16,CO$22*CO$6,IF($M143=CO$17,CO$22*CO$7,IF($M143=CO$18,CO$22*CO$8,IF($M143=CO$19,CO$22*CO$9,IF($M143=CO$20,CO$22*CO$10,0))))))))</f>
        <v>0</v>
      </c>
      <c r="CP143" s="229">
        <f t="shared" si="163"/>
        <v>0</v>
      </c>
      <c r="CQ143" s="229">
        <f t="shared" si="158"/>
        <v>0</v>
      </c>
      <c r="CR143" s="229">
        <f t="shared" si="158"/>
        <v>0</v>
      </c>
      <c r="CS143" s="229">
        <f t="shared" si="158"/>
        <v>0</v>
      </c>
      <c r="CT143" s="229">
        <f t="shared" si="158"/>
        <v>0</v>
      </c>
      <c r="CU143" s="230"/>
      <c r="CV143" s="231"/>
      <c r="CW143" s="231"/>
      <c r="CX143" s="231"/>
      <c r="CY143" s="231"/>
      <c r="CZ143" s="231"/>
      <c r="DA143" s="231"/>
      <c r="DB143" s="231"/>
      <c r="DC143" s="231"/>
      <c r="DD143" s="231">
        <f>IF(SUM(DD$24:DD142)=DD$22,0,IF(AND($M143&gt;=DD$15,$M143&lt;(DD$16+1)),DD$22/(DD$16-DD$15+1),0))</f>
        <v>0</v>
      </c>
      <c r="DE143" s="231">
        <f>IF(SUM(DE$24:DE142)=DE$22,0,IF(AND($M143&gt;=DE$15,$M143&lt;(DE$16+1)),DE$22/(DE$16-DE$15+1),0))</f>
        <v>0</v>
      </c>
      <c r="DF143" s="231">
        <f>IF(SUM(DF$24:DF142)=DF$22,0,IF(AND($M143&gt;=DF$15,$M143&lt;(DF$16+1)),DF$22/(DF$16-DF$15+1),0))</f>
        <v>0</v>
      </c>
      <c r="DG143" s="231">
        <f>IF(SUM(DG$24:DG142)=DG$22,0,IF(AND($M143&gt;=DG$15,$M143&lt;(DG$16+1)),DG$22/(DG$16-DG$15+1),0))</f>
        <v>0</v>
      </c>
      <c r="DH143" s="231">
        <f t="shared" si="151"/>
        <v>0</v>
      </c>
      <c r="DI143" s="231">
        <f t="shared" si="151"/>
        <v>0</v>
      </c>
      <c r="DJ143" s="231">
        <f t="shared" si="151"/>
        <v>0</v>
      </c>
      <c r="DK143" s="231">
        <f t="shared" si="151"/>
        <v>0</v>
      </c>
      <c r="DL143" s="231">
        <f t="shared" si="151"/>
        <v>0</v>
      </c>
      <c r="DM143" s="231">
        <f t="shared" si="151"/>
        <v>0</v>
      </c>
      <c r="DN143" s="231">
        <f>IF(AND($M143&gt;=DN$15,$M143&lt;(DN$16+1)),DN$22/(DN$16-DN$15+1),0)</f>
        <v>0</v>
      </c>
      <c r="DO143" s="231">
        <f t="shared" si="151"/>
        <v>0</v>
      </c>
      <c r="DP143" s="231">
        <f t="shared" si="162"/>
        <v>0</v>
      </c>
      <c r="DQ143" s="231">
        <f t="shared" si="162"/>
        <v>0</v>
      </c>
      <c r="DR143" s="231">
        <f t="shared" si="162"/>
        <v>0</v>
      </c>
      <c r="DS143" s="231">
        <f t="shared" si="162"/>
        <v>0</v>
      </c>
      <c r="DT143" s="231">
        <f ca="1">IF(SUM(DT$24:DT142)=DT$22,0,IF(AND($M143&gt;=DT$15,$M143&lt;(DT$16+1)),DT$22/(DT$16-DT$15+1),0))</f>
        <v>0</v>
      </c>
      <c r="DU143" s="231">
        <f ca="1">IF(SUM(DU$24:DU142)=DU$22,0,IF(AND($M143&gt;=DU$15,$M143&lt;(DU$16+1)),DU$22/(DU$16-DU$15+1),0))</f>
        <v>0</v>
      </c>
      <c r="DV143" s="231">
        <f ca="1">IF(SUM(DV$24:DV142)=DV$22,0,IF(AND(M143&gt;=DV$15,M143&lt;(DV$16+1)),DV$22/(DV$16-DV$15+1),0))</f>
        <v>0</v>
      </c>
      <c r="DW143" s="231" t="e">
        <f ca="1">IF(SUM(DW$24:DW142)=DW$22,0,IF(AND($M143&gt;=DW$15,$M143&lt;(DW$16+1)),DW$22/(DW$16-DW$15+1),0))</f>
        <v>#N/A</v>
      </c>
      <c r="DX143" s="231">
        <f ca="1">IF(SUM(DX$24:DX142)=DX$22,0,IF(AND($M143&gt;=DX$15,$M143&lt;(DX$16+1)),DX$22/(DX$16-DX$15+1),0))</f>
        <v>0</v>
      </c>
      <c r="DY143" s="231">
        <f ca="1">IF(SUM(DY$24:DY142)=DY$22,0,IF(AND($M143&gt;=DY$15,$M143&lt;(DY$16+1)),DY$22/(DY$16-DY$15+1),0))</f>
        <v>0</v>
      </c>
      <c r="DZ143" s="231">
        <f ca="1">IF(SUM(DZ$24:DZ142)=DZ$22,0,IF(AND($M143&gt;=DZ$15,$M143&lt;(DZ$16+1)),DZ$22/(DZ$16-DZ$15+1),0))</f>
        <v>0</v>
      </c>
      <c r="EA143" s="231" t="e">
        <f ca="1">IF(SUM(EA$24:EA142)=EA$22,0,IF(AND(M143&gt;=EA$15,M143&lt;(EA$16+1)),EA$22/(EA$16-EA$15+1),0))</f>
        <v>#N/A</v>
      </c>
      <c r="EC143" s="234">
        <f t="shared" si="136"/>
        <v>116</v>
      </c>
      <c r="ED143" s="234" t="e">
        <f t="shared" ca="1" si="137"/>
        <v>#N/A</v>
      </c>
      <c r="EE143" s="235" t="e">
        <f t="shared" ca="1" si="138"/>
        <v>#N/A</v>
      </c>
      <c r="EF143" s="234" t="e">
        <f t="shared" ca="1" si="104"/>
        <v>#N/A</v>
      </c>
      <c r="EG143" s="234" t="e">
        <f t="shared" ca="1" si="106"/>
        <v>#N/A</v>
      </c>
      <c r="EH143" s="234" t="e">
        <f t="shared" ca="1" si="112"/>
        <v>#N/A</v>
      </c>
      <c r="EI143" s="234"/>
      <c r="EJ143" s="234"/>
      <c r="EK143" s="153" t="e">
        <f t="shared" ca="1" si="139"/>
        <v>#N/A</v>
      </c>
      <c r="EL143" s="231" t="e">
        <f ca="1">IF(SUM(EL$24:EL142)=EL$22,0,IF(AND($M143&gt;=EL$15,$M143&lt;(EL$16+1)),EL$22/(EL$16-EL$15+1),0))</f>
        <v>#N/A</v>
      </c>
      <c r="EM143" s="153" t="e">
        <f t="shared" ca="1" si="140"/>
        <v>#N/A</v>
      </c>
      <c r="EO143" s="60"/>
      <c r="EP143" s="60"/>
    </row>
    <row r="144" spans="1:146" ht="13.9" customHeight="1">
      <c r="A144" s="220"/>
      <c r="B144" s="236">
        <f t="shared" si="100"/>
        <v>117</v>
      </c>
      <c r="C144" s="221">
        <f t="shared" si="141"/>
        <v>47119.337200000184</v>
      </c>
      <c r="D144" s="222" t="e">
        <f ca="1">'Offshore INT'!R133</f>
        <v>#N/A</v>
      </c>
      <c r="E144" s="223" t="e">
        <f t="shared" ca="1" si="131"/>
        <v>#N/A</v>
      </c>
      <c r="F144" s="224"/>
      <c r="G144" s="225">
        <f>IF(G143=1,1,SUM($F$24:F144))</f>
        <v>0</v>
      </c>
      <c r="H144" s="226" t="e">
        <f ca="1">IF(H143=0,0,SUM($I$24:I144))</f>
        <v>#N/A</v>
      </c>
      <c r="I144" s="227" t="e">
        <f t="shared" ca="1" si="132"/>
        <v>#N/A</v>
      </c>
      <c r="J144" s="222">
        <f t="shared" ca="1" si="154"/>
        <v>0</v>
      </c>
      <c r="K144" s="60"/>
      <c r="L144" s="228"/>
      <c r="M144" s="228">
        <f t="shared" si="133"/>
        <v>117</v>
      </c>
      <c r="N144" s="221">
        <f t="shared" si="134"/>
        <v>47119.337200000184</v>
      </c>
      <c r="O144" s="229">
        <f t="shared" si="152"/>
        <v>0</v>
      </c>
      <c r="P144" s="229">
        <f t="shared" si="152"/>
        <v>0</v>
      </c>
      <c r="Q144" s="229">
        <f t="shared" si="152"/>
        <v>0</v>
      </c>
      <c r="R144" s="229">
        <f t="shared" si="152"/>
        <v>0</v>
      </c>
      <c r="S144" s="229">
        <f t="shared" si="152"/>
        <v>0</v>
      </c>
      <c r="T144" s="229">
        <f t="shared" si="152"/>
        <v>0</v>
      </c>
      <c r="U144" s="229">
        <f t="shared" si="152"/>
        <v>0</v>
      </c>
      <c r="V144" s="229">
        <f t="shared" si="152"/>
        <v>0</v>
      </c>
      <c r="W144" s="229">
        <f t="shared" si="152"/>
        <v>0</v>
      </c>
      <c r="X144" s="229">
        <f t="shared" si="152"/>
        <v>0</v>
      </c>
      <c r="Y144" s="229">
        <f t="shared" si="152"/>
        <v>0</v>
      </c>
      <c r="Z144" s="229">
        <f t="shared" si="152"/>
        <v>0</v>
      </c>
      <c r="AA144" s="229">
        <f t="shared" ref="AA144:BC153" si="164">IF($M144=AA$13,AA$22*AA$3,IF($M144=AA$14,AA$22*AA$4,IF($M144=AA$15,AA$22*AA$5,IF($M144=AA$16,AA$22*AA$6,IF($M144=AA$17,AA$22*AA$7,IF($M144=AA$18,AA$22*AA$8,IF($M144=AA$19,AA$22*AA$9,IF($M144=AA$20,AA$22*AA$10,0))))))))</f>
        <v>0</v>
      </c>
      <c r="AB144" s="229">
        <f t="shared" si="164"/>
        <v>0</v>
      </c>
      <c r="AC144" s="229">
        <f t="shared" si="164"/>
        <v>0</v>
      </c>
      <c r="AD144" s="229">
        <f t="shared" si="164"/>
        <v>0</v>
      </c>
      <c r="AE144" s="229">
        <f t="shared" si="164"/>
        <v>0</v>
      </c>
      <c r="AF144" s="229">
        <f t="shared" si="164"/>
        <v>0</v>
      </c>
      <c r="AG144" s="229">
        <f t="shared" si="164"/>
        <v>0</v>
      </c>
      <c r="AH144" s="229">
        <f t="shared" si="164"/>
        <v>0</v>
      </c>
      <c r="AI144" s="229">
        <f t="shared" si="164"/>
        <v>0</v>
      </c>
      <c r="AJ144" s="229">
        <f t="shared" si="164"/>
        <v>0</v>
      </c>
      <c r="AK144" s="229">
        <f t="shared" si="164"/>
        <v>0</v>
      </c>
      <c r="AL144" s="229">
        <f t="shared" si="164"/>
        <v>0</v>
      </c>
      <c r="AM144" s="229">
        <f t="shared" si="164"/>
        <v>0</v>
      </c>
      <c r="AN144" s="229">
        <f t="shared" si="164"/>
        <v>0</v>
      </c>
      <c r="AO144" s="229">
        <f t="shared" si="164"/>
        <v>0</v>
      </c>
      <c r="AP144" s="229">
        <f t="shared" si="164"/>
        <v>0</v>
      </c>
      <c r="AQ144" s="229">
        <f t="shared" si="164"/>
        <v>0</v>
      </c>
      <c r="AR144" s="229">
        <f t="shared" si="164"/>
        <v>0</v>
      </c>
      <c r="AS144" s="229">
        <f t="shared" si="159"/>
        <v>0</v>
      </c>
      <c r="AT144" s="229">
        <f t="shared" si="159"/>
        <v>0</v>
      </c>
      <c r="AU144" s="229">
        <f t="shared" si="159"/>
        <v>0</v>
      </c>
      <c r="AV144" s="229">
        <f t="shared" si="159"/>
        <v>0</v>
      </c>
      <c r="AW144" s="229">
        <f t="shared" si="159"/>
        <v>0</v>
      </c>
      <c r="AX144" s="229">
        <f t="shared" si="164"/>
        <v>0</v>
      </c>
      <c r="AY144" s="229">
        <f t="shared" si="164"/>
        <v>0</v>
      </c>
      <c r="AZ144" s="229">
        <f t="shared" si="164"/>
        <v>0</v>
      </c>
      <c r="BA144" s="229">
        <f t="shared" si="164"/>
        <v>0</v>
      </c>
      <c r="BB144" s="229">
        <f t="shared" si="164"/>
        <v>0</v>
      </c>
      <c r="BC144" s="229">
        <f t="shared" si="164"/>
        <v>0</v>
      </c>
      <c r="BD144" s="229">
        <f t="shared" ref="BD144:BP153" si="165">IF($M144=BD$13,BD$22*BD$3,IF($M144=BD$14,BD$22*BD$4,IF($M144=BD$15,BD$22*BD$5,IF($M144=BD$16,BD$22*BD$6,IF($M144=BD$17,BD$22*BD$7,IF($M144=BD$18,BD$22*BD$8,IF($M144=BD$19,BD$22*BD$9,IF($M144=BD$20,BD$22*BD$10,0))))))))</f>
        <v>0</v>
      </c>
      <c r="BE144" s="229">
        <f t="shared" si="165"/>
        <v>0</v>
      </c>
      <c r="BF144" s="229">
        <f t="shared" si="165"/>
        <v>0</v>
      </c>
      <c r="BG144" s="229">
        <f t="shared" si="165"/>
        <v>0</v>
      </c>
      <c r="BH144" s="229">
        <f t="shared" si="165"/>
        <v>0</v>
      </c>
      <c r="BI144" s="229">
        <f t="shared" si="165"/>
        <v>0</v>
      </c>
      <c r="BJ144" s="229">
        <f t="shared" si="165"/>
        <v>0</v>
      </c>
      <c r="BK144" s="229">
        <f t="shared" si="165"/>
        <v>0</v>
      </c>
      <c r="BL144" s="229">
        <f t="shared" si="165"/>
        <v>0</v>
      </c>
      <c r="BM144" s="229">
        <f t="shared" si="165"/>
        <v>0</v>
      </c>
      <c r="BN144" s="229">
        <f t="shared" si="165"/>
        <v>0</v>
      </c>
      <c r="BO144" s="229">
        <f t="shared" si="165"/>
        <v>0</v>
      </c>
      <c r="BP144" s="229">
        <f t="shared" si="165"/>
        <v>0</v>
      </c>
      <c r="BQ144" s="229">
        <f t="shared" ref="BQ144:CC153" si="166">IF($M144=BQ$13,BQ$22*BQ$3,IF($M144=BQ$14,BQ$22*BQ$4,IF($M144=BQ$15,BQ$22*BQ$5,IF($M144=BQ$16,BQ$22*BQ$6,IF($M144=BQ$17,BQ$22*BQ$7,IF($M144=BQ$18,BQ$22*BQ$8,IF($M144=BQ$19,BQ$22*BQ$9,IF($M144=BQ$20,BQ$22*BQ$10,0))))))))</f>
        <v>0</v>
      </c>
      <c r="BR144" s="229">
        <f t="shared" si="166"/>
        <v>0</v>
      </c>
      <c r="BS144" s="229">
        <f t="shared" si="166"/>
        <v>0</v>
      </c>
      <c r="BT144" s="229">
        <f t="shared" si="166"/>
        <v>0</v>
      </c>
      <c r="BU144" s="229">
        <f t="shared" si="166"/>
        <v>0</v>
      </c>
      <c r="BV144" s="229">
        <f t="shared" si="166"/>
        <v>0</v>
      </c>
      <c r="BW144" s="229">
        <f t="shared" si="166"/>
        <v>0</v>
      </c>
      <c r="BX144" s="229">
        <f t="shared" si="166"/>
        <v>0</v>
      </c>
      <c r="BY144" s="229">
        <f t="shared" si="166"/>
        <v>0</v>
      </c>
      <c r="BZ144" s="229">
        <f t="shared" si="166"/>
        <v>0</v>
      </c>
      <c r="CA144" s="229">
        <f t="shared" si="166"/>
        <v>0</v>
      </c>
      <c r="CB144" s="229">
        <f t="shared" si="166"/>
        <v>0</v>
      </c>
      <c r="CC144" s="229">
        <f t="shared" si="166"/>
        <v>0</v>
      </c>
      <c r="CD144" s="229">
        <f t="shared" ref="CD144:CT153" si="167">IF($M144=CD$13,CD$22*CD$3,IF($M144=CD$14,CD$22*CD$4,IF($M144=CD$15,CD$22*CD$5,IF($M144=CD$16,CD$22*CD$6,IF($M144=CD$17,CD$22*CD$7,IF($M144=CD$18,CD$22*CD$8,IF($M144=CD$19,CD$22*CD$9,IF($M144=CD$20,CD$22*CD$10,0))))))))</f>
        <v>0</v>
      </c>
      <c r="CE144" s="229">
        <f t="shared" si="160"/>
        <v>0</v>
      </c>
      <c r="CF144" s="229">
        <f t="shared" si="167"/>
        <v>0</v>
      </c>
      <c r="CG144" s="229">
        <f t="shared" si="167"/>
        <v>0</v>
      </c>
      <c r="CH144" s="229">
        <f t="shared" si="167"/>
        <v>0</v>
      </c>
      <c r="CI144" s="229">
        <f t="shared" si="167"/>
        <v>0</v>
      </c>
      <c r="CJ144" s="229">
        <f t="shared" si="153"/>
        <v>0</v>
      </c>
      <c r="CK144" s="229">
        <f t="shared" si="167"/>
        <v>0</v>
      </c>
      <c r="CL144" s="229">
        <f t="shared" si="167"/>
        <v>0</v>
      </c>
      <c r="CM144" s="229">
        <f t="shared" si="167"/>
        <v>0</v>
      </c>
      <c r="CN144" s="229">
        <f t="shared" si="167"/>
        <v>0</v>
      </c>
      <c r="CO144" s="229">
        <f t="shared" si="163"/>
        <v>0</v>
      </c>
      <c r="CP144" s="229">
        <f t="shared" si="163"/>
        <v>0</v>
      </c>
      <c r="CQ144" s="229">
        <f t="shared" si="167"/>
        <v>0</v>
      </c>
      <c r="CR144" s="229">
        <f t="shared" si="167"/>
        <v>0</v>
      </c>
      <c r="CS144" s="229">
        <f t="shared" si="167"/>
        <v>0</v>
      </c>
      <c r="CT144" s="229">
        <f t="shared" si="167"/>
        <v>0</v>
      </c>
      <c r="CU144" s="230"/>
      <c r="CV144" s="243"/>
      <c r="CW144" s="243"/>
      <c r="CX144" s="243"/>
      <c r="CY144" s="243"/>
      <c r="CZ144" s="243"/>
      <c r="DA144" s="243"/>
      <c r="DB144" s="243"/>
      <c r="DC144" s="231"/>
      <c r="DD144" s="231">
        <f>IF(SUM(DD$24:DD143)=DD$22,0,IF(AND($M144&gt;=DD$15,$M144&lt;(DD$16+1)),DD$22/(DD$16-DD$15+1),0))</f>
        <v>0</v>
      </c>
      <c r="DE144" s="231">
        <f>IF(SUM(DE$24:DE143)=DE$22,0,IF(AND($M144&gt;=DE$15,$M144&lt;(DE$16+1)),DE$22/(DE$16-DE$15+1),0))</f>
        <v>0</v>
      </c>
      <c r="DF144" s="231">
        <f>IF(SUM(DF$24:DF143)=DF$22,0,IF(AND($M144&gt;=DF$15,$M144&lt;(DF$16+1)),DF$22/(DF$16-DF$15+1),0))</f>
        <v>0</v>
      </c>
      <c r="DG144" s="231">
        <f>IF(SUM(DG$24:DG143)=DG$22,0,IF(AND($M144&gt;=DG$15,$M144&lt;(DG$16+1)),DG$22/(DG$16-DG$15+1),0))</f>
        <v>0</v>
      </c>
      <c r="DH144" s="231">
        <f t="shared" si="151"/>
        <v>0</v>
      </c>
      <c r="DI144" s="231">
        <f t="shared" si="151"/>
        <v>0</v>
      </c>
      <c r="DJ144" s="231">
        <f t="shared" si="151"/>
        <v>0</v>
      </c>
      <c r="DK144" s="231">
        <f t="shared" si="151"/>
        <v>0</v>
      </c>
      <c r="DL144" s="231">
        <f t="shared" si="151"/>
        <v>0</v>
      </c>
      <c r="DM144" s="231">
        <f t="shared" si="151"/>
        <v>0</v>
      </c>
      <c r="DN144" s="231">
        <f>IF(AND($M144&gt;=DN$15,$M144&lt;(DN$16+1)),DN$22/(DN$16-DN$15+1),0)</f>
        <v>0</v>
      </c>
      <c r="DO144" s="231">
        <f t="shared" si="151"/>
        <v>0</v>
      </c>
      <c r="DP144" s="231">
        <f t="shared" si="162"/>
        <v>0</v>
      </c>
      <c r="DQ144" s="231">
        <f t="shared" si="162"/>
        <v>0</v>
      </c>
      <c r="DR144" s="231">
        <f t="shared" si="162"/>
        <v>0</v>
      </c>
      <c r="DS144" s="231">
        <f t="shared" si="162"/>
        <v>0</v>
      </c>
      <c r="DT144" s="231">
        <f ca="1">IF(SUM(DT$24:DT143)=DT$22,0,IF(AND($M144&gt;=DT$15,$M144&lt;(DT$16+1)),DT$22/(DT$16-DT$15+1),0))</f>
        <v>0</v>
      </c>
      <c r="DU144" s="231">
        <f ca="1">IF(SUM(DU$24:DU143)=DU$22,0,IF(AND($M144&gt;=DU$15,$M144&lt;(DU$16+1)),DU$22/(DU$16-DU$15+1),0))</f>
        <v>0</v>
      </c>
      <c r="DV144" s="231">
        <f ca="1">IF(SUM(DV$24:DV143)=DV$22,0,IF(AND(M144&gt;=DV$15,M144&lt;(DV$16+1)),DV$22/(DV$16-DV$15+1),0))</f>
        <v>0</v>
      </c>
      <c r="DW144" s="231" t="e">
        <f ca="1">IF(SUM(DW$24:DW143)=DW$22,0,IF(AND($M144&gt;=DW$15,$M144&lt;(DW$16+1)),DW$22/(DW$16-DW$15+1),0))</f>
        <v>#N/A</v>
      </c>
      <c r="DX144" s="231">
        <f ca="1">IF(SUM(DX$24:DX143)=DX$22,0,IF(AND($M144&gt;=DX$15,$M144&lt;(DX$16+1)),DX$22/(DX$16-DX$15+1),0))</f>
        <v>0</v>
      </c>
      <c r="DY144" s="231">
        <f ca="1">IF(SUM(DY$24:DY143)=DY$22,0,IF(AND($M144&gt;=DY$15,$M144&lt;(DY$16+1)),DY$22/(DY$16-DY$15+1),0))</f>
        <v>0</v>
      </c>
      <c r="DZ144" s="231">
        <f ca="1">IF(SUM(DZ$24:DZ143)=DZ$22,0,IF(AND($M144&gt;=DZ$15,$M144&lt;(DZ$16+1)),DZ$22/(DZ$16-DZ$15+1),0))</f>
        <v>0</v>
      </c>
      <c r="EA144" s="231" t="e">
        <f ca="1">IF(SUM(EA$24:EA143)=EA$22,0,IF(AND(M144&gt;=EA$15,M144&lt;(EA$16+1)),EA$22/(EA$16-EA$15+1),0))</f>
        <v>#N/A</v>
      </c>
      <c r="EC144" s="234">
        <f t="shared" si="136"/>
        <v>117</v>
      </c>
      <c r="ED144" s="234" t="e">
        <f t="shared" ca="1" si="137"/>
        <v>#N/A</v>
      </c>
      <c r="EE144" s="235" t="e">
        <f t="shared" ca="1" si="138"/>
        <v>#N/A</v>
      </c>
      <c r="EF144" s="234" t="e">
        <f t="shared" ca="1" si="104"/>
        <v>#N/A</v>
      </c>
      <c r="EG144" s="234" t="e">
        <f t="shared" ca="1" si="106"/>
        <v>#N/A</v>
      </c>
      <c r="EH144" s="234" t="e">
        <f t="shared" ca="1" si="112"/>
        <v>#N/A</v>
      </c>
      <c r="EI144" s="234"/>
      <c r="EJ144" s="234"/>
      <c r="EK144" s="153" t="e">
        <f t="shared" ca="1" si="139"/>
        <v>#N/A</v>
      </c>
      <c r="EL144" s="231" t="e">
        <f ca="1">IF(SUM(EL$24:EL143)=EL$22,0,IF(AND($M144&gt;=EL$15,$M144&lt;(EL$16+1)),EL$22/(EL$16-EL$15+1),0))</f>
        <v>#N/A</v>
      </c>
      <c r="EM144" s="153" t="e">
        <f t="shared" ca="1" si="140"/>
        <v>#N/A</v>
      </c>
      <c r="EO144" s="60"/>
      <c r="EP144" s="60"/>
    </row>
    <row r="145" spans="1:146" ht="13.9" customHeight="1">
      <c r="A145" s="220"/>
      <c r="B145" s="236">
        <f t="shared" si="100"/>
        <v>118</v>
      </c>
      <c r="C145" s="221">
        <f t="shared" si="141"/>
        <v>47149.753900000185</v>
      </c>
      <c r="D145" s="222" t="e">
        <f ca="1">'Offshore INT'!R134</f>
        <v>#N/A</v>
      </c>
      <c r="E145" s="223" t="e">
        <f t="shared" ca="1" si="131"/>
        <v>#N/A</v>
      </c>
      <c r="F145" s="224"/>
      <c r="G145" s="225">
        <f>IF(G144=1,1,SUM($F$24:F145))</f>
        <v>0</v>
      </c>
      <c r="H145" s="226" t="e">
        <f ca="1">IF(H144=0,0,SUM($I$24:I145))</f>
        <v>#N/A</v>
      </c>
      <c r="I145" s="227" t="e">
        <f t="shared" ca="1" si="132"/>
        <v>#N/A</v>
      </c>
      <c r="J145" s="222">
        <f t="shared" ca="1" si="154"/>
        <v>0</v>
      </c>
      <c r="K145" s="60"/>
      <c r="L145" s="228"/>
      <c r="M145" s="228">
        <f t="shared" si="133"/>
        <v>118</v>
      </c>
      <c r="N145" s="221">
        <f t="shared" si="134"/>
        <v>47149.753900000185</v>
      </c>
      <c r="O145" s="229">
        <f t="shared" si="152"/>
        <v>0</v>
      </c>
      <c r="P145" s="229">
        <f t="shared" si="152"/>
        <v>0</v>
      </c>
      <c r="Q145" s="229">
        <f t="shared" si="152"/>
        <v>0</v>
      </c>
      <c r="R145" s="229">
        <f t="shared" si="152"/>
        <v>0</v>
      </c>
      <c r="S145" s="229">
        <f t="shared" si="152"/>
        <v>0</v>
      </c>
      <c r="T145" s="229">
        <f t="shared" si="152"/>
        <v>0</v>
      </c>
      <c r="U145" s="229">
        <f t="shared" si="152"/>
        <v>0</v>
      </c>
      <c r="V145" s="229">
        <f t="shared" si="152"/>
        <v>0</v>
      </c>
      <c r="W145" s="229">
        <f t="shared" si="152"/>
        <v>0</v>
      </c>
      <c r="X145" s="229">
        <f t="shared" si="152"/>
        <v>0</v>
      </c>
      <c r="Y145" s="229">
        <f t="shared" si="152"/>
        <v>0</v>
      </c>
      <c r="Z145" s="229">
        <f t="shared" si="152"/>
        <v>0</v>
      </c>
      <c r="AA145" s="229">
        <f t="shared" si="164"/>
        <v>0</v>
      </c>
      <c r="AB145" s="229">
        <f t="shared" si="164"/>
        <v>0</v>
      </c>
      <c r="AC145" s="229">
        <f t="shared" si="164"/>
        <v>0</v>
      </c>
      <c r="AD145" s="229">
        <f t="shared" si="164"/>
        <v>0</v>
      </c>
      <c r="AE145" s="229">
        <f t="shared" si="164"/>
        <v>0</v>
      </c>
      <c r="AF145" s="229">
        <f t="shared" si="164"/>
        <v>0</v>
      </c>
      <c r="AG145" s="229">
        <f t="shared" si="164"/>
        <v>0</v>
      </c>
      <c r="AH145" s="229">
        <f t="shared" si="164"/>
        <v>0</v>
      </c>
      <c r="AI145" s="229">
        <f t="shared" si="164"/>
        <v>0</v>
      </c>
      <c r="AJ145" s="229">
        <f t="shared" si="164"/>
        <v>0</v>
      </c>
      <c r="AK145" s="229">
        <f t="shared" si="164"/>
        <v>0</v>
      </c>
      <c r="AL145" s="229">
        <f t="shared" si="164"/>
        <v>0</v>
      </c>
      <c r="AM145" s="229">
        <f t="shared" si="164"/>
        <v>0</v>
      </c>
      <c r="AN145" s="229">
        <f t="shared" si="164"/>
        <v>0</v>
      </c>
      <c r="AO145" s="229">
        <f t="shared" si="164"/>
        <v>0</v>
      </c>
      <c r="AP145" s="229">
        <f t="shared" si="164"/>
        <v>0</v>
      </c>
      <c r="AQ145" s="229">
        <f t="shared" si="164"/>
        <v>0</v>
      </c>
      <c r="AR145" s="229">
        <f t="shared" si="164"/>
        <v>0</v>
      </c>
      <c r="AS145" s="229">
        <f t="shared" si="159"/>
        <v>0</v>
      </c>
      <c r="AT145" s="229">
        <f t="shared" si="159"/>
        <v>0</v>
      </c>
      <c r="AU145" s="229">
        <f t="shared" si="159"/>
        <v>0</v>
      </c>
      <c r="AV145" s="229">
        <f t="shared" si="159"/>
        <v>0</v>
      </c>
      <c r="AW145" s="229">
        <f t="shared" si="159"/>
        <v>0</v>
      </c>
      <c r="AX145" s="229">
        <f t="shared" si="164"/>
        <v>0</v>
      </c>
      <c r="AY145" s="229">
        <f t="shared" si="164"/>
        <v>0</v>
      </c>
      <c r="AZ145" s="229">
        <f t="shared" si="164"/>
        <v>0</v>
      </c>
      <c r="BA145" s="229">
        <f t="shared" si="164"/>
        <v>0</v>
      </c>
      <c r="BB145" s="229">
        <f t="shared" si="164"/>
        <v>0</v>
      </c>
      <c r="BC145" s="229">
        <f t="shared" si="164"/>
        <v>0</v>
      </c>
      <c r="BD145" s="229">
        <f t="shared" si="165"/>
        <v>0</v>
      </c>
      <c r="BE145" s="229">
        <f t="shared" si="165"/>
        <v>0</v>
      </c>
      <c r="BF145" s="229">
        <f t="shared" si="165"/>
        <v>0</v>
      </c>
      <c r="BG145" s="229">
        <f t="shared" si="165"/>
        <v>0</v>
      </c>
      <c r="BH145" s="229">
        <f t="shared" si="165"/>
        <v>0</v>
      </c>
      <c r="BI145" s="229">
        <f t="shared" si="165"/>
        <v>0</v>
      </c>
      <c r="BJ145" s="229">
        <f t="shared" si="165"/>
        <v>0</v>
      </c>
      <c r="BK145" s="229">
        <f t="shared" si="165"/>
        <v>0</v>
      </c>
      <c r="BL145" s="229">
        <f t="shared" si="165"/>
        <v>0</v>
      </c>
      <c r="BM145" s="229">
        <f t="shared" si="165"/>
        <v>0</v>
      </c>
      <c r="BN145" s="229">
        <f t="shared" si="165"/>
        <v>0</v>
      </c>
      <c r="BO145" s="229">
        <f t="shared" si="165"/>
        <v>0</v>
      </c>
      <c r="BP145" s="229">
        <f t="shared" si="165"/>
        <v>0</v>
      </c>
      <c r="BQ145" s="229">
        <f t="shared" si="166"/>
        <v>0</v>
      </c>
      <c r="BR145" s="229">
        <f t="shared" si="166"/>
        <v>0</v>
      </c>
      <c r="BS145" s="229">
        <f t="shared" si="166"/>
        <v>0</v>
      </c>
      <c r="BT145" s="229">
        <f t="shared" si="166"/>
        <v>0</v>
      </c>
      <c r="BU145" s="229">
        <f t="shared" si="166"/>
        <v>0</v>
      </c>
      <c r="BV145" s="229">
        <f t="shared" si="166"/>
        <v>0</v>
      </c>
      <c r="BW145" s="229">
        <f t="shared" si="166"/>
        <v>0</v>
      </c>
      <c r="BX145" s="229">
        <f t="shared" si="166"/>
        <v>0</v>
      </c>
      <c r="BY145" s="229">
        <f t="shared" si="166"/>
        <v>0</v>
      </c>
      <c r="BZ145" s="229">
        <f t="shared" si="166"/>
        <v>0</v>
      </c>
      <c r="CA145" s="229">
        <f t="shared" si="166"/>
        <v>0</v>
      </c>
      <c r="CB145" s="229">
        <f t="shared" si="166"/>
        <v>0</v>
      </c>
      <c r="CC145" s="229">
        <f t="shared" si="166"/>
        <v>0</v>
      </c>
      <c r="CD145" s="229">
        <f t="shared" si="167"/>
        <v>0</v>
      </c>
      <c r="CE145" s="229">
        <f t="shared" si="160"/>
        <v>0</v>
      </c>
      <c r="CF145" s="229">
        <f t="shared" si="167"/>
        <v>0</v>
      </c>
      <c r="CG145" s="229">
        <f t="shared" si="167"/>
        <v>0</v>
      </c>
      <c r="CH145" s="229">
        <f t="shared" si="167"/>
        <v>0</v>
      </c>
      <c r="CI145" s="229">
        <f t="shared" si="167"/>
        <v>0</v>
      </c>
      <c r="CJ145" s="229">
        <f t="shared" si="153"/>
        <v>0</v>
      </c>
      <c r="CK145" s="229">
        <f t="shared" si="167"/>
        <v>0</v>
      </c>
      <c r="CL145" s="229">
        <f t="shared" si="167"/>
        <v>0</v>
      </c>
      <c r="CM145" s="229">
        <f t="shared" si="167"/>
        <v>0</v>
      </c>
      <c r="CN145" s="229">
        <f t="shared" si="167"/>
        <v>0</v>
      </c>
      <c r="CO145" s="229">
        <f t="shared" si="163"/>
        <v>0</v>
      </c>
      <c r="CP145" s="229">
        <f t="shared" si="163"/>
        <v>0</v>
      </c>
      <c r="CQ145" s="229">
        <f t="shared" si="167"/>
        <v>0</v>
      </c>
      <c r="CR145" s="229">
        <f t="shared" si="167"/>
        <v>0</v>
      </c>
      <c r="CS145" s="229">
        <f t="shared" si="167"/>
        <v>0</v>
      </c>
      <c r="CT145" s="229">
        <f t="shared" si="167"/>
        <v>0</v>
      </c>
      <c r="CU145" s="230"/>
      <c r="CV145" s="231"/>
      <c r="CW145" s="231"/>
      <c r="CX145" s="231"/>
      <c r="CY145" s="231"/>
      <c r="CZ145" s="231"/>
      <c r="DA145" s="231"/>
      <c r="DB145" s="231"/>
      <c r="DC145" s="231"/>
      <c r="DD145" s="231">
        <f>IF(SUM(DD$24:DD144)=DD$22,0,IF(AND($M145&gt;=DD$15,$M145&lt;(DD$16+1)),DD$22/(DD$16-DD$15+1),0))</f>
        <v>0</v>
      </c>
      <c r="DE145" s="231">
        <f>IF(SUM(DE$24:DE144)=DE$22,0,IF(AND($M145&gt;=DE$15,$M145&lt;(DE$16+1)),DE$22/(DE$16-DE$15+1),0))</f>
        <v>0</v>
      </c>
      <c r="DF145" s="231">
        <f>IF(SUM(DF$24:DF144)=DF$22,0,IF(AND($M145&gt;=DF$15,$M145&lt;(DF$16+1)),DF$22/(DF$16-DF$15+1),0))</f>
        <v>0</v>
      </c>
      <c r="DG145" s="231">
        <f>IF(SUM(DG$24:DG144)=DG$22,0,IF(AND($M145&gt;=DG$15,$M145&lt;(DG$16+1)),DG$22/(DG$16-DG$15+1),0))</f>
        <v>0</v>
      </c>
      <c r="DH145" s="231">
        <f t="shared" si="151"/>
        <v>0</v>
      </c>
      <c r="DI145" s="231">
        <f t="shared" si="151"/>
        <v>0</v>
      </c>
      <c r="DJ145" s="231">
        <f t="shared" si="151"/>
        <v>0</v>
      </c>
      <c r="DK145" s="231">
        <f t="shared" si="151"/>
        <v>0</v>
      </c>
      <c r="DL145" s="231">
        <f t="shared" si="151"/>
        <v>0</v>
      </c>
      <c r="DM145" s="231">
        <f t="shared" ref="DM145:DN153" si="168">IF(AND($M145&gt;=DM$15,$M145&lt;(DM$16+1)),DM$22/(DM$16-DM$15+1),0)</f>
        <v>0</v>
      </c>
      <c r="DN145" s="231">
        <f t="shared" si="168"/>
        <v>0</v>
      </c>
      <c r="DO145" s="231">
        <f t="shared" si="151"/>
        <v>0</v>
      </c>
      <c r="DP145" s="231">
        <f t="shared" si="162"/>
        <v>0</v>
      </c>
      <c r="DQ145" s="231">
        <f t="shared" si="162"/>
        <v>0</v>
      </c>
      <c r="DR145" s="231">
        <f t="shared" si="162"/>
        <v>0</v>
      </c>
      <c r="DS145" s="231">
        <f t="shared" si="162"/>
        <v>0</v>
      </c>
      <c r="DT145" s="231">
        <f ca="1">IF(SUM(DT$24:DT144)=DT$22,0,IF(AND($M145&gt;=DT$15,$M145&lt;(DT$16+1)),DT$22/(DT$16-DT$15+1),0))</f>
        <v>0</v>
      </c>
      <c r="DU145" s="231">
        <f ca="1">IF(SUM(DU$24:DU144)=DU$22,0,IF(AND($M145&gt;=DU$15,$M145&lt;(DU$16+1)),DU$22/(DU$16-DU$15+1),0))</f>
        <v>0</v>
      </c>
      <c r="DV145" s="231">
        <f ca="1">IF(SUM(DV$24:DV144)=DV$22,0,IF(AND(M145&gt;=DV$15,M145&lt;(DV$16+1)),DV$22/(DV$16-DV$15+1),0))</f>
        <v>0</v>
      </c>
      <c r="DW145" s="231" t="e">
        <f ca="1">IF(SUM(DW$24:DW144)=DW$22,0,IF(AND($M145&gt;=DW$15,$M145&lt;(DW$16+1)),DW$22/(DW$16-DW$15+1),0))</f>
        <v>#N/A</v>
      </c>
      <c r="DX145" s="231">
        <f ca="1">IF(SUM(DX$24:DX144)=DX$22,0,IF(AND($M145&gt;=DX$15,$M145&lt;(DX$16+1)),DX$22/(DX$16-DX$15+1),0))</f>
        <v>0</v>
      </c>
      <c r="DY145" s="231">
        <f ca="1">IF(SUM(DY$24:DY144)=DY$22,0,IF(AND($M145&gt;=DY$15,$M145&lt;(DY$16+1)),DY$22/(DY$16-DY$15+1),0))</f>
        <v>0</v>
      </c>
      <c r="DZ145" s="231">
        <f ca="1">IF(SUM(DZ$24:DZ144)=DZ$22,0,IF(AND($M145&gt;=DZ$15,$M145&lt;(DZ$16+1)),DZ$22/(DZ$16-DZ$15+1),0))</f>
        <v>0</v>
      </c>
      <c r="EA145" s="231" t="e">
        <f ca="1">IF(SUM(EA$24:EA144)=EA$22,0,IF(AND(M145&gt;=EA$15,M145&lt;(EA$16+1)),EA$22/(EA$16-EA$15+1),0))</f>
        <v>#N/A</v>
      </c>
      <c r="EC145" s="234">
        <f t="shared" si="136"/>
        <v>118</v>
      </c>
      <c r="ED145" s="234" t="e">
        <f t="shared" ca="1" si="137"/>
        <v>#N/A</v>
      </c>
      <c r="EE145" s="235" t="e">
        <f t="shared" ca="1" si="138"/>
        <v>#N/A</v>
      </c>
      <c r="EF145" s="234" t="e">
        <f t="shared" ca="1" si="104"/>
        <v>#N/A</v>
      </c>
      <c r="EG145" s="234" t="e">
        <f t="shared" ca="1" si="106"/>
        <v>#N/A</v>
      </c>
      <c r="EH145" s="234" t="e">
        <f t="shared" ca="1" si="112"/>
        <v>#N/A</v>
      </c>
      <c r="EI145" s="234"/>
      <c r="EJ145" s="234"/>
      <c r="EK145" s="153" t="e">
        <f t="shared" ca="1" si="139"/>
        <v>#N/A</v>
      </c>
      <c r="EL145" s="231" t="e">
        <f ca="1">IF(SUM(EL$24:EL144)=EL$22,0,IF(AND($M145&gt;=EL$15,$M145&lt;(EL$16+1)),EL$22/(EL$16-EL$15+1),0))</f>
        <v>#N/A</v>
      </c>
      <c r="EM145" s="153" t="e">
        <f t="shared" ca="1" si="140"/>
        <v>#N/A</v>
      </c>
      <c r="EO145" s="60"/>
      <c r="EP145" s="60"/>
    </row>
    <row r="146" spans="1:146" ht="13.9" customHeight="1">
      <c r="A146" s="220"/>
      <c r="B146" s="236">
        <f t="shared" si="100"/>
        <v>119</v>
      </c>
      <c r="C146" s="221">
        <f t="shared" si="141"/>
        <v>47180.170600000187</v>
      </c>
      <c r="D146" s="222" t="e">
        <f ca="1">'Offshore INT'!R135</f>
        <v>#N/A</v>
      </c>
      <c r="E146" s="223" t="e">
        <f t="shared" ca="1" si="131"/>
        <v>#N/A</v>
      </c>
      <c r="F146" s="224"/>
      <c r="G146" s="225">
        <f>IF(G145=1,1,SUM($F$24:F146))</f>
        <v>0</v>
      </c>
      <c r="H146" s="226" t="e">
        <f ca="1">IF(H145=0,0,SUM($I$24:I146))</f>
        <v>#N/A</v>
      </c>
      <c r="I146" s="227" t="e">
        <f t="shared" ca="1" si="132"/>
        <v>#N/A</v>
      </c>
      <c r="J146" s="222">
        <f t="shared" ca="1" si="154"/>
        <v>0</v>
      </c>
      <c r="K146" s="60"/>
      <c r="L146" s="228"/>
      <c r="M146" s="228">
        <f t="shared" si="133"/>
        <v>119</v>
      </c>
      <c r="N146" s="221">
        <f t="shared" si="134"/>
        <v>47180.170600000187</v>
      </c>
      <c r="O146" s="229">
        <f t="shared" si="152"/>
        <v>0</v>
      </c>
      <c r="P146" s="229">
        <f t="shared" si="152"/>
        <v>0</v>
      </c>
      <c r="Q146" s="229">
        <f t="shared" si="152"/>
        <v>0</v>
      </c>
      <c r="R146" s="229">
        <f t="shared" si="152"/>
        <v>0</v>
      </c>
      <c r="S146" s="229">
        <f t="shared" si="152"/>
        <v>0</v>
      </c>
      <c r="T146" s="229">
        <f t="shared" si="152"/>
        <v>0</v>
      </c>
      <c r="U146" s="229">
        <f t="shared" si="152"/>
        <v>0</v>
      </c>
      <c r="V146" s="229">
        <f t="shared" si="152"/>
        <v>0</v>
      </c>
      <c r="W146" s="229">
        <f t="shared" si="152"/>
        <v>0</v>
      </c>
      <c r="X146" s="229">
        <f t="shared" si="152"/>
        <v>0</v>
      </c>
      <c r="Y146" s="229">
        <f t="shared" si="152"/>
        <v>0</v>
      </c>
      <c r="Z146" s="229">
        <f t="shared" si="152"/>
        <v>0</v>
      </c>
      <c r="AA146" s="229">
        <f t="shared" si="164"/>
        <v>0</v>
      </c>
      <c r="AB146" s="229">
        <f t="shared" si="164"/>
        <v>0</v>
      </c>
      <c r="AC146" s="229">
        <f t="shared" si="164"/>
        <v>0</v>
      </c>
      <c r="AD146" s="229">
        <f t="shared" si="164"/>
        <v>0</v>
      </c>
      <c r="AE146" s="229">
        <f t="shared" si="164"/>
        <v>0</v>
      </c>
      <c r="AF146" s="229">
        <f t="shared" si="164"/>
        <v>0</v>
      </c>
      <c r="AG146" s="229">
        <f t="shared" si="164"/>
        <v>0</v>
      </c>
      <c r="AH146" s="229">
        <f t="shared" si="164"/>
        <v>0</v>
      </c>
      <c r="AI146" s="229">
        <f t="shared" si="164"/>
        <v>0</v>
      </c>
      <c r="AJ146" s="229">
        <f t="shared" si="164"/>
        <v>0</v>
      </c>
      <c r="AK146" s="229">
        <f t="shared" si="164"/>
        <v>0</v>
      </c>
      <c r="AL146" s="229">
        <f t="shared" si="164"/>
        <v>0</v>
      </c>
      <c r="AM146" s="229">
        <f t="shared" si="164"/>
        <v>0</v>
      </c>
      <c r="AN146" s="229">
        <f t="shared" si="164"/>
        <v>0</v>
      </c>
      <c r="AO146" s="229">
        <f t="shared" si="164"/>
        <v>0</v>
      </c>
      <c r="AP146" s="229">
        <f t="shared" si="164"/>
        <v>0</v>
      </c>
      <c r="AQ146" s="229">
        <f t="shared" si="164"/>
        <v>0</v>
      </c>
      <c r="AR146" s="229">
        <f t="shared" si="164"/>
        <v>0</v>
      </c>
      <c r="AS146" s="229">
        <f t="shared" si="159"/>
        <v>0</v>
      </c>
      <c r="AT146" s="229">
        <f t="shared" si="159"/>
        <v>0</v>
      </c>
      <c r="AU146" s="229">
        <f t="shared" si="159"/>
        <v>0</v>
      </c>
      <c r="AV146" s="229">
        <f t="shared" si="159"/>
        <v>0</v>
      </c>
      <c r="AW146" s="229">
        <f t="shared" si="159"/>
        <v>0</v>
      </c>
      <c r="AX146" s="229">
        <f t="shared" si="164"/>
        <v>0</v>
      </c>
      <c r="AY146" s="229">
        <f t="shared" si="164"/>
        <v>0</v>
      </c>
      <c r="AZ146" s="229">
        <f t="shared" si="164"/>
        <v>0</v>
      </c>
      <c r="BA146" s="229">
        <f t="shared" si="164"/>
        <v>0</v>
      </c>
      <c r="BB146" s="229">
        <f t="shared" si="164"/>
        <v>0</v>
      </c>
      <c r="BC146" s="229">
        <f t="shared" si="164"/>
        <v>0</v>
      </c>
      <c r="BD146" s="229">
        <f t="shared" si="165"/>
        <v>0</v>
      </c>
      <c r="BE146" s="229">
        <f t="shared" si="165"/>
        <v>0</v>
      </c>
      <c r="BF146" s="229">
        <f t="shared" si="165"/>
        <v>0</v>
      </c>
      <c r="BG146" s="229">
        <f t="shared" si="165"/>
        <v>0</v>
      </c>
      <c r="BH146" s="229">
        <f t="shared" si="165"/>
        <v>0</v>
      </c>
      <c r="BI146" s="229">
        <f t="shared" si="165"/>
        <v>0</v>
      </c>
      <c r="BJ146" s="229">
        <f t="shared" si="165"/>
        <v>0</v>
      </c>
      <c r="BK146" s="229">
        <f t="shared" si="165"/>
        <v>0</v>
      </c>
      <c r="BL146" s="229">
        <f t="shared" si="165"/>
        <v>0</v>
      </c>
      <c r="BM146" s="229">
        <f t="shared" si="165"/>
        <v>0</v>
      </c>
      <c r="BN146" s="229">
        <f t="shared" si="165"/>
        <v>0</v>
      </c>
      <c r="BO146" s="229">
        <f t="shared" si="165"/>
        <v>0</v>
      </c>
      <c r="BP146" s="229">
        <f t="shared" si="165"/>
        <v>0</v>
      </c>
      <c r="BQ146" s="229">
        <f t="shared" si="166"/>
        <v>0</v>
      </c>
      <c r="BR146" s="229">
        <f t="shared" si="166"/>
        <v>0</v>
      </c>
      <c r="BS146" s="229">
        <f t="shared" si="166"/>
        <v>0</v>
      </c>
      <c r="BT146" s="229">
        <f t="shared" si="166"/>
        <v>0</v>
      </c>
      <c r="BU146" s="229">
        <f t="shared" si="166"/>
        <v>0</v>
      </c>
      <c r="BV146" s="229">
        <f t="shared" si="166"/>
        <v>0</v>
      </c>
      <c r="BW146" s="229">
        <f t="shared" si="166"/>
        <v>0</v>
      </c>
      <c r="BX146" s="229">
        <f t="shared" si="166"/>
        <v>0</v>
      </c>
      <c r="BY146" s="229">
        <f t="shared" si="166"/>
        <v>0</v>
      </c>
      <c r="BZ146" s="229">
        <f t="shared" si="166"/>
        <v>0</v>
      </c>
      <c r="CA146" s="229">
        <f t="shared" si="166"/>
        <v>0</v>
      </c>
      <c r="CB146" s="229">
        <f t="shared" si="166"/>
        <v>0</v>
      </c>
      <c r="CC146" s="229">
        <f t="shared" si="166"/>
        <v>0</v>
      </c>
      <c r="CD146" s="229">
        <f t="shared" si="167"/>
        <v>0</v>
      </c>
      <c r="CE146" s="229">
        <f t="shared" si="160"/>
        <v>0</v>
      </c>
      <c r="CF146" s="229">
        <f t="shared" si="167"/>
        <v>0</v>
      </c>
      <c r="CG146" s="229">
        <f t="shared" si="167"/>
        <v>0</v>
      </c>
      <c r="CH146" s="229">
        <f t="shared" si="167"/>
        <v>0</v>
      </c>
      <c r="CI146" s="229">
        <f t="shared" si="167"/>
        <v>0</v>
      </c>
      <c r="CJ146" s="229">
        <f t="shared" si="153"/>
        <v>0</v>
      </c>
      <c r="CK146" s="229">
        <f t="shared" si="167"/>
        <v>0</v>
      </c>
      <c r="CL146" s="229">
        <f t="shared" si="167"/>
        <v>0</v>
      </c>
      <c r="CM146" s="229">
        <f t="shared" si="167"/>
        <v>0</v>
      </c>
      <c r="CN146" s="229">
        <f t="shared" si="167"/>
        <v>0</v>
      </c>
      <c r="CO146" s="229">
        <f t="shared" si="163"/>
        <v>0</v>
      </c>
      <c r="CP146" s="229">
        <f t="shared" si="163"/>
        <v>0</v>
      </c>
      <c r="CQ146" s="229">
        <f t="shared" si="167"/>
        <v>0</v>
      </c>
      <c r="CR146" s="229">
        <f t="shared" si="167"/>
        <v>0</v>
      </c>
      <c r="CS146" s="229">
        <f t="shared" si="167"/>
        <v>0</v>
      </c>
      <c r="CT146" s="229">
        <f t="shared" si="167"/>
        <v>0</v>
      </c>
      <c r="CU146" s="230"/>
      <c r="CV146" s="231"/>
      <c r="CW146" s="231"/>
      <c r="CX146" s="231"/>
      <c r="CY146" s="231"/>
      <c r="CZ146" s="231"/>
      <c r="DA146" s="231"/>
      <c r="DB146" s="231"/>
      <c r="DC146" s="231"/>
      <c r="DD146" s="231">
        <f>IF(SUM(DD$24:DD145)=DD$22,0,IF(AND($M146&gt;=DD$15,$M146&lt;(DD$16+1)),DD$22/(DD$16-DD$15+1),0))</f>
        <v>0</v>
      </c>
      <c r="DE146" s="231">
        <f>IF(SUM(DE$24:DE145)=DE$22,0,IF(AND($M146&gt;=DE$15,$M146&lt;(DE$16+1)),DE$22/(DE$16-DE$15+1),0))</f>
        <v>0</v>
      </c>
      <c r="DF146" s="231">
        <f>IF(SUM(DF$24:DF145)=DF$22,0,IF(AND($M146&gt;=DF$15,$M146&lt;(DF$16+1)),DF$22/(DF$16-DF$15+1),0))</f>
        <v>0</v>
      </c>
      <c r="DG146" s="231">
        <f>IF(SUM(DG$24:DG145)=DG$22,0,IF(AND($M146&gt;=DG$15,$M146&lt;(DG$16+1)),DG$22/(DG$16-DG$15+1),0))</f>
        <v>0</v>
      </c>
      <c r="DH146" s="231">
        <f t="shared" si="151"/>
        <v>0</v>
      </c>
      <c r="DI146" s="231">
        <f t="shared" si="151"/>
        <v>0</v>
      </c>
      <c r="DJ146" s="231">
        <f t="shared" si="151"/>
        <v>0</v>
      </c>
      <c r="DK146" s="231">
        <f t="shared" si="151"/>
        <v>0</v>
      </c>
      <c r="DL146" s="231">
        <f t="shared" si="151"/>
        <v>0</v>
      </c>
      <c r="DM146" s="231">
        <f t="shared" si="168"/>
        <v>0</v>
      </c>
      <c r="DN146" s="231">
        <f t="shared" si="168"/>
        <v>0</v>
      </c>
      <c r="DO146" s="231">
        <f t="shared" si="151"/>
        <v>0</v>
      </c>
      <c r="DP146" s="231">
        <f t="shared" si="162"/>
        <v>0</v>
      </c>
      <c r="DQ146" s="231">
        <f t="shared" si="162"/>
        <v>0</v>
      </c>
      <c r="DR146" s="231">
        <f t="shared" si="162"/>
        <v>0</v>
      </c>
      <c r="DS146" s="231">
        <f t="shared" si="162"/>
        <v>0</v>
      </c>
      <c r="DT146" s="231">
        <f ca="1">IF(SUM(DT$24:DT145)=DT$22,0,IF(AND($M146&gt;=DT$15,$M146&lt;(DT$16+1)),DT$22/(DT$16-DT$15+1),0))</f>
        <v>0</v>
      </c>
      <c r="DU146" s="231">
        <f ca="1">IF(SUM(DU$24:DU145)=DU$22,0,IF(AND($M146&gt;=DU$15,$M146&lt;(DU$16+1)),DU$22/(DU$16-DU$15+1),0))</f>
        <v>0</v>
      </c>
      <c r="DV146" s="231">
        <f ca="1">IF(SUM(DV$24:DV145)=DV$22,0,IF(AND(M146&gt;=DV$15,M146&lt;(DV$16+1)),DV$22/(DV$16-DV$15+1),0))</f>
        <v>0</v>
      </c>
      <c r="DW146" s="231" t="e">
        <f ca="1">IF(SUM(DW$24:DW145)=DW$22,0,IF(AND($M146&gt;=DW$15,$M146&lt;(DW$16+1)),DW$22/(DW$16-DW$15+1),0))</f>
        <v>#N/A</v>
      </c>
      <c r="DX146" s="231">
        <f ca="1">IF(SUM(DX$24:DX145)=DX$22,0,IF(AND($M146&gt;=DX$15,$M146&lt;(DX$16+1)),DX$22/(DX$16-DX$15+1),0))</f>
        <v>0</v>
      </c>
      <c r="DY146" s="231">
        <f ca="1">IF(SUM(DY$24:DY145)=DY$22,0,IF(AND($M146&gt;=DY$15,$M146&lt;(DY$16+1)),DY$22/(DY$16-DY$15+1),0))</f>
        <v>0</v>
      </c>
      <c r="DZ146" s="231">
        <f ca="1">IF(SUM(DZ$24:DZ145)=DZ$22,0,IF(AND($M146&gt;=DZ$15,$M146&lt;(DZ$16+1)),DZ$22/(DZ$16-DZ$15+1),0))</f>
        <v>0</v>
      </c>
      <c r="EA146" s="231" t="e">
        <f ca="1">IF(SUM(EA$24:EA145)=EA$22,0,IF(AND(M146&gt;=EA$15,M146&lt;(EA$16+1)),EA$22/(EA$16-EA$15+1),0))</f>
        <v>#N/A</v>
      </c>
      <c r="EC146" s="234">
        <f t="shared" si="136"/>
        <v>119</v>
      </c>
      <c r="ED146" s="234" t="e">
        <f t="shared" ca="1" si="137"/>
        <v>#N/A</v>
      </c>
      <c r="EE146" s="235" t="e">
        <f t="shared" ca="1" si="138"/>
        <v>#N/A</v>
      </c>
      <c r="EF146" s="234" t="e">
        <f t="shared" ca="1" si="104"/>
        <v>#N/A</v>
      </c>
      <c r="EG146" s="234" t="e">
        <f t="shared" ca="1" si="106"/>
        <v>#N/A</v>
      </c>
      <c r="EH146" s="234" t="e">
        <f t="shared" ca="1" si="112"/>
        <v>#N/A</v>
      </c>
      <c r="EI146" s="234"/>
      <c r="EJ146" s="234"/>
      <c r="EK146" s="153" t="e">
        <f t="shared" ca="1" si="139"/>
        <v>#N/A</v>
      </c>
      <c r="EL146" s="231" t="e">
        <f ca="1">IF(SUM(EL$24:EL145)=EL$22,0,IF(AND($M146&gt;=EL$15,$M146&lt;(EL$16+1)),EL$22/(EL$16-EL$15+1),0))</f>
        <v>#N/A</v>
      </c>
      <c r="EM146" s="153" t="e">
        <f t="shared" ca="1" si="140"/>
        <v>#N/A</v>
      </c>
      <c r="EO146" s="60"/>
      <c r="EP146" s="60"/>
    </row>
    <row r="147" spans="1:146" ht="13.9" customHeight="1">
      <c r="A147" s="220"/>
      <c r="B147" s="236">
        <f t="shared" si="100"/>
        <v>120</v>
      </c>
      <c r="C147" s="221">
        <f t="shared" si="141"/>
        <v>47210.587300000188</v>
      </c>
      <c r="D147" s="222" t="e">
        <f ca="1">'Offshore INT'!R136</f>
        <v>#N/A</v>
      </c>
      <c r="E147" s="223" t="e">
        <f t="shared" ca="1" si="131"/>
        <v>#N/A</v>
      </c>
      <c r="F147" s="224"/>
      <c r="G147" s="225">
        <f>IF(G146=1,1,SUM($F$24:F147))</f>
        <v>0</v>
      </c>
      <c r="H147" s="226" t="e">
        <f ca="1">IF(H146=0,0,SUM($I$24:I147))</f>
        <v>#N/A</v>
      </c>
      <c r="I147" s="227" t="e">
        <f t="shared" ca="1" si="132"/>
        <v>#N/A</v>
      </c>
      <c r="J147" s="222">
        <f t="shared" ca="1" si="154"/>
        <v>0</v>
      </c>
      <c r="K147" s="60"/>
      <c r="L147" s="228"/>
      <c r="M147" s="228">
        <f t="shared" si="133"/>
        <v>120</v>
      </c>
      <c r="N147" s="221">
        <f t="shared" si="134"/>
        <v>47210.587300000188</v>
      </c>
      <c r="O147" s="229">
        <f t="shared" si="152"/>
        <v>0</v>
      </c>
      <c r="P147" s="229">
        <f t="shared" si="152"/>
        <v>0</v>
      </c>
      <c r="Q147" s="229">
        <f t="shared" si="152"/>
        <v>0</v>
      </c>
      <c r="R147" s="229">
        <f t="shared" si="152"/>
        <v>0</v>
      </c>
      <c r="S147" s="229">
        <f t="shared" si="152"/>
        <v>0</v>
      </c>
      <c r="T147" s="229">
        <f t="shared" si="152"/>
        <v>0</v>
      </c>
      <c r="U147" s="229">
        <f t="shared" si="152"/>
        <v>0</v>
      </c>
      <c r="V147" s="229">
        <f t="shared" si="152"/>
        <v>0</v>
      </c>
      <c r="W147" s="229">
        <f t="shared" si="152"/>
        <v>0</v>
      </c>
      <c r="X147" s="229">
        <f t="shared" si="152"/>
        <v>0</v>
      </c>
      <c r="Y147" s="229">
        <f t="shared" si="152"/>
        <v>0</v>
      </c>
      <c r="Z147" s="229">
        <f t="shared" si="152"/>
        <v>0</v>
      </c>
      <c r="AA147" s="229">
        <f t="shared" si="164"/>
        <v>0</v>
      </c>
      <c r="AB147" s="229">
        <f t="shared" si="164"/>
        <v>0</v>
      </c>
      <c r="AC147" s="229">
        <f t="shared" si="164"/>
        <v>0</v>
      </c>
      <c r="AD147" s="229">
        <f t="shared" si="164"/>
        <v>0</v>
      </c>
      <c r="AE147" s="229">
        <f t="shared" si="164"/>
        <v>0</v>
      </c>
      <c r="AF147" s="229">
        <f t="shared" si="164"/>
        <v>0</v>
      </c>
      <c r="AG147" s="229">
        <f t="shared" si="164"/>
        <v>0</v>
      </c>
      <c r="AH147" s="229">
        <f t="shared" si="164"/>
        <v>0</v>
      </c>
      <c r="AI147" s="229">
        <f t="shared" si="164"/>
        <v>0</v>
      </c>
      <c r="AJ147" s="229">
        <f t="shared" si="164"/>
        <v>0</v>
      </c>
      <c r="AK147" s="229">
        <f t="shared" si="164"/>
        <v>0</v>
      </c>
      <c r="AL147" s="229">
        <f t="shared" si="164"/>
        <v>0</v>
      </c>
      <c r="AM147" s="229">
        <f t="shared" si="164"/>
        <v>0</v>
      </c>
      <c r="AN147" s="229">
        <f t="shared" si="164"/>
        <v>0</v>
      </c>
      <c r="AO147" s="229">
        <f t="shared" si="164"/>
        <v>0</v>
      </c>
      <c r="AP147" s="229">
        <f t="shared" si="164"/>
        <v>0</v>
      </c>
      <c r="AQ147" s="229">
        <f t="shared" si="164"/>
        <v>0</v>
      </c>
      <c r="AR147" s="229">
        <f t="shared" si="164"/>
        <v>0</v>
      </c>
      <c r="AS147" s="229">
        <f t="shared" si="159"/>
        <v>0</v>
      </c>
      <c r="AT147" s="229">
        <f t="shared" si="159"/>
        <v>0</v>
      </c>
      <c r="AU147" s="229">
        <f t="shared" si="159"/>
        <v>0</v>
      </c>
      <c r="AV147" s="229">
        <f t="shared" si="159"/>
        <v>0</v>
      </c>
      <c r="AW147" s="229">
        <f t="shared" si="159"/>
        <v>0</v>
      </c>
      <c r="AX147" s="229">
        <f t="shared" si="164"/>
        <v>0</v>
      </c>
      <c r="AY147" s="229">
        <f t="shared" si="164"/>
        <v>0</v>
      </c>
      <c r="AZ147" s="229">
        <f t="shared" si="164"/>
        <v>0</v>
      </c>
      <c r="BA147" s="229">
        <f t="shared" si="164"/>
        <v>0</v>
      </c>
      <c r="BB147" s="229">
        <f t="shared" si="164"/>
        <v>0</v>
      </c>
      <c r="BC147" s="229">
        <f t="shared" si="164"/>
        <v>0</v>
      </c>
      <c r="BD147" s="229">
        <f t="shared" si="165"/>
        <v>0</v>
      </c>
      <c r="BE147" s="229">
        <f t="shared" si="165"/>
        <v>0</v>
      </c>
      <c r="BF147" s="229">
        <f t="shared" si="165"/>
        <v>0</v>
      </c>
      <c r="BG147" s="229">
        <f t="shared" si="165"/>
        <v>0</v>
      </c>
      <c r="BH147" s="229">
        <f t="shared" si="165"/>
        <v>0</v>
      </c>
      <c r="BI147" s="229">
        <f t="shared" si="165"/>
        <v>0</v>
      </c>
      <c r="BJ147" s="229">
        <f t="shared" si="165"/>
        <v>0</v>
      </c>
      <c r="BK147" s="229">
        <f t="shared" si="165"/>
        <v>0</v>
      </c>
      <c r="BL147" s="229">
        <f t="shared" si="165"/>
        <v>0</v>
      </c>
      <c r="BM147" s="229">
        <f t="shared" si="165"/>
        <v>0</v>
      </c>
      <c r="BN147" s="229">
        <f t="shared" si="165"/>
        <v>0</v>
      </c>
      <c r="BO147" s="229">
        <f t="shared" si="165"/>
        <v>0</v>
      </c>
      <c r="BP147" s="229">
        <f t="shared" si="165"/>
        <v>0</v>
      </c>
      <c r="BQ147" s="229">
        <f t="shared" si="166"/>
        <v>0</v>
      </c>
      <c r="BR147" s="229">
        <f t="shared" si="166"/>
        <v>0</v>
      </c>
      <c r="BS147" s="229">
        <f t="shared" si="166"/>
        <v>0</v>
      </c>
      <c r="BT147" s="229">
        <f t="shared" si="166"/>
        <v>0</v>
      </c>
      <c r="BU147" s="229">
        <f t="shared" si="166"/>
        <v>0</v>
      </c>
      <c r="BV147" s="229">
        <f t="shared" si="166"/>
        <v>0</v>
      </c>
      <c r="BW147" s="229">
        <f t="shared" si="166"/>
        <v>0</v>
      </c>
      <c r="BX147" s="229">
        <f t="shared" si="166"/>
        <v>0</v>
      </c>
      <c r="BY147" s="229">
        <f t="shared" si="166"/>
        <v>0</v>
      </c>
      <c r="BZ147" s="229">
        <f t="shared" si="166"/>
        <v>0</v>
      </c>
      <c r="CA147" s="229">
        <f t="shared" si="166"/>
        <v>0</v>
      </c>
      <c r="CB147" s="229">
        <f t="shared" si="166"/>
        <v>0</v>
      </c>
      <c r="CC147" s="229">
        <f t="shared" si="166"/>
        <v>0</v>
      </c>
      <c r="CD147" s="229">
        <f t="shared" si="167"/>
        <v>0</v>
      </c>
      <c r="CE147" s="229">
        <f t="shared" si="160"/>
        <v>0</v>
      </c>
      <c r="CF147" s="229">
        <f t="shared" si="167"/>
        <v>0</v>
      </c>
      <c r="CG147" s="229">
        <f t="shared" si="167"/>
        <v>0</v>
      </c>
      <c r="CH147" s="229">
        <f t="shared" si="167"/>
        <v>0</v>
      </c>
      <c r="CI147" s="229">
        <f t="shared" si="167"/>
        <v>0</v>
      </c>
      <c r="CJ147" s="229">
        <f t="shared" si="153"/>
        <v>0</v>
      </c>
      <c r="CK147" s="229">
        <f t="shared" si="167"/>
        <v>0</v>
      </c>
      <c r="CL147" s="229">
        <f t="shared" si="167"/>
        <v>0</v>
      </c>
      <c r="CM147" s="229">
        <f t="shared" si="167"/>
        <v>0</v>
      </c>
      <c r="CN147" s="229">
        <f t="shared" si="167"/>
        <v>0</v>
      </c>
      <c r="CO147" s="229">
        <f t="shared" si="163"/>
        <v>0</v>
      </c>
      <c r="CP147" s="229">
        <f t="shared" si="163"/>
        <v>0</v>
      </c>
      <c r="CQ147" s="229">
        <f t="shared" si="167"/>
        <v>0</v>
      </c>
      <c r="CR147" s="229">
        <f t="shared" si="167"/>
        <v>0</v>
      </c>
      <c r="CS147" s="229">
        <f t="shared" si="167"/>
        <v>0</v>
      </c>
      <c r="CT147" s="229">
        <f t="shared" si="167"/>
        <v>0</v>
      </c>
      <c r="CU147" s="230"/>
      <c r="CV147" s="231"/>
      <c r="CW147" s="231"/>
      <c r="CX147" s="231"/>
      <c r="CY147" s="231"/>
      <c r="CZ147" s="231"/>
      <c r="DA147" s="231"/>
      <c r="DB147" s="231"/>
      <c r="DC147" s="231"/>
      <c r="DD147" s="231">
        <f>IF(SUM(DD$24:DD146)=DD$22,0,IF(AND($M147&gt;=DD$15,$M147&lt;(DD$16+1)),DD$22/(DD$16-DD$15+1),0))</f>
        <v>0</v>
      </c>
      <c r="DE147" s="231">
        <f>IF(SUM(DE$24:DE146)=DE$22,0,IF(AND($M147&gt;=DE$15,$M147&lt;(DE$16+1)),DE$22/(DE$16-DE$15+1),0))</f>
        <v>0</v>
      </c>
      <c r="DF147" s="231">
        <f>IF(SUM(DF$24:DF146)=DF$22,0,IF(AND($M147&gt;=DF$15,$M147&lt;(DF$16+1)),DF$22/(DF$16-DF$15+1),0))</f>
        <v>0</v>
      </c>
      <c r="DG147" s="231">
        <f>IF(SUM(DG$24:DG146)=DG$22,0,IF(AND($M147&gt;=DG$15,$M147&lt;(DG$16+1)),DG$22/(DG$16-DG$15+1),0))</f>
        <v>0</v>
      </c>
      <c r="DH147" s="231">
        <f t="shared" si="151"/>
        <v>0</v>
      </c>
      <c r="DI147" s="231">
        <f t="shared" si="151"/>
        <v>0</v>
      </c>
      <c r="DJ147" s="231">
        <f t="shared" si="151"/>
        <v>0</v>
      </c>
      <c r="DK147" s="231">
        <f t="shared" si="151"/>
        <v>0</v>
      </c>
      <c r="DL147" s="231">
        <f t="shared" si="151"/>
        <v>0</v>
      </c>
      <c r="DM147" s="231">
        <f t="shared" si="168"/>
        <v>0</v>
      </c>
      <c r="DN147" s="231">
        <f t="shared" si="168"/>
        <v>0</v>
      </c>
      <c r="DO147" s="231">
        <f t="shared" si="151"/>
        <v>0</v>
      </c>
      <c r="DP147" s="231">
        <f t="shared" si="162"/>
        <v>0</v>
      </c>
      <c r="DQ147" s="231">
        <f t="shared" si="162"/>
        <v>0</v>
      </c>
      <c r="DR147" s="231">
        <f t="shared" si="162"/>
        <v>0</v>
      </c>
      <c r="DS147" s="231">
        <f t="shared" si="162"/>
        <v>0</v>
      </c>
      <c r="DT147" s="231">
        <f ca="1">IF(SUM(DT$24:DT146)=DT$22,0,IF(AND($M147&gt;=DT$15,$M147&lt;(DT$16+1)),DT$22/(DT$16-DT$15+1),0))</f>
        <v>0</v>
      </c>
      <c r="DU147" s="231">
        <f ca="1">IF(SUM(DU$24:DU146)=DU$22,0,IF(AND($M147&gt;=DU$15,$M147&lt;(DU$16+1)),DU$22/(DU$16-DU$15+1),0))</f>
        <v>0</v>
      </c>
      <c r="DV147" s="231">
        <f ca="1">IF(SUM(DV$24:DV146)=DV$22,0,IF(AND(M147&gt;=DV$15,M147&lt;(DV$16+1)),DV$22/(DV$16-DV$15+1),0))</f>
        <v>0</v>
      </c>
      <c r="DW147" s="231" t="e">
        <f ca="1">IF(SUM(DW$24:DW146)=DW$22,0,IF(AND($M147&gt;=DW$15,$M147&lt;(DW$16+1)),DW$22/(DW$16-DW$15+1),0))</f>
        <v>#N/A</v>
      </c>
      <c r="DX147" s="231">
        <f ca="1">IF(SUM(DX$24:DX146)=DX$22,0,IF(AND($M147&gt;=DX$15,$M147&lt;(DX$16+1)),DX$22/(DX$16-DX$15+1),0))</f>
        <v>0</v>
      </c>
      <c r="DY147" s="231">
        <f ca="1">IF(SUM(DY$24:DY146)=DY$22,0,IF(AND($M147&gt;=DY$15,$M147&lt;(DY$16+1)),DY$22/(DY$16-DY$15+1),0))</f>
        <v>0</v>
      </c>
      <c r="DZ147" s="231">
        <f ca="1">IF(SUM(DZ$24:DZ146)=DZ$22,0,IF(AND($M147&gt;=DZ$15,$M147&lt;(DZ$16+1)),DZ$22/(DZ$16-DZ$15+1),0))</f>
        <v>0</v>
      </c>
      <c r="EA147" s="231" t="e">
        <f ca="1">IF(SUM(EA$24:EA146)=EA$22,0,IF(AND(M147&gt;=EA$15,M147&lt;(EA$16+1)),EA$22/(EA$16-EA$15+1),0))</f>
        <v>#N/A</v>
      </c>
      <c r="EC147" s="234">
        <f t="shared" si="136"/>
        <v>120</v>
      </c>
      <c r="ED147" s="234" t="e">
        <f t="shared" ca="1" si="137"/>
        <v>#N/A</v>
      </c>
      <c r="EE147" s="235" t="e">
        <f t="shared" ca="1" si="138"/>
        <v>#N/A</v>
      </c>
      <c r="EF147" s="234" t="e">
        <f t="shared" ca="1" si="104"/>
        <v>#N/A</v>
      </c>
      <c r="EG147" s="234" t="e">
        <f t="shared" ca="1" si="106"/>
        <v>#N/A</v>
      </c>
      <c r="EH147" s="234" t="e">
        <f t="shared" ca="1" si="112"/>
        <v>#N/A</v>
      </c>
      <c r="EI147" s="234"/>
      <c r="EJ147" s="234"/>
      <c r="EK147" s="153" t="e">
        <f t="shared" ca="1" si="139"/>
        <v>#N/A</v>
      </c>
      <c r="EL147" s="231" t="e">
        <f ca="1">IF(SUM(EL$24:EL146)=EL$22,0,IF(AND($M147&gt;=EL$15,$M147&lt;(EL$16+1)),EL$22/(EL$16-EL$15+1),0))</f>
        <v>#N/A</v>
      </c>
      <c r="EM147" s="153" t="e">
        <f t="shared" ca="1" si="140"/>
        <v>#N/A</v>
      </c>
      <c r="EO147" s="60"/>
      <c r="EP147" s="60"/>
    </row>
    <row r="148" spans="1:146" ht="13.9" customHeight="1">
      <c r="A148" s="220"/>
      <c r="B148" s="236">
        <f t="shared" si="100"/>
        <v>121</v>
      </c>
      <c r="C148" s="221">
        <f t="shared" si="141"/>
        <v>47241.00400000019</v>
      </c>
      <c r="D148" s="222" t="e">
        <f ca="1">'Offshore INT'!R137</f>
        <v>#N/A</v>
      </c>
      <c r="E148" s="223" t="e">
        <f t="shared" ca="1" si="131"/>
        <v>#N/A</v>
      </c>
      <c r="F148" s="224"/>
      <c r="G148" s="225">
        <f>IF(G147=1,1,SUM($F$24:F148))</f>
        <v>0</v>
      </c>
      <c r="H148" s="226" t="e">
        <f ca="1">IF(H147=0,0,SUM($I$24:I148))</f>
        <v>#N/A</v>
      </c>
      <c r="I148" s="227" t="e">
        <f t="shared" ca="1" si="132"/>
        <v>#N/A</v>
      </c>
      <c r="J148" s="222">
        <f t="shared" ca="1" si="154"/>
        <v>0</v>
      </c>
      <c r="K148" s="60"/>
      <c r="L148" s="228"/>
      <c r="M148" s="228">
        <f t="shared" si="133"/>
        <v>121</v>
      </c>
      <c r="N148" s="221">
        <f t="shared" si="134"/>
        <v>47241.00400000019</v>
      </c>
      <c r="O148" s="229">
        <f t="shared" si="152"/>
        <v>0</v>
      </c>
      <c r="P148" s="229">
        <f t="shared" si="152"/>
        <v>0</v>
      </c>
      <c r="Q148" s="229">
        <f t="shared" si="152"/>
        <v>0</v>
      </c>
      <c r="R148" s="229">
        <f t="shared" si="152"/>
        <v>0</v>
      </c>
      <c r="S148" s="229">
        <f t="shared" si="152"/>
        <v>0</v>
      </c>
      <c r="T148" s="229">
        <f t="shared" si="152"/>
        <v>0</v>
      </c>
      <c r="U148" s="229">
        <f t="shared" si="152"/>
        <v>0</v>
      </c>
      <c r="V148" s="229">
        <f t="shared" si="152"/>
        <v>0</v>
      </c>
      <c r="W148" s="229">
        <f t="shared" si="152"/>
        <v>0</v>
      </c>
      <c r="X148" s="229">
        <f t="shared" si="152"/>
        <v>0</v>
      </c>
      <c r="Y148" s="229">
        <f t="shared" si="152"/>
        <v>0</v>
      </c>
      <c r="Z148" s="229">
        <f t="shared" si="152"/>
        <v>0</v>
      </c>
      <c r="AA148" s="229">
        <f t="shared" si="164"/>
        <v>0</v>
      </c>
      <c r="AB148" s="229">
        <f t="shared" si="164"/>
        <v>0</v>
      </c>
      <c r="AC148" s="229">
        <f t="shared" si="164"/>
        <v>0</v>
      </c>
      <c r="AD148" s="229">
        <f t="shared" si="164"/>
        <v>0</v>
      </c>
      <c r="AE148" s="229">
        <f t="shared" si="164"/>
        <v>0</v>
      </c>
      <c r="AF148" s="229">
        <f t="shared" si="164"/>
        <v>0</v>
      </c>
      <c r="AG148" s="229">
        <f t="shared" si="164"/>
        <v>0</v>
      </c>
      <c r="AH148" s="229">
        <f t="shared" si="164"/>
        <v>0</v>
      </c>
      <c r="AI148" s="229">
        <f t="shared" si="164"/>
        <v>0</v>
      </c>
      <c r="AJ148" s="229">
        <f t="shared" si="164"/>
        <v>0</v>
      </c>
      <c r="AK148" s="229">
        <f t="shared" si="164"/>
        <v>0</v>
      </c>
      <c r="AL148" s="229">
        <f t="shared" si="164"/>
        <v>0</v>
      </c>
      <c r="AM148" s="229">
        <f t="shared" si="164"/>
        <v>0</v>
      </c>
      <c r="AN148" s="229">
        <f t="shared" si="164"/>
        <v>0</v>
      </c>
      <c r="AO148" s="229">
        <f t="shared" si="164"/>
        <v>0</v>
      </c>
      <c r="AP148" s="229">
        <f t="shared" si="164"/>
        <v>0</v>
      </c>
      <c r="AQ148" s="229">
        <f t="shared" si="164"/>
        <v>0</v>
      </c>
      <c r="AR148" s="229">
        <f t="shared" si="164"/>
        <v>0</v>
      </c>
      <c r="AS148" s="229">
        <f t="shared" si="159"/>
        <v>0</v>
      </c>
      <c r="AT148" s="229">
        <f t="shared" si="159"/>
        <v>0</v>
      </c>
      <c r="AU148" s="229">
        <f t="shared" si="159"/>
        <v>0</v>
      </c>
      <c r="AV148" s="229">
        <f t="shared" si="159"/>
        <v>0</v>
      </c>
      <c r="AW148" s="229">
        <f t="shared" si="159"/>
        <v>0</v>
      </c>
      <c r="AX148" s="229">
        <f t="shared" si="164"/>
        <v>0</v>
      </c>
      <c r="AY148" s="229">
        <f t="shared" si="164"/>
        <v>0</v>
      </c>
      <c r="AZ148" s="229">
        <f t="shared" si="164"/>
        <v>0</v>
      </c>
      <c r="BA148" s="229">
        <f t="shared" si="164"/>
        <v>0</v>
      </c>
      <c r="BB148" s="229">
        <f t="shared" si="164"/>
        <v>0</v>
      </c>
      <c r="BC148" s="229">
        <f t="shared" si="164"/>
        <v>0</v>
      </c>
      <c r="BD148" s="229">
        <f t="shared" si="165"/>
        <v>0</v>
      </c>
      <c r="BE148" s="229">
        <f t="shared" si="165"/>
        <v>0</v>
      </c>
      <c r="BF148" s="229">
        <f t="shared" si="165"/>
        <v>0</v>
      </c>
      <c r="BG148" s="229">
        <f t="shared" si="165"/>
        <v>0</v>
      </c>
      <c r="BH148" s="229">
        <f t="shared" si="165"/>
        <v>0</v>
      </c>
      <c r="BI148" s="229">
        <f t="shared" si="165"/>
        <v>0</v>
      </c>
      <c r="BJ148" s="229">
        <f t="shared" si="165"/>
        <v>0</v>
      </c>
      <c r="BK148" s="229">
        <f t="shared" si="165"/>
        <v>0</v>
      </c>
      <c r="BL148" s="229">
        <f t="shared" si="165"/>
        <v>0</v>
      </c>
      <c r="BM148" s="229">
        <f t="shared" si="165"/>
        <v>0</v>
      </c>
      <c r="BN148" s="229">
        <f t="shared" si="165"/>
        <v>0</v>
      </c>
      <c r="BO148" s="229">
        <f t="shared" si="165"/>
        <v>0</v>
      </c>
      <c r="BP148" s="229">
        <f t="shared" si="165"/>
        <v>0</v>
      </c>
      <c r="BQ148" s="229">
        <f t="shared" si="166"/>
        <v>0</v>
      </c>
      <c r="BR148" s="229">
        <f t="shared" si="166"/>
        <v>0</v>
      </c>
      <c r="BS148" s="229">
        <f t="shared" si="166"/>
        <v>0</v>
      </c>
      <c r="BT148" s="229">
        <f t="shared" si="166"/>
        <v>0</v>
      </c>
      <c r="BU148" s="229">
        <f t="shared" si="166"/>
        <v>0</v>
      </c>
      <c r="BV148" s="229">
        <f t="shared" si="166"/>
        <v>0</v>
      </c>
      <c r="BW148" s="229">
        <f t="shared" si="166"/>
        <v>0</v>
      </c>
      <c r="BX148" s="229">
        <f t="shared" si="166"/>
        <v>0</v>
      </c>
      <c r="BY148" s="229">
        <f t="shared" si="166"/>
        <v>0</v>
      </c>
      <c r="BZ148" s="229">
        <f t="shared" si="166"/>
        <v>0</v>
      </c>
      <c r="CA148" s="229">
        <f t="shared" si="166"/>
        <v>0</v>
      </c>
      <c r="CB148" s="229">
        <f t="shared" si="166"/>
        <v>0</v>
      </c>
      <c r="CC148" s="229">
        <f t="shared" si="166"/>
        <v>0</v>
      </c>
      <c r="CD148" s="229">
        <f t="shared" si="167"/>
        <v>0</v>
      </c>
      <c r="CE148" s="229">
        <f t="shared" si="160"/>
        <v>0</v>
      </c>
      <c r="CF148" s="229">
        <f t="shared" si="167"/>
        <v>0</v>
      </c>
      <c r="CG148" s="229">
        <f t="shared" si="167"/>
        <v>0</v>
      </c>
      <c r="CH148" s="229">
        <f t="shared" si="167"/>
        <v>0</v>
      </c>
      <c r="CI148" s="229">
        <f t="shared" si="167"/>
        <v>0</v>
      </c>
      <c r="CJ148" s="229">
        <f t="shared" si="153"/>
        <v>0</v>
      </c>
      <c r="CK148" s="229">
        <f t="shared" si="167"/>
        <v>0</v>
      </c>
      <c r="CL148" s="229">
        <f t="shared" si="167"/>
        <v>0</v>
      </c>
      <c r="CM148" s="229">
        <f t="shared" si="167"/>
        <v>0</v>
      </c>
      <c r="CN148" s="229">
        <f t="shared" si="167"/>
        <v>0</v>
      </c>
      <c r="CO148" s="229">
        <f t="shared" si="163"/>
        <v>0</v>
      </c>
      <c r="CP148" s="229">
        <f t="shared" si="163"/>
        <v>0</v>
      </c>
      <c r="CQ148" s="229">
        <f t="shared" si="167"/>
        <v>0</v>
      </c>
      <c r="CR148" s="229">
        <f t="shared" si="167"/>
        <v>0</v>
      </c>
      <c r="CS148" s="229">
        <f t="shared" si="167"/>
        <v>0</v>
      </c>
      <c r="CT148" s="229">
        <f t="shared" si="167"/>
        <v>0</v>
      </c>
      <c r="CU148" s="230"/>
      <c r="CV148" s="231"/>
      <c r="CW148" s="231"/>
      <c r="CX148" s="231"/>
      <c r="CY148" s="231"/>
      <c r="CZ148" s="231"/>
      <c r="DA148" s="231"/>
      <c r="DB148" s="231"/>
      <c r="DC148" s="231"/>
      <c r="DD148" s="231">
        <f>IF(SUM(DD$24:DD147)=DD$22,0,IF(AND($M148&gt;=DD$15,$M148&lt;(DD$16+1)),DD$22/(DD$16-DD$15+1),0))</f>
        <v>0</v>
      </c>
      <c r="DE148" s="231">
        <f>IF(SUM(DE$24:DE147)=DE$22,0,IF(AND($M148&gt;=DE$15,$M148&lt;(DE$16+1)),DE$22/(DE$16-DE$15+1),0))</f>
        <v>0</v>
      </c>
      <c r="DF148" s="231">
        <f>IF(SUM(DF$24:DF147)=DF$22,0,IF(AND($M148&gt;=DF$15,$M148&lt;(DF$16+1)),DF$22/(DF$16-DF$15+1),0))</f>
        <v>0</v>
      </c>
      <c r="DG148" s="231">
        <f>IF(SUM(DG$24:DG147)=DG$22,0,IF(AND($M148&gt;=DG$15,$M148&lt;(DG$16+1)),DG$22/(DG$16-DG$15+1),0))</f>
        <v>0</v>
      </c>
      <c r="DH148" s="231">
        <f t="shared" si="151"/>
        <v>0</v>
      </c>
      <c r="DI148" s="231">
        <f t="shared" si="151"/>
        <v>0</v>
      </c>
      <c r="DJ148" s="231">
        <f t="shared" si="151"/>
        <v>0</v>
      </c>
      <c r="DK148" s="231">
        <f t="shared" si="151"/>
        <v>0</v>
      </c>
      <c r="DL148" s="231">
        <f t="shared" si="151"/>
        <v>0</v>
      </c>
      <c r="DM148" s="231">
        <f t="shared" si="168"/>
        <v>0</v>
      </c>
      <c r="DN148" s="231">
        <f t="shared" si="168"/>
        <v>0</v>
      </c>
      <c r="DO148" s="231">
        <f t="shared" si="151"/>
        <v>0</v>
      </c>
      <c r="DP148" s="231">
        <f t="shared" si="162"/>
        <v>0</v>
      </c>
      <c r="DQ148" s="231">
        <f t="shared" si="162"/>
        <v>0</v>
      </c>
      <c r="DR148" s="231">
        <f t="shared" si="162"/>
        <v>0</v>
      </c>
      <c r="DS148" s="231">
        <f t="shared" si="162"/>
        <v>0</v>
      </c>
      <c r="DT148" s="231">
        <f ca="1">IF(SUM(DT$24:DT147)=DT$22,0,IF(AND($M148&gt;=DT$15,$M148&lt;(DT$16+1)),DT$22/(DT$16-DT$15+1),0))</f>
        <v>0</v>
      </c>
      <c r="DU148" s="231">
        <f ca="1">IF(SUM(DU$24:DU147)=DU$22,0,IF(AND($M148&gt;=DU$15,$M148&lt;(DU$16+1)),DU$22/(DU$16-DU$15+1),0))</f>
        <v>0</v>
      </c>
      <c r="DV148" s="231">
        <f ca="1">IF(SUM(DV$24:DV147)=DV$22,0,IF(AND(M148&gt;=DV$15,M148&lt;(DV$16+1)),DV$22/(DV$16-DV$15+1),0))</f>
        <v>0</v>
      </c>
      <c r="DW148" s="231" t="e">
        <f ca="1">IF(SUM(DW$24:DW147)=DW$22,0,IF(AND($M148&gt;=DW$15,$M148&lt;(DW$16+1)),DW$22/(DW$16-DW$15+1),0))</f>
        <v>#N/A</v>
      </c>
      <c r="DX148" s="231">
        <f ca="1">IF(SUM(DX$24:DX147)=DX$22,0,IF(AND($M148&gt;=DX$15,$M148&lt;(DX$16+1)),DX$22/(DX$16-DX$15+1),0))</f>
        <v>0</v>
      </c>
      <c r="DY148" s="231">
        <f ca="1">IF(SUM(DY$24:DY147)=DY$22,0,IF(AND($M148&gt;=DY$15,$M148&lt;(DY$16+1)),DY$22/(DY$16-DY$15+1),0))</f>
        <v>0</v>
      </c>
      <c r="DZ148" s="231">
        <f ca="1">IF(SUM(DZ$24:DZ147)=DZ$22,0,IF(AND($M148&gt;=DZ$15,$M148&lt;(DZ$16+1)),DZ$22/(DZ$16-DZ$15+1),0))</f>
        <v>0</v>
      </c>
      <c r="EA148" s="231" t="e">
        <f ca="1">IF(SUM(EA$24:EA147)=EA$22,0,IF(AND(M148&gt;=EA$15,M148&lt;(EA$16+1)),EA$22/(EA$16-EA$15+1),0))</f>
        <v>#N/A</v>
      </c>
      <c r="EC148" s="234">
        <f t="shared" si="136"/>
        <v>121</v>
      </c>
      <c r="ED148" s="234" t="e">
        <f t="shared" ca="1" si="137"/>
        <v>#N/A</v>
      </c>
      <c r="EE148" s="235" t="e">
        <f t="shared" ca="1" si="138"/>
        <v>#N/A</v>
      </c>
      <c r="EF148" s="234" t="e">
        <f t="shared" ca="1" si="104"/>
        <v>#N/A</v>
      </c>
      <c r="EG148" s="234" t="e">
        <f t="shared" ca="1" si="106"/>
        <v>#N/A</v>
      </c>
      <c r="EH148" s="234" t="e">
        <f t="shared" ca="1" si="112"/>
        <v>#N/A</v>
      </c>
      <c r="EI148" s="234"/>
      <c r="EJ148" s="234"/>
      <c r="EK148" s="153" t="e">
        <f t="shared" ca="1" si="139"/>
        <v>#N/A</v>
      </c>
      <c r="EL148" s="231" t="e">
        <f ca="1">IF(SUM(EL$24:EL147)=EL$22,0,IF(AND($M148&gt;=EL$15,$M148&lt;(EL$16+1)),EL$22/(EL$16-EL$15+1),0))</f>
        <v>#N/A</v>
      </c>
      <c r="EM148" s="153" t="e">
        <f t="shared" ca="1" si="140"/>
        <v>#N/A</v>
      </c>
      <c r="EO148" s="60"/>
      <c r="EP148" s="60"/>
    </row>
    <row r="149" spans="1:146" ht="13.9" customHeight="1">
      <c r="A149" s="220"/>
      <c r="B149" s="236">
        <f t="shared" si="100"/>
        <v>122</v>
      </c>
      <c r="C149" s="221">
        <f t="shared" si="141"/>
        <v>47271.420700000192</v>
      </c>
      <c r="D149" s="222" t="e">
        <f ca="1">'Offshore INT'!R138</f>
        <v>#N/A</v>
      </c>
      <c r="E149" s="223" t="e">
        <f t="shared" ca="1" si="131"/>
        <v>#N/A</v>
      </c>
      <c r="F149" s="224"/>
      <c r="G149" s="225">
        <f>IF(G148=1,1,SUM($F$24:F149))</f>
        <v>0</v>
      </c>
      <c r="H149" s="226" t="e">
        <f ca="1">IF(H148=0,0,SUM($I$24:I149))</f>
        <v>#N/A</v>
      </c>
      <c r="I149" s="227" t="e">
        <f t="shared" ca="1" si="132"/>
        <v>#N/A</v>
      </c>
      <c r="J149" s="222">
        <f t="shared" ca="1" si="154"/>
        <v>0</v>
      </c>
      <c r="K149" s="60"/>
      <c r="L149" s="228"/>
      <c r="M149" s="228">
        <f t="shared" si="133"/>
        <v>122</v>
      </c>
      <c r="N149" s="221">
        <f t="shared" si="134"/>
        <v>47271.420700000192</v>
      </c>
      <c r="O149" s="229">
        <f t="shared" si="152"/>
        <v>0</v>
      </c>
      <c r="P149" s="229">
        <f t="shared" si="152"/>
        <v>0</v>
      </c>
      <c r="Q149" s="229">
        <f t="shared" si="152"/>
        <v>0</v>
      </c>
      <c r="R149" s="229">
        <f t="shared" si="152"/>
        <v>0</v>
      </c>
      <c r="S149" s="229">
        <f t="shared" si="152"/>
        <v>0</v>
      </c>
      <c r="T149" s="229">
        <f t="shared" si="152"/>
        <v>0</v>
      </c>
      <c r="U149" s="229">
        <f t="shared" si="152"/>
        <v>0</v>
      </c>
      <c r="V149" s="229">
        <f t="shared" si="152"/>
        <v>0</v>
      </c>
      <c r="W149" s="229">
        <f t="shared" si="152"/>
        <v>0</v>
      </c>
      <c r="X149" s="229">
        <f t="shared" si="152"/>
        <v>0</v>
      </c>
      <c r="Y149" s="229">
        <f t="shared" si="152"/>
        <v>0</v>
      </c>
      <c r="Z149" s="229">
        <f t="shared" si="152"/>
        <v>0</v>
      </c>
      <c r="AA149" s="229">
        <f t="shared" si="164"/>
        <v>0</v>
      </c>
      <c r="AB149" s="229">
        <f t="shared" si="164"/>
        <v>0</v>
      </c>
      <c r="AC149" s="229">
        <f t="shared" si="164"/>
        <v>0</v>
      </c>
      <c r="AD149" s="229">
        <f t="shared" si="164"/>
        <v>0</v>
      </c>
      <c r="AE149" s="229">
        <f t="shared" si="164"/>
        <v>0</v>
      </c>
      <c r="AF149" s="229">
        <f t="shared" si="164"/>
        <v>0</v>
      </c>
      <c r="AG149" s="229">
        <f t="shared" si="164"/>
        <v>0</v>
      </c>
      <c r="AH149" s="229">
        <f t="shared" si="164"/>
        <v>0</v>
      </c>
      <c r="AI149" s="229">
        <f t="shared" si="164"/>
        <v>0</v>
      </c>
      <c r="AJ149" s="229">
        <f t="shared" si="164"/>
        <v>0</v>
      </c>
      <c r="AK149" s="229">
        <f t="shared" si="164"/>
        <v>0</v>
      </c>
      <c r="AL149" s="229">
        <f t="shared" si="164"/>
        <v>0</v>
      </c>
      <c r="AM149" s="229">
        <f t="shared" si="164"/>
        <v>0</v>
      </c>
      <c r="AN149" s="229">
        <f t="shared" si="164"/>
        <v>0</v>
      </c>
      <c r="AO149" s="229">
        <f t="shared" si="164"/>
        <v>0</v>
      </c>
      <c r="AP149" s="229">
        <f t="shared" si="164"/>
        <v>0</v>
      </c>
      <c r="AQ149" s="229">
        <f t="shared" si="164"/>
        <v>0</v>
      </c>
      <c r="AR149" s="229">
        <f t="shared" si="164"/>
        <v>0</v>
      </c>
      <c r="AS149" s="229">
        <f t="shared" si="159"/>
        <v>0</v>
      </c>
      <c r="AT149" s="229">
        <f t="shared" si="159"/>
        <v>0</v>
      </c>
      <c r="AU149" s="229">
        <f t="shared" si="159"/>
        <v>0</v>
      </c>
      <c r="AV149" s="229">
        <f t="shared" si="159"/>
        <v>0</v>
      </c>
      <c r="AW149" s="229">
        <f t="shared" si="159"/>
        <v>0</v>
      </c>
      <c r="AX149" s="229">
        <f t="shared" si="164"/>
        <v>0</v>
      </c>
      <c r="AY149" s="229">
        <f t="shared" si="164"/>
        <v>0</v>
      </c>
      <c r="AZ149" s="229">
        <f t="shared" si="164"/>
        <v>0</v>
      </c>
      <c r="BA149" s="229">
        <f t="shared" si="164"/>
        <v>0</v>
      </c>
      <c r="BB149" s="229">
        <f t="shared" si="164"/>
        <v>0</v>
      </c>
      <c r="BC149" s="229">
        <f t="shared" si="164"/>
        <v>0</v>
      </c>
      <c r="BD149" s="229">
        <f t="shared" si="165"/>
        <v>0</v>
      </c>
      <c r="BE149" s="229">
        <f t="shared" si="165"/>
        <v>0</v>
      </c>
      <c r="BF149" s="229">
        <f t="shared" si="165"/>
        <v>0</v>
      </c>
      <c r="BG149" s="229">
        <f t="shared" si="165"/>
        <v>0</v>
      </c>
      <c r="BH149" s="229">
        <f t="shared" si="165"/>
        <v>0</v>
      </c>
      <c r="BI149" s="229">
        <f t="shared" si="165"/>
        <v>0</v>
      </c>
      <c r="BJ149" s="229">
        <f t="shared" si="165"/>
        <v>0</v>
      </c>
      <c r="BK149" s="229">
        <f t="shared" si="165"/>
        <v>0</v>
      </c>
      <c r="BL149" s="229">
        <f t="shared" si="165"/>
        <v>0</v>
      </c>
      <c r="BM149" s="229">
        <f t="shared" si="165"/>
        <v>0</v>
      </c>
      <c r="BN149" s="229">
        <f t="shared" si="165"/>
        <v>0</v>
      </c>
      <c r="BO149" s="229">
        <f t="shared" si="165"/>
        <v>0</v>
      </c>
      <c r="BP149" s="229">
        <f t="shared" si="165"/>
        <v>0</v>
      </c>
      <c r="BQ149" s="229">
        <f t="shared" si="166"/>
        <v>0</v>
      </c>
      <c r="BR149" s="229">
        <f t="shared" si="166"/>
        <v>0</v>
      </c>
      <c r="BS149" s="229">
        <f t="shared" si="166"/>
        <v>0</v>
      </c>
      <c r="BT149" s="229">
        <f t="shared" si="166"/>
        <v>0</v>
      </c>
      <c r="BU149" s="229">
        <f t="shared" si="166"/>
        <v>0</v>
      </c>
      <c r="BV149" s="229">
        <f t="shared" si="166"/>
        <v>0</v>
      </c>
      <c r="BW149" s="229">
        <f t="shared" si="166"/>
        <v>0</v>
      </c>
      <c r="BX149" s="229">
        <f t="shared" si="166"/>
        <v>0</v>
      </c>
      <c r="BY149" s="229">
        <f t="shared" si="166"/>
        <v>0</v>
      </c>
      <c r="BZ149" s="229">
        <f t="shared" si="166"/>
        <v>0</v>
      </c>
      <c r="CA149" s="229">
        <f t="shared" si="166"/>
        <v>0</v>
      </c>
      <c r="CB149" s="229">
        <f t="shared" si="166"/>
        <v>0</v>
      </c>
      <c r="CC149" s="229">
        <f t="shared" si="166"/>
        <v>0</v>
      </c>
      <c r="CD149" s="229">
        <f t="shared" si="167"/>
        <v>0</v>
      </c>
      <c r="CE149" s="229">
        <f>IF($M149=CE$13,CE$22*CE$3,IF($M149=CE$14,CE$22*CE$4,IF($M149=CE$15,CE$22*CE$5,IF($M149=CE$16,CE$22*CE$6,IF($M149=CE$17,CE$22*CE$7,IF($M149=CE$18,CE$22*CE$8,IF($M149=CE$19,CE$22*CE$9,IF($M149=CE$20,CE$22*CE$10,0))))))))</f>
        <v>0</v>
      </c>
      <c r="CF149" s="229">
        <f t="shared" si="167"/>
        <v>0</v>
      </c>
      <c r="CG149" s="229">
        <f t="shared" si="167"/>
        <v>0</v>
      </c>
      <c r="CH149" s="229">
        <f t="shared" si="167"/>
        <v>0</v>
      </c>
      <c r="CI149" s="229">
        <f t="shared" si="167"/>
        <v>0</v>
      </c>
      <c r="CJ149" s="229">
        <f t="shared" si="153"/>
        <v>0</v>
      </c>
      <c r="CK149" s="229">
        <f t="shared" si="167"/>
        <v>0</v>
      </c>
      <c r="CL149" s="229">
        <f t="shared" si="167"/>
        <v>0</v>
      </c>
      <c r="CM149" s="229">
        <f t="shared" si="167"/>
        <v>0</v>
      </c>
      <c r="CN149" s="229">
        <f t="shared" si="167"/>
        <v>0</v>
      </c>
      <c r="CO149" s="229">
        <f t="shared" si="163"/>
        <v>0</v>
      </c>
      <c r="CP149" s="229">
        <f t="shared" si="163"/>
        <v>0</v>
      </c>
      <c r="CQ149" s="229">
        <f t="shared" si="167"/>
        <v>0</v>
      </c>
      <c r="CR149" s="229">
        <f t="shared" si="167"/>
        <v>0</v>
      </c>
      <c r="CS149" s="229">
        <f t="shared" si="167"/>
        <v>0</v>
      </c>
      <c r="CT149" s="229">
        <f t="shared" si="167"/>
        <v>0</v>
      </c>
      <c r="CU149" s="230"/>
      <c r="CV149" s="231"/>
      <c r="CW149" s="231"/>
      <c r="CX149" s="231"/>
      <c r="CY149" s="231"/>
      <c r="CZ149" s="231"/>
      <c r="DA149" s="231"/>
      <c r="DB149" s="231"/>
      <c r="DC149" s="231"/>
      <c r="DD149" s="231">
        <f>IF(SUM(DD$24:DD148)=DD$22,0,IF(AND($M149&gt;=DD$15,$M149&lt;(DD$16+1)),DD$22/(DD$16-DD$15+1),0))</f>
        <v>0</v>
      </c>
      <c r="DE149" s="231">
        <f>IF(SUM(DE$24:DE148)=DE$22,0,IF(AND($M149&gt;=DE$15,$M149&lt;(DE$16+1)),DE$22/(DE$16-DE$15+1),0))</f>
        <v>0</v>
      </c>
      <c r="DF149" s="231">
        <f>IF(SUM(DF$24:DF148)=DF$22,0,IF(AND($M149&gt;=DF$15,$M149&lt;(DF$16+1)),DF$22/(DF$16-DF$15+1),0))</f>
        <v>0</v>
      </c>
      <c r="DG149" s="231">
        <f>IF(SUM(DG$24:DG148)=DG$22,0,IF(AND($M149&gt;=DG$15,$M149&lt;(DG$16+1)),DG$22/(DG$16-DG$15+1),0))</f>
        <v>0</v>
      </c>
      <c r="DH149" s="231">
        <f t="shared" si="151"/>
        <v>0</v>
      </c>
      <c r="DI149" s="231">
        <f t="shared" si="151"/>
        <v>0</v>
      </c>
      <c r="DJ149" s="231">
        <f t="shared" si="151"/>
        <v>0</v>
      </c>
      <c r="DK149" s="231">
        <f t="shared" si="151"/>
        <v>0</v>
      </c>
      <c r="DL149" s="231">
        <f t="shared" si="151"/>
        <v>0</v>
      </c>
      <c r="DM149" s="231">
        <f t="shared" si="168"/>
        <v>0</v>
      </c>
      <c r="DN149" s="231">
        <f t="shared" si="168"/>
        <v>0</v>
      </c>
      <c r="DO149" s="231">
        <f t="shared" si="151"/>
        <v>0</v>
      </c>
      <c r="DP149" s="231">
        <f t="shared" si="162"/>
        <v>0</v>
      </c>
      <c r="DQ149" s="231">
        <f t="shared" si="162"/>
        <v>0</v>
      </c>
      <c r="DR149" s="231">
        <f t="shared" si="162"/>
        <v>0</v>
      </c>
      <c r="DS149" s="231">
        <f t="shared" si="162"/>
        <v>0</v>
      </c>
      <c r="DT149" s="231">
        <f ca="1">IF(SUM(DT$24:DT148)=DT$22,0,IF(AND($M149&gt;=DT$15,$M149&lt;(DT$16+1)),DT$22/(DT$16-DT$15+1),0))</f>
        <v>0</v>
      </c>
      <c r="DU149" s="231">
        <f ca="1">IF(SUM(DU$24:DU148)=DU$22,0,IF(AND($M149&gt;=DU$15,$M149&lt;(DU$16+1)),DU$22/(DU$16-DU$15+1),0))</f>
        <v>0</v>
      </c>
      <c r="DV149" s="231">
        <f ca="1">IF(SUM(DV$24:DV148)=DV$22,0,IF(AND(M149&gt;=DV$15,M149&lt;(DV$16+1)),DV$22/(DV$16-DV$15+1),0))</f>
        <v>0</v>
      </c>
      <c r="DW149" s="231" t="e">
        <f ca="1">IF(SUM(DW$24:DW148)=DW$22,0,IF(AND($M149&gt;=DW$15,$M149&lt;(DW$16+1)),DW$22/(DW$16-DW$15+1),0))</f>
        <v>#N/A</v>
      </c>
      <c r="DX149" s="231">
        <f ca="1">IF(SUM(DX$24:DX148)=DX$22,0,IF(AND($M149&gt;=DX$15,$M149&lt;(DX$16+1)),DX$22/(DX$16-DX$15+1),0))</f>
        <v>0</v>
      </c>
      <c r="DY149" s="231">
        <f ca="1">IF(SUM(DY$24:DY148)=DY$22,0,IF(AND($M149&gt;=DY$15,$M149&lt;(DY$16+1)),DY$22/(DY$16-DY$15+1),0))</f>
        <v>0</v>
      </c>
      <c r="DZ149" s="231">
        <f ca="1">IF(SUM(DZ$24:DZ148)=DZ$22,0,IF(AND($M149&gt;=DZ$15,$M149&lt;(DZ$16+1)),DZ$22/(DZ$16-DZ$15+1),0))</f>
        <v>0</v>
      </c>
      <c r="EA149" s="231" t="e">
        <f ca="1">IF(SUM(EA$24:EA148)=EA$22,0,IF(AND(M149&gt;=EA$15,M149&lt;(EA$16+1)),EA$22/(EA$16-EA$15+1),0))</f>
        <v>#N/A</v>
      </c>
      <c r="EC149" s="234">
        <f t="shared" si="136"/>
        <v>122</v>
      </c>
      <c r="ED149" s="234" t="e">
        <f t="shared" ca="1" si="137"/>
        <v>#N/A</v>
      </c>
      <c r="EE149" s="235" t="e">
        <f t="shared" ca="1" si="138"/>
        <v>#N/A</v>
      </c>
      <c r="EF149" s="234" t="e">
        <f t="shared" ca="1" si="104"/>
        <v>#N/A</v>
      </c>
      <c r="EG149" s="234" t="e">
        <f t="shared" ca="1" si="106"/>
        <v>#N/A</v>
      </c>
      <c r="EH149" s="234" t="e">
        <f t="shared" ca="1" si="112"/>
        <v>#N/A</v>
      </c>
      <c r="EI149" s="234"/>
      <c r="EJ149" s="234"/>
      <c r="EK149" s="153" t="e">
        <f t="shared" ca="1" si="139"/>
        <v>#N/A</v>
      </c>
      <c r="EL149" s="231" t="e">
        <f ca="1">IF(SUM(EL$24:EL148)=EL$22,0,IF(AND($M149&gt;=EL$15,$M149&lt;(EL$16+1)),EL$22/(EL$16-EL$15+1),0))</f>
        <v>#N/A</v>
      </c>
      <c r="EM149" s="153" t="e">
        <f t="shared" ca="1" si="140"/>
        <v>#N/A</v>
      </c>
      <c r="EO149" s="60"/>
      <c r="EP149" s="60"/>
    </row>
    <row r="150" spans="1:146" ht="13.9" customHeight="1">
      <c r="A150" s="220"/>
      <c r="B150" s="236">
        <f t="shared" si="100"/>
        <v>123</v>
      </c>
      <c r="C150" s="221">
        <f t="shared" si="141"/>
        <v>47301.837400000193</v>
      </c>
      <c r="D150" s="222" t="e">
        <f ca="1">'Offshore INT'!R139</f>
        <v>#N/A</v>
      </c>
      <c r="E150" s="223" t="e">
        <f t="shared" ca="1" si="131"/>
        <v>#N/A</v>
      </c>
      <c r="F150" s="224"/>
      <c r="G150" s="225">
        <f>IF(G149=1,1,SUM($F$24:F150))</f>
        <v>0</v>
      </c>
      <c r="H150" s="226" t="e">
        <f ca="1">IF(H149=0,0,SUM($I$24:I150))</f>
        <v>#N/A</v>
      </c>
      <c r="I150" s="227" t="e">
        <f t="shared" ca="1" si="132"/>
        <v>#N/A</v>
      </c>
      <c r="J150" s="222">
        <f t="shared" ca="1" si="154"/>
        <v>0</v>
      </c>
      <c r="K150" s="60"/>
      <c r="L150" s="228"/>
      <c r="M150" s="228">
        <f t="shared" si="133"/>
        <v>123</v>
      </c>
      <c r="N150" s="221">
        <f t="shared" si="134"/>
        <v>47301.837400000193</v>
      </c>
      <c r="O150" s="229">
        <f t="shared" si="152"/>
        <v>0</v>
      </c>
      <c r="P150" s="229">
        <f t="shared" si="152"/>
        <v>0</v>
      </c>
      <c r="Q150" s="229">
        <f t="shared" si="152"/>
        <v>0</v>
      </c>
      <c r="R150" s="229">
        <f t="shared" si="152"/>
        <v>0</v>
      </c>
      <c r="S150" s="229">
        <f t="shared" si="152"/>
        <v>0</v>
      </c>
      <c r="T150" s="229">
        <f t="shared" si="152"/>
        <v>0</v>
      </c>
      <c r="U150" s="229">
        <f t="shared" si="152"/>
        <v>0</v>
      </c>
      <c r="V150" s="229">
        <f t="shared" si="152"/>
        <v>0</v>
      </c>
      <c r="W150" s="229">
        <f t="shared" si="152"/>
        <v>0</v>
      </c>
      <c r="X150" s="229">
        <f t="shared" si="152"/>
        <v>0</v>
      </c>
      <c r="Y150" s="229">
        <f t="shared" si="152"/>
        <v>0</v>
      </c>
      <c r="Z150" s="229">
        <f t="shared" si="152"/>
        <v>0</v>
      </c>
      <c r="AA150" s="229">
        <f t="shared" si="164"/>
        <v>0</v>
      </c>
      <c r="AB150" s="229">
        <f t="shared" si="164"/>
        <v>0</v>
      </c>
      <c r="AC150" s="229">
        <f t="shared" si="164"/>
        <v>0</v>
      </c>
      <c r="AD150" s="229">
        <f t="shared" si="164"/>
        <v>0</v>
      </c>
      <c r="AE150" s="229">
        <f t="shared" si="164"/>
        <v>0</v>
      </c>
      <c r="AF150" s="229">
        <f t="shared" si="164"/>
        <v>0</v>
      </c>
      <c r="AG150" s="229">
        <f t="shared" si="164"/>
        <v>0</v>
      </c>
      <c r="AH150" s="229">
        <f t="shared" si="164"/>
        <v>0</v>
      </c>
      <c r="AI150" s="229">
        <f t="shared" si="164"/>
        <v>0</v>
      </c>
      <c r="AJ150" s="229">
        <f t="shared" si="164"/>
        <v>0</v>
      </c>
      <c r="AK150" s="229">
        <f t="shared" si="164"/>
        <v>0</v>
      </c>
      <c r="AL150" s="229">
        <f t="shared" si="164"/>
        <v>0</v>
      </c>
      <c r="AM150" s="229">
        <f t="shared" si="164"/>
        <v>0</v>
      </c>
      <c r="AN150" s="229">
        <f t="shared" si="164"/>
        <v>0</v>
      </c>
      <c r="AO150" s="229">
        <f t="shared" ref="AM150:AO153" si="169">IF($M150=AO$13,AO$22*AO$3,IF($M150=AO$14,AO$22*AO$4,IF($M150=AO$15,AO$22*AO$5,IF($M150=AO$16,AO$22*AO$6,IF($M150=AO$17,AO$22*AO$7,IF($M150=AO$18,AO$22*AO$8,IF($M150=AO$19,AO$22*AO$9,IF($M150=AO$20,AO$22*AO$10,0))))))))</f>
        <v>0</v>
      </c>
      <c r="AP150" s="229">
        <f t="shared" si="164"/>
        <v>0</v>
      </c>
      <c r="AQ150" s="229">
        <f t="shared" si="164"/>
        <v>0</v>
      </c>
      <c r="AR150" s="229">
        <f t="shared" si="164"/>
        <v>0</v>
      </c>
      <c r="AS150" s="229">
        <f t="shared" si="159"/>
        <v>0</v>
      </c>
      <c r="AT150" s="229">
        <f t="shared" si="159"/>
        <v>0</v>
      </c>
      <c r="AU150" s="229">
        <f t="shared" si="159"/>
        <v>0</v>
      </c>
      <c r="AV150" s="229">
        <f t="shared" si="159"/>
        <v>0</v>
      </c>
      <c r="AW150" s="229">
        <f t="shared" si="159"/>
        <v>0</v>
      </c>
      <c r="AX150" s="229">
        <f t="shared" si="164"/>
        <v>0</v>
      </c>
      <c r="AY150" s="229">
        <f t="shared" si="164"/>
        <v>0</v>
      </c>
      <c r="AZ150" s="229">
        <f t="shared" si="164"/>
        <v>0</v>
      </c>
      <c r="BA150" s="229">
        <f t="shared" si="164"/>
        <v>0</v>
      </c>
      <c r="BB150" s="229">
        <f t="shared" si="164"/>
        <v>0</v>
      </c>
      <c r="BC150" s="229">
        <f t="shared" si="164"/>
        <v>0</v>
      </c>
      <c r="BD150" s="229">
        <f t="shared" si="165"/>
        <v>0</v>
      </c>
      <c r="BE150" s="229">
        <f t="shared" si="165"/>
        <v>0</v>
      </c>
      <c r="BF150" s="229">
        <f t="shared" si="165"/>
        <v>0</v>
      </c>
      <c r="BG150" s="229">
        <f t="shared" si="165"/>
        <v>0</v>
      </c>
      <c r="BH150" s="229">
        <f t="shared" si="165"/>
        <v>0</v>
      </c>
      <c r="BI150" s="229">
        <f t="shared" si="165"/>
        <v>0</v>
      </c>
      <c r="BJ150" s="229">
        <f t="shared" si="165"/>
        <v>0</v>
      </c>
      <c r="BK150" s="229">
        <f t="shared" si="165"/>
        <v>0</v>
      </c>
      <c r="BL150" s="229">
        <f t="shared" si="165"/>
        <v>0</v>
      </c>
      <c r="BM150" s="229">
        <f t="shared" si="165"/>
        <v>0</v>
      </c>
      <c r="BN150" s="229">
        <f t="shared" si="165"/>
        <v>0</v>
      </c>
      <c r="BO150" s="229">
        <f t="shared" si="165"/>
        <v>0</v>
      </c>
      <c r="BP150" s="229">
        <f t="shared" si="165"/>
        <v>0</v>
      </c>
      <c r="BQ150" s="229">
        <f t="shared" si="166"/>
        <v>0</v>
      </c>
      <c r="BR150" s="229">
        <f t="shared" si="166"/>
        <v>0</v>
      </c>
      <c r="BS150" s="229">
        <f t="shared" si="166"/>
        <v>0</v>
      </c>
      <c r="BT150" s="229">
        <f t="shared" si="166"/>
        <v>0</v>
      </c>
      <c r="BU150" s="229">
        <f t="shared" si="166"/>
        <v>0</v>
      </c>
      <c r="BV150" s="229">
        <f t="shared" si="166"/>
        <v>0</v>
      </c>
      <c r="BW150" s="229">
        <f t="shared" si="166"/>
        <v>0</v>
      </c>
      <c r="BX150" s="229">
        <f t="shared" si="166"/>
        <v>0</v>
      </c>
      <c r="BY150" s="229">
        <f t="shared" si="166"/>
        <v>0</v>
      </c>
      <c r="BZ150" s="229">
        <f t="shared" si="166"/>
        <v>0</v>
      </c>
      <c r="CA150" s="229">
        <f t="shared" si="166"/>
        <v>0</v>
      </c>
      <c r="CB150" s="229">
        <f t="shared" si="166"/>
        <v>0</v>
      </c>
      <c r="CC150" s="229">
        <f t="shared" si="166"/>
        <v>0</v>
      </c>
      <c r="CD150" s="229">
        <f t="shared" si="167"/>
        <v>0</v>
      </c>
      <c r="CE150" s="229">
        <f>IF($M150=CE$13,CE$22*CE$3,IF($M150=CE$14,CE$22*CE$4,IF($M150=CE$15,CE$22*CE$5,IF($M150=CE$16,CE$22*CE$6,IF($M150=CE$17,CE$22*CE$7,IF($M150=CE$18,CE$22*CE$8,IF($M150=CE$19,CE$22*CE$9,IF($M150=CE$20,CE$22*CE$10,0))))))))</f>
        <v>0</v>
      </c>
      <c r="CF150" s="229">
        <f t="shared" si="167"/>
        <v>0</v>
      </c>
      <c r="CG150" s="229">
        <f t="shared" si="167"/>
        <v>0</v>
      </c>
      <c r="CH150" s="229">
        <f t="shared" si="167"/>
        <v>0</v>
      </c>
      <c r="CI150" s="229">
        <f t="shared" si="167"/>
        <v>0</v>
      </c>
      <c r="CJ150" s="229">
        <f t="shared" si="153"/>
        <v>0</v>
      </c>
      <c r="CK150" s="229">
        <f t="shared" si="167"/>
        <v>0</v>
      </c>
      <c r="CL150" s="229">
        <f t="shared" si="167"/>
        <v>0</v>
      </c>
      <c r="CM150" s="229">
        <f t="shared" si="167"/>
        <v>0</v>
      </c>
      <c r="CN150" s="229">
        <f t="shared" si="167"/>
        <v>0</v>
      </c>
      <c r="CO150" s="229">
        <f t="shared" si="163"/>
        <v>0</v>
      </c>
      <c r="CP150" s="229">
        <f t="shared" si="163"/>
        <v>0</v>
      </c>
      <c r="CQ150" s="229">
        <f t="shared" si="167"/>
        <v>0</v>
      </c>
      <c r="CR150" s="229">
        <f t="shared" si="167"/>
        <v>0</v>
      </c>
      <c r="CS150" s="229">
        <f t="shared" si="167"/>
        <v>0</v>
      </c>
      <c r="CT150" s="229">
        <f t="shared" si="167"/>
        <v>0</v>
      </c>
      <c r="CU150" s="230"/>
      <c r="CV150" s="231"/>
      <c r="CW150" s="231"/>
      <c r="CX150" s="231"/>
      <c r="CY150" s="231"/>
      <c r="CZ150" s="231"/>
      <c r="DA150" s="231"/>
      <c r="DB150" s="231"/>
      <c r="DC150" s="231"/>
      <c r="DD150" s="231">
        <f>IF(SUM(DD$24:DD149)=DD$22,0,IF(AND($M150&gt;=DD$15,$M150&lt;(DD$16+1)),DD$22/(DD$16-DD$15+1),0))</f>
        <v>0</v>
      </c>
      <c r="DE150" s="231">
        <f>IF(SUM(DE$24:DE149)=DE$22,0,IF(AND($M150&gt;=DE$15,$M150&lt;(DE$16+1)),DE$22/(DE$16-DE$15+1),0))</f>
        <v>0</v>
      </c>
      <c r="DF150" s="231">
        <f>IF(SUM(DF$24:DF149)=DF$22,0,IF(AND($M150&gt;=DF$15,$M150&lt;(DF$16+1)),DF$22/(DF$16-DF$15+1),0))</f>
        <v>0</v>
      </c>
      <c r="DG150" s="231">
        <f>IF(SUM(DG$24:DG149)=DG$22,0,IF(AND($M150&gt;=DG$15,$M150&lt;(DG$16+1)),DG$22/(DG$16-DG$15+1),0))</f>
        <v>0</v>
      </c>
      <c r="DH150" s="231">
        <f t="shared" si="151"/>
        <v>0</v>
      </c>
      <c r="DI150" s="231">
        <f t="shared" si="151"/>
        <v>0</v>
      </c>
      <c r="DJ150" s="231">
        <f t="shared" si="151"/>
        <v>0</v>
      </c>
      <c r="DK150" s="231">
        <f t="shared" si="151"/>
        <v>0</v>
      </c>
      <c r="DL150" s="231">
        <f t="shared" si="151"/>
        <v>0</v>
      </c>
      <c r="DM150" s="231">
        <f t="shared" si="168"/>
        <v>0</v>
      </c>
      <c r="DN150" s="231">
        <f t="shared" si="168"/>
        <v>0</v>
      </c>
      <c r="DO150" s="231">
        <f t="shared" si="151"/>
        <v>0</v>
      </c>
      <c r="DP150" s="231">
        <f t="shared" si="162"/>
        <v>0</v>
      </c>
      <c r="DQ150" s="231">
        <f t="shared" si="162"/>
        <v>0</v>
      </c>
      <c r="DR150" s="231">
        <f t="shared" si="162"/>
        <v>0</v>
      </c>
      <c r="DS150" s="231">
        <f t="shared" si="162"/>
        <v>0</v>
      </c>
      <c r="DT150" s="231">
        <f ca="1">IF(SUM(DT$24:DT149)=DT$22,0,IF(AND($M150&gt;=DT$15,$M150&lt;(DT$16+1)),DT$22/(DT$16-DT$15+1),0))</f>
        <v>0</v>
      </c>
      <c r="DU150" s="231">
        <f ca="1">IF(SUM(DU$24:DU149)=DU$22,0,IF(AND($M150&gt;=DU$15,$M150&lt;(DU$16+1)),DU$22/(DU$16-DU$15+1),0))</f>
        <v>0</v>
      </c>
      <c r="DV150" s="231">
        <f ca="1">IF(SUM(DV$24:DV149)=DV$22,0,IF(AND(M150&gt;=DV$15,M150&lt;(DV$16+1)),DV$22/(DV$16-DV$15+1),0))</f>
        <v>0</v>
      </c>
      <c r="DW150" s="231" t="e">
        <f ca="1">IF(SUM(DW$24:DW149)=DW$22,0,IF(AND($M150&gt;=DW$15,$M150&lt;(DW$16+1)),DW$22/(DW$16-DW$15+1),0))</f>
        <v>#N/A</v>
      </c>
      <c r="DX150" s="231">
        <f ca="1">IF(SUM(DX$24:DX149)=DX$22,0,IF(AND($M150&gt;=DX$15,$M150&lt;(DX$16+1)),DX$22/(DX$16-DX$15+1),0))</f>
        <v>0</v>
      </c>
      <c r="DY150" s="231">
        <f ca="1">IF(SUM(DY$24:DY149)=DY$22,0,IF(AND($M150&gt;=DY$15,$M150&lt;(DY$16+1)),DY$22/(DY$16-DY$15+1),0))</f>
        <v>0</v>
      </c>
      <c r="DZ150" s="231">
        <f ca="1">IF(SUM(DZ$24:DZ149)=DZ$22,0,IF(AND($M150&gt;=DZ$15,$M150&lt;(DZ$16+1)),DZ$22/(DZ$16-DZ$15+1),0))</f>
        <v>0</v>
      </c>
      <c r="EA150" s="231" t="e">
        <f ca="1">IF(SUM(EA$24:EA149)=EA$22,0,IF(AND(M150&gt;=EA$15,M150&lt;(EA$16+1)),EA$22/(EA$16-EA$15+1),0))</f>
        <v>#N/A</v>
      </c>
      <c r="EC150" s="234">
        <f t="shared" si="136"/>
        <v>123</v>
      </c>
      <c r="ED150" s="234" t="e">
        <f t="shared" ca="1" si="137"/>
        <v>#N/A</v>
      </c>
      <c r="EE150" s="235" t="e">
        <f t="shared" ca="1" si="138"/>
        <v>#N/A</v>
      </c>
      <c r="EF150" s="234" t="e">
        <f t="shared" ca="1" si="104"/>
        <v>#N/A</v>
      </c>
      <c r="EG150" s="234" t="e">
        <f t="shared" ca="1" si="106"/>
        <v>#N/A</v>
      </c>
      <c r="EH150" s="234" t="e">
        <f t="shared" ca="1" si="112"/>
        <v>#N/A</v>
      </c>
      <c r="EI150" s="234"/>
      <c r="EJ150" s="234"/>
      <c r="EK150" s="153" t="e">
        <f t="shared" ca="1" si="139"/>
        <v>#N/A</v>
      </c>
      <c r="EL150" s="231" t="e">
        <f ca="1">IF(SUM(EL$24:EL149)=EL$22,0,IF(AND($M150&gt;=EL$15,$M150&lt;(EL$16+1)),EL$22/(EL$16-EL$15+1),0))</f>
        <v>#N/A</v>
      </c>
      <c r="EM150" s="153" t="e">
        <f t="shared" ca="1" si="140"/>
        <v>#N/A</v>
      </c>
      <c r="EO150" s="60"/>
      <c r="EP150" s="60"/>
    </row>
    <row r="151" spans="1:146" ht="13.9" customHeight="1">
      <c r="A151" s="220"/>
      <c r="B151" s="236">
        <f t="shared" si="100"/>
        <v>124</v>
      </c>
      <c r="C151" s="221">
        <f t="shared" si="141"/>
        <v>47332.254100000195</v>
      </c>
      <c r="D151" s="222" t="e">
        <f ca="1">'Offshore INT'!R140</f>
        <v>#N/A</v>
      </c>
      <c r="E151" s="223" t="e">
        <f t="shared" ca="1" si="131"/>
        <v>#N/A</v>
      </c>
      <c r="F151" s="224"/>
      <c r="G151" s="225">
        <f>IF(G150=1,1,SUM($F$24:F151))</f>
        <v>0</v>
      </c>
      <c r="H151" s="226" t="e">
        <f ca="1">IF(H150=0,0,SUM($I$24:I151))</f>
        <v>#N/A</v>
      </c>
      <c r="I151" s="227" t="e">
        <f t="shared" ca="1" si="132"/>
        <v>#N/A</v>
      </c>
      <c r="J151" s="222">
        <f t="shared" ca="1" si="154"/>
        <v>0</v>
      </c>
      <c r="K151" s="60"/>
      <c r="L151" s="228"/>
      <c r="M151" s="228">
        <f t="shared" si="133"/>
        <v>124</v>
      </c>
      <c r="N151" s="221">
        <f t="shared" si="134"/>
        <v>47332.254100000195</v>
      </c>
      <c r="O151" s="229">
        <f t="shared" si="152"/>
        <v>0</v>
      </c>
      <c r="P151" s="229">
        <f t="shared" si="152"/>
        <v>0</v>
      </c>
      <c r="Q151" s="229">
        <f t="shared" si="152"/>
        <v>0</v>
      </c>
      <c r="R151" s="229">
        <f t="shared" si="152"/>
        <v>0</v>
      </c>
      <c r="S151" s="229">
        <f t="shared" si="152"/>
        <v>0</v>
      </c>
      <c r="T151" s="229">
        <f t="shared" si="152"/>
        <v>0</v>
      </c>
      <c r="U151" s="229">
        <f t="shared" si="152"/>
        <v>0</v>
      </c>
      <c r="V151" s="229">
        <f t="shared" si="152"/>
        <v>0</v>
      </c>
      <c r="W151" s="229">
        <f t="shared" si="152"/>
        <v>0</v>
      </c>
      <c r="X151" s="229">
        <f t="shared" si="152"/>
        <v>0</v>
      </c>
      <c r="Y151" s="229">
        <f t="shared" si="152"/>
        <v>0</v>
      </c>
      <c r="Z151" s="229">
        <f t="shared" si="152"/>
        <v>0</v>
      </c>
      <c r="AA151" s="229">
        <f t="shared" si="164"/>
        <v>0</v>
      </c>
      <c r="AB151" s="229">
        <f t="shared" si="164"/>
        <v>0</v>
      </c>
      <c r="AC151" s="229">
        <f t="shared" si="164"/>
        <v>0</v>
      </c>
      <c r="AD151" s="229">
        <f t="shared" si="164"/>
        <v>0</v>
      </c>
      <c r="AE151" s="229">
        <f t="shared" si="164"/>
        <v>0</v>
      </c>
      <c r="AF151" s="229">
        <f t="shared" si="164"/>
        <v>0</v>
      </c>
      <c r="AG151" s="229">
        <f t="shared" si="164"/>
        <v>0</v>
      </c>
      <c r="AH151" s="229">
        <f t="shared" si="164"/>
        <v>0</v>
      </c>
      <c r="AI151" s="229">
        <f t="shared" si="164"/>
        <v>0</v>
      </c>
      <c r="AJ151" s="229">
        <f t="shared" si="164"/>
        <v>0</v>
      </c>
      <c r="AK151" s="229">
        <f t="shared" si="164"/>
        <v>0</v>
      </c>
      <c r="AL151" s="229">
        <f t="shared" si="164"/>
        <v>0</v>
      </c>
      <c r="AM151" s="229">
        <f t="shared" si="169"/>
        <v>0</v>
      </c>
      <c r="AN151" s="229">
        <f t="shared" si="169"/>
        <v>0</v>
      </c>
      <c r="AO151" s="229">
        <f t="shared" si="169"/>
        <v>0</v>
      </c>
      <c r="AP151" s="229">
        <f t="shared" si="164"/>
        <v>0</v>
      </c>
      <c r="AQ151" s="229">
        <f t="shared" si="164"/>
        <v>0</v>
      </c>
      <c r="AR151" s="229">
        <f t="shared" si="164"/>
        <v>0</v>
      </c>
      <c r="AS151" s="229">
        <f t="shared" si="159"/>
        <v>0</v>
      </c>
      <c r="AT151" s="229">
        <f t="shared" si="159"/>
        <v>0</v>
      </c>
      <c r="AU151" s="229">
        <f t="shared" si="159"/>
        <v>0</v>
      </c>
      <c r="AV151" s="229">
        <f t="shared" si="159"/>
        <v>0</v>
      </c>
      <c r="AW151" s="229">
        <f t="shared" si="159"/>
        <v>0</v>
      </c>
      <c r="AX151" s="229">
        <f t="shared" si="164"/>
        <v>0</v>
      </c>
      <c r="AY151" s="229">
        <f t="shared" si="164"/>
        <v>0</v>
      </c>
      <c r="AZ151" s="229">
        <f t="shared" si="164"/>
        <v>0</v>
      </c>
      <c r="BA151" s="229">
        <f t="shared" si="164"/>
        <v>0</v>
      </c>
      <c r="BB151" s="229">
        <f t="shared" si="164"/>
        <v>0</v>
      </c>
      <c r="BC151" s="229">
        <f t="shared" si="164"/>
        <v>0</v>
      </c>
      <c r="BD151" s="229">
        <f t="shared" si="165"/>
        <v>0</v>
      </c>
      <c r="BE151" s="229">
        <f t="shared" si="165"/>
        <v>0</v>
      </c>
      <c r="BF151" s="229">
        <f t="shared" si="165"/>
        <v>0</v>
      </c>
      <c r="BG151" s="229">
        <f t="shared" si="165"/>
        <v>0</v>
      </c>
      <c r="BH151" s="229">
        <f t="shared" si="165"/>
        <v>0</v>
      </c>
      <c r="BI151" s="229">
        <f t="shared" si="165"/>
        <v>0</v>
      </c>
      <c r="BJ151" s="229">
        <f t="shared" si="165"/>
        <v>0</v>
      </c>
      <c r="BK151" s="229">
        <f t="shared" si="165"/>
        <v>0</v>
      </c>
      <c r="BL151" s="229">
        <f t="shared" si="165"/>
        <v>0</v>
      </c>
      <c r="BM151" s="229">
        <f t="shared" si="165"/>
        <v>0</v>
      </c>
      <c r="BN151" s="229">
        <f t="shared" si="165"/>
        <v>0</v>
      </c>
      <c r="BO151" s="229">
        <f t="shared" si="165"/>
        <v>0</v>
      </c>
      <c r="BP151" s="229">
        <f t="shared" si="165"/>
        <v>0</v>
      </c>
      <c r="BQ151" s="229">
        <f t="shared" si="166"/>
        <v>0</v>
      </c>
      <c r="BR151" s="229">
        <f t="shared" si="166"/>
        <v>0</v>
      </c>
      <c r="BS151" s="229">
        <f t="shared" si="166"/>
        <v>0</v>
      </c>
      <c r="BT151" s="229">
        <f t="shared" si="166"/>
        <v>0</v>
      </c>
      <c r="BU151" s="229">
        <f t="shared" si="166"/>
        <v>0</v>
      </c>
      <c r="BV151" s="229">
        <f t="shared" si="166"/>
        <v>0</v>
      </c>
      <c r="BW151" s="229">
        <f t="shared" si="166"/>
        <v>0</v>
      </c>
      <c r="BX151" s="229">
        <f t="shared" si="166"/>
        <v>0</v>
      </c>
      <c r="BY151" s="229">
        <f t="shared" si="166"/>
        <v>0</v>
      </c>
      <c r="BZ151" s="229">
        <f t="shared" si="166"/>
        <v>0</v>
      </c>
      <c r="CA151" s="229">
        <f t="shared" si="166"/>
        <v>0</v>
      </c>
      <c r="CB151" s="229">
        <f t="shared" si="166"/>
        <v>0</v>
      </c>
      <c r="CC151" s="229">
        <f t="shared" si="166"/>
        <v>0</v>
      </c>
      <c r="CD151" s="229">
        <f t="shared" si="167"/>
        <v>0</v>
      </c>
      <c r="CE151" s="229">
        <f>IF($M151=CE$13,CE$22*CE$3,IF($M151=CE$14,CE$22*CE$4,IF($M151=CE$15,CE$22*CE$5,IF($M151=CE$16,CE$22*CE$6,IF($M151=CE$17,CE$22*CE$7,IF($M151=CE$18,CE$22*CE$8,IF($M151=CE$19,CE$22*CE$9,IF($M151=CE$20,CE$22*CE$10,0))))))))</f>
        <v>0</v>
      </c>
      <c r="CF151" s="229">
        <f t="shared" si="167"/>
        <v>0</v>
      </c>
      <c r="CG151" s="229">
        <f t="shared" si="167"/>
        <v>0</v>
      </c>
      <c r="CH151" s="229">
        <f t="shared" si="167"/>
        <v>0</v>
      </c>
      <c r="CI151" s="229">
        <f t="shared" si="167"/>
        <v>0</v>
      </c>
      <c r="CJ151" s="229">
        <f t="shared" si="153"/>
        <v>0</v>
      </c>
      <c r="CK151" s="229">
        <f t="shared" si="167"/>
        <v>0</v>
      </c>
      <c r="CL151" s="229">
        <f t="shared" si="167"/>
        <v>0</v>
      </c>
      <c r="CM151" s="229">
        <f t="shared" si="167"/>
        <v>0</v>
      </c>
      <c r="CN151" s="229">
        <f t="shared" si="167"/>
        <v>0</v>
      </c>
      <c r="CO151" s="229">
        <f t="shared" si="163"/>
        <v>0</v>
      </c>
      <c r="CP151" s="229">
        <f t="shared" si="163"/>
        <v>0</v>
      </c>
      <c r="CQ151" s="229">
        <f t="shared" si="167"/>
        <v>0</v>
      </c>
      <c r="CR151" s="229">
        <f t="shared" si="167"/>
        <v>0</v>
      </c>
      <c r="CS151" s="229">
        <f t="shared" si="167"/>
        <v>0</v>
      </c>
      <c r="CT151" s="229">
        <f t="shared" si="167"/>
        <v>0</v>
      </c>
      <c r="CU151" s="230"/>
      <c r="CV151" s="231"/>
      <c r="CW151" s="231"/>
      <c r="CX151" s="231"/>
      <c r="CY151" s="231"/>
      <c r="CZ151" s="231"/>
      <c r="DA151" s="231"/>
      <c r="DB151" s="231"/>
      <c r="DC151" s="231"/>
      <c r="DD151" s="231">
        <f>IF(SUM(DD$24:DD150)=DD$22,0,IF(AND($M151&gt;=DD$15,$M151&lt;(DD$16+1)),DD$22/(DD$16-DD$15+1),0))</f>
        <v>0</v>
      </c>
      <c r="DE151" s="231">
        <f>IF(SUM(DE$24:DE150)=DE$22,0,IF(AND($M151&gt;=DE$15,$M151&lt;(DE$16+1)),DE$22/(DE$16-DE$15+1),0))</f>
        <v>0</v>
      </c>
      <c r="DF151" s="231">
        <f>IF(SUM(DF$24:DF150)=DF$22,0,IF(AND($M151&gt;=DF$15,$M151&lt;(DF$16+1)),DF$22/(DF$16-DF$15+1),0))</f>
        <v>0</v>
      </c>
      <c r="DG151" s="231">
        <f>IF(SUM(DG$24:DG150)=DG$22,0,IF(AND($M151&gt;=DG$15,$M151&lt;(DG$16+1)),DG$22/(DG$16-DG$15+1),0))</f>
        <v>0</v>
      </c>
      <c r="DH151" s="231">
        <f t="shared" si="151"/>
        <v>0</v>
      </c>
      <c r="DI151" s="231">
        <f t="shared" si="151"/>
        <v>0</v>
      </c>
      <c r="DJ151" s="231">
        <f t="shared" si="151"/>
        <v>0</v>
      </c>
      <c r="DK151" s="231">
        <f t="shared" si="151"/>
        <v>0</v>
      </c>
      <c r="DL151" s="231">
        <f t="shared" si="151"/>
        <v>0</v>
      </c>
      <c r="DM151" s="231">
        <f t="shared" si="168"/>
        <v>0</v>
      </c>
      <c r="DN151" s="231">
        <f t="shared" si="168"/>
        <v>0</v>
      </c>
      <c r="DO151" s="231">
        <f t="shared" si="151"/>
        <v>0</v>
      </c>
      <c r="DP151" s="231">
        <f t="shared" si="162"/>
        <v>0</v>
      </c>
      <c r="DQ151" s="231">
        <f t="shared" si="162"/>
        <v>0</v>
      </c>
      <c r="DR151" s="231">
        <f t="shared" si="162"/>
        <v>0</v>
      </c>
      <c r="DS151" s="231">
        <f t="shared" si="162"/>
        <v>0</v>
      </c>
      <c r="DT151" s="231">
        <f ca="1">IF(SUM(DT$24:DT150)=DT$22,0,IF(AND($M151&gt;=DT$15,$M151&lt;(DT$16+1)),DT$22/(DT$16-DT$15+1),0))</f>
        <v>0</v>
      </c>
      <c r="DU151" s="231">
        <f ca="1">IF(SUM(DU$24:DU150)=DU$22,0,IF(AND($M151&gt;=DU$15,$M151&lt;(DU$16+1)),DU$22/(DU$16-DU$15+1),0))</f>
        <v>0</v>
      </c>
      <c r="DV151" s="231">
        <f ca="1">IF(SUM(DV$24:DV150)=DV$22,0,IF(AND(M151&gt;=DV$15,M151&lt;(DV$16+1)),DV$22/(DV$16-DV$15+1),0))</f>
        <v>0</v>
      </c>
      <c r="DW151" s="231" t="e">
        <f ca="1">IF(SUM(DW$24:DW150)=DW$22,0,IF(AND($M151&gt;=DW$15,$M151&lt;(DW$16+1)),DW$22/(DW$16-DW$15+1),0))</f>
        <v>#N/A</v>
      </c>
      <c r="DX151" s="231">
        <f ca="1">IF(SUM(DX$24:DX150)=DX$22,0,IF(AND($M151&gt;=DX$15,$M151&lt;(DX$16+1)),DX$22/(DX$16-DX$15+1),0))</f>
        <v>0</v>
      </c>
      <c r="DY151" s="231">
        <f ca="1">IF(SUM(DY$24:DY150)=DY$22,0,IF(AND($M151&gt;=DY$15,$M151&lt;(DY$16+1)),DY$22/(DY$16-DY$15+1),0))</f>
        <v>0</v>
      </c>
      <c r="DZ151" s="231">
        <f ca="1">IF(SUM(DZ$24:DZ150)=DZ$22,0,IF(AND($M151&gt;=DZ$15,$M151&lt;(DZ$16+1)),DZ$22/(DZ$16-DZ$15+1),0))</f>
        <v>0</v>
      </c>
      <c r="EA151" s="231" t="e">
        <f ca="1">IF(SUM(EA$24:EA150)=EA$22,0,IF(AND(M151&gt;=EA$15,M151&lt;(EA$16+1)),EA$22/(EA$16-EA$15+1),0))</f>
        <v>#N/A</v>
      </c>
      <c r="EC151" s="234">
        <f t="shared" si="136"/>
        <v>124</v>
      </c>
      <c r="ED151" s="234" t="e">
        <f t="shared" ca="1" si="137"/>
        <v>#N/A</v>
      </c>
      <c r="EE151" s="235" t="e">
        <f t="shared" ca="1" si="138"/>
        <v>#N/A</v>
      </c>
      <c r="EF151" s="234" t="e">
        <f t="shared" ca="1" si="104"/>
        <v>#N/A</v>
      </c>
      <c r="EG151" s="234" t="e">
        <f t="shared" ca="1" si="106"/>
        <v>#N/A</v>
      </c>
      <c r="EH151" s="234" t="e">
        <f t="shared" ca="1" si="112"/>
        <v>#N/A</v>
      </c>
      <c r="EI151" s="234"/>
      <c r="EJ151" s="234"/>
      <c r="EK151" s="153" t="e">
        <f t="shared" ca="1" si="139"/>
        <v>#N/A</v>
      </c>
      <c r="EL151" s="231" t="e">
        <f ca="1">IF(SUM(EL$24:EL150)=EL$22,0,IF(AND($M151&gt;=EL$15,$M151&lt;(EL$16+1)),EL$22/(EL$16-EL$15+1),0))</f>
        <v>#N/A</v>
      </c>
      <c r="EM151" s="153" t="e">
        <f t="shared" ca="1" si="140"/>
        <v>#N/A</v>
      </c>
      <c r="EO151" s="60"/>
      <c r="EP151" s="60"/>
    </row>
    <row r="152" spans="1:146" ht="13.9" customHeight="1">
      <c r="A152" s="220"/>
      <c r="B152" s="236">
        <f t="shared" si="100"/>
        <v>125</v>
      </c>
      <c r="C152" s="221">
        <f t="shared" si="141"/>
        <v>47362.670800000196</v>
      </c>
      <c r="D152" s="222" t="e">
        <f ca="1">'Offshore INT'!R141</f>
        <v>#N/A</v>
      </c>
      <c r="E152" s="223" t="e">
        <f ca="1">F152*I$4</f>
        <v>#N/A</v>
      </c>
      <c r="F152" s="224"/>
      <c r="G152" s="225">
        <f>IF(G151=1,1,SUM($F$24:F152))</f>
        <v>0</v>
      </c>
      <c r="H152" s="226" t="e">
        <f ca="1">IF(H151=0,0,SUM($I$24:I152))</f>
        <v>#N/A</v>
      </c>
      <c r="I152" s="227" t="e">
        <f ca="1">IF(I$3=0,0,J152/I$3)</f>
        <v>#N/A</v>
      </c>
      <c r="J152" s="222">
        <f t="shared" ca="1" si="154"/>
        <v>0</v>
      </c>
      <c r="K152" s="60"/>
      <c r="L152" s="228"/>
      <c r="M152" s="228">
        <f t="shared" si="133"/>
        <v>125</v>
      </c>
      <c r="N152" s="221">
        <f t="shared" si="134"/>
        <v>47362.670800000196</v>
      </c>
      <c r="O152" s="229">
        <f t="shared" si="152"/>
        <v>0</v>
      </c>
      <c r="P152" s="229">
        <f t="shared" si="152"/>
        <v>0</v>
      </c>
      <c r="Q152" s="229">
        <f t="shared" si="152"/>
        <v>0</v>
      </c>
      <c r="R152" s="229">
        <f t="shared" si="152"/>
        <v>0</v>
      </c>
      <c r="S152" s="229">
        <f t="shared" si="152"/>
        <v>0</v>
      </c>
      <c r="T152" s="229">
        <f t="shared" si="152"/>
        <v>0</v>
      </c>
      <c r="U152" s="229">
        <f t="shared" si="152"/>
        <v>0</v>
      </c>
      <c r="V152" s="229">
        <f t="shared" si="152"/>
        <v>0</v>
      </c>
      <c r="W152" s="229">
        <f t="shared" si="152"/>
        <v>0</v>
      </c>
      <c r="X152" s="229">
        <f t="shared" si="152"/>
        <v>0</v>
      </c>
      <c r="Y152" s="229">
        <f t="shared" si="152"/>
        <v>0</v>
      </c>
      <c r="Z152" s="229">
        <f t="shared" si="152"/>
        <v>0</v>
      </c>
      <c r="AA152" s="229">
        <f t="shared" si="164"/>
        <v>0</v>
      </c>
      <c r="AB152" s="229">
        <f t="shared" si="164"/>
        <v>0</v>
      </c>
      <c r="AC152" s="229">
        <f t="shared" si="164"/>
        <v>0</v>
      </c>
      <c r="AD152" s="229">
        <f t="shared" si="164"/>
        <v>0</v>
      </c>
      <c r="AE152" s="229">
        <f t="shared" si="164"/>
        <v>0</v>
      </c>
      <c r="AF152" s="229">
        <f t="shared" si="164"/>
        <v>0</v>
      </c>
      <c r="AG152" s="229">
        <f t="shared" si="164"/>
        <v>0</v>
      </c>
      <c r="AH152" s="229">
        <f t="shared" si="164"/>
        <v>0</v>
      </c>
      <c r="AI152" s="229">
        <f t="shared" si="164"/>
        <v>0</v>
      </c>
      <c r="AJ152" s="229">
        <f t="shared" si="164"/>
        <v>0</v>
      </c>
      <c r="AK152" s="229">
        <f t="shared" si="164"/>
        <v>0</v>
      </c>
      <c r="AL152" s="229">
        <f t="shared" si="164"/>
        <v>0</v>
      </c>
      <c r="AM152" s="229">
        <f t="shared" si="169"/>
        <v>0</v>
      </c>
      <c r="AN152" s="229">
        <f t="shared" si="169"/>
        <v>0</v>
      </c>
      <c r="AO152" s="229">
        <f t="shared" si="169"/>
        <v>0</v>
      </c>
      <c r="AP152" s="229">
        <f t="shared" si="164"/>
        <v>0</v>
      </c>
      <c r="AQ152" s="229">
        <f t="shared" si="164"/>
        <v>0</v>
      </c>
      <c r="AR152" s="229">
        <f t="shared" si="164"/>
        <v>0</v>
      </c>
      <c r="AS152" s="229">
        <f t="shared" si="159"/>
        <v>0</v>
      </c>
      <c r="AT152" s="229">
        <f t="shared" si="159"/>
        <v>0</v>
      </c>
      <c r="AU152" s="229">
        <f t="shared" si="159"/>
        <v>0</v>
      </c>
      <c r="AV152" s="229">
        <f t="shared" si="159"/>
        <v>0</v>
      </c>
      <c r="AW152" s="229">
        <f t="shared" si="159"/>
        <v>0</v>
      </c>
      <c r="AX152" s="229">
        <f t="shared" si="164"/>
        <v>0</v>
      </c>
      <c r="AY152" s="229">
        <f t="shared" si="164"/>
        <v>0</v>
      </c>
      <c r="AZ152" s="229">
        <f t="shared" si="164"/>
        <v>0</v>
      </c>
      <c r="BA152" s="229">
        <f t="shared" si="164"/>
        <v>0</v>
      </c>
      <c r="BB152" s="229">
        <f t="shared" si="164"/>
        <v>0</v>
      </c>
      <c r="BC152" s="229">
        <f t="shared" si="164"/>
        <v>0</v>
      </c>
      <c r="BD152" s="229">
        <f t="shared" si="165"/>
        <v>0</v>
      </c>
      <c r="BE152" s="229">
        <f t="shared" si="165"/>
        <v>0</v>
      </c>
      <c r="BF152" s="229">
        <f t="shared" si="165"/>
        <v>0</v>
      </c>
      <c r="BG152" s="229">
        <f t="shared" si="165"/>
        <v>0</v>
      </c>
      <c r="BH152" s="229">
        <f t="shared" si="165"/>
        <v>0</v>
      </c>
      <c r="BI152" s="229">
        <f t="shared" si="165"/>
        <v>0</v>
      </c>
      <c r="BJ152" s="229">
        <f t="shared" si="165"/>
        <v>0</v>
      </c>
      <c r="BK152" s="229">
        <f t="shared" si="165"/>
        <v>0</v>
      </c>
      <c r="BL152" s="229">
        <f t="shared" si="165"/>
        <v>0</v>
      </c>
      <c r="BM152" s="229">
        <f t="shared" si="165"/>
        <v>0</v>
      </c>
      <c r="BN152" s="229">
        <f t="shared" si="165"/>
        <v>0</v>
      </c>
      <c r="BO152" s="229">
        <f t="shared" si="165"/>
        <v>0</v>
      </c>
      <c r="BP152" s="229">
        <f t="shared" si="165"/>
        <v>0</v>
      </c>
      <c r="BQ152" s="229">
        <f t="shared" si="166"/>
        <v>0</v>
      </c>
      <c r="BR152" s="229">
        <f t="shared" si="166"/>
        <v>0</v>
      </c>
      <c r="BS152" s="229">
        <f t="shared" si="166"/>
        <v>0</v>
      </c>
      <c r="BT152" s="229">
        <f t="shared" si="166"/>
        <v>0</v>
      </c>
      <c r="BU152" s="229">
        <f t="shared" si="166"/>
        <v>0</v>
      </c>
      <c r="BV152" s="229">
        <f t="shared" si="166"/>
        <v>0</v>
      </c>
      <c r="BW152" s="229">
        <f t="shared" si="166"/>
        <v>0</v>
      </c>
      <c r="BX152" s="229">
        <f t="shared" si="166"/>
        <v>0</v>
      </c>
      <c r="BY152" s="229">
        <f t="shared" si="166"/>
        <v>0</v>
      </c>
      <c r="BZ152" s="229">
        <f t="shared" si="166"/>
        <v>0</v>
      </c>
      <c r="CA152" s="229">
        <f t="shared" si="166"/>
        <v>0</v>
      </c>
      <c r="CB152" s="229">
        <f t="shared" si="166"/>
        <v>0</v>
      </c>
      <c r="CC152" s="229">
        <f t="shared" si="166"/>
        <v>0</v>
      </c>
      <c r="CD152" s="229">
        <f t="shared" si="167"/>
        <v>0</v>
      </c>
      <c r="CE152" s="229">
        <f>IF($M152=CE$13,CE$22*CE$3,IF($M152=CE$14,CE$22*CE$4,IF($M152=CE$15,CE$22*CE$5,IF($M152=CE$16,CE$22*CE$6,IF($M152=CE$17,CE$22*CE$7,IF($M152=CE$18,CE$22*CE$8,IF($M152=CE$19,CE$22*CE$9,IF($M152=CE$20,CE$22*CE$10,0))))))))</f>
        <v>0</v>
      </c>
      <c r="CF152" s="229">
        <f t="shared" si="167"/>
        <v>0</v>
      </c>
      <c r="CG152" s="229">
        <f t="shared" si="167"/>
        <v>0</v>
      </c>
      <c r="CH152" s="229">
        <f t="shared" si="167"/>
        <v>0</v>
      </c>
      <c r="CI152" s="229">
        <f t="shared" si="167"/>
        <v>0</v>
      </c>
      <c r="CJ152" s="229">
        <f t="shared" si="153"/>
        <v>0</v>
      </c>
      <c r="CK152" s="229">
        <f t="shared" si="167"/>
        <v>0</v>
      </c>
      <c r="CL152" s="229">
        <f t="shared" si="167"/>
        <v>0</v>
      </c>
      <c r="CM152" s="229">
        <f t="shared" si="167"/>
        <v>0</v>
      </c>
      <c r="CN152" s="229">
        <f t="shared" si="167"/>
        <v>0</v>
      </c>
      <c r="CO152" s="229">
        <f t="shared" si="163"/>
        <v>0</v>
      </c>
      <c r="CP152" s="229">
        <f t="shared" si="163"/>
        <v>0</v>
      </c>
      <c r="CQ152" s="229">
        <f t="shared" si="167"/>
        <v>0</v>
      </c>
      <c r="CR152" s="229">
        <f t="shared" si="167"/>
        <v>0</v>
      </c>
      <c r="CS152" s="229">
        <f t="shared" si="167"/>
        <v>0</v>
      </c>
      <c r="CT152" s="229">
        <f t="shared" si="167"/>
        <v>0</v>
      </c>
      <c r="CU152" s="230"/>
      <c r="CV152" s="231"/>
      <c r="CW152" s="231"/>
      <c r="CX152" s="231"/>
      <c r="CY152" s="231"/>
      <c r="CZ152" s="231"/>
      <c r="DA152" s="231"/>
      <c r="DB152" s="231"/>
      <c r="DC152" s="231"/>
      <c r="DD152" s="231">
        <f>IF(SUM(DD$24:DD151)=DD$22,0,IF(AND($M152&gt;=DD$15,$M152&lt;(DD$16+1)),DD$22/(DD$16-DD$15+1),0))</f>
        <v>0</v>
      </c>
      <c r="DE152" s="231">
        <f>IF(SUM(DE$24:DE151)=DE$22,0,IF(AND($M152&gt;=DE$15,$M152&lt;(DE$16+1)),DE$22/(DE$16-DE$15+1),0))</f>
        <v>0</v>
      </c>
      <c r="DF152" s="231">
        <f>IF(SUM(DF$24:DF151)=DF$22,0,IF(AND($M152&gt;=DF$15,$M152&lt;(DF$16+1)),DF$22/(DF$16-DF$15+1),0))</f>
        <v>0</v>
      </c>
      <c r="DG152" s="231">
        <f>IF(SUM(DG$24:DG151)=DG$22,0,IF(AND($M152&gt;=DG$15,$M152&lt;(DG$16+1)),DG$22/(DG$16-DG$15+1),0))</f>
        <v>0</v>
      </c>
      <c r="DH152" s="231">
        <f t="shared" si="151"/>
        <v>0</v>
      </c>
      <c r="DI152" s="231">
        <f t="shared" si="151"/>
        <v>0</v>
      </c>
      <c r="DJ152" s="231">
        <f t="shared" si="151"/>
        <v>0</v>
      </c>
      <c r="DK152" s="231">
        <f t="shared" si="151"/>
        <v>0</v>
      </c>
      <c r="DL152" s="231">
        <f t="shared" si="151"/>
        <v>0</v>
      </c>
      <c r="DM152" s="231">
        <f t="shared" si="168"/>
        <v>0</v>
      </c>
      <c r="DN152" s="231">
        <f t="shared" si="168"/>
        <v>0</v>
      </c>
      <c r="DO152" s="231">
        <f t="shared" si="151"/>
        <v>0</v>
      </c>
      <c r="DP152" s="231">
        <f t="shared" si="162"/>
        <v>0</v>
      </c>
      <c r="DQ152" s="231">
        <f t="shared" si="162"/>
        <v>0</v>
      </c>
      <c r="DR152" s="231">
        <f t="shared" si="162"/>
        <v>0</v>
      </c>
      <c r="DS152" s="231">
        <f t="shared" si="162"/>
        <v>0</v>
      </c>
      <c r="DT152" s="231">
        <f ca="1">IF(SUM(DT$24:DT151)=DT$22,0,IF(AND($M152&gt;=DT$15,$M152&lt;(DT$16+1)),DT$22/(DT$16-DT$15+1),0))</f>
        <v>0</v>
      </c>
      <c r="DU152" s="231">
        <f ca="1">IF(SUM(DU$24:DU151)=DU$22,0,IF(AND($M152&gt;=DU$15,$M152&lt;(DU$16+1)),DU$22/(DU$16-DU$15+1),0))</f>
        <v>0</v>
      </c>
      <c r="DV152" s="231">
        <f ca="1">IF(SUM(DV$24:DV151)=DV$22,0,IF(AND(M152&gt;=DV$15,M152&lt;(DV$16+1)),DV$22/(DV$16-DV$15+1),0))</f>
        <v>0</v>
      </c>
      <c r="DW152" s="231" t="e">
        <f ca="1">IF(SUM(DW$24:DW151)=DW$22,0,IF(AND($M152&gt;=DW$15,$M152&lt;(DW$16+1)),DW$22/(DW$16-DW$15+1),0))</f>
        <v>#N/A</v>
      </c>
      <c r="DX152" s="231">
        <f ca="1">IF(SUM(DX$24:DX151)=DX$22,0,IF(AND($M152&gt;=DX$15,$M152&lt;(DX$16+1)),DX$22/(DX$16-DX$15+1),0))</f>
        <v>0</v>
      </c>
      <c r="DY152" s="231">
        <f ca="1">IF(SUM(DY$24:DY151)=DY$22,0,IF(AND($M152&gt;=DY$15,$M152&lt;(DY$16+1)),DY$22/(DY$16-DY$15+1),0))</f>
        <v>0</v>
      </c>
      <c r="DZ152" s="231">
        <f ca="1">IF(SUM(DZ$24:DZ151)=DZ$22,0,IF(AND($M152&gt;=DZ$15,$M152&lt;(DZ$16+1)),DZ$22/(DZ$16-DZ$15+1),0))</f>
        <v>0</v>
      </c>
      <c r="EA152" s="231" t="e">
        <f ca="1">IF(SUM(EA$24:EA151)=EA$22,0,IF(AND(M152&gt;=EA$15,M152&lt;(EA$16+1)),EA$22/(EA$16-EA$15+1),0))</f>
        <v>#N/A</v>
      </c>
      <c r="EC152" s="234">
        <f t="shared" si="136"/>
        <v>125</v>
      </c>
      <c r="ED152" s="234" t="e">
        <f t="shared" ca="1" si="137"/>
        <v>#N/A</v>
      </c>
      <c r="EE152" s="235" t="e">
        <f ca="1">ED152/ED$22</f>
        <v>#N/A</v>
      </c>
      <c r="EF152" s="234" t="e">
        <f t="shared" ca="1" si="104"/>
        <v>#N/A</v>
      </c>
      <c r="EG152" s="234" t="e">
        <f t="shared" ca="1" si="106"/>
        <v>#N/A</v>
      </c>
      <c r="EH152" s="234" t="e">
        <f t="shared" ca="1" si="112"/>
        <v>#N/A</v>
      </c>
      <c r="EI152" s="234"/>
      <c r="EJ152" s="234"/>
      <c r="EK152" s="153" t="e">
        <f ca="1">SUM(ED152,EF152:EJ152)</f>
        <v>#N/A</v>
      </c>
      <c r="EL152" s="231" t="e">
        <f ca="1">IF(SUM(EL$24:EL151)=EL$22,0,IF(AND($M152&gt;=EL$15,$M152&lt;(EL$16+1)),EL$22/(EL$16-EL$15+1),0))</f>
        <v>#N/A</v>
      </c>
      <c r="EM152" s="153" t="e">
        <f ca="1">SUM(EK152:EL152)</f>
        <v>#N/A</v>
      </c>
      <c r="EO152" s="60"/>
      <c r="EP152" s="60"/>
    </row>
    <row r="153" spans="1:146">
      <c r="A153" s="220"/>
      <c r="B153" s="236">
        <f t="shared" si="100"/>
        <v>126</v>
      </c>
      <c r="C153" s="221">
        <f t="shared" si="141"/>
        <v>47393.087500000198</v>
      </c>
      <c r="D153" s="222" t="e">
        <f ca="1">'Offshore INT'!R142</f>
        <v>#N/A</v>
      </c>
      <c r="E153" s="223" t="e">
        <f ca="1">F153*I$4</f>
        <v>#N/A</v>
      </c>
      <c r="F153" s="224"/>
      <c r="G153" s="225">
        <f>IF(G152=1,1,SUM($F$24:F153))</f>
        <v>0</v>
      </c>
      <c r="H153" s="226" t="e">
        <f ca="1">IF(H152=0,0,SUM($I$24:I153))</f>
        <v>#N/A</v>
      </c>
      <c r="I153" s="227" t="e">
        <f ca="1">IF(I$3=0,0,J153/I$3)</f>
        <v>#N/A</v>
      </c>
      <c r="J153" s="222">
        <f t="shared" ca="1" si="154"/>
        <v>0</v>
      </c>
      <c r="K153" s="60"/>
      <c r="L153" s="228"/>
      <c r="M153" s="228">
        <f t="shared" si="133"/>
        <v>126</v>
      </c>
      <c r="N153" s="221">
        <f t="shared" si="134"/>
        <v>47393.087500000198</v>
      </c>
      <c r="O153" s="229">
        <f t="shared" si="152"/>
        <v>0</v>
      </c>
      <c r="P153" s="229">
        <f t="shared" si="152"/>
        <v>0</v>
      </c>
      <c r="Q153" s="229">
        <f t="shared" si="152"/>
        <v>0</v>
      </c>
      <c r="R153" s="229">
        <f t="shared" si="152"/>
        <v>0</v>
      </c>
      <c r="S153" s="229">
        <f t="shared" si="152"/>
        <v>0</v>
      </c>
      <c r="T153" s="229">
        <f t="shared" si="152"/>
        <v>0</v>
      </c>
      <c r="U153" s="229">
        <f t="shared" si="152"/>
        <v>0</v>
      </c>
      <c r="V153" s="229">
        <f t="shared" si="152"/>
        <v>0</v>
      </c>
      <c r="W153" s="229">
        <f t="shared" si="152"/>
        <v>0</v>
      </c>
      <c r="X153" s="229">
        <f t="shared" si="152"/>
        <v>0</v>
      </c>
      <c r="Y153" s="229">
        <f t="shared" si="152"/>
        <v>0</v>
      </c>
      <c r="Z153" s="229">
        <f t="shared" si="152"/>
        <v>0</v>
      </c>
      <c r="AA153" s="229">
        <f>IF($M153=AA$13,AA$22*AA$3,IF($M153=AA$14,AA$22*AA$4,IF($M153=AA$15,AA$22*AA$5,IF($M153=AA$16,AA$22*AA$6,IF($M153=AA$17,AA$22*AA$7,IF($M153=AA$18,AA$22*AA$8,IF($M153=AA$19,AA$22*AA$9,IF($M153=AA$20,AA$22*AA$10,0))))))))</f>
        <v>0</v>
      </c>
      <c r="AB153" s="229">
        <f t="shared" si="164"/>
        <v>0</v>
      </c>
      <c r="AC153" s="229">
        <f t="shared" si="164"/>
        <v>0</v>
      </c>
      <c r="AD153" s="229">
        <f t="shared" si="164"/>
        <v>0</v>
      </c>
      <c r="AE153" s="229">
        <f t="shared" si="164"/>
        <v>0</v>
      </c>
      <c r="AF153" s="229">
        <f t="shared" si="164"/>
        <v>0</v>
      </c>
      <c r="AG153" s="229">
        <f t="shared" si="164"/>
        <v>0</v>
      </c>
      <c r="AH153" s="229">
        <f t="shared" si="164"/>
        <v>0</v>
      </c>
      <c r="AI153" s="229">
        <f t="shared" si="164"/>
        <v>0</v>
      </c>
      <c r="AJ153" s="229">
        <f t="shared" si="164"/>
        <v>0</v>
      </c>
      <c r="AK153" s="229">
        <f t="shared" si="164"/>
        <v>0</v>
      </c>
      <c r="AL153" s="229">
        <f t="shared" si="164"/>
        <v>0</v>
      </c>
      <c r="AM153" s="229">
        <f t="shared" si="169"/>
        <v>0</v>
      </c>
      <c r="AN153" s="229">
        <f t="shared" si="169"/>
        <v>0</v>
      </c>
      <c r="AO153" s="229">
        <f t="shared" si="169"/>
        <v>0</v>
      </c>
      <c r="AP153" s="229">
        <f t="shared" si="164"/>
        <v>0</v>
      </c>
      <c r="AQ153" s="229">
        <f t="shared" si="164"/>
        <v>0</v>
      </c>
      <c r="AR153" s="229">
        <f t="shared" si="164"/>
        <v>0</v>
      </c>
      <c r="AS153" s="229">
        <f t="shared" si="159"/>
        <v>0</v>
      </c>
      <c r="AT153" s="229">
        <f t="shared" si="159"/>
        <v>0</v>
      </c>
      <c r="AU153" s="229">
        <f t="shared" si="159"/>
        <v>0</v>
      </c>
      <c r="AV153" s="229">
        <f t="shared" si="159"/>
        <v>0</v>
      </c>
      <c r="AW153" s="229">
        <f t="shared" si="159"/>
        <v>0</v>
      </c>
      <c r="AX153" s="229">
        <f t="shared" si="164"/>
        <v>0</v>
      </c>
      <c r="AY153" s="229">
        <f t="shared" si="164"/>
        <v>0</v>
      </c>
      <c r="AZ153" s="229">
        <f>IF($M153=AZ$13,AZ$22*AZ$3,IF($M153=AZ$14,AZ$22*AZ$4,IF($M153=AZ$15,AZ$22*AZ$5,IF($M153=AZ$16,AZ$22*AZ$6,IF($M153=AZ$17,AZ$22*AZ$7,IF($M153=AZ$18,AZ$22*AZ$8,IF($M153=AZ$19,AZ$22*AZ$9,IF($M153=AZ$20,AZ$22*AZ$10,0))))))))</f>
        <v>0</v>
      </c>
      <c r="BA153" s="229">
        <f t="shared" si="164"/>
        <v>0</v>
      </c>
      <c r="BB153" s="229">
        <f>IF($M153=BB$13,BB$22*BB$3,IF($M153=BB$14,BB$22*BB$4,IF($M153=BB$15,BB$22*BB$5,IF($M153=BB$16,BB$22*BB$6,IF($M153=BB$17,BB$22*BB$7,IF($M153=BB$18,BB$22*BB$8,IF($M153=BB$19,BB$22*BB$9,IF($M153=BB$20,BB$22*BB$10,0))))))))</f>
        <v>0</v>
      </c>
      <c r="BC153" s="229">
        <f>IF($M153=BC$13,BC$22*BC$3,IF($M153=BC$14,BC$22*BC$4,IF($M153=BC$15,BC$22*BC$5,IF($M153=BC$16,BC$22*BC$6,IF($M153=BC$17,BC$22*BC$7,IF($M153=BC$18,BC$22*BC$8,IF($M153=BC$19,BC$22*BC$9,IF($M153=BC$20,BC$22*BC$10,0))))))))</f>
        <v>0</v>
      </c>
      <c r="BD153" s="229">
        <f t="shared" si="165"/>
        <v>0</v>
      </c>
      <c r="BE153" s="229">
        <f t="shared" si="165"/>
        <v>0</v>
      </c>
      <c r="BF153" s="229">
        <f t="shared" si="165"/>
        <v>0</v>
      </c>
      <c r="BG153" s="229">
        <f t="shared" si="165"/>
        <v>0</v>
      </c>
      <c r="BH153" s="229">
        <f t="shared" si="165"/>
        <v>0</v>
      </c>
      <c r="BI153" s="229">
        <f t="shared" si="165"/>
        <v>0</v>
      </c>
      <c r="BJ153" s="229">
        <f t="shared" si="165"/>
        <v>0</v>
      </c>
      <c r="BK153" s="229">
        <f t="shared" si="165"/>
        <v>0</v>
      </c>
      <c r="BL153" s="229">
        <f t="shared" si="165"/>
        <v>0</v>
      </c>
      <c r="BM153" s="229">
        <f t="shared" si="165"/>
        <v>0</v>
      </c>
      <c r="BN153" s="229">
        <f t="shared" si="165"/>
        <v>0</v>
      </c>
      <c r="BO153" s="229">
        <f t="shared" si="165"/>
        <v>0</v>
      </c>
      <c r="BP153" s="229">
        <f t="shared" si="165"/>
        <v>0</v>
      </c>
      <c r="BQ153" s="229">
        <f t="shared" si="166"/>
        <v>0</v>
      </c>
      <c r="BR153" s="229">
        <f t="shared" si="166"/>
        <v>0</v>
      </c>
      <c r="BS153" s="229">
        <f t="shared" si="166"/>
        <v>0</v>
      </c>
      <c r="BT153" s="229">
        <f t="shared" si="166"/>
        <v>0</v>
      </c>
      <c r="BU153" s="229">
        <f t="shared" si="166"/>
        <v>0</v>
      </c>
      <c r="BV153" s="229">
        <f t="shared" si="166"/>
        <v>0</v>
      </c>
      <c r="BW153" s="229">
        <f t="shared" si="166"/>
        <v>0</v>
      </c>
      <c r="BX153" s="229">
        <f t="shared" si="166"/>
        <v>0</v>
      </c>
      <c r="BY153" s="229">
        <f t="shared" si="166"/>
        <v>0</v>
      </c>
      <c r="BZ153" s="229">
        <f t="shared" si="166"/>
        <v>0</v>
      </c>
      <c r="CA153" s="229">
        <f t="shared" si="166"/>
        <v>0</v>
      </c>
      <c r="CB153" s="229">
        <f t="shared" si="166"/>
        <v>0</v>
      </c>
      <c r="CC153" s="229">
        <f t="shared" si="166"/>
        <v>0</v>
      </c>
      <c r="CD153" s="229">
        <f t="shared" si="167"/>
        <v>0</v>
      </c>
      <c r="CE153" s="229">
        <f>IF($M153=CE$13,CE$22*CE$3,IF($M153=CE$14,CE$22*CE$4,IF($M153=CE$15,CE$22*CE$5,IF($M153=CE$16,CE$22*CE$6,IF($M153=CE$17,CE$22*CE$7,IF($M153=CE$18,CE$22*CE$8,IF($M153=CE$19,CE$22*CE$9,IF($M153=CE$20,CE$22*CE$10,0))))))))</f>
        <v>0</v>
      </c>
      <c r="CF153" s="229">
        <f t="shared" si="167"/>
        <v>0</v>
      </c>
      <c r="CG153" s="229">
        <f t="shared" si="167"/>
        <v>0</v>
      </c>
      <c r="CH153" s="229">
        <f t="shared" si="167"/>
        <v>0</v>
      </c>
      <c r="CI153" s="229">
        <f t="shared" si="167"/>
        <v>0</v>
      </c>
      <c r="CJ153" s="229">
        <f t="shared" si="153"/>
        <v>0</v>
      </c>
      <c r="CK153" s="229">
        <f t="shared" si="167"/>
        <v>0</v>
      </c>
      <c r="CL153" s="229">
        <f t="shared" si="167"/>
        <v>0</v>
      </c>
      <c r="CM153" s="229">
        <f t="shared" si="167"/>
        <v>0</v>
      </c>
      <c r="CN153" s="229">
        <f t="shared" si="167"/>
        <v>0</v>
      </c>
      <c r="CO153" s="229">
        <f t="shared" si="163"/>
        <v>0</v>
      </c>
      <c r="CP153" s="229">
        <f t="shared" si="163"/>
        <v>0</v>
      </c>
      <c r="CQ153" s="229">
        <f t="shared" si="167"/>
        <v>0</v>
      </c>
      <c r="CR153" s="229">
        <f t="shared" si="167"/>
        <v>0</v>
      </c>
      <c r="CS153" s="229">
        <f t="shared" si="167"/>
        <v>0</v>
      </c>
      <c r="CT153" s="229">
        <f t="shared" si="167"/>
        <v>0</v>
      </c>
      <c r="CU153" s="230"/>
      <c r="CV153" s="231"/>
      <c r="CW153" s="231"/>
      <c r="CX153" s="231"/>
      <c r="CY153" s="231"/>
      <c r="CZ153" s="231"/>
      <c r="DA153" s="231"/>
      <c r="DB153" s="231"/>
      <c r="DC153" s="231"/>
      <c r="DD153" s="231">
        <f>IF(SUM(DD$24:DD152)=DD$22,0,IF(AND($M153&gt;=DD$15,$M153&lt;(DD$16+1)),DD$22/(DD$16-DD$15+1),0))</f>
        <v>0</v>
      </c>
      <c r="DE153" s="231">
        <f>IF(SUM(DE$24:DE152)=DE$22,0,IF(AND($M153&gt;=DE$15,$M153&lt;(DE$16+1)),DE$22/(DE$16-DE$15+1),0))</f>
        <v>0</v>
      </c>
      <c r="DF153" s="231">
        <f>IF(SUM(DF$24:DF152)=DF$22,0,IF(AND($M153&gt;=DF$15,$M153&lt;(DF$16+1)),DF$22/(DF$16-DF$15+1),0))</f>
        <v>0</v>
      </c>
      <c r="DG153" s="231">
        <f>IF(SUM(DG$24:DG152)=DG$22,0,IF(AND($M153&gt;=DG$15,$M153&lt;(DG$16+1)),DG$22/(DG$16-DG$15+1),0))</f>
        <v>0</v>
      </c>
      <c r="DH153" s="231">
        <f t="shared" si="151"/>
        <v>0</v>
      </c>
      <c r="DI153" s="231">
        <f t="shared" si="151"/>
        <v>0</v>
      </c>
      <c r="DJ153" s="231">
        <f t="shared" si="151"/>
        <v>0</v>
      </c>
      <c r="DK153" s="231">
        <f t="shared" si="151"/>
        <v>0</v>
      </c>
      <c r="DL153" s="231">
        <f t="shared" si="151"/>
        <v>0</v>
      </c>
      <c r="DM153" s="231">
        <f t="shared" si="168"/>
        <v>0</v>
      </c>
      <c r="DN153" s="231">
        <f t="shared" si="168"/>
        <v>0</v>
      </c>
      <c r="DO153" s="231">
        <f t="shared" si="151"/>
        <v>0</v>
      </c>
      <c r="DP153" s="231">
        <f t="shared" si="162"/>
        <v>0</v>
      </c>
      <c r="DQ153" s="231">
        <f t="shared" si="162"/>
        <v>0</v>
      </c>
      <c r="DR153" s="231">
        <f t="shared" si="162"/>
        <v>0</v>
      </c>
      <c r="DS153" s="231">
        <f t="shared" si="162"/>
        <v>0</v>
      </c>
      <c r="DT153" s="231">
        <f ca="1">IF(SUM(DT$24:DT152)=DT$22,0,IF(AND($M153&gt;=DT$15,$M153&lt;(DT$16+1)),DT$22/(DT$16-DT$15+1),0))</f>
        <v>0</v>
      </c>
      <c r="DU153" s="231">
        <f ca="1">IF(SUM(DU$24:DU152)=DU$22,0,IF(AND($M153&gt;=DU$15,$M153&lt;(DU$16+1)),DU$22/(DU$16-DU$15+1),0))</f>
        <v>0</v>
      </c>
      <c r="DV153" s="231">
        <f ca="1">IF(SUM(DV$24:DV152)=DV$22,0,IF(AND(M153&gt;=DV$15,M153&lt;(DV$16+1)),DV$22/(DV$16-DV$15+1),0))</f>
        <v>0</v>
      </c>
      <c r="DW153" s="231" t="e">
        <f ca="1">IF(SUM(DW$24:DW152)=DW$22,0,IF(AND($M153&gt;=DW$15,$M153&lt;(DW$16+1)),DW$22/(DW$16-DW$15+1),0))</f>
        <v>#N/A</v>
      </c>
      <c r="DX153" s="231">
        <f ca="1">IF(SUM(DX$24:DX152)=DX$22,0,IF(AND($M153&gt;=DX$15,$M153&lt;(DX$16+1)),DX$22/(DX$16-DX$15+1),0))</f>
        <v>0</v>
      </c>
      <c r="DY153" s="231">
        <f ca="1">IF(SUM(DY$24:DY152)=DY$22,0,IF(AND($M153&gt;=DY$15,$M153&lt;(DY$16+1)),DY$22/(DY$16-DY$15+1),0))</f>
        <v>0</v>
      </c>
      <c r="DZ153" s="231">
        <f ca="1">IF(SUM(DZ$24:DZ152)=DZ$22,0,IF(AND($M153&gt;=DZ$15,$M153&lt;(DZ$16+1)),DZ$22/(DZ$16-DZ$15+1),0))</f>
        <v>0</v>
      </c>
      <c r="EA153" s="231" t="e">
        <f ca="1">IF(SUM(EA$24:EA152)=EA$22,0,IF(AND(M153&gt;=EA$15,M153&lt;(EA$16+1)),EA$22/(EA$16-EA$15+1),0))</f>
        <v>#N/A</v>
      </c>
      <c r="EC153" s="234">
        <f t="shared" si="136"/>
        <v>126</v>
      </c>
      <c r="ED153" s="234" t="e">
        <f t="shared" ca="1" si="137"/>
        <v>#N/A</v>
      </c>
      <c r="EE153" s="235" t="e">
        <f ca="1">ED153/ED$22</f>
        <v>#N/A</v>
      </c>
      <c r="EF153" s="234" t="e">
        <f t="shared" ca="1" si="104"/>
        <v>#N/A</v>
      </c>
      <c r="EG153" s="234" t="e">
        <f t="shared" ca="1" si="106"/>
        <v>#N/A</v>
      </c>
      <c r="EH153" s="234" t="e">
        <f t="shared" ca="1" si="112"/>
        <v>#N/A</v>
      </c>
      <c r="EI153" s="234"/>
      <c r="EJ153" s="234"/>
      <c r="EK153" s="153" t="e">
        <f ca="1">SUM(ED153,EF153:EJ153)</f>
        <v>#N/A</v>
      </c>
      <c r="EL153" s="231" t="e">
        <f ca="1">IF(SUM(EL$24:EL152)=EL$22,0,IF(AND($M153&gt;=EL$15,$M153&lt;(EL$16+1)),EL$22/(EL$16-EL$15+1),0))</f>
        <v>#N/A</v>
      </c>
      <c r="EM153" s="153" t="e">
        <f ca="1">SUM(EK153:EL153)</f>
        <v>#N/A</v>
      </c>
      <c r="EO153" s="60"/>
      <c r="EP153" s="60"/>
    </row>
    <row r="154" spans="1:146">
      <c r="A154" s="257"/>
      <c r="B154" s="236"/>
      <c r="C154" s="221"/>
      <c r="D154" s="222"/>
      <c r="E154" s="223"/>
      <c r="F154" s="258"/>
      <c r="G154" s="225"/>
      <c r="H154" s="226"/>
      <c r="I154" s="226"/>
      <c r="J154" s="222"/>
      <c r="K154" s="223"/>
      <c r="L154" s="228"/>
      <c r="M154" s="228"/>
      <c r="N154" s="221"/>
      <c r="O154" s="223"/>
      <c r="P154" s="223"/>
      <c r="Q154" s="223"/>
      <c r="R154" s="223"/>
      <c r="S154" s="223"/>
      <c r="T154" s="223"/>
      <c r="U154" s="223"/>
      <c r="V154" s="223"/>
      <c r="W154" s="223"/>
      <c r="X154" s="223"/>
      <c r="Y154" s="223"/>
      <c r="Z154" s="223"/>
      <c r="AA154" s="223"/>
      <c r="AB154" s="223"/>
      <c r="AC154" s="223"/>
      <c r="AD154" s="223"/>
      <c r="AE154" s="223"/>
      <c r="AF154" s="223"/>
      <c r="AG154" s="223"/>
      <c r="AH154" s="223"/>
      <c r="AI154" s="223"/>
      <c r="AJ154" s="223"/>
      <c r="AK154" s="223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3"/>
      <c r="BB154" s="223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3"/>
      <c r="BS154" s="223"/>
      <c r="BT154" s="223"/>
      <c r="BU154" s="223"/>
      <c r="BV154" s="223"/>
      <c r="BW154" s="223"/>
      <c r="BX154" s="223"/>
      <c r="BY154" s="223"/>
      <c r="BZ154" s="223"/>
      <c r="CA154" s="223"/>
      <c r="CB154" s="223"/>
      <c r="CC154" s="223"/>
      <c r="CD154" s="259"/>
      <c r="CE154" s="223"/>
      <c r="CF154" s="223"/>
      <c r="CG154" s="223"/>
      <c r="CH154" s="223"/>
      <c r="CI154" s="223"/>
      <c r="CJ154" s="223"/>
      <c r="CK154" s="223"/>
      <c r="CL154" s="223"/>
      <c r="CM154" s="223"/>
      <c r="CN154" s="223"/>
      <c r="CO154" s="223"/>
      <c r="CP154" s="223"/>
      <c r="CQ154" s="223"/>
      <c r="CR154" s="223"/>
      <c r="CS154" s="223"/>
      <c r="CT154" s="223"/>
      <c r="CU154" s="260"/>
      <c r="CV154" s="243"/>
      <c r="CW154" s="243"/>
      <c r="CX154" s="243"/>
      <c r="CY154" s="243"/>
      <c r="CZ154" s="243"/>
      <c r="DA154" s="243"/>
      <c r="DB154" s="243"/>
      <c r="DC154" s="231"/>
      <c r="DD154" s="223"/>
      <c r="DE154" s="223"/>
      <c r="DF154" s="223"/>
      <c r="DG154" s="223"/>
      <c r="DH154" s="231"/>
      <c r="DI154" s="231"/>
      <c r="DJ154" s="231"/>
      <c r="DK154" s="231"/>
      <c r="DL154" s="231"/>
      <c r="DM154" s="231"/>
      <c r="DN154" s="231"/>
      <c r="DO154" s="231"/>
      <c r="DP154" s="231"/>
      <c r="DQ154" s="231"/>
      <c r="DR154" s="231"/>
      <c r="DS154" s="231"/>
      <c r="DT154" s="223"/>
      <c r="DU154" s="223"/>
      <c r="DV154" s="223"/>
      <c r="DW154" s="223"/>
      <c r="DX154" s="223"/>
      <c r="DY154" s="223"/>
      <c r="DZ154" s="223"/>
      <c r="EA154" s="223"/>
      <c r="EH154" s="234"/>
      <c r="EI154" s="234"/>
      <c r="EJ154" s="234"/>
      <c r="EK154" s="153"/>
      <c r="EL154" s="223"/>
      <c r="EM154" s="153"/>
      <c r="EO154" s="60"/>
      <c r="EP154" s="60"/>
    </row>
    <row r="155" spans="1:146">
      <c r="A155" s="2714" t="s">
        <v>118</v>
      </c>
      <c r="B155" s="2714"/>
      <c r="C155" s="2714"/>
      <c r="D155" s="261"/>
      <c r="E155" s="261"/>
      <c r="F155" s="262">
        <f>SUM(F24:F154)</f>
        <v>0</v>
      </c>
      <c r="G155" s="263"/>
      <c r="H155" s="263"/>
      <c r="I155" s="262" t="e">
        <f ca="1">SUM(I24:I154)</f>
        <v>#N/A</v>
      </c>
      <c r="J155" s="264">
        <f ca="1">SUM(J24:J154)</f>
        <v>1E-3</v>
      </c>
      <c r="K155" s="181"/>
      <c r="L155" s="265" t="s">
        <v>119</v>
      </c>
      <c r="M155" s="266"/>
      <c r="N155" s="266"/>
      <c r="O155" s="261">
        <f t="shared" ref="O155:AT155" si="170">SUM(O24:O154)</f>
        <v>0</v>
      </c>
      <c r="P155" s="261">
        <f t="shared" si="170"/>
        <v>0</v>
      </c>
      <c r="Q155" s="261">
        <f t="shared" si="170"/>
        <v>0</v>
      </c>
      <c r="R155" s="261">
        <f t="shared" si="170"/>
        <v>0</v>
      </c>
      <c r="S155" s="261">
        <f t="shared" si="170"/>
        <v>0</v>
      </c>
      <c r="T155" s="261">
        <f t="shared" si="170"/>
        <v>0</v>
      </c>
      <c r="U155" s="261">
        <f t="shared" si="170"/>
        <v>0</v>
      </c>
      <c r="V155" s="261">
        <f t="shared" si="170"/>
        <v>0</v>
      </c>
      <c r="W155" s="261">
        <f t="shared" si="170"/>
        <v>0</v>
      </c>
      <c r="X155" s="261">
        <f t="shared" si="170"/>
        <v>0</v>
      </c>
      <c r="Y155" s="261">
        <f t="shared" si="170"/>
        <v>0</v>
      </c>
      <c r="Z155" s="261">
        <f t="shared" si="170"/>
        <v>0</v>
      </c>
      <c r="AA155" s="261">
        <f t="shared" si="170"/>
        <v>0</v>
      </c>
      <c r="AB155" s="261">
        <f t="shared" si="170"/>
        <v>0</v>
      </c>
      <c r="AC155" s="261">
        <f t="shared" si="170"/>
        <v>0</v>
      </c>
      <c r="AD155" s="261">
        <f t="shared" si="170"/>
        <v>0</v>
      </c>
      <c r="AE155" s="261">
        <f t="shared" si="170"/>
        <v>0</v>
      </c>
      <c r="AF155" s="261">
        <f t="shared" si="170"/>
        <v>0</v>
      </c>
      <c r="AG155" s="261">
        <f t="shared" si="170"/>
        <v>0</v>
      </c>
      <c r="AH155" s="261">
        <f t="shared" si="170"/>
        <v>0</v>
      </c>
      <c r="AI155" s="261">
        <f t="shared" si="170"/>
        <v>0</v>
      </c>
      <c r="AJ155" s="261">
        <f t="shared" si="170"/>
        <v>0</v>
      </c>
      <c r="AK155" s="261">
        <f t="shared" si="170"/>
        <v>0</v>
      </c>
      <c r="AL155" s="261">
        <f t="shared" si="170"/>
        <v>0</v>
      </c>
      <c r="AM155" s="261">
        <f t="shared" si="170"/>
        <v>0</v>
      </c>
      <c r="AN155" s="261">
        <f t="shared" si="170"/>
        <v>0</v>
      </c>
      <c r="AO155" s="261">
        <f t="shared" si="170"/>
        <v>0</v>
      </c>
      <c r="AP155" s="261">
        <f t="shared" si="170"/>
        <v>93.6268400850239</v>
      </c>
      <c r="AQ155" s="261">
        <f t="shared" si="170"/>
        <v>0</v>
      </c>
      <c r="AR155" s="261">
        <f t="shared" si="170"/>
        <v>0</v>
      </c>
      <c r="AS155" s="261">
        <f t="shared" si="170"/>
        <v>0</v>
      </c>
      <c r="AT155" s="261">
        <f t="shared" si="170"/>
        <v>0</v>
      </c>
      <c r="AU155" s="261">
        <f t="shared" ref="AU155:BZ155" si="171">SUM(AU24:AU154)</f>
        <v>0</v>
      </c>
      <c r="AV155" s="261">
        <f t="shared" si="171"/>
        <v>0</v>
      </c>
      <c r="AW155" s="261">
        <f t="shared" si="171"/>
        <v>0</v>
      </c>
      <c r="AX155" s="261">
        <f t="shared" si="171"/>
        <v>0</v>
      </c>
      <c r="AY155" s="261">
        <f t="shared" si="171"/>
        <v>0</v>
      </c>
      <c r="AZ155" s="261">
        <f t="shared" si="171"/>
        <v>0</v>
      </c>
      <c r="BA155" s="261">
        <f t="shared" si="171"/>
        <v>3.589467835601261</v>
      </c>
      <c r="BB155" s="261">
        <f t="shared" si="171"/>
        <v>0</v>
      </c>
      <c r="BC155" s="261">
        <f t="shared" si="171"/>
        <v>0</v>
      </c>
      <c r="BD155" s="261">
        <f t="shared" si="171"/>
        <v>0</v>
      </c>
      <c r="BE155" s="261">
        <f t="shared" si="171"/>
        <v>0</v>
      </c>
      <c r="BF155" s="261">
        <f t="shared" si="171"/>
        <v>0</v>
      </c>
      <c r="BG155" s="261">
        <f t="shared" si="171"/>
        <v>0</v>
      </c>
      <c r="BH155" s="261">
        <f t="shared" si="171"/>
        <v>0</v>
      </c>
      <c r="BI155" s="261">
        <f t="shared" si="171"/>
        <v>0</v>
      </c>
      <c r="BJ155" s="261">
        <f t="shared" si="171"/>
        <v>0</v>
      </c>
      <c r="BK155" s="261">
        <f t="shared" si="171"/>
        <v>0</v>
      </c>
      <c r="BL155" s="261">
        <f t="shared" si="171"/>
        <v>0</v>
      </c>
      <c r="BM155" s="261">
        <f t="shared" si="171"/>
        <v>0</v>
      </c>
      <c r="BN155" s="261">
        <f t="shared" si="171"/>
        <v>0</v>
      </c>
      <c r="BO155" s="261">
        <f t="shared" si="171"/>
        <v>0</v>
      </c>
      <c r="BP155" s="261">
        <f t="shared" si="171"/>
        <v>0</v>
      </c>
      <c r="BQ155" s="261">
        <f t="shared" si="171"/>
        <v>0</v>
      </c>
      <c r="BR155" s="261">
        <f t="shared" si="171"/>
        <v>0</v>
      </c>
      <c r="BS155" s="261">
        <f t="shared" si="171"/>
        <v>0</v>
      </c>
      <c r="BT155" s="261">
        <f t="shared" si="171"/>
        <v>0</v>
      </c>
      <c r="BU155" s="261">
        <f t="shared" si="171"/>
        <v>0</v>
      </c>
      <c r="BV155" s="261">
        <f t="shared" si="171"/>
        <v>0</v>
      </c>
      <c r="BW155" s="261">
        <f t="shared" si="171"/>
        <v>0</v>
      </c>
      <c r="BX155" s="261">
        <f t="shared" si="171"/>
        <v>0</v>
      </c>
      <c r="BY155" s="261">
        <f t="shared" si="171"/>
        <v>0</v>
      </c>
      <c r="BZ155" s="261">
        <f t="shared" si="171"/>
        <v>0</v>
      </c>
      <c r="CA155" s="261">
        <f t="shared" ref="CA155:CT155" si="172">SUM(CA24:CA154)</f>
        <v>0</v>
      </c>
      <c r="CB155" s="261">
        <f t="shared" si="172"/>
        <v>0</v>
      </c>
      <c r="CC155" s="261">
        <f t="shared" si="172"/>
        <v>0</v>
      </c>
      <c r="CD155" s="261">
        <f t="shared" si="172"/>
        <v>0</v>
      </c>
      <c r="CE155" s="261">
        <f t="shared" si="172"/>
        <v>0</v>
      </c>
      <c r="CF155" s="261">
        <f t="shared" si="172"/>
        <v>0</v>
      </c>
      <c r="CG155" s="261">
        <f t="shared" si="172"/>
        <v>0</v>
      </c>
      <c r="CH155" s="261">
        <f t="shared" si="172"/>
        <v>0</v>
      </c>
      <c r="CI155" s="261">
        <f t="shared" si="172"/>
        <v>0</v>
      </c>
      <c r="CJ155" s="261">
        <f t="shared" si="172"/>
        <v>0</v>
      </c>
      <c r="CK155" s="261">
        <f t="shared" si="172"/>
        <v>0</v>
      </c>
      <c r="CL155" s="261">
        <f t="shared" si="172"/>
        <v>0</v>
      </c>
      <c r="CM155" s="261">
        <f t="shared" si="172"/>
        <v>0</v>
      </c>
      <c r="CN155" s="261">
        <f t="shared" si="172"/>
        <v>0</v>
      </c>
      <c r="CO155" s="261">
        <f t="shared" si="172"/>
        <v>0</v>
      </c>
      <c r="CP155" s="261">
        <f t="shared" si="172"/>
        <v>0</v>
      </c>
      <c r="CQ155" s="261">
        <f t="shared" si="172"/>
        <v>0</v>
      </c>
      <c r="CR155" s="261">
        <f t="shared" si="172"/>
        <v>28</v>
      </c>
      <c r="CS155" s="261">
        <f t="shared" si="172"/>
        <v>0</v>
      </c>
      <c r="CT155" s="261">
        <f t="shared" si="172"/>
        <v>0</v>
      </c>
      <c r="CU155" s="267"/>
      <c r="CV155" s="261">
        <f t="shared" ref="CV155:EA155" si="173">SUM(CV24:CV154)</f>
        <v>0</v>
      </c>
      <c r="CW155" s="261">
        <f t="shared" si="173"/>
        <v>0</v>
      </c>
      <c r="CX155" s="261">
        <f t="shared" si="173"/>
        <v>0</v>
      </c>
      <c r="CY155" s="261" t="e">
        <f t="shared" ca="1" si="173"/>
        <v>#N/A</v>
      </c>
      <c r="CZ155" s="261" t="e">
        <f t="shared" ca="1" si="173"/>
        <v>#N/A</v>
      </c>
      <c r="DA155" s="261" t="e">
        <f t="shared" ca="1" si="173"/>
        <v>#N/A</v>
      </c>
      <c r="DB155" s="261" t="e">
        <f t="shared" ca="1" si="173"/>
        <v>#N/A</v>
      </c>
      <c r="DC155" s="261" t="e">
        <f t="shared" ca="1" si="173"/>
        <v>#N/A</v>
      </c>
      <c r="DD155" s="261">
        <f t="shared" si="173"/>
        <v>0</v>
      </c>
      <c r="DE155" s="261">
        <f t="shared" si="173"/>
        <v>0</v>
      </c>
      <c r="DF155" s="261">
        <f t="shared" si="173"/>
        <v>0</v>
      </c>
      <c r="DG155" s="261">
        <f t="shared" si="173"/>
        <v>0</v>
      </c>
      <c r="DH155" s="261">
        <f t="shared" si="173"/>
        <v>0</v>
      </c>
      <c r="DI155" s="261">
        <f t="shared" si="173"/>
        <v>0</v>
      </c>
      <c r="DJ155" s="261">
        <f t="shared" si="173"/>
        <v>0</v>
      </c>
      <c r="DK155" s="261">
        <f t="shared" si="173"/>
        <v>0</v>
      </c>
      <c r="DL155" s="261">
        <f t="shared" si="173"/>
        <v>0</v>
      </c>
      <c r="DM155" s="261">
        <f t="shared" si="173"/>
        <v>1.716</v>
      </c>
      <c r="DN155" s="261">
        <f t="shared" si="173"/>
        <v>0</v>
      </c>
      <c r="DO155" s="261">
        <f t="shared" si="173"/>
        <v>0</v>
      </c>
      <c r="DP155" s="261">
        <f t="shared" si="173"/>
        <v>0</v>
      </c>
      <c r="DQ155" s="261">
        <f t="shared" si="173"/>
        <v>9.8280000000000006E-2</v>
      </c>
      <c r="DR155" s="261">
        <f t="shared" si="173"/>
        <v>2.4000000000000004</v>
      </c>
      <c r="DS155" s="261">
        <f t="shared" si="173"/>
        <v>17.920000000000016</v>
      </c>
      <c r="DT155" s="261">
        <f t="shared" ca="1" si="173"/>
        <v>0</v>
      </c>
      <c r="DU155" s="261">
        <f t="shared" ca="1" si="173"/>
        <v>21.735000000000003</v>
      </c>
      <c r="DV155" s="261">
        <f t="shared" ca="1" si="173"/>
        <v>0</v>
      </c>
      <c r="DW155" s="261" t="e">
        <f t="shared" ca="1" si="173"/>
        <v>#N/A</v>
      </c>
      <c r="DX155" s="261">
        <f t="shared" ca="1" si="173"/>
        <v>0</v>
      </c>
      <c r="DY155" s="261">
        <f t="shared" ca="1" si="173"/>
        <v>0</v>
      </c>
      <c r="DZ155" s="261">
        <f t="shared" ca="1" si="173"/>
        <v>0</v>
      </c>
      <c r="EA155" s="261" t="e">
        <f t="shared" ca="1" si="173"/>
        <v>#N/A</v>
      </c>
      <c r="ED155" s="261" t="e">
        <f t="shared" ref="ED155:EM155" ca="1" si="174">SUM(ED24:ED154)</f>
        <v>#N/A</v>
      </c>
      <c r="EE155" s="262" t="e">
        <f t="shared" ca="1" si="174"/>
        <v>#N/A</v>
      </c>
      <c r="EF155" s="261" t="e">
        <f t="shared" ca="1" si="174"/>
        <v>#N/A</v>
      </c>
      <c r="EG155" s="261" t="e">
        <f t="shared" ca="1" si="174"/>
        <v>#N/A</v>
      </c>
      <c r="EH155" s="261" t="e">
        <f t="shared" ca="1" si="174"/>
        <v>#N/A</v>
      </c>
      <c r="EI155" s="261">
        <f t="shared" si="174"/>
        <v>0</v>
      </c>
      <c r="EJ155" s="261">
        <f t="shared" si="174"/>
        <v>0</v>
      </c>
      <c r="EK155" s="264" t="e">
        <f t="shared" ca="1" si="174"/>
        <v>#N/A</v>
      </c>
      <c r="EL155" s="261" t="e">
        <f t="shared" ca="1" si="174"/>
        <v>#N/A</v>
      </c>
      <c r="EM155" s="264" t="e">
        <f t="shared" ca="1" si="174"/>
        <v>#N/A</v>
      </c>
      <c r="EO155" s="60"/>
      <c r="EP155" s="60"/>
    </row>
    <row r="156" spans="1:146">
      <c r="A156" s="2713"/>
      <c r="B156" s="2713"/>
      <c r="C156" s="2713"/>
      <c r="D156" s="268"/>
      <c r="E156" s="268"/>
      <c r="F156" s="269"/>
      <c r="G156" s="269"/>
      <c r="H156" s="269"/>
      <c r="I156" s="269"/>
      <c r="J156" s="183" t="e">
        <f ca="1">I3</f>
        <v>#N/A</v>
      </c>
      <c r="K156" s="60"/>
      <c r="L156" s="270" t="s">
        <v>120</v>
      </c>
      <c r="M156" s="271"/>
      <c r="N156" s="271"/>
      <c r="O156" s="272">
        <f t="shared" ref="O156:AT156" si="175">O22</f>
        <v>0</v>
      </c>
      <c r="P156" s="272">
        <f t="shared" si="175"/>
        <v>0</v>
      </c>
      <c r="Q156" s="272">
        <f t="shared" si="175"/>
        <v>0</v>
      </c>
      <c r="R156" s="272">
        <f t="shared" si="175"/>
        <v>0</v>
      </c>
      <c r="S156" s="272">
        <f t="shared" si="175"/>
        <v>0</v>
      </c>
      <c r="T156" s="272">
        <f t="shared" si="175"/>
        <v>0</v>
      </c>
      <c r="U156" s="272">
        <f t="shared" si="175"/>
        <v>0</v>
      </c>
      <c r="V156" s="272">
        <f t="shared" si="175"/>
        <v>0</v>
      </c>
      <c r="W156" s="272">
        <f t="shared" si="175"/>
        <v>0</v>
      </c>
      <c r="X156" s="272">
        <f t="shared" si="175"/>
        <v>0</v>
      </c>
      <c r="Y156" s="272">
        <f t="shared" si="175"/>
        <v>0</v>
      </c>
      <c r="Z156" s="272">
        <f t="shared" si="175"/>
        <v>0</v>
      </c>
      <c r="AA156" s="272">
        <f t="shared" si="175"/>
        <v>0</v>
      </c>
      <c r="AB156" s="272">
        <f t="shared" si="175"/>
        <v>0</v>
      </c>
      <c r="AC156" s="272">
        <f t="shared" si="175"/>
        <v>0</v>
      </c>
      <c r="AD156" s="272">
        <f t="shared" si="175"/>
        <v>0</v>
      </c>
      <c r="AE156" s="272">
        <f t="shared" si="175"/>
        <v>0</v>
      </c>
      <c r="AF156" s="272">
        <f t="shared" si="175"/>
        <v>0</v>
      </c>
      <c r="AG156" s="272">
        <f t="shared" si="175"/>
        <v>0</v>
      </c>
      <c r="AH156" s="272">
        <f t="shared" si="175"/>
        <v>0</v>
      </c>
      <c r="AI156" s="272">
        <f t="shared" si="175"/>
        <v>0</v>
      </c>
      <c r="AJ156" s="272">
        <f t="shared" si="175"/>
        <v>0</v>
      </c>
      <c r="AK156" s="272">
        <f t="shared" si="175"/>
        <v>0</v>
      </c>
      <c r="AL156" s="272">
        <f t="shared" si="175"/>
        <v>0</v>
      </c>
      <c r="AM156" s="272">
        <f t="shared" si="175"/>
        <v>0</v>
      </c>
      <c r="AN156" s="272">
        <f t="shared" si="175"/>
        <v>0</v>
      </c>
      <c r="AO156" s="272">
        <f t="shared" si="175"/>
        <v>0</v>
      </c>
      <c r="AP156" s="272">
        <f t="shared" si="175"/>
        <v>93.6268400850239</v>
      </c>
      <c r="AQ156" s="272">
        <f t="shared" si="175"/>
        <v>0</v>
      </c>
      <c r="AR156" s="272">
        <f t="shared" si="175"/>
        <v>0</v>
      </c>
      <c r="AS156" s="272">
        <f t="shared" si="175"/>
        <v>0</v>
      </c>
      <c r="AT156" s="272">
        <f t="shared" si="175"/>
        <v>0</v>
      </c>
      <c r="AU156" s="272">
        <f t="shared" ref="AU156:BZ156" si="176">AU22</f>
        <v>0</v>
      </c>
      <c r="AV156" s="272">
        <f t="shared" si="176"/>
        <v>0</v>
      </c>
      <c r="AW156" s="272">
        <f t="shared" si="176"/>
        <v>0</v>
      </c>
      <c r="AX156" s="272">
        <f t="shared" si="176"/>
        <v>0</v>
      </c>
      <c r="AY156" s="272">
        <f t="shared" si="176"/>
        <v>0</v>
      </c>
      <c r="AZ156" s="272">
        <f t="shared" si="176"/>
        <v>0</v>
      </c>
      <c r="BA156" s="272">
        <f t="shared" si="176"/>
        <v>3.589467835601261</v>
      </c>
      <c r="BB156" s="272">
        <f t="shared" si="176"/>
        <v>0</v>
      </c>
      <c r="BC156" s="272">
        <f t="shared" si="176"/>
        <v>0</v>
      </c>
      <c r="BD156" s="272">
        <f t="shared" si="176"/>
        <v>0</v>
      </c>
      <c r="BE156" s="272">
        <f t="shared" si="176"/>
        <v>0</v>
      </c>
      <c r="BF156" s="272">
        <f t="shared" si="176"/>
        <v>0</v>
      </c>
      <c r="BG156" s="272">
        <f t="shared" si="176"/>
        <v>0</v>
      </c>
      <c r="BH156" s="272">
        <f t="shared" si="176"/>
        <v>0</v>
      </c>
      <c r="BI156" s="272">
        <f t="shared" si="176"/>
        <v>0</v>
      </c>
      <c r="BJ156" s="272">
        <f t="shared" si="176"/>
        <v>0</v>
      </c>
      <c r="BK156" s="272">
        <f t="shared" si="176"/>
        <v>0</v>
      </c>
      <c r="BL156" s="272">
        <f t="shared" si="176"/>
        <v>0</v>
      </c>
      <c r="BM156" s="272">
        <f t="shared" si="176"/>
        <v>0</v>
      </c>
      <c r="BN156" s="272">
        <f t="shared" si="176"/>
        <v>0</v>
      </c>
      <c r="BO156" s="272">
        <f t="shared" si="176"/>
        <v>0</v>
      </c>
      <c r="BP156" s="272">
        <f t="shared" si="176"/>
        <v>0</v>
      </c>
      <c r="BQ156" s="272">
        <f t="shared" si="176"/>
        <v>0</v>
      </c>
      <c r="BR156" s="272">
        <f t="shared" si="176"/>
        <v>0</v>
      </c>
      <c r="BS156" s="272">
        <f t="shared" si="176"/>
        <v>0</v>
      </c>
      <c r="BT156" s="272">
        <f t="shared" si="176"/>
        <v>0</v>
      </c>
      <c r="BU156" s="272">
        <f t="shared" si="176"/>
        <v>0</v>
      </c>
      <c r="BV156" s="272">
        <f t="shared" si="176"/>
        <v>0</v>
      </c>
      <c r="BW156" s="272">
        <f t="shared" si="176"/>
        <v>0</v>
      </c>
      <c r="BX156" s="272">
        <f t="shared" si="176"/>
        <v>0</v>
      </c>
      <c r="BY156" s="272">
        <f t="shared" si="176"/>
        <v>0</v>
      </c>
      <c r="BZ156" s="272">
        <f t="shared" si="176"/>
        <v>0</v>
      </c>
      <c r="CA156" s="272">
        <f t="shared" ref="CA156:CT156" si="177">CA22</f>
        <v>0</v>
      </c>
      <c r="CB156" s="272">
        <f t="shared" si="177"/>
        <v>0</v>
      </c>
      <c r="CC156" s="272">
        <f t="shared" si="177"/>
        <v>0</v>
      </c>
      <c r="CD156" s="272">
        <f t="shared" si="177"/>
        <v>0</v>
      </c>
      <c r="CE156" s="272">
        <f t="shared" si="177"/>
        <v>0</v>
      </c>
      <c r="CF156" s="272">
        <f t="shared" si="177"/>
        <v>0</v>
      </c>
      <c r="CG156" s="272">
        <f t="shared" si="177"/>
        <v>0</v>
      </c>
      <c r="CH156" s="272">
        <f t="shared" si="177"/>
        <v>0</v>
      </c>
      <c r="CI156" s="272">
        <f t="shared" si="177"/>
        <v>0</v>
      </c>
      <c r="CJ156" s="272">
        <f t="shared" si="177"/>
        <v>0</v>
      </c>
      <c r="CK156" s="272">
        <f t="shared" si="177"/>
        <v>0</v>
      </c>
      <c r="CL156" s="272">
        <f t="shared" si="177"/>
        <v>0</v>
      </c>
      <c r="CM156" s="272">
        <f t="shared" si="177"/>
        <v>0</v>
      </c>
      <c r="CN156" s="272">
        <f t="shared" si="177"/>
        <v>0</v>
      </c>
      <c r="CO156" s="272">
        <f t="shared" si="177"/>
        <v>0</v>
      </c>
      <c r="CP156" s="272">
        <f t="shared" si="177"/>
        <v>0</v>
      </c>
      <c r="CQ156" s="272">
        <f t="shared" si="177"/>
        <v>0</v>
      </c>
      <c r="CR156" s="272">
        <f t="shared" si="177"/>
        <v>28</v>
      </c>
      <c r="CS156" s="272">
        <f t="shared" si="177"/>
        <v>0</v>
      </c>
      <c r="CT156" s="272">
        <f t="shared" si="177"/>
        <v>0</v>
      </c>
      <c r="CU156" s="273"/>
      <c r="CV156" s="272">
        <f t="shared" ref="CV156:EA156" si="178">CV22</f>
        <v>0</v>
      </c>
      <c r="CW156" s="272">
        <f t="shared" si="178"/>
        <v>0</v>
      </c>
      <c r="CX156" s="272">
        <f t="shared" si="178"/>
        <v>0</v>
      </c>
      <c r="CY156" s="272" t="e">
        <f t="shared" ca="1" si="178"/>
        <v>#N/A</v>
      </c>
      <c r="CZ156" s="272" t="e">
        <f t="shared" ca="1" si="178"/>
        <v>#N/A</v>
      </c>
      <c r="DA156" s="272" t="e">
        <f t="shared" ca="1" si="178"/>
        <v>#N/A</v>
      </c>
      <c r="DB156" s="272" t="e">
        <f t="shared" ca="1" si="178"/>
        <v>#N/A</v>
      </c>
      <c r="DC156" s="272" t="e">
        <f t="shared" ca="1" si="178"/>
        <v>#N/A</v>
      </c>
      <c r="DD156" s="272">
        <f t="shared" si="178"/>
        <v>0</v>
      </c>
      <c r="DE156" s="272">
        <f t="shared" si="178"/>
        <v>0</v>
      </c>
      <c r="DF156" s="272">
        <f t="shared" si="178"/>
        <v>0</v>
      </c>
      <c r="DG156" s="272">
        <f t="shared" si="178"/>
        <v>0</v>
      </c>
      <c r="DH156" s="272">
        <f t="shared" si="178"/>
        <v>0</v>
      </c>
      <c r="DI156" s="272">
        <f t="shared" si="178"/>
        <v>0</v>
      </c>
      <c r="DJ156" s="272">
        <f t="shared" si="178"/>
        <v>0</v>
      </c>
      <c r="DK156" s="272">
        <f t="shared" si="178"/>
        <v>0</v>
      </c>
      <c r="DL156" s="272">
        <f t="shared" si="178"/>
        <v>0</v>
      </c>
      <c r="DM156" s="272">
        <f t="shared" si="178"/>
        <v>1.716</v>
      </c>
      <c r="DN156" s="272">
        <f t="shared" si="178"/>
        <v>0</v>
      </c>
      <c r="DO156" s="272">
        <f t="shared" si="178"/>
        <v>0</v>
      </c>
      <c r="DP156" s="272">
        <f t="shared" si="178"/>
        <v>0</v>
      </c>
      <c r="DQ156" s="272">
        <f t="shared" si="178"/>
        <v>9.828000000000002E-2</v>
      </c>
      <c r="DR156" s="272">
        <f t="shared" si="178"/>
        <v>2.4</v>
      </c>
      <c r="DS156" s="272">
        <f t="shared" si="178"/>
        <v>17.920000000000002</v>
      </c>
      <c r="DT156" s="272">
        <f t="shared" si="178"/>
        <v>0</v>
      </c>
      <c r="DU156" s="272">
        <f t="shared" si="178"/>
        <v>21.734999999999999</v>
      </c>
      <c r="DV156" s="272">
        <f t="shared" si="178"/>
        <v>0</v>
      </c>
      <c r="DW156" s="272">
        <f t="shared" si="178"/>
        <v>0</v>
      </c>
      <c r="DX156" s="272">
        <f t="shared" ca="1" si="178"/>
        <v>0</v>
      </c>
      <c r="DY156" s="272">
        <f t="shared" si="178"/>
        <v>0</v>
      </c>
      <c r="DZ156" s="272">
        <f t="shared" si="178"/>
        <v>0</v>
      </c>
      <c r="EA156" s="272" t="e">
        <f t="shared" ca="1" si="178"/>
        <v>#N/A</v>
      </c>
      <c r="EF156" s="110">
        <f>EF22</f>
        <v>0</v>
      </c>
      <c r="EG156" s="110">
        <f>EG22</f>
        <v>0</v>
      </c>
      <c r="EH156" s="110">
        <f>EH22</f>
        <v>0</v>
      </c>
      <c r="EI156" s="110">
        <f>EI22</f>
        <v>0</v>
      </c>
      <c r="EJ156" s="110">
        <f>EJ22</f>
        <v>0</v>
      </c>
      <c r="EL156" s="272" t="e">
        <f ca="1">EL22</f>
        <v>#N/A</v>
      </c>
      <c r="EO156" s="60"/>
      <c r="EP156" s="60"/>
    </row>
    <row r="157" spans="1:146">
      <c r="K157" s="60"/>
      <c r="L157" s="60"/>
      <c r="M157" s="60"/>
      <c r="O157" s="272">
        <f t="shared" ref="O157:AC157" si="179">O155-O156</f>
        <v>0</v>
      </c>
      <c r="P157" s="272">
        <f t="shared" si="179"/>
        <v>0</v>
      </c>
      <c r="Q157" s="272">
        <f t="shared" si="179"/>
        <v>0</v>
      </c>
      <c r="R157" s="272">
        <f t="shared" si="179"/>
        <v>0</v>
      </c>
      <c r="S157" s="272">
        <f t="shared" si="179"/>
        <v>0</v>
      </c>
      <c r="T157" s="272">
        <f t="shared" si="179"/>
        <v>0</v>
      </c>
      <c r="U157" s="272">
        <f t="shared" si="179"/>
        <v>0</v>
      </c>
      <c r="V157" s="272">
        <f t="shared" si="179"/>
        <v>0</v>
      </c>
      <c r="W157" s="272">
        <f t="shared" si="179"/>
        <v>0</v>
      </c>
      <c r="X157" s="272">
        <f t="shared" si="179"/>
        <v>0</v>
      </c>
      <c r="Y157" s="272">
        <f t="shared" si="179"/>
        <v>0</v>
      </c>
      <c r="Z157" s="272">
        <f t="shared" si="179"/>
        <v>0</v>
      </c>
      <c r="AA157" s="272">
        <f t="shared" si="179"/>
        <v>0</v>
      </c>
      <c r="AB157" s="272">
        <f t="shared" si="179"/>
        <v>0</v>
      </c>
      <c r="AC157" s="272">
        <f t="shared" si="179"/>
        <v>0</v>
      </c>
      <c r="AD157" s="272">
        <f t="shared" ref="AD157:AX157" si="180">AD155-AD156</f>
        <v>0</v>
      </c>
      <c r="AE157" s="272">
        <f t="shared" si="180"/>
        <v>0</v>
      </c>
      <c r="AF157" s="272">
        <f t="shared" si="180"/>
        <v>0</v>
      </c>
      <c r="AG157" s="272">
        <f t="shared" si="180"/>
        <v>0</v>
      </c>
      <c r="AH157" s="272">
        <f t="shared" si="180"/>
        <v>0</v>
      </c>
      <c r="AI157" s="272">
        <f t="shared" si="180"/>
        <v>0</v>
      </c>
      <c r="AJ157" s="272">
        <f t="shared" si="180"/>
        <v>0</v>
      </c>
      <c r="AK157" s="272">
        <f t="shared" si="180"/>
        <v>0</v>
      </c>
      <c r="AL157" s="272">
        <f t="shared" si="180"/>
        <v>0</v>
      </c>
      <c r="AM157" s="272">
        <f>AM155-AM156</f>
        <v>0</v>
      </c>
      <c r="AN157" s="272">
        <f>AN155-AN156</f>
        <v>0</v>
      </c>
      <c r="AO157" s="272">
        <f>AO155-AO156</f>
        <v>0</v>
      </c>
      <c r="AP157" s="272">
        <f t="shared" si="180"/>
        <v>0</v>
      </c>
      <c r="AQ157" s="272">
        <f t="shared" si="180"/>
        <v>0</v>
      </c>
      <c r="AR157" s="272">
        <f t="shared" si="180"/>
        <v>0</v>
      </c>
      <c r="AS157" s="272">
        <f>AS155-AS156</f>
        <v>0</v>
      </c>
      <c r="AT157" s="272">
        <f>AT155-AT156</f>
        <v>0</v>
      </c>
      <c r="AU157" s="272">
        <f>AU155-AU156</f>
        <v>0</v>
      </c>
      <c r="AV157" s="272">
        <f>AV155-AV156</f>
        <v>0</v>
      </c>
      <c r="AW157" s="272">
        <f>AW155-AW156</f>
        <v>0</v>
      </c>
      <c r="AX157" s="272">
        <f t="shared" si="180"/>
        <v>0</v>
      </c>
      <c r="AY157" s="272">
        <f>AY155-AY156</f>
        <v>0</v>
      </c>
      <c r="AZ157" s="272">
        <f>AZ155-AZ156</f>
        <v>0</v>
      </c>
      <c r="BA157" s="272">
        <f>BA155-BA156</f>
        <v>0</v>
      </c>
      <c r="BB157" s="272">
        <f>BB155-BB156</f>
        <v>0</v>
      </c>
      <c r="BC157" s="272">
        <f>BC155-BC156</f>
        <v>0</v>
      </c>
      <c r="BD157" s="272">
        <f t="shared" ref="BD157:CT157" si="181">BD155-BD156</f>
        <v>0</v>
      </c>
      <c r="BE157" s="272">
        <f>BE155-BE156</f>
        <v>0</v>
      </c>
      <c r="BF157" s="272">
        <f>BF155-BF156</f>
        <v>0</v>
      </c>
      <c r="BG157" s="272">
        <f t="shared" si="181"/>
        <v>0</v>
      </c>
      <c r="BH157" s="272">
        <f t="shared" si="181"/>
        <v>0</v>
      </c>
      <c r="BI157" s="272">
        <f t="shared" si="181"/>
        <v>0</v>
      </c>
      <c r="BJ157" s="272">
        <f t="shared" si="181"/>
        <v>0</v>
      </c>
      <c r="BK157" s="272">
        <f>BK155-BK156</f>
        <v>0</v>
      </c>
      <c r="BL157" s="272">
        <f t="shared" si="181"/>
        <v>0</v>
      </c>
      <c r="BM157" s="272">
        <f t="shared" si="181"/>
        <v>0</v>
      </c>
      <c r="BN157" s="272">
        <f t="shared" si="181"/>
        <v>0</v>
      </c>
      <c r="BO157" s="272">
        <f t="shared" si="181"/>
        <v>0</v>
      </c>
      <c r="BP157" s="272">
        <f t="shared" si="181"/>
        <v>0</v>
      </c>
      <c r="BQ157" s="272">
        <f t="shared" si="181"/>
        <v>0</v>
      </c>
      <c r="BR157" s="272">
        <f t="shared" si="181"/>
        <v>0</v>
      </c>
      <c r="BS157" s="272">
        <f t="shared" si="181"/>
        <v>0</v>
      </c>
      <c r="BT157" s="272">
        <f t="shared" si="181"/>
        <v>0</v>
      </c>
      <c r="BU157" s="272">
        <f t="shared" si="181"/>
        <v>0</v>
      </c>
      <c r="BV157" s="272">
        <f t="shared" si="181"/>
        <v>0</v>
      </c>
      <c r="BW157" s="272">
        <f t="shared" si="181"/>
        <v>0</v>
      </c>
      <c r="BX157" s="272">
        <f t="shared" si="181"/>
        <v>0</v>
      </c>
      <c r="BY157" s="272">
        <f t="shared" si="181"/>
        <v>0</v>
      </c>
      <c r="BZ157" s="272">
        <f t="shared" si="181"/>
        <v>0</v>
      </c>
      <c r="CA157" s="272">
        <f>CA155-CA156</f>
        <v>0</v>
      </c>
      <c r="CB157" s="272">
        <f>CB155-CB156</f>
        <v>0</v>
      </c>
      <c r="CC157" s="272">
        <f t="shared" si="181"/>
        <v>0</v>
      </c>
      <c r="CD157" s="272">
        <f t="shared" si="181"/>
        <v>0</v>
      </c>
      <c r="CE157" s="272">
        <f>CE155-CE156</f>
        <v>0</v>
      </c>
      <c r="CF157" s="272">
        <f t="shared" si="181"/>
        <v>0</v>
      </c>
      <c r="CG157" s="272">
        <f t="shared" si="181"/>
        <v>0</v>
      </c>
      <c r="CH157" s="272">
        <f t="shared" si="181"/>
        <v>0</v>
      </c>
      <c r="CI157" s="272">
        <f>CI155-CI156</f>
        <v>0</v>
      </c>
      <c r="CJ157" s="272">
        <f>CJ155-CJ156</f>
        <v>0</v>
      </c>
      <c r="CK157" s="272">
        <f>CK155-CK156</f>
        <v>0</v>
      </c>
      <c r="CL157" s="272">
        <f t="shared" ref="CL157:CQ157" si="182">CL155-CL156</f>
        <v>0</v>
      </c>
      <c r="CM157" s="272">
        <f t="shared" si="182"/>
        <v>0</v>
      </c>
      <c r="CN157" s="272">
        <f t="shared" si="182"/>
        <v>0</v>
      </c>
      <c r="CO157" s="272">
        <f>CO155-CO156</f>
        <v>0</v>
      </c>
      <c r="CP157" s="272">
        <f>CP155-CP156</f>
        <v>0</v>
      </c>
      <c r="CQ157" s="272">
        <f t="shared" si="182"/>
        <v>0</v>
      </c>
      <c r="CR157" s="272">
        <f t="shared" si="181"/>
        <v>0</v>
      </c>
      <c r="CS157" s="272">
        <f t="shared" si="181"/>
        <v>0</v>
      </c>
      <c r="CT157" s="272">
        <f t="shared" si="181"/>
        <v>0</v>
      </c>
      <c r="CU157" s="273"/>
      <c r="CV157" s="272">
        <f t="shared" ref="CV157:EA157" si="183">CV155-CV156</f>
        <v>0</v>
      </c>
      <c r="CW157" s="272">
        <f t="shared" si="183"/>
        <v>0</v>
      </c>
      <c r="CX157" s="272">
        <f t="shared" si="183"/>
        <v>0</v>
      </c>
      <c r="CY157" s="272" t="e">
        <f t="shared" ca="1" si="183"/>
        <v>#N/A</v>
      </c>
      <c r="CZ157" s="272" t="e">
        <f t="shared" ca="1" si="183"/>
        <v>#N/A</v>
      </c>
      <c r="DA157" s="272" t="e">
        <f t="shared" ca="1" si="183"/>
        <v>#N/A</v>
      </c>
      <c r="DB157" s="272" t="e">
        <f t="shared" ca="1" si="183"/>
        <v>#N/A</v>
      </c>
      <c r="DC157" s="272" t="e">
        <f t="shared" ca="1" si="183"/>
        <v>#N/A</v>
      </c>
      <c r="DD157" s="272">
        <f t="shared" si="183"/>
        <v>0</v>
      </c>
      <c r="DE157" s="272">
        <f t="shared" si="183"/>
        <v>0</v>
      </c>
      <c r="DF157" s="272">
        <f t="shared" si="183"/>
        <v>0</v>
      </c>
      <c r="DG157" s="272">
        <f t="shared" si="183"/>
        <v>0</v>
      </c>
      <c r="DH157" s="272">
        <f t="shared" si="183"/>
        <v>0</v>
      </c>
      <c r="DI157" s="272">
        <f t="shared" si="183"/>
        <v>0</v>
      </c>
      <c r="DJ157" s="272">
        <f t="shared" si="183"/>
        <v>0</v>
      </c>
      <c r="DK157" s="272">
        <f t="shared" si="183"/>
        <v>0</v>
      </c>
      <c r="DL157" s="272">
        <f t="shared" si="183"/>
        <v>0</v>
      </c>
      <c r="DM157" s="272">
        <f t="shared" si="183"/>
        <v>0</v>
      </c>
      <c r="DN157" s="272">
        <f t="shared" si="183"/>
        <v>0</v>
      </c>
      <c r="DO157" s="272">
        <f t="shared" si="183"/>
        <v>0</v>
      </c>
      <c r="DP157" s="272">
        <f t="shared" si="183"/>
        <v>0</v>
      </c>
      <c r="DQ157" s="272">
        <f t="shared" si="183"/>
        <v>0</v>
      </c>
      <c r="DR157" s="272">
        <f t="shared" si="183"/>
        <v>0</v>
      </c>
      <c r="DS157" s="272">
        <f t="shared" si="183"/>
        <v>0</v>
      </c>
      <c r="DT157" s="272">
        <f t="shared" ca="1" si="183"/>
        <v>0</v>
      </c>
      <c r="DU157" s="272">
        <f t="shared" ca="1" si="183"/>
        <v>0</v>
      </c>
      <c r="DV157" s="272">
        <f t="shared" ca="1" si="183"/>
        <v>0</v>
      </c>
      <c r="DW157" s="272" t="e">
        <f t="shared" ca="1" si="183"/>
        <v>#N/A</v>
      </c>
      <c r="DX157" s="272">
        <f t="shared" ca="1" si="183"/>
        <v>0</v>
      </c>
      <c r="DY157" s="272">
        <f t="shared" ca="1" si="183"/>
        <v>0</v>
      </c>
      <c r="DZ157" s="272">
        <f t="shared" ca="1" si="183"/>
        <v>0</v>
      </c>
      <c r="EA157" s="272" t="e">
        <f t="shared" ca="1" si="183"/>
        <v>#N/A</v>
      </c>
      <c r="EF157" s="110" t="e">
        <f ca="1">EF155-EF156</f>
        <v>#N/A</v>
      </c>
      <c r="EG157" s="110" t="e">
        <f ca="1">EG155-EG156</f>
        <v>#N/A</v>
      </c>
      <c r="EH157" s="110" t="e">
        <f ca="1">EH155-EH156</f>
        <v>#N/A</v>
      </c>
      <c r="EI157" s="110">
        <f>EI155-EI156</f>
        <v>0</v>
      </c>
      <c r="EJ157" s="110">
        <f>EJ155-EJ156</f>
        <v>0</v>
      </c>
      <c r="EL157" s="272" t="e">
        <f ca="1">EL155-EL156</f>
        <v>#N/A</v>
      </c>
      <c r="EO157" s="60"/>
      <c r="EP157" s="60"/>
    </row>
    <row r="158" spans="1:146">
      <c r="K158" s="60"/>
      <c r="L158" s="60"/>
      <c r="M158" s="60"/>
      <c r="EB158" s="60"/>
      <c r="EC158" s="60"/>
      <c r="ED158" s="60"/>
      <c r="EE158" s="60"/>
      <c r="EF158" s="60"/>
      <c r="EG158" s="60"/>
      <c r="EH158" s="60"/>
      <c r="EI158" s="169"/>
      <c r="EJ158" s="169"/>
      <c r="EL158" s="153"/>
      <c r="EO158" s="60"/>
      <c r="EP158" s="60"/>
    </row>
    <row r="159" spans="1:146">
      <c r="B159" s="269" t="s">
        <v>16</v>
      </c>
      <c r="EB159" s="60"/>
      <c r="EC159" s="60"/>
      <c r="ED159" s="60"/>
      <c r="EE159" s="60"/>
      <c r="EF159" s="60"/>
      <c r="EG159" s="60"/>
      <c r="EH159" s="60"/>
      <c r="EI159" s="169"/>
      <c r="EJ159" s="169"/>
      <c r="EL159" s="153"/>
      <c r="EO159" s="60"/>
      <c r="EP159" s="60"/>
    </row>
    <row r="160" spans="1:146">
      <c r="EI160" s="169"/>
      <c r="EJ160" s="169"/>
      <c r="EL160" s="153"/>
      <c r="EO160" s="60"/>
      <c r="EP160" s="60"/>
    </row>
    <row r="161" spans="6:146">
      <c r="DC161" s="231"/>
      <c r="EI161" s="169"/>
      <c r="EJ161" s="169"/>
      <c r="EL161" s="153"/>
      <c r="EO161" s="60"/>
      <c r="EP161" s="60"/>
    </row>
    <row r="162" spans="6:146">
      <c r="DV162" s="229"/>
      <c r="EI162" s="169"/>
      <c r="EJ162" s="169"/>
      <c r="EL162" s="153"/>
      <c r="EO162" s="60"/>
      <c r="EP162" s="60"/>
    </row>
    <row r="163" spans="6:146">
      <c r="DV163" s="274"/>
      <c r="EI163" s="169"/>
      <c r="EJ163" s="169"/>
      <c r="EL163" s="153"/>
    </row>
    <row r="164" spans="6:146">
      <c r="F164" s="206"/>
      <c r="EL164" s="153"/>
    </row>
    <row r="165" spans="6:146">
      <c r="H165" s="206"/>
      <c r="EL165" s="153"/>
    </row>
    <row r="166" spans="6:146">
      <c r="F166" s="206"/>
      <c r="G166" s="206"/>
      <c r="EL166" s="153"/>
    </row>
    <row r="167" spans="6:146">
      <c r="F167" s="206"/>
      <c r="EL167" s="153"/>
    </row>
    <row r="168" spans="6:146">
      <c r="EL168" s="153"/>
    </row>
    <row r="169" spans="6:146">
      <c r="EL169" s="153"/>
    </row>
  </sheetData>
  <mergeCells count="5">
    <mergeCell ref="EF19:EI19"/>
    <mergeCell ref="A156:C156"/>
    <mergeCell ref="A155:C155"/>
    <mergeCell ref="D22:G22"/>
    <mergeCell ref="H22:J22"/>
  </mergeCells>
  <phoneticPr fontId="10" type="noConversion"/>
  <conditionalFormatting sqref="EF18:EJ18 EF24:EJ153">
    <cfRule type="expression" dxfId="30" priority="4" stopIfTrue="1">
      <formula>EF$20=$EC18</formula>
    </cfRule>
  </conditionalFormatting>
  <conditionalFormatting sqref="EH154:EJ154">
    <cfRule type="expression" dxfId="29" priority="5" stopIfTrue="1">
      <formula>EH$20=$EC154</formula>
    </cfRule>
  </conditionalFormatting>
  <conditionalFormatting sqref="EF157:EJ157 O157:CT157 CV157:EA157">
    <cfRule type="cellIs" dxfId="28" priority="6" stopIfTrue="1" operator="notEqual">
      <formula>0</formula>
    </cfRule>
  </conditionalFormatting>
  <conditionalFormatting sqref="EL157">
    <cfRule type="cellIs" dxfId="27" priority="1" stopIfTrue="1" operator="notEqual">
      <formula>0</formula>
    </cfRule>
  </conditionalFormatting>
  <printOptions horizontalCentered="1"/>
  <pageMargins left="0.18" right="0" top="0.74803149606299213" bottom="0.31496062992125984" header="0.23622047244094491" footer="0.23622047244094491"/>
  <pageSetup scale="50" fitToWidth="15" pageOrder="overThenDown" orientation="landscape" blackAndWhite="1" horizontalDpi="4294967292" verticalDpi="4294967292" r:id="rId1"/>
  <headerFooter alignWithMargins="0">
    <oddHeader>&amp;R&amp;"Times New Roman,Bold"&amp;20CASH FLOW</oddHeader>
    <oddFooter xml:space="preserve">&amp;L&amp;"Times New Roman,Regular"&amp;F  &amp;A
&amp;D  &amp;T&amp;C&amp;"Times New Roman,Regular"All Dollar Values in 1000's Unless Noted&amp;R&amp;"Times New Roman,Regular"Felix Rev. 9 dated 3/14/05
Page &amp;P of &amp;N&amp;"Times New Roman,Bold"&amp;8
</oddFooter>
  </headerFooter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7"/>
  <dimension ref="A1:FR169"/>
  <sheetViews>
    <sheetView zoomScale="75" workbookViewId="0">
      <pane xSplit="3" ySplit="6" topLeftCell="DD7" activePane="bottomRight" state="frozen"/>
      <selection activeCell="L32" sqref="L32:BW32"/>
      <selection pane="topRight" activeCell="L32" sqref="L32:BW32"/>
      <selection pane="bottomLeft" activeCell="L32" sqref="L32:BW32"/>
      <selection pane="bottomRight" activeCell="DR24" sqref="DR24"/>
    </sheetView>
  </sheetViews>
  <sheetFormatPr defaultColWidth="5.5703125" defaultRowHeight="12.75"/>
  <cols>
    <col min="1" max="1" width="5.140625" style="109" customWidth="1"/>
    <col min="2" max="2" width="6.7109375" style="110" customWidth="1"/>
    <col min="3" max="3" width="13.5703125" style="111" customWidth="1"/>
    <col min="4" max="4" width="16" style="110" customWidth="1"/>
    <col min="5" max="5" width="13.28515625" style="110" customWidth="1"/>
    <col min="6" max="6" width="13.28515625" style="112" customWidth="1"/>
    <col min="7" max="7" width="12.42578125" style="112" customWidth="1"/>
    <col min="8" max="8" width="13.7109375" style="112" customWidth="1"/>
    <col min="9" max="9" width="3.42578125" style="110" customWidth="1"/>
    <col min="10" max="10" width="5.140625" style="110" customWidth="1"/>
    <col min="11" max="11" width="8" style="110" customWidth="1"/>
    <col min="12" max="12" width="21.7109375" style="110" customWidth="1"/>
    <col min="13" max="13" width="10.7109375" style="110" customWidth="1"/>
    <col min="14" max="15" width="9.85546875" style="110" bestFit="1" customWidth="1"/>
    <col min="16" max="30" width="9.85546875" style="110" customWidth="1"/>
    <col min="31" max="31" width="9.85546875" style="110" bestFit="1" customWidth="1"/>
    <col min="32" max="32" width="11.140625" style="110" bestFit="1" customWidth="1"/>
    <col min="33" max="34" width="11.140625" style="110" customWidth="1"/>
    <col min="35" max="38" width="9.85546875" style="110" bestFit="1" customWidth="1"/>
    <col min="39" max="42" width="9.85546875" style="110" customWidth="1"/>
    <col min="43" max="43" width="8.28515625" style="110" bestFit="1" customWidth="1"/>
    <col min="44" max="44" width="10.7109375" style="110" customWidth="1"/>
    <col min="45" max="45" width="11.42578125" style="110" customWidth="1"/>
    <col min="46" max="46" width="10" style="110" customWidth="1"/>
    <col min="47" max="48" width="10.42578125" style="110" customWidth="1"/>
    <col min="49" max="49" width="8.85546875" style="110" bestFit="1" customWidth="1"/>
    <col min="50" max="50" width="9.85546875" style="110" bestFit="1" customWidth="1"/>
    <col min="51" max="61" width="8.28515625" style="110" bestFit="1" customWidth="1"/>
    <col min="62" max="64" width="8.28515625" style="110" customWidth="1"/>
    <col min="65" max="65" width="8.28515625" style="110" bestFit="1" customWidth="1"/>
    <col min="66" max="69" width="9.28515625" style="110" customWidth="1"/>
    <col min="70" max="70" width="8.28515625" style="110" bestFit="1" customWidth="1"/>
    <col min="71" max="94" width="8.28515625" style="110" customWidth="1"/>
    <col min="95" max="95" width="6.7109375" style="110" hidden="1" customWidth="1"/>
    <col min="96" max="96" width="8.140625" style="110" hidden="1" customWidth="1"/>
    <col min="97" max="97" width="4.28515625" style="110" customWidth="1"/>
    <col min="98" max="98" width="12.42578125" style="110" customWidth="1"/>
    <col min="99" max="99" width="9.85546875" style="110" bestFit="1" customWidth="1"/>
    <col min="100" max="105" width="10" style="110" customWidth="1"/>
    <col min="106" max="113" width="9.7109375" style="110" customWidth="1"/>
    <col min="114" max="119" width="9.42578125" style="110" customWidth="1"/>
    <col min="120" max="120" width="7.85546875" style="110" customWidth="1"/>
    <col min="121" max="121" width="9" style="110" customWidth="1"/>
    <col min="122" max="123" width="6.85546875" style="110" customWidth="1"/>
    <col min="124" max="124" width="7.5703125" style="110" bestFit="1" customWidth="1"/>
    <col min="125" max="128" width="8.42578125" style="110" customWidth="1"/>
    <col min="129" max="129" width="11.42578125" style="110" customWidth="1"/>
    <col min="130" max="130" width="12.7109375" style="110" customWidth="1"/>
    <col min="131" max="131" width="5.85546875" style="110" customWidth="1"/>
    <col min="132" max="132" width="13.5703125" style="110" customWidth="1"/>
    <col min="133" max="133" width="13" style="110" customWidth="1"/>
    <col min="134" max="134" width="19.140625" style="110" customWidth="1"/>
    <col min="135" max="135" width="18.42578125" style="110" customWidth="1"/>
    <col min="136" max="138" width="17.28515625" style="110" customWidth="1"/>
    <col min="139" max="139" width="14.5703125" style="699" bestFit="1" customWidth="1"/>
    <col min="140" max="140" width="12.5703125" style="699" bestFit="1" customWidth="1"/>
    <col min="141" max="141" width="14.5703125" style="699" bestFit="1" customWidth="1"/>
    <col min="142" max="142" width="6.42578125" style="110" customWidth="1"/>
    <col min="143" max="150" width="5.5703125" style="110"/>
    <col min="151" max="151" width="7" style="110" bestFit="1" customWidth="1"/>
    <col min="152" max="16384" width="5.5703125" style="110"/>
  </cols>
  <sheetData>
    <row r="1" spans="1:149">
      <c r="CS1" s="114"/>
      <c r="DA1" s="698"/>
    </row>
    <row r="2" spans="1:149">
      <c r="L2" s="110" t="s">
        <v>77</v>
      </c>
      <c r="CS2" s="114"/>
    </row>
    <row r="3" spans="1:149" ht="15" customHeight="1">
      <c r="A3" s="115" t="s">
        <v>156</v>
      </c>
      <c r="B3" s="63"/>
      <c r="D3" s="10">
        <f>'Estimate Summary'!AT5</f>
        <v>0</v>
      </c>
      <c r="E3" s="10"/>
      <c r="F3" s="125" t="s">
        <v>355</v>
      </c>
      <c r="G3" s="700">
        <f>'Estimate Summary'!D50</f>
        <v>169.08558792062516</v>
      </c>
      <c r="H3" s="117"/>
      <c r="L3" s="119" t="s">
        <v>226</v>
      </c>
      <c r="M3" s="701">
        <v>0.7</v>
      </c>
      <c r="N3" s="701">
        <v>0.7</v>
      </c>
      <c r="O3" s="701">
        <v>0.7</v>
      </c>
      <c r="P3" s="701">
        <v>0.7</v>
      </c>
      <c r="Q3" s="701">
        <v>0.7</v>
      </c>
      <c r="R3" s="701">
        <v>0.7</v>
      </c>
      <c r="S3" s="701">
        <v>0.7</v>
      </c>
      <c r="T3" s="701">
        <v>0.7</v>
      </c>
      <c r="U3" s="701">
        <v>0.7</v>
      </c>
      <c r="V3" s="701">
        <v>0.7</v>
      </c>
      <c r="W3" s="701">
        <v>0.7</v>
      </c>
      <c r="X3" s="701">
        <v>0.7</v>
      </c>
      <c r="Y3" s="701">
        <v>0.7</v>
      </c>
      <c r="Z3" s="701">
        <v>0.7</v>
      </c>
      <c r="AA3" s="701">
        <v>0.7</v>
      </c>
      <c r="AB3" s="701">
        <v>0.7</v>
      </c>
      <c r="AC3" s="701">
        <v>0.7</v>
      </c>
      <c r="AD3" s="701">
        <v>0.7</v>
      </c>
      <c r="AE3" s="701">
        <v>0.7</v>
      </c>
      <c r="AF3" s="701">
        <v>0.7</v>
      </c>
      <c r="AG3" s="701">
        <v>0.7</v>
      </c>
      <c r="AH3" s="701">
        <v>0.7</v>
      </c>
      <c r="AI3" s="701">
        <v>0.7</v>
      </c>
      <c r="AJ3" s="701">
        <v>0.7</v>
      </c>
      <c r="AK3" s="701">
        <v>0.7</v>
      </c>
      <c r="AL3" s="701">
        <v>0.7</v>
      </c>
      <c r="AM3" s="701">
        <v>0.7</v>
      </c>
      <c r="AN3" s="701">
        <v>0.7</v>
      </c>
      <c r="AO3" s="701">
        <v>0.7</v>
      </c>
      <c r="AP3" s="701">
        <v>0.7</v>
      </c>
      <c r="AQ3" s="701">
        <v>0.7</v>
      </c>
      <c r="AR3" s="701">
        <v>0.7</v>
      </c>
      <c r="AS3" s="701">
        <v>0.7</v>
      </c>
      <c r="AT3" s="701">
        <v>0.7</v>
      </c>
      <c r="AU3" s="701">
        <v>0.7</v>
      </c>
      <c r="AV3" s="701">
        <v>0.7</v>
      </c>
      <c r="AW3" s="701">
        <v>0.7</v>
      </c>
      <c r="AX3" s="701">
        <v>0.7</v>
      </c>
      <c r="AY3" s="701">
        <v>0.7</v>
      </c>
      <c r="AZ3" s="701">
        <v>0.7</v>
      </c>
      <c r="BA3" s="701">
        <v>0.7</v>
      </c>
      <c r="BB3" s="701">
        <v>0.7</v>
      </c>
      <c r="BC3" s="701">
        <v>0.7</v>
      </c>
      <c r="BD3" s="701">
        <v>0.7</v>
      </c>
      <c r="BE3" s="701">
        <v>0.7</v>
      </c>
      <c r="BF3" s="701">
        <v>0.7</v>
      </c>
      <c r="BG3" s="701">
        <v>0.7</v>
      </c>
      <c r="BH3" s="701">
        <v>0.7</v>
      </c>
      <c r="BI3" s="701">
        <v>0.7</v>
      </c>
      <c r="BJ3" s="701">
        <v>0.7</v>
      </c>
      <c r="BK3" s="701">
        <v>0.7</v>
      </c>
      <c r="BL3" s="701">
        <v>0.7</v>
      </c>
      <c r="BM3" s="701">
        <v>0.7</v>
      </c>
      <c r="BN3" s="701">
        <v>0.7</v>
      </c>
      <c r="BO3" s="701">
        <v>0.7</v>
      </c>
      <c r="BP3" s="701">
        <v>0.7</v>
      </c>
      <c r="BQ3" s="701">
        <v>0.7</v>
      </c>
      <c r="BR3" s="701">
        <v>0.7</v>
      </c>
      <c r="BS3" s="701">
        <v>0.7</v>
      </c>
      <c r="BT3" s="701">
        <v>0.7</v>
      </c>
      <c r="BU3" s="701">
        <v>0.7</v>
      </c>
      <c r="BV3" s="701">
        <v>0.7</v>
      </c>
      <c r="BW3" s="701">
        <v>0.7</v>
      </c>
      <c r="BX3" s="701">
        <v>0.7</v>
      </c>
      <c r="BY3" s="701">
        <v>0.7</v>
      </c>
      <c r="BZ3" s="701">
        <v>0.7</v>
      </c>
      <c r="CA3" s="701">
        <v>0.7</v>
      </c>
      <c r="CB3" s="701">
        <v>0.7</v>
      </c>
      <c r="CC3" s="701">
        <v>0.7</v>
      </c>
      <c r="CD3" s="701">
        <v>0.7</v>
      </c>
      <c r="CE3" s="701">
        <v>0.7</v>
      </c>
      <c r="CF3" s="701">
        <v>0.7</v>
      </c>
      <c r="CG3" s="701">
        <v>0.7</v>
      </c>
      <c r="CH3" s="701">
        <v>0.7</v>
      </c>
      <c r="CI3" s="701">
        <v>0.7</v>
      </c>
      <c r="CJ3" s="701">
        <v>0.7</v>
      </c>
      <c r="CK3" s="701">
        <v>0.7</v>
      </c>
      <c r="CL3" s="701">
        <v>0.7</v>
      </c>
      <c r="CM3" s="701">
        <v>0.7</v>
      </c>
      <c r="CN3" s="701">
        <v>0.7</v>
      </c>
      <c r="CO3" s="701">
        <v>0.7</v>
      </c>
      <c r="CP3" s="701">
        <v>0.7</v>
      </c>
      <c r="CQ3" s="702"/>
      <c r="CR3" s="702"/>
      <c r="CS3" s="703"/>
      <c r="CT3" s="704"/>
      <c r="CU3" s="704"/>
      <c r="CV3" s="704"/>
      <c r="CW3" s="704"/>
      <c r="CX3" s="704"/>
      <c r="CY3" s="704"/>
      <c r="CZ3" s="704"/>
      <c r="DA3" s="704"/>
      <c r="DB3" s="705"/>
      <c r="DC3" s="705"/>
      <c r="DD3" s="705"/>
      <c r="DE3" s="705"/>
      <c r="DF3" s="705"/>
      <c r="DG3" s="705"/>
      <c r="DH3" s="705"/>
      <c r="DI3" s="705"/>
      <c r="DJ3" s="705"/>
      <c r="DK3" s="705"/>
      <c r="DL3" s="705"/>
      <c r="DM3" s="705"/>
      <c r="DN3" s="705"/>
      <c r="DO3" s="705"/>
      <c r="DP3" s="705"/>
      <c r="DQ3" s="705"/>
      <c r="DR3" s="705"/>
      <c r="DS3" s="705"/>
      <c r="DT3" s="705"/>
      <c r="DU3" s="705"/>
      <c r="DV3" s="705"/>
      <c r="DW3" s="705"/>
      <c r="DX3" s="705"/>
      <c r="DY3" s="705"/>
      <c r="EM3" s="60"/>
    </row>
    <row r="4" spans="1:149">
      <c r="A4" s="115" t="s">
        <v>227</v>
      </c>
      <c r="B4" s="63"/>
      <c r="D4" s="10">
        <f>'Estimate Summary'!AT6</f>
        <v>0</v>
      </c>
      <c r="E4" s="10"/>
      <c r="F4" s="110"/>
      <c r="G4" s="124"/>
      <c r="H4" s="125"/>
      <c r="I4" s="127"/>
      <c r="J4" s="127"/>
      <c r="K4" s="127"/>
      <c r="L4" s="119" t="s">
        <v>229</v>
      </c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AO4" s="706"/>
      <c r="AP4" s="706"/>
      <c r="AQ4" s="706"/>
      <c r="AR4" s="706"/>
      <c r="AS4" s="706"/>
      <c r="AT4" s="706"/>
      <c r="AU4" s="706"/>
      <c r="AV4" s="706"/>
      <c r="AW4" s="706"/>
      <c r="AX4" s="706"/>
      <c r="AY4" s="706"/>
      <c r="AZ4" s="706"/>
      <c r="BA4" s="706"/>
      <c r="BB4" s="706"/>
      <c r="BC4" s="706"/>
      <c r="BD4" s="706"/>
      <c r="BE4" s="706"/>
      <c r="BF4" s="706"/>
      <c r="BG4" s="706"/>
      <c r="BH4" s="706"/>
      <c r="BI4" s="706"/>
      <c r="BJ4" s="706"/>
      <c r="BK4" s="706"/>
      <c r="BL4" s="706"/>
      <c r="BM4" s="706"/>
      <c r="BN4" s="706"/>
      <c r="BO4" s="706"/>
      <c r="BP4" s="706"/>
      <c r="BQ4" s="706"/>
      <c r="BR4" s="706"/>
      <c r="BS4" s="706"/>
      <c r="BT4" s="706"/>
      <c r="BU4" s="706"/>
      <c r="BV4" s="706"/>
      <c r="BW4" s="706"/>
      <c r="BX4" s="706"/>
      <c r="BY4" s="706"/>
      <c r="BZ4" s="706"/>
      <c r="CA4" s="706"/>
      <c r="CB4" s="706"/>
      <c r="CC4" s="706"/>
      <c r="CD4" s="706"/>
      <c r="CE4" s="706"/>
      <c r="CF4" s="706"/>
      <c r="CG4" s="706"/>
      <c r="CH4" s="706"/>
      <c r="CI4" s="706"/>
      <c r="CJ4" s="706"/>
      <c r="CK4" s="706"/>
      <c r="CL4" s="706"/>
      <c r="CM4" s="706"/>
      <c r="CN4" s="706"/>
      <c r="CO4" s="706"/>
      <c r="CP4" s="706"/>
      <c r="CQ4" s="707"/>
      <c r="CR4" s="707"/>
      <c r="CS4" s="703"/>
      <c r="CT4" s="704"/>
      <c r="CU4" s="704"/>
      <c r="CV4" s="704"/>
      <c r="CW4" s="704"/>
      <c r="CX4" s="704"/>
      <c r="CY4" s="704"/>
      <c r="CZ4" s="704"/>
      <c r="DA4" s="704"/>
      <c r="DB4" s="705"/>
      <c r="DC4" s="705"/>
      <c r="DD4" s="705"/>
      <c r="DE4" s="705"/>
      <c r="DF4" s="705"/>
      <c r="DG4" s="705"/>
      <c r="DH4" s="705"/>
      <c r="DI4" s="705"/>
      <c r="DJ4" s="705"/>
      <c r="DK4" s="705"/>
      <c r="DL4" s="705"/>
      <c r="DM4" s="705"/>
      <c r="DN4" s="705"/>
      <c r="DO4" s="705"/>
      <c r="DP4" s="705"/>
      <c r="DQ4" s="705"/>
      <c r="DR4" s="705"/>
      <c r="DS4" s="705"/>
      <c r="DT4" s="705"/>
      <c r="DU4" s="705"/>
      <c r="DV4" s="705"/>
      <c r="DW4" s="705"/>
      <c r="DX4" s="705"/>
      <c r="DY4" s="705"/>
      <c r="EM4" s="60"/>
    </row>
    <row r="5" spans="1:149">
      <c r="A5" s="115" t="s">
        <v>230</v>
      </c>
      <c r="B5" s="63"/>
      <c r="D5" s="696">
        <f>'Estimate Summary'!AT7</f>
        <v>0</v>
      </c>
      <c r="E5" s="10"/>
      <c r="I5" s="130"/>
      <c r="J5" s="130"/>
      <c r="K5" s="131"/>
      <c r="L5" s="119" t="s">
        <v>231</v>
      </c>
      <c r="M5" s="701">
        <v>0.3</v>
      </c>
      <c r="N5" s="701">
        <v>0.3</v>
      </c>
      <c r="O5" s="701">
        <v>0.3</v>
      </c>
      <c r="P5" s="701">
        <v>0.3</v>
      </c>
      <c r="Q5" s="701">
        <v>0.3</v>
      </c>
      <c r="R5" s="701">
        <v>0.3</v>
      </c>
      <c r="S5" s="701">
        <v>0.3</v>
      </c>
      <c r="T5" s="701">
        <v>0.3</v>
      </c>
      <c r="U5" s="701">
        <v>0.3</v>
      </c>
      <c r="V5" s="701">
        <v>0.3</v>
      </c>
      <c r="W5" s="701">
        <v>0.3</v>
      </c>
      <c r="X5" s="701">
        <v>0.3</v>
      </c>
      <c r="Y5" s="701">
        <v>0.3</v>
      </c>
      <c r="Z5" s="701">
        <v>0.3</v>
      </c>
      <c r="AA5" s="701">
        <v>0.3</v>
      </c>
      <c r="AB5" s="701">
        <v>0.3</v>
      </c>
      <c r="AC5" s="701">
        <v>0.3</v>
      </c>
      <c r="AD5" s="701">
        <v>0.3</v>
      </c>
      <c r="AE5" s="701">
        <v>0.3</v>
      </c>
      <c r="AF5" s="701">
        <v>0.3</v>
      </c>
      <c r="AG5" s="701">
        <v>0.3</v>
      </c>
      <c r="AH5" s="701">
        <v>0.3</v>
      </c>
      <c r="AI5" s="701">
        <v>0.3</v>
      </c>
      <c r="AJ5" s="701">
        <v>0.3</v>
      </c>
      <c r="AK5" s="701">
        <v>0.3</v>
      </c>
      <c r="AL5" s="701">
        <v>0.3</v>
      </c>
      <c r="AM5" s="701">
        <v>0.3</v>
      </c>
      <c r="AN5" s="701">
        <v>0.3</v>
      </c>
      <c r="AO5" s="701">
        <v>0.3</v>
      </c>
      <c r="AP5" s="701">
        <v>0.3</v>
      </c>
      <c r="AQ5" s="701">
        <v>0.3</v>
      </c>
      <c r="AR5" s="701">
        <v>0.3</v>
      </c>
      <c r="AS5" s="701">
        <v>0.3</v>
      </c>
      <c r="AT5" s="701">
        <v>0.3</v>
      </c>
      <c r="AU5" s="701">
        <v>0.3</v>
      </c>
      <c r="AV5" s="701">
        <v>0.3</v>
      </c>
      <c r="AW5" s="701">
        <v>0.3</v>
      </c>
      <c r="AX5" s="701">
        <v>0.3</v>
      </c>
      <c r="AY5" s="701">
        <v>0.3</v>
      </c>
      <c r="AZ5" s="701">
        <v>0.3</v>
      </c>
      <c r="BA5" s="701">
        <v>0.3</v>
      </c>
      <c r="BB5" s="701">
        <v>0.3</v>
      </c>
      <c r="BC5" s="701">
        <v>0.3</v>
      </c>
      <c r="BD5" s="701">
        <v>0.3</v>
      </c>
      <c r="BE5" s="701">
        <v>0.3</v>
      </c>
      <c r="BF5" s="701">
        <v>0.3</v>
      </c>
      <c r="BG5" s="701">
        <v>0.3</v>
      </c>
      <c r="BH5" s="701">
        <v>0.3</v>
      </c>
      <c r="BI5" s="701">
        <v>0.3</v>
      </c>
      <c r="BJ5" s="701">
        <v>0.3</v>
      </c>
      <c r="BK5" s="701">
        <v>0.3</v>
      </c>
      <c r="BL5" s="701">
        <v>0.3</v>
      </c>
      <c r="BM5" s="701">
        <v>0.3</v>
      </c>
      <c r="BN5" s="701">
        <v>0.3</v>
      </c>
      <c r="BO5" s="701">
        <v>0.3</v>
      </c>
      <c r="BP5" s="701">
        <v>0.3</v>
      </c>
      <c r="BQ5" s="701">
        <v>0.3</v>
      </c>
      <c r="BR5" s="701">
        <v>0.3</v>
      </c>
      <c r="BS5" s="701">
        <v>0.3</v>
      </c>
      <c r="BT5" s="701">
        <v>0.3</v>
      </c>
      <c r="BU5" s="701">
        <v>0.3</v>
      </c>
      <c r="BV5" s="701">
        <v>0.3</v>
      </c>
      <c r="BW5" s="701">
        <v>0.3</v>
      </c>
      <c r="BX5" s="701">
        <v>0.3</v>
      </c>
      <c r="BY5" s="701">
        <v>0.3</v>
      </c>
      <c r="BZ5" s="701">
        <v>0.3</v>
      </c>
      <c r="CA5" s="701">
        <v>0.3</v>
      </c>
      <c r="CB5" s="701">
        <v>0.3</v>
      </c>
      <c r="CC5" s="701">
        <v>0.3</v>
      </c>
      <c r="CD5" s="701">
        <v>0.3</v>
      </c>
      <c r="CE5" s="701">
        <v>0.3</v>
      </c>
      <c r="CF5" s="701">
        <v>0.3</v>
      </c>
      <c r="CG5" s="701">
        <v>0.3</v>
      </c>
      <c r="CH5" s="701">
        <v>0.3</v>
      </c>
      <c r="CI5" s="701">
        <v>0.3</v>
      </c>
      <c r="CJ5" s="701">
        <v>0.3</v>
      </c>
      <c r="CK5" s="701">
        <v>0.3</v>
      </c>
      <c r="CL5" s="701">
        <v>0.3</v>
      </c>
      <c r="CM5" s="701">
        <v>0.3</v>
      </c>
      <c r="CN5" s="701">
        <v>0.3</v>
      </c>
      <c r="CO5" s="701">
        <v>0.3</v>
      </c>
      <c r="CP5" s="701">
        <v>0.3</v>
      </c>
      <c r="CQ5" s="702"/>
      <c r="CR5" s="702"/>
      <c r="CS5" s="703"/>
      <c r="CT5" s="708"/>
      <c r="CU5" s="708"/>
      <c r="CV5" s="708"/>
      <c r="CW5" s="708"/>
      <c r="CX5" s="708"/>
      <c r="CY5" s="708"/>
      <c r="CZ5" s="708"/>
      <c r="DA5" s="708"/>
      <c r="DB5" s="709"/>
      <c r="DC5" s="709"/>
      <c r="DD5" s="709"/>
      <c r="DE5" s="709"/>
      <c r="DF5" s="709"/>
      <c r="DG5" s="709"/>
      <c r="DH5" s="709"/>
      <c r="DI5" s="709"/>
      <c r="DJ5" s="709"/>
      <c r="DK5" s="709"/>
      <c r="DL5" s="709"/>
      <c r="DM5" s="709"/>
      <c r="DN5" s="709"/>
      <c r="DO5" s="709"/>
      <c r="DP5" s="709"/>
      <c r="DQ5" s="709"/>
      <c r="DR5" s="709"/>
      <c r="DS5" s="709"/>
      <c r="DT5" s="709"/>
      <c r="DU5" s="709"/>
      <c r="DV5" s="709"/>
      <c r="DW5" s="709"/>
      <c r="DX5" s="709"/>
      <c r="DY5" s="709"/>
      <c r="EM5" s="60"/>
    </row>
    <row r="6" spans="1:149" ht="12.75" customHeight="1">
      <c r="A6" s="115" t="s">
        <v>232</v>
      </c>
      <c r="B6" s="63"/>
      <c r="D6" s="10">
        <f>'Estimate Summary'!AT8</f>
        <v>0</v>
      </c>
      <c r="E6" s="10"/>
      <c r="F6" s="134"/>
      <c r="G6" s="10"/>
      <c r="H6" s="60"/>
      <c r="I6" s="130"/>
      <c r="J6" s="130"/>
      <c r="K6" s="131"/>
      <c r="L6" s="119" t="s">
        <v>233</v>
      </c>
      <c r="M6" s="706"/>
      <c r="N6" s="706"/>
      <c r="O6" s="706"/>
      <c r="P6" s="706"/>
      <c r="Q6" s="706"/>
      <c r="R6" s="706"/>
      <c r="S6" s="706"/>
      <c r="T6" s="706"/>
      <c r="U6" s="706"/>
      <c r="V6" s="706"/>
      <c r="W6" s="706"/>
      <c r="X6" s="706"/>
      <c r="Y6" s="706"/>
      <c r="Z6" s="706"/>
      <c r="AA6" s="706"/>
      <c r="AB6" s="706"/>
      <c r="AC6" s="706"/>
      <c r="AD6" s="706"/>
      <c r="AE6" s="706"/>
      <c r="AF6" s="706"/>
      <c r="AG6" s="706"/>
      <c r="AH6" s="706"/>
      <c r="AI6" s="706"/>
      <c r="AJ6" s="706"/>
      <c r="AK6" s="706"/>
      <c r="AL6" s="706"/>
      <c r="AM6" s="706"/>
      <c r="AN6" s="706"/>
      <c r="AO6" s="706"/>
      <c r="AP6" s="706"/>
      <c r="AQ6" s="706"/>
      <c r="AR6" s="706"/>
      <c r="AS6" s="706"/>
      <c r="AT6" s="706"/>
      <c r="AU6" s="706"/>
      <c r="AV6" s="706"/>
      <c r="AW6" s="706"/>
      <c r="AX6" s="706"/>
      <c r="AY6" s="706"/>
      <c r="AZ6" s="706"/>
      <c r="BA6" s="706"/>
      <c r="BB6" s="706"/>
      <c r="BC6" s="706"/>
      <c r="BD6" s="706"/>
      <c r="BE6" s="706"/>
      <c r="BF6" s="706"/>
      <c r="BG6" s="706"/>
      <c r="BH6" s="706"/>
      <c r="BI6" s="706"/>
      <c r="BJ6" s="706"/>
      <c r="BK6" s="706"/>
      <c r="BL6" s="706"/>
      <c r="BM6" s="706"/>
      <c r="BN6" s="706"/>
      <c r="BO6" s="706"/>
      <c r="BP6" s="706"/>
      <c r="BQ6" s="706"/>
      <c r="BR6" s="706"/>
      <c r="BS6" s="706"/>
      <c r="BT6" s="706"/>
      <c r="BU6" s="706"/>
      <c r="BV6" s="706"/>
      <c r="BW6" s="706"/>
      <c r="BX6" s="706"/>
      <c r="BY6" s="706"/>
      <c r="BZ6" s="706"/>
      <c r="CA6" s="706"/>
      <c r="CB6" s="706"/>
      <c r="CC6" s="706"/>
      <c r="CD6" s="706"/>
      <c r="CE6" s="706"/>
      <c r="CF6" s="706"/>
      <c r="CG6" s="706"/>
      <c r="CH6" s="706"/>
      <c r="CI6" s="706"/>
      <c r="CJ6" s="706"/>
      <c r="CK6" s="706"/>
      <c r="CL6" s="706"/>
      <c r="CM6" s="706"/>
      <c r="CN6" s="706"/>
      <c r="CO6" s="706"/>
      <c r="CP6" s="706"/>
      <c r="CQ6" s="707"/>
      <c r="CR6" s="707"/>
      <c r="CS6" s="703"/>
      <c r="DJ6" s="137"/>
      <c r="DK6" s="137"/>
      <c r="DL6" s="137"/>
      <c r="DM6" s="137"/>
      <c r="DN6" s="137"/>
      <c r="DO6" s="137"/>
      <c r="EM6" s="2"/>
    </row>
    <row r="7" spans="1:149" ht="12.75" customHeight="1">
      <c r="A7" s="115"/>
      <c r="B7" s="63"/>
      <c r="D7" s="10"/>
      <c r="E7" s="10"/>
      <c r="F7" s="134"/>
      <c r="G7" s="10"/>
      <c r="H7" s="60"/>
      <c r="I7" s="130"/>
      <c r="J7" s="130"/>
      <c r="K7" s="130"/>
      <c r="L7" s="119" t="s">
        <v>234</v>
      </c>
      <c r="M7" s="701"/>
      <c r="N7" s="701"/>
      <c r="O7" s="701"/>
      <c r="P7" s="701"/>
      <c r="Q7" s="701"/>
      <c r="R7" s="701"/>
      <c r="S7" s="701"/>
      <c r="T7" s="701"/>
      <c r="U7" s="701"/>
      <c r="V7" s="701"/>
      <c r="W7" s="701"/>
      <c r="X7" s="701"/>
      <c r="Y7" s="701"/>
      <c r="Z7" s="701"/>
      <c r="AA7" s="701"/>
      <c r="AB7" s="701"/>
      <c r="AC7" s="701"/>
      <c r="AD7" s="701"/>
      <c r="AE7" s="701"/>
      <c r="AF7" s="701"/>
      <c r="AG7" s="701"/>
      <c r="AH7" s="701"/>
      <c r="AI7" s="701"/>
      <c r="AJ7" s="701"/>
      <c r="AK7" s="701"/>
      <c r="AL7" s="701"/>
      <c r="AM7" s="701"/>
      <c r="AN7" s="701"/>
      <c r="AO7" s="701"/>
      <c r="AP7" s="701"/>
      <c r="AQ7" s="701"/>
      <c r="AR7" s="701"/>
      <c r="AS7" s="701"/>
      <c r="AT7" s="701"/>
      <c r="AU7" s="701"/>
      <c r="AV7" s="701"/>
      <c r="AW7" s="701"/>
      <c r="AX7" s="701"/>
      <c r="AY7" s="701"/>
      <c r="AZ7" s="701"/>
      <c r="BA7" s="701"/>
      <c r="BB7" s="701"/>
      <c r="BC7" s="701"/>
      <c r="BD7" s="701"/>
      <c r="BE7" s="701"/>
      <c r="BF7" s="701"/>
      <c r="BG7" s="701"/>
      <c r="BH7" s="701"/>
      <c r="BI7" s="701"/>
      <c r="BJ7" s="701"/>
      <c r="BK7" s="701"/>
      <c r="BL7" s="701"/>
      <c r="BM7" s="701"/>
      <c r="BN7" s="701"/>
      <c r="BO7" s="701"/>
      <c r="BP7" s="701"/>
      <c r="BQ7" s="701"/>
      <c r="BR7" s="701"/>
      <c r="BS7" s="701"/>
      <c r="BT7" s="701"/>
      <c r="BU7" s="701"/>
      <c r="BV7" s="701"/>
      <c r="BW7" s="701"/>
      <c r="BX7" s="701"/>
      <c r="BY7" s="701"/>
      <c r="BZ7" s="701"/>
      <c r="CA7" s="701"/>
      <c r="CB7" s="701"/>
      <c r="CC7" s="701"/>
      <c r="CD7" s="701"/>
      <c r="CE7" s="701"/>
      <c r="CF7" s="701"/>
      <c r="CG7" s="701"/>
      <c r="CH7" s="701"/>
      <c r="CI7" s="701"/>
      <c r="CJ7" s="701"/>
      <c r="CK7" s="701"/>
      <c r="CL7" s="701"/>
      <c r="CM7" s="701"/>
      <c r="CN7" s="701"/>
      <c r="CO7" s="701"/>
      <c r="CP7" s="701"/>
      <c r="CQ7" s="702"/>
      <c r="CR7" s="702"/>
      <c r="CS7" s="703"/>
      <c r="DJ7" s="137"/>
      <c r="DK7" s="137"/>
      <c r="DL7" s="137"/>
      <c r="DM7" s="137"/>
      <c r="DN7" s="137"/>
      <c r="DO7" s="137"/>
      <c r="EM7" s="2"/>
    </row>
    <row r="8" spans="1:149" ht="12.75" customHeight="1">
      <c r="A8" s="138"/>
      <c r="B8" s="138"/>
      <c r="C8" s="10"/>
      <c r="E8" s="10"/>
      <c r="F8" s="134"/>
      <c r="G8" s="10"/>
      <c r="H8" s="2"/>
      <c r="I8" s="130"/>
      <c r="J8" s="130"/>
      <c r="K8" s="130"/>
      <c r="L8" s="119" t="s">
        <v>235</v>
      </c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AO8" s="706"/>
      <c r="AP8" s="706"/>
      <c r="AQ8" s="706"/>
      <c r="AR8" s="706"/>
      <c r="AS8" s="706"/>
      <c r="AT8" s="706"/>
      <c r="AU8" s="706"/>
      <c r="AV8" s="706"/>
      <c r="AW8" s="706"/>
      <c r="AX8" s="706"/>
      <c r="AY8" s="706"/>
      <c r="AZ8" s="706"/>
      <c r="BA8" s="706"/>
      <c r="BB8" s="706"/>
      <c r="BC8" s="706"/>
      <c r="BD8" s="706"/>
      <c r="BE8" s="706"/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7"/>
      <c r="CR8" s="707"/>
      <c r="CS8" s="703"/>
      <c r="DJ8" s="137"/>
      <c r="DK8" s="137"/>
      <c r="DL8" s="137"/>
      <c r="DM8" s="137"/>
      <c r="DN8" s="137"/>
      <c r="DO8" s="137"/>
      <c r="EE8" s="139"/>
      <c r="EF8" s="140"/>
      <c r="EM8" s="2"/>
    </row>
    <row r="9" spans="1:149" ht="12.75" customHeight="1">
      <c r="A9" s="138"/>
      <c r="B9" s="138"/>
      <c r="C9" s="10"/>
      <c r="E9" s="10"/>
      <c r="F9" s="134"/>
      <c r="G9" s="10"/>
      <c r="H9" s="2"/>
      <c r="I9" s="130"/>
      <c r="J9" s="130"/>
      <c r="K9" s="130"/>
      <c r="L9" s="119" t="s">
        <v>237</v>
      </c>
      <c r="M9" s="701"/>
      <c r="N9" s="701"/>
      <c r="O9" s="701"/>
      <c r="P9" s="701"/>
      <c r="Q9" s="701"/>
      <c r="R9" s="701"/>
      <c r="S9" s="701"/>
      <c r="T9" s="701"/>
      <c r="U9" s="701"/>
      <c r="V9" s="701"/>
      <c r="W9" s="701"/>
      <c r="X9" s="701"/>
      <c r="Y9" s="701"/>
      <c r="Z9" s="701"/>
      <c r="AA9" s="701"/>
      <c r="AB9" s="701"/>
      <c r="AC9" s="701"/>
      <c r="AD9" s="701"/>
      <c r="AE9" s="701"/>
      <c r="AF9" s="701"/>
      <c r="AG9" s="701"/>
      <c r="AH9" s="701"/>
      <c r="AI9" s="701"/>
      <c r="AJ9" s="701"/>
      <c r="AK9" s="701"/>
      <c r="AL9" s="701"/>
      <c r="AM9" s="701"/>
      <c r="AN9" s="701"/>
      <c r="AO9" s="701"/>
      <c r="AP9" s="701"/>
      <c r="AQ9" s="701"/>
      <c r="AR9" s="701"/>
      <c r="AS9" s="701"/>
      <c r="AT9" s="701"/>
      <c r="AU9" s="701"/>
      <c r="AV9" s="701"/>
      <c r="AW9" s="701"/>
      <c r="AX9" s="701"/>
      <c r="AY9" s="701"/>
      <c r="AZ9" s="701"/>
      <c r="BA9" s="701"/>
      <c r="BB9" s="701"/>
      <c r="BC9" s="701"/>
      <c r="BD9" s="701"/>
      <c r="BE9" s="701"/>
      <c r="BF9" s="701"/>
      <c r="BG9" s="701"/>
      <c r="BH9" s="701"/>
      <c r="BI9" s="701"/>
      <c r="BJ9" s="701"/>
      <c r="BK9" s="701"/>
      <c r="BL9" s="701"/>
      <c r="BM9" s="701"/>
      <c r="BN9" s="701"/>
      <c r="BO9" s="701"/>
      <c r="BP9" s="701"/>
      <c r="BQ9" s="701"/>
      <c r="BR9" s="701"/>
      <c r="BS9" s="701"/>
      <c r="BT9" s="701"/>
      <c r="BU9" s="701"/>
      <c r="BV9" s="701"/>
      <c r="BW9" s="701"/>
      <c r="BX9" s="701"/>
      <c r="BY9" s="701"/>
      <c r="BZ9" s="701"/>
      <c r="CA9" s="701"/>
      <c r="CB9" s="701"/>
      <c r="CC9" s="701"/>
      <c r="CD9" s="701"/>
      <c r="CE9" s="701"/>
      <c r="CF9" s="701"/>
      <c r="CG9" s="701"/>
      <c r="CH9" s="701"/>
      <c r="CI9" s="701"/>
      <c r="CJ9" s="701"/>
      <c r="CK9" s="701"/>
      <c r="CL9" s="701"/>
      <c r="CM9" s="701"/>
      <c r="CN9" s="701"/>
      <c r="CO9" s="701"/>
      <c r="CP9" s="701"/>
      <c r="CQ9" s="702"/>
      <c r="CR9" s="702"/>
      <c r="CS9" s="703"/>
      <c r="DJ9" s="137"/>
      <c r="DK9" s="137"/>
      <c r="DL9" s="137"/>
      <c r="DM9" s="137"/>
      <c r="DN9" s="137"/>
      <c r="DO9" s="137"/>
      <c r="ED9" s="710"/>
      <c r="EE9" s="142"/>
      <c r="EM9" s="2"/>
    </row>
    <row r="10" spans="1:149" ht="12.75" customHeight="1">
      <c r="A10" s="138"/>
      <c r="B10" s="138"/>
      <c r="C10" s="10"/>
      <c r="E10" s="10"/>
      <c r="F10" s="134"/>
      <c r="G10" s="10"/>
      <c r="H10" s="2"/>
      <c r="I10" s="130"/>
      <c r="J10" s="130"/>
      <c r="K10" s="130"/>
      <c r="L10" s="143" t="s">
        <v>166</v>
      </c>
      <c r="M10" s="706"/>
      <c r="N10" s="706"/>
      <c r="O10" s="706"/>
      <c r="P10" s="706"/>
      <c r="Q10" s="706"/>
      <c r="R10" s="706"/>
      <c r="S10" s="706"/>
      <c r="T10" s="706"/>
      <c r="U10" s="706"/>
      <c r="V10" s="706"/>
      <c r="W10" s="706"/>
      <c r="X10" s="706"/>
      <c r="Y10" s="706"/>
      <c r="Z10" s="706"/>
      <c r="AA10" s="706"/>
      <c r="AB10" s="706"/>
      <c r="AC10" s="706"/>
      <c r="AD10" s="706"/>
      <c r="AE10" s="706"/>
      <c r="AF10" s="706"/>
      <c r="AG10" s="706"/>
      <c r="AH10" s="706"/>
      <c r="AI10" s="706"/>
      <c r="AJ10" s="706"/>
      <c r="AK10" s="706"/>
      <c r="AL10" s="706"/>
      <c r="AM10" s="706"/>
      <c r="AN10" s="706"/>
      <c r="AO10" s="706"/>
      <c r="AP10" s="706"/>
      <c r="AQ10" s="706"/>
      <c r="AR10" s="706"/>
      <c r="AS10" s="706"/>
      <c r="AT10" s="706"/>
      <c r="AU10" s="706"/>
      <c r="AV10" s="706"/>
      <c r="AW10" s="706"/>
      <c r="AX10" s="706"/>
      <c r="AY10" s="706"/>
      <c r="AZ10" s="706"/>
      <c r="BA10" s="706"/>
      <c r="BB10" s="706"/>
      <c r="BC10" s="706"/>
      <c r="BD10" s="706"/>
      <c r="BE10" s="706"/>
      <c r="BF10" s="706"/>
      <c r="BG10" s="706"/>
      <c r="BH10" s="706"/>
      <c r="BI10" s="706"/>
      <c r="BJ10" s="706"/>
      <c r="BK10" s="706"/>
      <c r="BL10" s="706"/>
      <c r="BM10" s="706"/>
      <c r="BN10" s="706"/>
      <c r="BO10" s="706"/>
      <c r="BP10" s="706"/>
      <c r="BQ10" s="706"/>
      <c r="BR10" s="706"/>
      <c r="BS10" s="706"/>
      <c r="BT10" s="706"/>
      <c r="BU10" s="706"/>
      <c r="BV10" s="706"/>
      <c r="BW10" s="706"/>
      <c r="BX10" s="706"/>
      <c r="BY10" s="706"/>
      <c r="BZ10" s="706"/>
      <c r="CA10" s="706"/>
      <c r="CB10" s="706"/>
      <c r="CC10" s="706"/>
      <c r="CD10" s="706"/>
      <c r="CE10" s="706"/>
      <c r="CF10" s="706"/>
      <c r="CG10" s="706"/>
      <c r="CH10" s="706"/>
      <c r="CI10" s="706"/>
      <c r="CJ10" s="706"/>
      <c r="CK10" s="706"/>
      <c r="CL10" s="706"/>
      <c r="CM10" s="706"/>
      <c r="CN10" s="706"/>
      <c r="CO10" s="706"/>
      <c r="CP10" s="706"/>
      <c r="CQ10" s="707"/>
      <c r="CR10" s="707"/>
      <c r="CS10" s="703"/>
      <c r="DJ10" s="137"/>
      <c r="DK10" s="137"/>
      <c r="DL10" s="137"/>
      <c r="DM10" s="137"/>
      <c r="DN10" s="137"/>
      <c r="DO10" s="137"/>
      <c r="ED10" s="710"/>
      <c r="EM10" s="2"/>
    </row>
    <row r="11" spans="1:149" ht="12.75" customHeight="1">
      <c r="A11" s="138"/>
      <c r="B11" s="138"/>
      <c r="C11" s="10"/>
      <c r="E11" s="10"/>
      <c r="F11" s="134"/>
      <c r="G11" s="10"/>
      <c r="H11" s="2"/>
      <c r="I11" s="130"/>
      <c r="J11" s="130"/>
      <c r="K11" s="130"/>
      <c r="L11" s="145"/>
      <c r="M11" s="711">
        <f t="shared" ref="M11:CR11" si="0">SUM(M3:M10)</f>
        <v>1</v>
      </c>
      <c r="N11" s="711">
        <f t="shared" si="0"/>
        <v>1</v>
      </c>
      <c r="O11" s="711">
        <f t="shared" si="0"/>
        <v>1</v>
      </c>
      <c r="P11" s="711">
        <f t="shared" ref="P11:AD11" si="1">SUM(P3:P10)</f>
        <v>1</v>
      </c>
      <c r="Q11" s="711">
        <f t="shared" si="1"/>
        <v>1</v>
      </c>
      <c r="R11" s="711">
        <f t="shared" ref="R11:T11" si="2">SUM(R3:R10)</f>
        <v>1</v>
      </c>
      <c r="S11" s="711">
        <f t="shared" si="2"/>
        <v>1</v>
      </c>
      <c r="T11" s="711">
        <f t="shared" si="2"/>
        <v>1</v>
      </c>
      <c r="U11" s="711">
        <f t="shared" si="1"/>
        <v>1</v>
      </c>
      <c r="V11" s="711">
        <f t="shared" si="1"/>
        <v>1</v>
      </c>
      <c r="W11" s="711">
        <f t="shared" si="1"/>
        <v>1</v>
      </c>
      <c r="X11" s="711">
        <f t="shared" si="1"/>
        <v>1</v>
      </c>
      <c r="Y11" s="711">
        <f t="shared" si="1"/>
        <v>1</v>
      </c>
      <c r="Z11" s="711">
        <f t="shared" si="1"/>
        <v>1</v>
      </c>
      <c r="AA11" s="711">
        <f t="shared" si="1"/>
        <v>1</v>
      </c>
      <c r="AB11" s="711">
        <f t="shared" si="1"/>
        <v>1</v>
      </c>
      <c r="AC11" s="711">
        <f t="shared" si="1"/>
        <v>1</v>
      </c>
      <c r="AD11" s="711">
        <f t="shared" si="1"/>
        <v>1</v>
      </c>
      <c r="AE11" s="711">
        <f t="shared" si="0"/>
        <v>1</v>
      </c>
      <c r="AF11" s="711">
        <f>SUM(AF3:AF10)</f>
        <v>1</v>
      </c>
      <c r="AG11" s="711">
        <f>SUM(AG3:AG10)</f>
        <v>1</v>
      </c>
      <c r="AH11" s="711">
        <f>SUM(AH3:AH10)</f>
        <v>1</v>
      </c>
      <c r="AI11" s="711">
        <f t="shared" si="0"/>
        <v>1</v>
      </c>
      <c r="AJ11" s="711">
        <f t="shared" si="0"/>
        <v>1</v>
      </c>
      <c r="AK11" s="711">
        <f t="shared" si="0"/>
        <v>1</v>
      </c>
      <c r="AL11" s="711">
        <f t="shared" si="0"/>
        <v>1</v>
      </c>
      <c r="AM11" s="711">
        <f>SUM(AM3:AM10)</f>
        <v>1</v>
      </c>
      <c r="AN11" s="711">
        <f>SUM(AN3:AN10)</f>
        <v>1</v>
      </c>
      <c r="AO11" s="711">
        <f>SUM(AO3:AO10)</f>
        <v>1</v>
      </c>
      <c r="AP11" s="711">
        <f>SUM(AP3:AP10)</f>
        <v>1</v>
      </c>
      <c r="AQ11" s="711">
        <f t="shared" si="0"/>
        <v>1</v>
      </c>
      <c r="AR11" s="712">
        <f t="shared" si="0"/>
        <v>1</v>
      </c>
      <c r="AS11" s="712">
        <f t="shared" si="0"/>
        <v>1</v>
      </c>
      <c r="AT11" s="712">
        <f t="shared" si="0"/>
        <v>1</v>
      </c>
      <c r="AU11" s="712">
        <f t="shared" si="0"/>
        <v>1</v>
      </c>
      <c r="AV11" s="712">
        <f>SUM(AV3:AV10)</f>
        <v>1</v>
      </c>
      <c r="AW11" s="712">
        <f t="shared" si="0"/>
        <v>1</v>
      </c>
      <c r="AX11" s="712">
        <f t="shared" si="0"/>
        <v>1</v>
      </c>
      <c r="AY11" s="712">
        <f t="shared" si="0"/>
        <v>1</v>
      </c>
      <c r="AZ11" s="712">
        <f t="shared" si="0"/>
        <v>1</v>
      </c>
      <c r="BA11" s="712">
        <f t="shared" si="0"/>
        <v>1</v>
      </c>
      <c r="BB11" s="712">
        <f t="shared" si="0"/>
        <v>1</v>
      </c>
      <c r="BC11" s="712">
        <f t="shared" si="0"/>
        <v>1</v>
      </c>
      <c r="BD11" s="712">
        <f t="shared" si="0"/>
        <v>1</v>
      </c>
      <c r="BE11" s="712">
        <f t="shared" si="0"/>
        <v>1</v>
      </c>
      <c r="BF11" s="712">
        <f t="shared" si="0"/>
        <v>1</v>
      </c>
      <c r="BG11" s="712">
        <f t="shared" si="0"/>
        <v>1</v>
      </c>
      <c r="BH11" s="712">
        <f t="shared" si="0"/>
        <v>1</v>
      </c>
      <c r="BI11" s="712">
        <f t="shared" si="0"/>
        <v>1</v>
      </c>
      <c r="BJ11" s="712">
        <f t="shared" si="0"/>
        <v>1</v>
      </c>
      <c r="BK11" s="712">
        <f t="shared" si="0"/>
        <v>1</v>
      </c>
      <c r="BL11" s="712">
        <f t="shared" si="0"/>
        <v>1</v>
      </c>
      <c r="BM11" s="712">
        <f t="shared" si="0"/>
        <v>1</v>
      </c>
      <c r="BN11" s="712">
        <f>SUM(BN3:BN10)</f>
        <v>1</v>
      </c>
      <c r="BO11" s="712">
        <f>SUM(BO3:BO10)</f>
        <v>1</v>
      </c>
      <c r="BP11" s="712">
        <f>SUM(BP3:BP10)</f>
        <v>1</v>
      </c>
      <c r="BQ11" s="712">
        <f>SUM(BQ3:BQ10)</f>
        <v>1</v>
      </c>
      <c r="BR11" s="712">
        <f t="shared" si="0"/>
        <v>1</v>
      </c>
      <c r="BS11" s="712">
        <f t="shared" si="0"/>
        <v>1</v>
      </c>
      <c r="BT11" s="712">
        <f t="shared" si="0"/>
        <v>1</v>
      </c>
      <c r="BU11" s="712">
        <f t="shared" si="0"/>
        <v>1</v>
      </c>
      <c r="BV11" s="712">
        <f t="shared" si="0"/>
        <v>1</v>
      </c>
      <c r="BW11" s="712">
        <f t="shared" si="0"/>
        <v>1</v>
      </c>
      <c r="BX11" s="712">
        <f>SUM(BX3:BX10)</f>
        <v>1</v>
      </c>
      <c r="BY11" s="712">
        <f>SUM(BY3:BY10)</f>
        <v>1</v>
      </c>
      <c r="BZ11" s="712">
        <f t="shared" si="0"/>
        <v>1</v>
      </c>
      <c r="CA11" s="712">
        <f t="shared" si="0"/>
        <v>1</v>
      </c>
      <c r="CB11" s="712">
        <f t="shared" si="0"/>
        <v>1</v>
      </c>
      <c r="CC11" s="712">
        <f t="shared" ref="CC11" si="3">SUM(CC3:CC10)</f>
        <v>1</v>
      </c>
      <c r="CD11" s="712">
        <f t="shared" si="0"/>
        <v>1</v>
      </c>
      <c r="CE11" s="712">
        <f t="shared" ref="CE11:CK11" si="4">SUM(CE3:CE10)</f>
        <v>1</v>
      </c>
      <c r="CF11" s="712">
        <f t="shared" si="4"/>
        <v>1</v>
      </c>
      <c r="CG11" s="712">
        <f t="shared" si="4"/>
        <v>1</v>
      </c>
      <c r="CH11" s="712">
        <f>SUM(CH3:CH10)</f>
        <v>1</v>
      </c>
      <c r="CI11" s="712">
        <f>SUM(CI3:CI10)</f>
        <v>1</v>
      </c>
      <c r="CJ11" s="712">
        <f t="shared" si="4"/>
        <v>1</v>
      </c>
      <c r="CK11" s="712">
        <f t="shared" si="4"/>
        <v>1</v>
      </c>
      <c r="CL11" s="712">
        <f>SUM(CL3:CL10)</f>
        <v>1</v>
      </c>
      <c r="CM11" s="712">
        <f t="shared" si="0"/>
        <v>1</v>
      </c>
      <c r="CN11" s="712">
        <f t="shared" si="0"/>
        <v>1</v>
      </c>
      <c r="CO11" s="712">
        <f t="shared" si="0"/>
        <v>1</v>
      </c>
      <c r="CP11" s="712">
        <f t="shared" si="0"/>
        <v>1</v>
      </c>
      <c r="CQ11" s="712">
        <f t="shared" si="0"/>
        <v>0</v>
      </c>
      <c r="CR11" s="712">
        <f t="shared" si="0"/>
        <v>0</v>
      </c>
      <c r="CS11" s="703"/>
      <c r="DJ11" s="137"/>
      <c r="DK11" s="137"/>
      <c r="DL11" s="137"/>
      <c r="DM11" s="137"/>
      <c r="DN11" s="137"/>
      <c r="DO11" s="137"/>
      <c r="ED11" s="710"/>
      <c r="EM11" s="2"/>
    </row>
    <row r="12" spans="1:149" ht="9" customHeight="1">
      <c r="A12" s="63"/>
      <c r="B12" s="63"/>
      <c r="C12" s="713"/>
      <c r="E12" s="10"/>
      <c r="F12" s="134"/>
      <c r="G12" s="10"/>
      <c r="H12" s="60"/>
      <c r="I12" s="130"/>
      <c r="J12" s="130"/>
      <c r="K12" s="130"/>
      <c r="L12" s="149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0"/>
      <c r="AF12" s="150"/>
      <c r="AG12" s="150"/>
      <c r="AH12" s="150"/>
      <c r="AI12" s="150"/>
      <c r="AJ12" s="150"/>
      <c r="AK12" s="150"/>
      <c r="AL12" s="150"/>
      <c r="AM12" s="150"/>
      <c r="AN12" s="150"/>
      <c r="AO12" s="150"/>
      <c r="AP12" s="150"/>
      <c r="AQ12" s="151"/>
      <c r="AR12" s="151"/>
      <c r="AS12" s="151"/>
      <c r="AT12" s="151"/>
      <c r="AU12" s="151"/>
      <c r="AV12" s="151"/>
      <c r="AW12" s="151"/>
      <c r="AX12" s="151"/>
      <c r="AY12" s="151"/>
      <c r="AZ12" s="151"/>
      <c r="BA12" s="151"/>
      <c r="BB12" s="151"/>
      <c r="BC12" s="151"/>
      <c r="BD12" s="151"/>
      <c r="BE12" s="151"/>
      <c r="BF12" s="151"/>
      <c r="BG12" s="151"/>
      <c r="BH12" s="151"/>
      <c r="BI12" s="151"/>
      <c r="BJ12" s="151"/>
      <c r="BK12" s="151"/>
      <c r="BL12" s="151"/>
      <c r="BM12" s="151"/>
      <c r="BN12" s="151"/>
      <c r="BO12" s="151"/>
      <c r="BP12" s="151"/>
      <c r="BQ12" s="151"/>
      <c r="BR12" s="151"/>
      <c r="BS12" s="151"/>
      <c r="BT12" s="151"/>
      <c r="BU12" s="151"/>
      <c r="BV12" s="151"/>
      <c r="BW12" s="151"/>
      <c r="BX12" s="151"/>
      <c r="BY12" s="151"/>
      <c r="BZ12" s="151"/>
      <c r="CA12" s="151"/>
      <c r="CB12" s="151"/>
      <c r="CC12" s="151"/>
      <c r="CD12" s="151"/>
      <c r="CE12" s="151"/>
      <c r="CF12" s="151"/>
      <c r="CG12" s="151"/>
      <c r="CH12" s="151"/>
      <c r="CI12" s="151"/>
      <c r="CJ12" s="151"/>
      <c r="CK12" s="151"/>
      <c r="CL12" s="151"/>
      <c r="CM12" s="151"/>
      <c r="CN12" s="151"/>
      <c r="CO12" s="151"/>
      <c r="CP12" s="151"/>
      <c r="CQ12" s="150"/>
      <c r="CR12" s="150"/>
      <c r="CS12" s="114"/>
      <c r="CT12" s="114"/>
      <c r="CU12" s="114"/>
      <c r="CV12" s="114"/>
      <c r="CW12" s="114"/>
      <c r="CX12" s="114"/>
      <c r="CY12" s="114"/>
      <c r="CZ12" s="114"/>
      <c r="DA12" s="114"/>
      <c r="DB12" s="114"/>
      <c r="DC12" s="114"/>
      <c r="DD12" s="114"/>
      <c r="DE12" s="114"/>
      <c r="DF12" s="114"/>
      <c r="DG12" s="114"/>
      <c r="DH12" s="114"/>
      <c r="DI12" s="114"/>
      <c r="DJ12" s="152"/>
      <c r="DK12" s="152"/>
      <c r="DL12" s="152"/>
      <c r="DM12" s="152"/>
      <c r="DN12" s="152"/>
      <c r="DO12" s="152"/>
      <c r="DP12" s="114"/>
      <c r="DQ12" s="114"/>
      <c r="DR12" s="114"/>
      <c r="DS12" s="114"/>
      <c r="DT12" s="114"/>
      <c r="DU12" s="114"/>
      <c r="DV12" s="114"/>
      <c r="DW12" s="114"/>
      <c r="DX12" s="114"/>
      <c r="DY12" s="114"/>
      <c r="EK12" s="714"/>
      <c r="EM12" s="60"/>
    </row>
    <row r="13" spans="1:149">
      <c r="A13" s="63"/>
      <c r="B13" s="63"/>
      <c r="C13" s="713"/>
      <c r="E13" s="10"/>
      <c r="F13" s="134"/>
      <c r="G13" s="10"/>
      <c r="H13" s="60"/>
      <c r="I13" s="130"/>
      <c r="J13" s="130"/>
      <c r="K13" s="127"/>
      <c r="L13" s="119" t="s">
        <v>171</v>
      </c>
      <c r="M13" s="715">
        <f>'Offshore CF'!O14</f>
        <v>4</v>
      </c>
      <c r="N13" s="715">
        <f>'Offshore CF'!P14</f>
        <v>4</v>
      </c>
      <c r="O13" s="715">
        <f>'Offshore CF'!Q14</f>
        <v>4</v>
      </c>
      <c r="P13" s="715">
        <f>'Offshore CF'!R14</f>
        <v>4</v>
      </c>
      <c r="Q13" s="715">
        <f>'Offshore CF'!S14</f>
        <v>4</v>
      </c>
      <c r="R13" s="715">
        <f>'Offshore CF'!T14</f>
        <v>4</v>
      </c>
      <c r="S13" s="715">
        <f>'Offshore CF'!U14</f>
        <v>4</v>
      </c>
      <c r="T13" s="715">
        <f>'Offshore CF'!V14</f>
        <v>4</v>
      </c>
      <c r="U13" s="715">
        <f>'Offshore CF'!W14</f>
        <v>4</v>
      </c>
      <c r="V13" s="715">
        <f>'Offshore CF'!X14</f>
        <v>4</v>
      </c>
      <c r="W13" s="715">
        <f>'Offshore CF'!Y14</f>
        <v>4</v>
      </c>
      <c r="X13" s="715">
        <f>'Offshore CF'!Z14</f>
        <v>4</v>
      </c>
      <c r="Y13" s="715">
        <f>'Offshore CF'!AA14</f>
        <v>3</v>
      </c>
      <c r="Z13" s="715">
        <f>'Offshore CF'!AB14</f>
        <v>3</v>
      </c>
      <c r="AA13" s="715">
        <f>'Offshore CF'!AC14</f>
        <v>3</v>
      </c>
      <c r="AB13" s="715">
        <f>'Offshore CF'!AD14</f>
        <v>6</v>
      </c>
      <c r="AC13" s="715">
        <f>'Offshore CF'!AE14</f>
        <v>6</v>
      </c>
      <c r="AD13" s="715">
        <f>'Offshore CF'!AF14</f>
        <v>6</v>
      </c>
      <c r="AE13" s="715">
        <f>'Offshore CF'!AG14</f>
        <v>6</v>
      </c>
      <c r="AF13" s="715">
        <f>'Offshore CF'!AH14</f>
        <v>6</v>
      </c>
      <c r="AG13" s="715">
        <f>'Offshore CF'!AI14</f>
        <v>6</v>
      </c>
      <c r="AH13" s="715">
        <f>'Offshore CF'!AJ14</f>
        <v>6</v>
      </c>
      <c r="AI13" s="715">
        <f>'Offshore CF'!AK14</f>
        <v>6</v>
      </c>
      <c r="AJ13" s="715">
        <f>'Offshore CF'!AL14</f>
        <v>6</v>
      </c>
      <c r="AK13" s="715">
        <f>'Offshore CF'!AM14</f>
        <v>6</v>
      </c>
      <c r="AL13" s="715">
        <f>'Offshore CF'!AN14</f>
        <v>6</v>
      </c>
      <c r="AM13" s="715">
        <f>'Offshore CF'!AO14</f>
        <v>6</v>
      </c>
      <c r="AN13" s="715">
        <f>'Offshore CF'!AP14</f>
        <v>6</v>
      </c>
      <c r="AO13" s="715">
        <f>'Offshore CF'!AQ14</f>
        <v>6</v>
      </c>
      <c r="AP13" s="715">
        <f>'Offshore CF'!AR14</f>
        <v>6</v>
      </c>
      <c r="AQ13" s="715">
        <f>'Offshore CF'!AS14</f>
        <v>7</v>
      </c>
      <c r="AR13" s="715">
        <f>'Offshore CF'!AT14</f>
        <v>7</v>
      </c>
      <c r="AS13" s="715">
        <f>'Offshore CF'!AU14</f>
        <v>7</v>
      </c>
      <c r="AT13" s="715">
        <f>'Offshore CF'!AV14</f>
        <v>7</v>
      </c>
      <c r="AU13" s="715">
        <f>'Offshore CF'!AW14</f>
        <v>7</v>
      </c>
      <c r="AV13" s="715">
        <f>'Offshore CF'!AX14</f>
        <v>7</v>
      </c>
      <c r="AW13" s="715">
        <f>'Offshore CF'!AY14</f>
        <v>6</v>
      </c>
      <c r="AX13" s="715">
        <f>'Offshore CF'!AZ14</f>
        <v>6</v>
      </c>
      <c r="AY13" s="715">
        <f>'Offshore CF'!BA14</f>
        <v>6</v>
      </c>
      <c r="AZ13" s="715">
        <f>'Offshore CF'!BB14</f>
        <v>6</v>
      </c>
      <c r="BA13" s="715">
        <f>'Offshore CF'!BC14</f>
        <v>6</v>
      </c>
      <c r="BB13" s="715">
        <f>'Offshore CF'!BD13</f>
        <v>7</v>
      </c>
      <c r="BC13" s="715">
        <f>'Offshore CF'!BE13</f>
        <v>9</v>
      </c>
      <c r="BD13" s="715">
        <f>'Offshore CF'!BF13</f>
        <v>10</v>
      </c>
      <c r="BE13" s="715">
        <f>'Offshore CF'!BG13</f>
        <v>7</v>
      </c>
      <c r="BF13" s="715">
        <f>'Offshore CF'!BH13</f>
        <v>13</v>
      </c>
      <c r="BG13" s="715">
        <f>'Offshore CF'!BI13</f>
        <v>10</v>
      </c>
      <c r="BH13" s="715">
        <f>'Offshore CF'!BJ13</f>
        <v>10</v>
      </c>
      <c r="BI13" s="715">
        <f>'Offshore CF'!BK13</f>
        <v>13</v>
      </c>
      <c r="BJ13" s="715">
        <f>'Offshore CF'!BL13</f>
        <v>11</v>
      </c>
      <c r="BK13" s="715">
        <f>'Offshore CF'!BM13</f>
        <v>11</v>
      </c>
      <c r="BL13" s="715">
        <f>'Offshore CF'!BN13</f>
        <v>7</v>
      </c>
      <c r="BM13" s="715">
        <f>'Offshore CF'!BO13</f>
        <v>7</v>
      </c>
      <c r="BN13" s="715">
        <f>'Offshore CF'!BP13</f>
        <v>10</v>
      </c>
      <c r="BO13" s="715">
        <f>'Offshore CF'!BQ13</f>
        <v>13</v>
      </c>
      <c r="BP13" s="715">
        <f>'Offshore CF'!BR13</f>
        <v>13</v>
      </c>
      <c r="BQ13" s="715">
        <f>'Offshore CF'!BS13</f>
        <v>10</v>
      </c>
      <c r="BR13" s="715">
        <f>'Offshore CF'!BT13</f>
        <v>10</v>
      </c>
      <c r="BS13" s="715">
        <f>'Offshore CF'!BU13</f>
        <v>10</v>
      </c>
      <c r="BT13" s="715">
        <f>'Offshore CF'!BV13</f>
        <v>13</v>
      </c>
      <c r="BU13" s="715">
        <f>'Offshore CF'!BW13</f>
        <v>13</v>
      </c>
      <c r="BV13" s="715">
        <f>'Offshore CF'!BX13</f>
        <v>0</v>
      </c>
      <c r="BW13" s="715">
        <f>'Offshore CF'!BY13</f>
        <v>10</v>
      </c>
      <c r="BX13" s="715">
        <f>'Offshore CF'!BZ13</f>
        <v>12</v>
      </c>
      <c r="BY13" s="715">
        <f>'Offshore CF'!CA13</f>
        <v>10</v>
      </c>
      <c r="BZ13" s="715">
        <f>'Offshore CF'!CB13</f>
        <v>7</v>
      </c>
      <c r="CA13" s="715">
        <f>'Offshore CF'!CC13</f>
        <v>0</v>
      </c>
      <c r="CB13" s="715">
        <f>'Offshore CF'!CD13</f>
        <v>7</v>
      </c>
      <c r="CC13" s="715">
        <f>'Offshore CF'!CE13</f>
        <v>7</v>
      </c>
      <c r="CD13" s="715">
        <f>'Offshore CF'!CF13</f>
        <v>11</v>
      </c>
      <c r="CE13" s="715">
        <f>'Offshore CF'!CG13</f>
        <v>14</v>
      </c>
      <c r="CF13" s="715">
        <f>'Offshore CF'!CH13</f>
        <v>10</v>
      </c>
      <c r="CG13" s="715">
        <f>'Offshore CF'!CI13</f>
        <v>11</v>
      </c>
      <c r="CH13" s="715">
        <f>'Offshore CF'!CJ13</f>
        <v>10</v>
      </c>
      <c r="CI13" s="715">
        <f>'Offshore CF'!CK13</f>
        <v>9</v>
      </c>
      <c r="CJ13" s="715">
        <f>'Offshore CF'!CL13</f>
        <v>7</v>
      </c>
      <c r="CK13" s="715">
        <f>'Offshore CF'!CM13</f>
        <v>7</v>
      </c>
      <c r="CL13" s="715">
        <f>'Offshore CF'!CN13</f>
        <v>10</v>
      </c>
      <c r="CM13" s="715">
        <f>'Offshore CF'!CO13</f>
        <v>12</v>
      </c>
      <c r="CN13" s="715">
        <f>'Offshore CF'!CP13</f>
        <v>10</v>
      </c>
      <c r="CO13" s="715">
        <f>'Offshore CF'!CQ13</f>
        <v>10</v>
      </c>
      <c r="CP13" s="715">
        <f>'Offshore CF'!CR13</f>
        <v>9</v>
      </c>
      <c r="CQ13" s="716"/>
      <c r="CR13" s="716"/>
      <c r="CS13" s="717" t="s">
        <v>172</v>
      </c>
      <c r="CT13" s="718">
        <f>'Offshore CF'!CV13</f>
        <v>4</v>
      </c>
      <c r="CU13" s="718">
        <f>'Offshore CF'!CW13</f>
        <v>5</v>
      </c>
      <c r="CV13" s="718">
        <f>'Offshore CF'!CX13</f>
        <v>6</v>
      </c>
      <c r="CW13" s="718">
        <f>'Offshore CF'!CY13</f>
        <v>4</v>
      </c>
      <c r="CX13" s="718">
        <f>'Offshore CF'!CZ13</f>
        <v>2</v>
      </c>
      <c r="CY13" s="718">
        <f>'Offshore CF'!DA13</f>
        <v>4</v>
      </c>
      <c r="CZ13" s="718">
        <f>'Offshore CF'!DB13</f>
        <v>2</v>
      </c>
      <c r="DA13" s="718">
        <f>'Offshore CF'!DC13</f>
        <v>3</v>
      </c>
      <c r="DB13" s="698"/>
      <c r="DC13" s="698"/>
      <c r="DD13" s="698"/>
      <c r="DE13" s="698"/>
      <c r="DF13" s="698"/>
      <c r="DG13" s="698"/>
      <c r="DH13" s="698"/>
      <c r="DI13" s="698"/>
      <c r="DP13" s="698"/>
      <c r="DQ13" s="698"/>
      <c r="DR13" s="698"/>
      <c r="DS13" s="698"/>
      <c r="DU13" s="698"/>
      <c r="DV13" s="698"/>
      <c r="DW13" s="698"/>
      <c r="DX13" s="698"/>
      <c r="DY13" s="698"/>
      <c r="DZ13" s="713"/>
      <c r="EA13" s="713"/>
      <c r="EB13" s="713"/>
      <c r="EC13" s="713"/>
      <c r="ED13" s="713"/>
      <c r="EE13" s="713"/>
      <c r="EF13" s="713"/>
      <c r="EG13" s="713"/>
      <c r="EH13" s="713"/>
      <c r="EI13" s="714"/>
      <c r="EJ13" s="714"/>
      <c r="EK13" s="714"/>
      <c r="EL13" s="713"/>
      <c r="EM13" s="713"/>
      <c r="EN13" s="713"/>
      <c r="EO13" s="713"/>
      <c r="EP13" s="713"/>
      <c r="EQ13" s="713"/>
      <c r="ER13" s="713"/>
      <c r="ES13" s="713"/>
    </row>
    <row r="14" spans="1:149" ht="14.25" customHeight="1">
      <c r="A14" s="110"/>
      <c r="C14" s="110"/>
      <c r="F14" s="110"/>
      <c r="G14" s="110"/>
      <c r="H14" s="110"/>
      <c r="I14" s="130"/>
      <c r="J14" s="130"/>
      <c r="K14" s="131"/>
      <c r="L14" s="119" t="s">
        <v>173</v>
      </c>
      <c r="M14" s="719">
        <f>'Offshore CF'!O15</f>
        <v>0</v>
      </c>
      <c r="N14" s="719">
        <f>'Offshore CF'!P15</f>
        <v>0</v>
      </c>
      <c r="O14" s="719">
        <f>'Offshore CF'!Q15</f>
        <v>0</v>
      </c>
      <c r="P14" s="719">
        <f>'Offshore CF'!R15</f>
        <v>0</v>
      </c>
      <c r="Q14" s="719">
        <f>'Offshore CF'!S15</f>
        <v>0</v>
      </c>
      <c r="R14" s="719">
        <f>'Offshore CF'!T15</f>
        <v>0</v>
      </c>
      <c r="S14" s="719">
        <f>'Offshore CF'!U15</f>
        <v>0</v>
      </c>
      <c r="T14" s="719">
        <f>'Offshore CF'!V15</f>
        <v>0</v>
      </c>
      <c r="U14" s="719">
        <f>'Offshore CF'!W15</f>
        <v>0</v>
      </c>
      <c r="V14" s="719">
        <f>'Offshore CF'!X15</f>
        <v>0</v>
      </c>
      <c r="W14" s="719">
        <f>'Offshore CF'!Y15</f>
        <v>0</v>
      </c>
      <c r="X14" s="719">
        <f>'Offshore CF'!Z15</f>
        <v>0</v>
      </c>
      <c r="Y14" s="719">
        <f>'Offshore CF'!AA15</f>
        <v>0</v>
      </c>
      <c r="Z14" s="719">
        <f>'Offshore CF'!AB15</f>
        <v>0</v>
      </c>
      <c r="AA14" s="719">
        <f>'Offshore CF'!AC15</f>
        <v>0</v>
      </c>
      <c r="AB14" s="719">
        <f>'Offshore CF'!AD15</f>
        <v>0</v>
      </c>
      <c r="AC14" s="719">
        <f>'Offshore CF'!AE15</f>
        <v>0</v>
      </c>
      <c r="AD14" s="719">
        <f>'Offshore CF'!AF15</f>
        <v>0</v>
      </c>
      <c r="AE14" s="719">
        <f>'Offshore CF'!AG15</f>
        <v>0</v>
      </c>
      <c r="AF14" s="719">
        <f>'Offshore CF'!AH15</f>
        <v>0</v>
      </c>
      <c r="AG14" s="719">
        <f>'Offshore CF'!AI15</f>
        <v>0</v>
      </c>
      <c r="AH14" s="719">
        <f>'Offshore CF'!AJ15</f>
        <v>0</v>
      </c>
      <c r="AI14" s="719">
        <f>'Offshore CF'!AK15</f>
        <v>0</v>
      </c>
      <c r="AJ14" s="719">
        <f>'Offshore CF'!AL15</f>
        <v>0</v>
      </c>
      <c r="AK14" s="719">
        <f>'Offshore CF'!AM15</f>
        <v>0</v>
      </c>
      <c r="AL14" s="719">
        <f>'Offshore CF'!AN15</f>
        <v>0</v>
      </c>
      <c r="AM14" s="719">
        <f>'Offshore CF'!AO15</f>
        <v>0</v>
      </c>
      <c r="AN14" s="719">
        <f>'Offshore CF'!AP15</f>
        <v>0</v>
      </c>
      <c r="AO14" s="719">
        <f>'Offshore CF'!AQ15</f>
        <v>0</v>
      </c>
      <c r="AP14" s="719">
        <f>'Offshore CF'!AR15</f>
        <v>0</v>
      </c>
      <c r="AQ14" s="719">
        <f>'Offshore CF'!AS15</f>
        <v>0</v>
      </c>
      <c r="AR14" s="719">
        <f>'Offshore CF'!AT15</f>
        <v>0</v>
      </c>
      <c r="AS14" s="719">
        <f>'Offshore CF'!AU15</f>
        <v>0</v>
      </c>
      <c r="AT14" s="719">
        <f>'Offshore CF'!AV15</f>
        <v>0</v>
      </c>
      <c r="AU14" s="719">
        <f>'Offshore CF'!AW15</f>
        <v>0</v>
      </c>
      <c r="AV14" s="719">
        <f>'Offshore CF'!AX15</f>
        <v>0</v>
      </c>
      <c r="AW14" s="719">
        <f>'Offshore CF'!AY15</f>
        <v>0</v>
      </c>
      <c r="AX14" s="719">
        <f>'Offshore CF'!AZ15</f>
        <v>0</v>
      </c>
      <c r="AY14" s="719">
        <f>'Offshore CF'!BA15</f>
        <v>0</v>
      </c>
      <c r="AZ14" s="719">
        <f>'Offshore CF'!BB15</f>
        <v>0</v>
      </c>
      <c r="BA14" s="719">
        <f>'Offshore CF'!BC15</f>
        <v>0</v>
      </c>
      <c r="BB14" s="719">
        <f>'Offshore CF'!BD14</f>
        <v>0</v>
      </c>
      <c r="BC14" s="719">
        <f>'Offshore CF'!BE14</f>
        <v>0</v>
      </c>
      <c r="BD14" s="719">
        <f>'Offshore CF'!BF14</f>
        <v>0</v>
      </c>
      <c r="BE14" s="719">
        <f>'Offshore CF'!BG14</f>
        <v>0</v>
      </c>
      <c r="BF14" s="719">
        <f>'Offshore CF'!BH14</f>
        <v>0</v>
      </c>
      <c r="BG14" s="719">
        <f>'Offshore CF'!BI14</f>
        <v>0</v>
      </c>
      <c r="BH14" s="719">
        <f>'Offshore CF'!BJ14</f>
        <v>0</v>
      </c>
      <c r="BI14" s="719">
        <f>'Offshore CF'!BK14</f>
        <v>0</v>
      </c>
      <c r="BJ14" s="719">
        <f>'Offshore CF'!BL14</f>
        <v>0</v>
      </c>
      <c r="BK14" s="719">
        <f>'Offshore CF'!BM14</f>
        <v>0</v>
      </c>
      <c r="BL14" s="719">
        <f>'Offshore CF'!BN14</f>
        <v>0</v>
      </c>
      <c r="BM14" s="719">
        <f>'Offshore CF'!BO14</f>
        <v>0</v>
      </c>
      <c r="BN14" s="719">
        <f>'Offshore CF'!BP14</f>
        <v>0</v>
      </c>
      <c r="BO14" s="719">
        <f>'Offshore CF'!BQ14</f>
        <v>0</v>
      </c>
      <c r="BP14" s="719">
        <f>'Offshore CF'!BR14</f>
        <v>0</v>
      </c>
      <c r="BQ14" s="719">
        <f>'Offshore CF'!BS14</f>
        <v>0</v>
      </c>
      <c r="BR14" s="719">
        <f>'Offshore CF'!BT14</f>
        <v>0</v>
      </c>
      <c r="BS14" s="719">
        <f>'Offshore CF'!BU14</f>
        <v>0</v>
      </c>
      <c r="BT14" s="719">
        <f>'Offshore CF'!BV14</f>
        <v>0</v>
      </c>
      <c r="BU14" s="719">
        <f>'Offshore CF'!BW14</f>
        <v>0</v>
      </c>
      <c r="BV14" s="719">
        <f>'Offshore CF'!BX14</f>
        <v>0</v>
      </c>
      <c r="BW14" s="719">
        <f>'Offshore CF'!BY14</f>
        <v>0</v>
      </c>
      <c r="BX14" s="719">
        <f>'Offshore CF'!BZ14</f>
        <v>0</v>
      </c>
      <c r="BY14" s="719">
        <f>'Offshore CF'!CA14</f>
        <v>0</v>
      </c>
      <c r="BZ14" s="719">
        <f>'Offshore CF'!CB14</f>
        <v>0</v>
      </c>
      <c r="CA14" s="719">
        <f>'Offshore CF'!CC14</f>
        <v>0</v>
      </c>
      <c r="CB14" s="719">
        <f>'Offshore CF'!CD14</f>
        <v>0</v>
      </c>
      <c r="CC14" s="719">
        <f>'Offshore CF'!CE14</f>
        <v>0</v>
      </c>
      <c r="CD14" s="719">
        <f>'Offshore CF'!CF14</f>
        <v>0</v>
      </c>
      <c r="CE14" s="719">
        <f>'Offshore CF'!CG14</f>
        <v>0</v>
      </c>
      <c r="CF14" s="719">
        <f>'Offshore CF'!CH14</f>
        <v>0</v>
      </c>
      <c r="CG14" s="719">
        <f>'Offshore CF'!CI14</f>
        <v>0</v>
      </c>
      <c r="CH14" s="719">
        <f>'Offshore CF'!CJ14</f>
        <v>0</v>
      </c>
      <c r="CI14" s="719">
        <f>'Offshore CF'!CK14</f>
        <v>0</v>
      </c>
      <c r="CJ14" s="719">
        <f>'Offshore CF'!CL14</f>
        <v>0</v>
      </c>
      <c r="CK14" s="719">
        <f>'Offshore CF'!CM14</f>
        <v>0</v>
      </c>
      <c r="CL14" s="719">
        <f>'Offshore CF'!CN14</f>
        <v>0</v>
      </c>
      <c r="CM14" s="719">
        <f>'Offshore CF'!CO14</f>
        <v>0</v>
      </c>
      <c r="CN14" s="719">
        <f>'Offshore CF'!CP14</f>
        <v>0</v>
      </c>
      <c r="CO14" s="719">
        <f>'Offshore CF'!CQ14</f>
        <v>0</v>
      </c>
      <c r="CP14" s="719">
        <f>'Offshore CF'!CR14</f>
        <v>16</v>
      </c>
      <c r="CQ14" s="720"/>
      <c r="CR14" s="721"/>
      <c r="CS14" s="722" t="s">
        <v>220</v>
      </c>
      <c r="CT14" s="698"/>
      <c r="CU14" s="698"/>
      <c r="CV14" s="698"/>
      <c r="CW14" s="698"/>
      <c r="CX14" s="698"/>
      <c r="CY14" s="698"/>
      <c r="CZ14" s="698"/>
      <c r="DA14" s="698"/>
      <c r="DZ14" s="713"/>
      <c r="EA14" s="713"/>
      <c r="EB14" s="713"/>
      <c r="EC14" s="713"/>
      <c r="ED14" s="723" t="s">
        <v>4</v>
      </c>
      <c r="EE14" s="713" t="s">
        <v>5</v>
      </c>
      <c r="EF14" s="713"/>
      <c r="EG14" s="713"/>
      <c r="EH14" s="713"/>
      <c r="EI14" s="714"/>
      <c r="EJ14" s="714"/>
      <c r="EK14" s="714"/>
      <c r="EL14" s="713"/>
      <c r="EM14" s="713"/>
      <c r="EN14" s="713"/>
      <c r="EO14" s="713"/>
      <c r="EP14" s="713"/>
      <c r="EQ14" s="713"/>
      <c r="ER14" s="713"/>
      <c r="ES14" s="713"/>
    </row>
    <row r="15" spans="1:149" ht="14.25" customHeight="1">
      <c r="A15" s="110"/>
      <c r="C15" s="110"/>
      <c r="F15" s="110"/>
      <c r="G15" s="110"/>
      <c r="H15" s="110"/>
      <c r="I15" s="130"/>
      <c r="J15" s="130"/>
      <c r="K15" s="131"/>
      <c r="L15" s="143" t="s">
        <v>231</v>
      </c>
      <c r="M15" s="715">
        <f>'Offshore CF'!O16</f>
        <v>12</v>
      </c>
      <c r="N15" s="715">
        <f>'Offshore CF'!P16</f>
        <v>12</v>
      </c>
      <c r="O15" s="715">
        <f>'Offshore CF'!Q16</f>
        <v>12</v>
      </c>
      <c r="P15" s="715">
        <f>'Offshore CF'!R16</f>
        <v>14</v>
      </c>
      <c r="Q15" s="715">
        <f>'Offshore CF'!S16</f>
        <v>14</v>
      </c>
      <c r="R15" s="715">
        <f>'Offshore CF'!T16</f>
        <v>14</v>
      </c>
      <c r="S15" s="715">
        <f>'Offshore CF'!U16</f>
        <v>14</v>
      </c>
      <c r="T15" s="715">
        <f>'Offshore CF'!V16</f>
        <v>14</v>
      </c>
      <c r="U15" s="715">
        <f>'Offshore CF'!W16</f>
        <v>14</v>
      </c>
      <c r="V15" s="715">
        <f>'Offshore CF'!X16</f>
        <v>14</v>
      </c>
      <c r="W15" s="715">
        <f>'Offshore CF'!Y16</f>
        <v>14</v>
      </c>
      <c r="X15" s="715">
        <f>'Offshore CF'!Z16</f>
        <v>14</v>
      </c>
      <c r="Y15" s="715">
        <f>'Offshore CF'!AA16</f>
        <v>11</v>
      </c>
      <c r="Z15" s="715">
        <f>'Offshore CF'!AB16</f>
        <v>11</v>
      </c>
      <c r="AA15" s="715">
        <f>'Offshore CF'!AC16</f>
        <v>11</v>
      </c>
      <c r="AB15" s="715">
        <f>'Offshore CF'!AD16</f>
        <v>16</v>
      </c>
      <c r="AC15" s="715">
        <f>'Offshore CF'!AE16</f>
        <v>16</v>
      </c>
      <c r="AD15" s="715">
        <f>'Offshore CF'!AF16</f>
        <v>16</v>
      </c>
      <c r="AE15" s="715">
        <f>'Offshore CF'!AG16</f>
        <v>16</v>
      </c>
      <c r="AF15" s="715">
        <f>'Offshore CF'!AH16</f>
        <v>16</v>
      </c>
      <c r="AG15" s="715">
        <f>'Offshore CF'!AI16</f>
        <v>16</v>
      </c>
      <c r="AH15" s="715">
        <f>'Offshore CF'!AJ16</f>
        <v>16</v>
      </c>
      <c r="AI15" s="715">
        <f>'Offshore CF'!AK16</f>
        <v>16</v>
      </c>
      <c r="AJ15" s="715">
        <f>'Offshore CF'!AL16</f>
        <v>16</v>
      </c>
      <c r="AK15" s="715">
        <f>'Offshore CF'!AM16</f>
        <v>16</v>
      </c>
      <c r="AL15" s="715">
        <f>'Offshore CF'!AN16</f>
        <v>16</v>
      </c>
      <c r="AM15" s="715">
        <f>'Offshore CF'!AO16</f>
        <v>16</v>
      </c>
      <c r="AN15" s="715">
        <f>'Offshore CF'!AP16</f>
        <v>16</v>
      </c>
      <c r="AO15" s="715">
        <f>'Offshore CF'!AQ16</f>
        <v>16</v>
      </c>
      <c r="AP15" s="715">
        <f>'Offshore CF'!AR16</f>
        <v>16</v>
      </c>
      <c r="AQ15" s="715">
        <f>'Offshore CF'!AS16</f>
        <v>16</v>
      </c>
      <c r="AR15" s="715">
        <f>'Offshore CF'!AT16</f>
        <v>16</v>
      </c>
      <c r="AS15" s="715">
        <f>'Offshore CF'!AU16</f>
        <v>16</v>
      </c>
      <c r="AT15" s="715">
        <f>'Offshore CF'!AV16</f>
        <v>16</v>
      </c>
      <c r="AU15" s="715">
        <f>'Offshore CF'!AW16</f>
        <v>16</v>
      </c>
      <c r="AV15" s="715">
        <f>'Offshore CF'!AX16</f>
        <v>16</v>
      </c>
      <c r="AW15" s="715">
        <f>'Offshore CF'!AY16</f>
        <v>16</v>
      </c>
      <c r="AX15" s="715">
        <f>'Offshore CF'!AZ16</f>
        <v>16</v>
      </c>
      <c r="AY15" s="715">
        <f>'Offshore CF'!BA16</f>
        <v>16</v>
      </c>
      <c r="AZ15" s="715">
        <f>'Offshore CF'!BB16</f>
        <v>16</v>
      </c>
      <c r="BA15" s="715">
        <f>'Offshore CF'!BC16</f>
        <v>16</v>
      </c>
      <c r="BB15" s="715">
        <f>'Offshore CF'!BD15</f>
        <v>12</v>
      </c>
      <c r="BC15" s="715">
        <f>'Offshore CF'!BE15</f>
        <v>16</v>
      </c>
      <c r="BD15" s="715">
        <f>'Offshore CF'!BF15</f>
        <v>17</v>
      </c>
      <c r="BE15" s="715">
        <f>'Offshore CF'!BG15</f>
        <v>16</v>
      </c>
      <c r="BF15" s="715">
        <f>'Offshore CF'!BH15</f>
        <v>21</v>
      </c>
      <c r="BG15" s="715">
        <f>'Offshore CF'!BI15</f>
        <v>15</v>
      </c>
      <c r="BH15" s="715">
        <f>'Offshore CF'!BJ15</f>
        <v>15</v>
      </c>
      <c r="BI15" s="715">
        <f>'Offshore CF'!BK15</f>
        <v>21</v>
      </c>
      <c r="BJ15" s="715">
        <f>'Offshore CF'!BL15</f>
        <v>17</v>
      </c>
      <c r="BK15" s="715">
        <f>'Offshore CF'!BM15</f>
        <v>17</v>
      </c>
      <c r="BL15" s="715">
        <f>'Offshore CF'!BN15</f>
        <v>21</v>
      </c>
      <c r="BM15" s="715">
        <f>'Offshore CF'!BO15</f>
        <v>21</v>
      </c>
      <c r="BN15" s="715">
        <f>'Offshore CF'!BP15</f>
        <v>21</v>
      </c>
      <c r="BO15" s="715">
        <f>'Offshore CF'!BQ15</f>
        <v>21</v>
      </c>
      <c r="BP15" s="715">
        <f>'Offshore CF'!BR15</f>
        <v>21</v>
      </c>
      <c r="BQ15" s="715">
        <f>'Offshore CF'!BS15</f>
        <v>21</v>
      </c>
      <c r="BR15" s="715">
        <f>'Offshore CF'!BT15</f>
        <v>21</v>
      </c>
      <c r="BS15" s="715">
        <f>'Offshore CF'!BU15</f>
        <v>20</v>
      </c>
      <c r="BT15" s="715">
        <f>'Offshore CF'!BV15</f>
        <v>15</v>
      </c>
      <c r="BU15" s="715">
        <f>'Offshore CF'!BW15</f>
        <v>21</v>
      </c>
      <c r="BV15" s="715">
        <f>'Offshore CF'!BX15</f>
        <v>0</v>
      </c>
      <c r="BW15" s="715">
        <f>'Offshore CF'!BY15</f>
        <v>21</v>
      </c>
      <c r="BX15" s="715">
        <f>'Offshore CF'!BZ15</f>
        <v>17</v>
      </c>
      <c r="BY15" s="715">
        <f>'Offshore CF'!CA15</f>
        <v>21</v>
      </c>
      <c r="BZ15" s="715">
        <f>'Offshore CF'!CB15</f>
        <v>21</v>
      </c>
      <c r="CA15" s="715">
        <f>'Offshore CF'!CC15</f>
        <v>0</v>
      </c>
      <c r="CB15" s="715">
        <f>'Offshore CF'!CD15</f>
        <v>12</v>
      </c>
      <c r="CC15" s="715">
        <f>'Offshore CF'!CE15</f>
        <v>11</v>
      </c>
      <c r="CD15" s="715">
        <f>'Offshore CF'!CF15</f>
        <v>17</v>
      </c>
      <c r="CE15" s="715">
        <f>'Offshore CF'!CG15</f>
        <v>21</v>
      </c>
      <c r="CF15" s="715">
        <f>'Offshore CF'!CH15</f>
        <v>21</v>
      </c>
      <c r="CG15" s="715">
        <f>'Offshore CF'!CI15</f>
        <v>17</v>
      </c>
      <c r="CH15" s="715">
        <f>'Offshore CF'!CJ15</f>
        <v>21</v>
      </c>
      <c r="CI15" s="715">
        <f>'Offshore CF'!CK15</f>
        <v>16</v>
      </c>
      <c r="CJ15" s="715">
        <f>'Offshore CF'!CL15</f>
        <v>21</v>
      </c>
      <c r="CK15" s="715">
        <f>'Offshore CF'!CM15</f>
        <v>21</v>
      </c>
      <c r="CL15" s="715">
        <f>'Offshore CF'!CN15</f>
        <v>21</v>
      </c>
      <c r="CM15" s="715">
        <f>'Offshore CF'!CO15</f>
        <v>17</v>
      </c>
      <c r="CN15" s="715">
        <f>'Offshore CF'!CP15</f>
        <v>21</v>
      </c>
      <c r="CO15" s="715">
        <f>'Offshore CF'!CQ15</f>
        <v>21</v>
      </c>
      <c r="CP15" s="715">
        <f>'Offshore CF'!CR15</f>
        <v>17</v>
      </c>
      <c r="CQ15" s="724"/>
      <c r="CR15" s="716"/>
      <c r="CS15" s="722" t="s">
        <v>6</v>
      </c>
      <c r="CT15" s="698"/>
      <c r="CU15" s="698"/>
      <c r="CV15" s="698"/>
      <c r="CW15" s="698"/>
      <c r="CX15" s="698"/>
      <c r="CY15" s="698"/>
      <c r="CZ15" s="698"/>
      <c r="DA15" s="698"/>
      <c r="DB15" s="698">
        <f>'Offshore CF'!DD15</f>
        <v>8</v>
      </c>
      <c r="DC15" s="698">
        <f>'Offshore CF'!DE15</f>
        <v>10</v>
      </c>
      <c r="DD15" s="698">
        <f>'Offshore CF'!DF15</f>
        <v>10</v>
      </c>
      <c r="DE15" s="698">
        <f>'Offshore CF'!DG15</f>
        <v>10</v>
      </c>
      <c r="DF15" s="698">
        <f>'Offshore CF'!DH15</f>
        <v>10</v>
      </c>
      <c r="DG15" s="698">
        <f>'Offshore CF'!DI15</f>
        <v>12</v>
      </c>
      <c r="DH15" s="698">
        <f>'Offshore CF'!DJ15</f>
        <v>12</v>
      </c>
      <c r="DI15" s="698">
        <f>'Offshore CF'!DK15</f>
        <v>12</v>
      </c>
      <c r="DJ15" s="698">
        <f>'Offshore CF'!DL15</f>
        <v>12</v>
      </c>
      <c r="DK15" s="698">
        <f>'Offshore CF'!DM15</f>
        <v>12</v>
      </c>
      <c r="DL15" s="698">
        <f>'Offshore CF'!DN15</f>
        <v>12</v>
      </c>
      <c r="DM15" s="698">
        <f>'Offshore CF'!DO15</f>
        <v>0</v>
      </c>
      <c r="DN15" s="698">
        <f>'Offshore CF'!DP15</f>
        <v>10</v>
      </c>
      <c r="DO15" s="698">
        <f>'Offshore CF'!DQ15</f>
        <v>10</v>
      </c>
      <c r="DP15" s="698">
        <f>'Offshore CF'!DR15</f>
        <v>1</v>
      </c>
      <c r="DQ15" s="698">
        <f>'Offshore CF'!DS15</f>
        <v>1</v>
      </c>
      <c r="DR15" s="698">
        <f>'Offshore CF'!DT15</f>
        <v>1</v>
      </c>
      <c r="DS15" s="698">
        <f>'Offshore CF'!DU15</f>
        <v>4</v>
      </c>
      <c r="DT15" s="698">
        <f>'Offshore CF'!DV15</f>
        <v>8</v>
      </c>
      <c r="DU15" s="698">
        <f>'Offshore CF'!DW15</f>
        <v>1</v>
      </c>
      <c r="DV15" s="698">
        <f>'Offshore CF'!DX15</f>
        <v>10</v>
      </c>
      <c r="DW15" s="698">
        <f>'Offshore CF'!DY15</f>
        <v>0</v>
      </c>
      <c r="DX15" s="698">
        <f>'Offshore CF'!DZ15</f>
        <v>0</v>
      </c>
      <c r="DY15" s="698">
        <f>'Offshore CF'!EA15</f>
        <v>1</v>
      </c>
      <c r="DZ15" s="713"/>
      <c r="EA15" s="713"/>
      <c r="EB15" s="713"/>
      <c r="EC15" s="713"/>
      <c r="EE15" s="713" t="s">
        <v>142</v>
      </c>
      <c r="EF15" s="713"/>
      <c r="EG15" s="713"/>
      <c r="EH15" s="713"/>
      <c r="EI15" s="714"/>
      <c r="EJ15" s="168">
        <v>1</v>
      </c>
      <c r="EK15" s="714"/>
      <c r="EL15" s="713"/>
      <c r="EM15" s="713"/>
      <c r="EN15" s="713"/>
      <c r="EO15" s="713"/>
      <c r="EP15" s="713"/>
      <c r="EQ15" s="713"/>
      <c r="ER15" s="713"/>
      <c r="ES15" s="713"/>
    </row>
    <row r="16" spans="1:149" ht="14.25" customHeight="1">
      <c r="A16" s="10"/>
      <c r="B16" s="60"/>
      <c r="G16" s="10"/>
      <c r="H16" s="135"/>
      <c r="I16" s="130"/>
      <c r="J16" s="130"/>
      <c r="K16" s="131"/>
      <c r="L16" s="143" t="s">
        <v>233</v>
      </c>
      <c r="M16" s="719"/>
      <c r="N16" s="719"/>
      <c r="O16" s="719"/>
      <c r="P16" s="719"/>
      <c r="Q16" s="719"/>
      <c r="R16" s="719"/>
      <c r="S16" s="719"/>
      <c r="T16" s="719"/>
      <c r="U16" s="719"/>
      <c r="V16" s="719"/>
      <c r="W16" s="719"/>
      <c r="X16" s="719"/>
      <c r="Y16" s="719"/>
      <c r="Z16" s="719"/>
      <c r="AA16" s="719"/>
      <c r="AB16" s="719"/>
      <c r="AC16" s="719"/>
      <c r="AD16" s="719"/>
      <c r="AE16" s="719"/>
      <c r="AF16" s="719"/>
      <c r="AG16" s="719"/>
      <c r="AH16" s="719"/>
      <c r="AI16" s="719"/>
      <c r="AJ16" s="719"/>
      <c r="AK16" s="719"/>
      <c r="AL16" s="719"/>
      <c r="AM16" s="719"/>
      <c r="AN16" s="719"/>
      <c r="AO16" s="719"/>
      <c r="AP16" s="719"/>
      <c r="AQ16" s="719"/>
      <c r="AR16" s="719"/>
      <c r="AS16" s="719"/>
      <c r="AT16" s="719"/>
      <c r="AU16" s="719"/>
      <c r="AV16" s="719"/>
      <c r="AW16" s="719"/>
      <c r="AX16" s="719"/>
      <c r="AY16" s="719"/>
      <c r="AZ16" s="719"/>
      <c r="BA16" s="719"/>
      <c r="BB16" s="719"/>
      <c r="BC16" s="719"/>
      <c r="BD16" s="719"/>
      <c r="BE16" s="719"/>
      <c r="BF16" s="719"/>
      <c r="BG16" s="719"/>
      <c r="BH16" s="719"/>
      <c r="BI16" s="719"/>
      <c r="BJ16" s="719"/>
      <c r="BK16" s="719"/>
      <c r="BL16" s="719"/>
      <c r="BM16" s="719"/>
      <c r="BN16" s="719"/>
      <c r="BO16" s="719"/>
      <c r="BP16" s="719"/>
      <c r="BQ16" s="719"/>
      <c r="BR16" s="719"/>
      <c r="BS16" s="719"/>
      <c r="BT16" s="719"/>
      <c r="BU16" s="719"/>
      <c r="BV16" s="719"/>
      <c r="BW16" s="719"/>
      <c r="BX16" s="719"/>
      <c r="BY16" s="719"/>
      <c r="BZ16" s="719"/>
      <c r="CA16" s="719"/>
      <c r="CB16" s="719"/>
      <c r="CC16" s="719"/>
      <c r="CD16" s="719"/>
      <c r="CE16" s="719"/>
      <c r="CF16" s="719"/>
      <c r="CG16" s="719"/>
      <c r="CH16" s="719"/>
      <c r="CI16" s="719"/>
      <c r="CJ16" s="719"/>
      <c r="CK16" s="719"/>
      <c r="CL16" s="719"/>
      <c r="CM16" s="719"/>
      <c r="CN16" s="719"/>
      <c r="CO16" s="719"/>
      <c r="CP16" s="719"/>
      <c r="CQ16" s="720"/>
      <c r="CR16" s="721"/>
      <c r="CS16" s="722" t="s">
        <v>143</v>
      </c>
      <c r="CT16" s="698"/>
      <c r="CU16" s="698"/>
      <c r="CV16" s="698"/>
      <c r="CW16" s="698"/>
      <c r="CX16" s="698"/>
      <c r="CY16" s="698"/>
      <c r="CZ16" s="698"/>
      <c r="DA16" s="698"/>
      <c r="DB16" s="698">
        <f>IF(DB22=0,1,'Offshore CF'!DD16)</f>
        <v>1</v>
      </c>
      <c r="DC16" s="698">
        <f>IF(DC22=0,1,'Offshore CF'!DE16)</f>
        <v>1</v>
      </c>
      <c r="DD16" s="698">
        <f>IF(DD22=0,1,'Offshore CF'!DF16)</f>
        <v>1</v>
      </c>
      <c r="DE16" s="698">
        <f>IF(DE22=0,1,'Offshore CF'!DG16)</f>
        <v>1</v>
      </c>
      <c r="DF16" s="698">
        <f>IF(DF22=0,1,'Offshore CF'!DH16)</f>
        <v>1</v>
      </c>
      <c r="DG16" s="698">
        <f>IF(DG22=0,1,'Offshore CF'!DI16)</f>
        <v>1</v>
      </c>
      <c r="DH16" s="698">
        <f>IF(DH22=0,1,'Offshore CF'!DJ16)</f>
        <v>1</v>
      </c>
      <c r="DI16" s="698">
        <f>IF(DI22=0,1,'Offshore CF'!DK16)</f>
        <v>1</v>
      </c>
      <c r="DJ16" s="698">
        <f>IF(DJ22=0,1,'Offshore CF'!DL16)</f>
        <v>1</v>
      </c>
      <c r="DK16" s="698">
        <f>IF(DK22=0,1,'Offshore CF'!DM16)</f>
        <v>17</v>
      </c>
      <c r="DL16" s="698">
        <f>IF(DL22=0,1,'Offshore CF'!DN16)</f>
        <v>1</v>
      </c>
      <c r="DM16" s="698">
        <f>IF(DM22=0,1,'Offshore CF'!DO16)</f>
        <v>1</v>
      </c>
      <c r="DN16" s="698">
        <f>IF(DN22=0,1,'Offshore CF'!DP16)</f>
        <v>1</v>
      </c>
      <c r="DO16" s="698">
        <f>IF(DO22=0,1,'Offshore CF'!DQ16)</f>
        <v>18</v>
      </c>
      <c r="DP16" s="698">
        <f>IF(DP22=0,1,'Offshore CF'!DR16)</f>
        <v>10</v>
      </c>
      <c r="DQ16" s="698">
        <f>IF(DQ22=0,1,'Offshore CF'!DS16)</f>
        <v>60</v>
      </c>
      <c r="DR16" s="698">
        <f>IF(DR22=0,1,'Offshore CF'!DT16)</f>
        <v>1</v>
      </c>
      <c r="DS16" s="698">
        <f>IF(DS22=0,1,'Offshore CF'!DU16)</f>
        <v>15</v>
      </c>
      <c r="DT16" s="698">
        <f>IF(DT22=0,1,'Offshore CF'!DV16)</f>
        <v>1</v>
      </c>
      <c r="DU16" s="698">
        <f>IF(DU22=0,1,'Offshore CF'!DW16)</f>
        <v>1</v>
      </c>
      <c r="DV16" s="698">
        <f>IF(DV22=0,1,'Offshore CF'!DX16)</f>
        <v>1</v>
      </c>
      <c r="DW16" s="698">
        <f>IF(DW22=0,1,'Offshore CF'!DY16)</f>
        <v>1</v>
      </c>
      <c r="DX16" s="698">
        <f>IF(DX22=0,1,'Offshore CF'!DZ16)</f>
        <v>1</v>
      </c>
      <c r="DY16" s="698">
        <f>IF(DY22=0,1,'Offshore CF'!EA16)</f>
        <v>1</v>
      </c>
      <c r="DZ16" s="713"/>
      <c r="EA16" s="713"/>
      <c r="EB16" s="713"/>
      <c r="EC16" s="713"/>
      <c r="EE16" s="110" t="s">
        <v>144</v>
      </c>
      <c r="EI16" s="714"/>
      <c r="EJ16" s="477">
        <v>33</v>
      </c>
      <c r="EK16" s="714"/>
      <c r="EL16" s="713"/>
      <c r="EM16" s="713"/>
      <c r="EN16" s="713"/>
      <c r="EO16" s="713"/>
      <c r="EP16" s="713"/>
      <c r="EQ16" s="713"/>
      <c r="ER16" s="713"/>
      <c r="ES16" s="713"/>
    </row>
    <row r="17" spans="1:174" ht="14.25" customHeight="1">
      <c r="A17" s="10"/>
      <c r="B17" s="60"/>
      <c r="G17" s="10"/>
      <c r="H17" s="135"/>
      <c r="I17" s="130"/>
      <c r="J17" s="130"/>
      <c r="K17" s="131"/>
      <c r="L17" s="143" t="s">
        <v>234</v>
      </c>
      <c r="M17" s="715"/>
      <c r="N17" s="715"/>
      <c r="O17" s="715"/>
      <c r="P17" s="715"/>
      <c r="Q17" s="715"/>
      <c r="R17" s="715"/>
      <c r="S17" s="715"/>
      <c r="T17" s="715"/>
      <c r="U17" s="715"/>
      <c r="V17" s="715"/>
      <c r="W17" s="715"/>
      <c r="X17" s="715"/>
      <c r="Y17" s="715"/>
      <c r="Z17" s="715"/>
      <c r="AA17" s="715"/>
      <c r="AB17" s="715"/>
      <c r="AC17" s="715"/>
      <c r="AD17" s="715"/>
      <c r="AE17" s="715"/>
      <c r="AF17" s="715"/>
      <c r="AG17" s="715"/>
      <c r="AH17" s="715"/>
      <c r="AI17" s="715"/>
      <c r="AJ17" s="715"/>
      <c r="AK17" s="715"/>
      <c r="AL17" s="715"/>
      <c r="AM17" s="715"/>
      <c r="AN17" s="715"/>
      <c r="AO17" s="715"/>
      <c r="AP17" s="715"/>
      <c r="AQ17" s="715"/>
      <c r="AR17" s="715"/>
      <c r="AS17" s="715"/>
      <c r="AT17" s="715"/>
      <c r="AU17" s="715"/>
      <c r="AV17" s="715"/>
      <c r="AW17" s="715"/>
      <c r="AX17" s="715"/>
      <c r="AY17" s="715"/>
      <c r="AZ17" s="715"/>
      <c r="BA17" s="715"/>
      <c r="BB17" s="715"/>
      <c r="BC17" s="715"/>
      <c r="BD17" s="715"/>
      <c r="BE17" s="715"/>
      <c r="BF17" s="715"/>
      <c r="BG17" s="715"/>
      <c r="BH17" s="715"/>
      <c r="BI17" s="715"/>
      <c r="BJ17" s="715"/>
      <c r="BK17" s="715"/>
      <c r="BL17" s="715"/>
      <c r="BM17" s="715"/>
      <c r="BN17" s="715"/>
      <c r="BO17" s="715"/>
      <c r="BP17" s="715"/>
      <c r="BQ17" s="715"/>
      <c r="BR17" s="715"/>
      <c r="BS17" s="715"/>
      <c r="BT17" s="715"/>
      <c r="BU17" s="715"/>
      <c r="BV17" s="715"/>
      <c r="BW17" s="715"/>
      <c r="BX17" s="715"/>
      <c r="BY17" s="715"/>
      <c r="BZ17" s="715"/>
      <c r="CA17" s="715"/>
      <c r="CB17" s="715"/>
      <c r="CC17" s="715"/>
      <c r="CD17" s="715"/>
      <c r="CE17" s="715"/>
      <c r="CF17" s="715"/>
      <c r="CG17" s="715"/>
      <c r="CH17" s="715"/>
      <c r="CI17" s="715"/>
      <c r="CJ17" s="715"/>
      <c r="CK17" s="715"/>
      <c r="CL17" s="715"/>
      <c r="CM17" s="715"/>
      <c r="CN17" s="715"/>
      <c r="CO17" s="715"/>
      <c r="CP17" s="715"/>
      <c r="CQ17" s="724"/>
      <c r="CR17" s="716"/>
      <c r="CS17" s="722"/>
      <c r="CT17" s="698"/>
      <c r="CU17" s="698"/>
      <c r="CV17" s="698"/>
      <c r="CW17" s="698"/>
      <c r="CX17" s="698"/>
      <c r="CY17" s="698"/>
      <c r="CZ17" s="698"/>
      <c r="DA17" s="698"/>
      <c r="DB17" s="698"/>
      <c r="DC17" s="698"/>
      <c r="DD17" s="698"/>
      <c r="DE17" s="698"/>
      <c r="DF17" s="698"/>
      <c r="DG17" s="698"/>
      <c r="DH17" s="698"/>
      <c r="DI17" s="698"/>
      <c r="DJ17" s="698"/>
      <c r="DK17" s="698"/>
      <c r="DL17" s="698"/>
      <c r="DM17" s="698"/>
      <c r="DN17" s="698"/>
      <c r="DO17" s="698"/>
      <c r="DP17" s="698"/>
      <c r="DQ17" s="698"/>
      <c r="DR17" s="698"/>
      <c r="DS17" s="698"/>
      <c r="DT17" s="698"/>
      <c r="DU17" s="698"/>
      <c r="DV17" s="698"/>
      <c r="DW17" s="698"/>
      <c r="DX17" s="698"/>
      <c r="DY17" s="698"/>
      <c r="DZ17" s="713"/>
      <c r="EA17" s="713"/>
      <c r="EB17" s="713"/>
      <c r="EC17" s="713"/>
      <c r="ED17" s="725"/>
      <c r="EI17" s="714"/>
      <c r="EJ17" s="714"/>
      <c r="EK17" s="714"/>
      <c r="EL17" s="713"/>
      <c r="EM17" s="713"/>
      <c r="EN17" s="713"/>
      <c r="EO17" s="713"/>
      <c r="EP17" s="713"/>
      <c r="EQ17" s="713"/>
      <c r="ER17" s="713"/>
      <c r="ES17" s="713"/>
    </row>
    <row r="18" spans="1:174" ht="14.25" customHeight="1" thickBot="1">
      <c r="A18" s="10"/>
      <c r="B18" s="60"/>
      <c r="G18" s="10"/>
      <c r="H18" s="135"/>
      <c r="I18" s="130"/>
      <c r="J18" s="130"/>
      <c r="K18" s="131"/>
      <c r="L18" s="143" t="s">
        <v>235</v>
      </c>
      <c r="M18" s="719"/>
      <c r="N18" s="719"/>
      <c r="O18" s="719"/>
      <c r="P18" s="719"/>
      <c r="Q18" s="719"/>
      <c r="R18" s="719"/>
      <c r="S18" s="719"/>
      <c r="T18" s="719"/>
      <c r="U18" s="719"/>
      <c r="V18" s="719"/>
      <c r="W18" s="719"/>
      <c r="X18" s="719"/>
      <c r="Y18" s="719"/>
      <c r="Z18" s="719"/>
      <c r="AA18" s="719"/>
      <c r="AB18" s="719"/>
      <c r="AC18" s="719"/>
      <c r="AD18" s="719"/>
      <c r="AE18" s="719"/>
      <c r="AF18" s="719"/>
      <c r="AG18" s="719"/>
      <c r="AH18" s="719"/>
      <c r="AI18" s="719"/>
      <c r="AJ18" s="719"/>
      <c r="AK18" s="719"/>
      <c r="AL18" s="719"/>
      <c r="AM18" s="719"/>
      <c r="AN18" s="719"/>
      <c r="AO18" s="719"/>
      <c r="AP18" s="719"/>
      <c r="AQ18" s="719"/>
      <c r="AR18" s="719"/>
      <c r="AS18" s="719"/>
      <c r="AT18" s="719"/>
      <c r="AU18" s="719"/>
      <c r="AV18" s="719"/>
      <c r="AW18" s="719"/>
      <c r="AX18" s="719"/>
      <c r="AY18" s="719"/>
      <c r="AZ18" s="719"/>
      <c r="BA18" s="719"/>
      <c r="BB18" s="719"/>
      <c r="BC18" s="719"/>
      <c r="BD18" s="719"/>
      <c r="BE18" s="719"/>
      <c r="BF18" s="719"/>
      <c r="BG18" s="719"/>
      <c r="BH18" s="719"/>
      <c r="BI18" s="719"/>
      <c r="BJ18" s="719"/>
      <c r="BK18" s="719"/>
      <c r="BL18" s="719"/>
      <c r="BM18" s="719"/>
      <c r="BN18" s="719"/>
      <c r="BO18" s="719"/>
      <c r="BP18" s="719"/>
      <c r="BQ18" s="719"/>
      <c r="BR18" s="719"/>
      <c r="BS18" s="719"/>
      <c r="BT18" s="719"/>
      <c r="BU18" s="719"/>
      <c r="BV18" s="719"/>
      <c r="BW18" s="719"/>
      <c r="BX18" s="719"/>
      <c r="BY18" s="719"/>
      <c r="BZ18" s="719"/>
      <c r="CA18" s="719"/>
      <c r="CB18" s="719"/>
      <c r="CC18" s="719"/>
      <c r="CD18" s="719"/>
      <c r="CE18" s="719"/>
      <c r="CF18" s="719"/>
      <c r="CG18" s="719"/>
      <c r="CH18" s="719"/>
      <c r="CI18" s="719"/>
      <c r="CJ18" s="719"/>
      <c r="CK18" s="719"/>
      <c r="CL18" s="719"/>
      <c r="CM18" s="719"/>
      <c r="CN18" s="719"/>
      <c r="CO18" s="719"/>
      <c r="CP18" s="719"/>
      <c r="CQ18" s="720"/>
      <c r="CR18" s="721"/>
      <c r="CS18" s="726"/>
      <c r="CT18" s="713"/>
      <c r="CU18" s="713"/>
      <c r="CV18" s="713"/>
      <c r="CW18" s="713"/>
      <c r="CX18" s="713"/>
      <c r="CY18" s="713"/>
      <c r="CZ18" s="713"/>
      <c r="DA18" s="713"/>
      <c r="DB18" s="713"/>
      <c r="DC18" s="713"/>
      <c r="DD18" s="713"/>
      <c r="DE18" s="713"/>
      <c r="DF18" s="713"/>
      <c r="DG18" s="713"/>
      <c r="DH18" s="713"/>
      <c r="DI18" s="713"/>
      <c r="DJ18" s="713"/>
      <c r="DK18" s="713"/>
      <c r="DL18" s="713"/>
      <c r="DM18" s="713"/>
      <c r="DN18" s="713"/>
      <c r="DO18" s="713"/>
      <c r="DP18" s="713">
        <f>'Offshore CF'!DR18</f>
        <v>0</v>
      </c>
      <c r="DQ18" s="713">
        <f>'Offshore CF'!DS18</f>
        <v>0</v>
      </c>
      <c r="DR18" s="713"/>
      <c r="DS18" s="713"/>
      <c r="DT18" s="713"/>
      <c r="DU18" s="713"/>
      <c r="DV18" s="713"/>
      <c r="DW18" s="713"/>
      <c r="DX18" s="713"/>
      <c r="DY18" s="713"/>
      <c r="DZ18" s="713"/>
      <c r="EA18" s="713"/>
      <c r="EC18" s="713"/>
      <c r="ED18" s="725" t="s">
        <v>356</v>
      </c>
      <c r="EE18" s="725" t="s">
        <v>357</v>
      </c>
      <c r="EF18" s="725" t="s">
        <v>358</v>
      </c>
      <c r="EG18" s="725" t="s">
        <v>359</v>
      </c>
      <c r="EH18" s="725" t="s">
        <v>360</v>
      </c>
      <c r="EI18" s="714"/>
      <c r="EJ18" s="714"/>
      <c r="EK18" s="714"/>
      <c r="EL18" s="713"/>
      <c r="EM18" s="713"/>
      <c r="EN18" s="713"/>
      <c r="EO18" s="713"/>
      <c r="EP18" s="713"/>
      <c r="EQ18" s="713"/>
      <c r="ER18" s="713"/>
      <c r="ES18" s="713"/>
    </row>
    <row r="19" spans="1:174" ht="26.25" thickTop="1">
      <c r="A19" s="10"/>
      <c r="B19" s="60"/>
      <c r="G19" s="10"/>
      <c r="H19" s="135"/>
      <c r="I19" s="130"/>
      <c r="J19" s="130"/>
      <c r="K19" s="131"/>
      <c r="L19" s="143" t="s">
        <v>237</v>
      </c>
      <c r="M19" s="715"/>
      <c r="N19" s="715"/>
      <c r="O19" s="715"/>
      <c r="P19" s="715"/>
      <c r="Q19" s="715"/>
      <c r="R19" s="715"/>
      <c r="S19" s="715"/>
      <c r="T19" s="715"/>
      <c r="U19" s="715"/>
      <c r="V19" s="715"/>
      <c r="W19" s="715"/>
      <c r="X19" s="715"/>
      <c r="Y19" s="715"/>
      <c r="Z19" s="715"/>
      <c r="AA19" s="715"/>
      <c r="AB19" s="715"/>
      <c r="AC19" s="715"/>
      <c r="AD19" s="715"/>
      <c r="AE19" s="715"/>
      <c r="AF19" s="715"/>
      <c r="AG19" s="715"/>
      <c r="AH19" s="715"/>
      <c r="AI19" s="715"/>
      <c r="AJ19" s="715"/>
      <c r="AK19" s="715"/>
      <c r="AL19" s="715"/>
      <c r="AM19" s="715"/>
      <c r="AN19" s="715"/>
      <c r="AO19" s="715"/>
      <c r="AP19" s="715"/>
      <c r="AQ19" s="715"/>
      <c r="AR19" s="715"/>
      <c r="AS19" s="715"/>
      <c r="AT19" s="715"/>
      <c r="AU19" s="715"/>
      <c r="AV19" s="715"/>
      <c r="AW19" s="715"/>
      <c r="AX19" s="715"/>
      <c r="AY19" s="715"/>
      <c r="AZ19" s="715"/>
      <c r="BA19" s="715"/>
      <c r="BB19" s="715"/>
      <c r="BC19" s="715"/>
      <c r="BD19" s="715"/>
      <c r="BE19" s="715"/>
      <c r="BF19" s="715"/>
      <c r="BG19" s="715"/>
      <c r="BH19" s="715"/>
      <c r="BI19" s="715"/>
      <c r="BJ19" s="715"/>
      <c r="BK19" s="715"/>
      <c r="BL19" s="715"/>
      <c r="BM19" s="715"/>
      <c r="BN19" s="715"/>
      <c r="BO19" s="715"/>
      <c r="BP19" s="715"/>
      <c r="BQ19" s="715"/>
      <c r="BR19" s="715"/>
      <c r="BS19" s="715"/>
      <c r="BT19" s="715"/>
      <c r="BU19" s="715"/>
      <c r="BV19" s="715"/>
      <c r="BW19" s="715"/>
      <c r="BX19" s="715"/>
      <c r="BY19" s="715"/>
      <c r="BZ19" s="715"/>
      <c r="CA19" s="715"/>
      <c r="CB19" s="715"/>
      <c r="CC19" s="715"/>
      <c r="CD19" s="715"/>
      <c r="CE19" s="715"/>
      <c r="CF19" s="715"/>
      <c r="CG19" s="715"/>
      <c r="CH19" s="715"/>
      <c r="CI19" s="715"/>
      <c r="CJ19" s="715"/>
      <c r="CK19" s="715"/>
      <c r="CL19" s="715"/>
      <c r="CM19" s="715"/>
      <c r="CN19" s="715"/>
      <c r="CO19" s="715"/>
      <c r="CP19" s="715"/>
      <c r="CQ19" s="724"/>
      <c r="CR19" s="716"/>
      <c r="CS19" s="726"/>
      <c r="CT19" s="713"/>
      <c r="CU19" s="713"/>
      <c r="CV19" s="713"/>
      <c r="CW19" s="713"/>
      <c r="CX19" s="713"/>
      <c r="CY19" s="713"/>
      <c r="CZ19" s="713"/>
      <c r="DA19" s="713"/>
      <c r="DB19" s="713"/>
      <c r="DC19" s="713"/>
      <c r="DD19" s="713"/>
      <c r="DE19" s="713"/>
      <c r="DF19" s="713"/>
      <c r="DG19" s="713"/>
      <c r="DH19" s="713"/>
      <c r="DI19" s="713"/>
      <c r="DJ19" s="713"/>
      <c r="DK19" s="713"/>
      <c r="DL19" s="713"/>
      <c r="DM19" s="713"/>
      <c r="DN19" s="713"/>
      <c r="DO19" s="713"/>
      <c r="DP19" s="713">
        <f>'Offshore CF'!DR19</f>
        <v>0</v>
      </c>
      <c r="DQ19" s="713">
        <f>'Offshore CF'!DS19</f>
        <v>0</v>
      </c>
      <c r="DR19" s="713"/>
      <c r="DS19" s="713"/>
      <c r="DT19" s="713"/>
      <c r="DU19" s="713"/>
      <c r="DV19" s="713"/>
      <c r="DW19" s="713"/>
      <c r="DX19" s="713"/>
      <c r="DY19" s="713"/>
      <c r="DZ19" s="171" t="s">
        <v>361</v>
      </c>
      <c r="EA19" s="727"/>
      <c r="EB19" s="173">
        <f>'Estimate Summary'!N50</f>
        <v>169.08558792062516</v>
      </c>
      <c r="EC19" s="728"/>
      <c r="ED19" s="2720" t="s">
        <v>145</v>
      </c>
      <c r="EE19" s="2720"/>
      <c r="EF19" s="2720"/>
      <c r="EG19" s="2720"/>
      <c r="EH19" s="729"/>
      <c r="EI19" s="714"/>
      <c r="EJ19" s="714"/>
      <c r="EK19" s="714"/>
      <c r="EL19" s="713"/>
      <c r="EM19" s="713"/>
      <c r="EN19" s="713"/>
      <c r="EO19" s="713"/>
      <c r="EP19" s="713"/>
      <c r="EQ19" s="713"/>
      <c r="ER19" s="713"/>
      <c r="ES19" s="713"/>
    </row>
    <row r="20" spans="1:174" ht="14.25" customHeight="1" thickBot="1">
      <c r="A20" s="10"/>
      <c r="B20" s="60"/>
      <c r="G20" s="10"/>
      <c r="H20" s="135"/>
      <c r="I20" s="130"/>
      <c r="J20" s="130"/>
      <c r="K20" s="131"/>
      <c r="L20" s="143" t="s">
        <v>166</v>
      </c>
      <c r="M20" s="730">
        <v>33</v>
      </c>
      <c r="N20" s="730">
        <v>33</v>
      </c>
      <c r="O20" s="730">
        <v>33</v>
      </c>
      <c r="P20" s="730">
        <v>34</v>
      </c>
      <c r="Q20" s="730">
        <v>35</v>
      </c>
      <c r="R20" s="730">
        <v>36</v>
      </c>
      <c r="S20" s="730">
        <v>37</v>
      </c>
      <c r="T20" s="730">
        <v>38</v>
      </c>
      <c r="U20" s="730">
        <v>36</v>
      </c>
      <c r="V20" s="730">
        <v>37</v>
      </c>
      <c r="W20" s="730">
        <v>38</v>
      </c>
      <c r="X20" s="730">
        <v>39</v>
      </c>
      <c r="Y20" s="730">
        <v>40</v>
      </c>
      <c r="Z20" s="730">
        <v>41</v>
      </c>
      <c r="AA20" s="730">
        <v>42</v>
      </c>
      <c r="AB20" s="730">
        <v>43</v>
      </c>
      <c r="AC20" s="730">
        <v>44</v>
      </c>
      <c r="AD20" s="730">
        <v>45</v>
      </c>
      <c r="AE20" s="730">
        <v>33</v>
      </c>
      <c r="AF20" s="730">
        <v>33</v>
      </c>
      <c r="AG20" s="730">
        <v>33</v>
      </c>
      <c r="AH20" s="730">
        <v>33</v>
      </c>
      <c r="AI20" s="730">
        <v>33</v>
      </c>
      <c r="AJ20" s="730">
        <v>33</v>
      </c>
      <c r="AK20" s="730">
        <v>33</v>
      </c>
      <c r="AL20" s="730">
        <v>33</v>
      </c>
      <c r="AM20" s="730">
        <v>33</v>
      </c>
      <c r="AN20" s="730">
        <v>33</v>
      </c>
      <c r="AO20" s="730">
        <v>33</v>
      </c>
      <c r="AP20" s="730">
        <v>33</v>
      </c>
      <c r="AQ20" s="730">
        <v>33</v>
      </c>
      <c r="AR20" s="730">
        <v>33</v>
      </c>
      <c r="AS20" s="730">
        <v>33</v>
      </c>
      <c r="AT20" s="730">
        <v>33</v>
      </c>
      <c r="AU20" s="730">
        <v>33</v>
      </c>
      <c r="AV20" s="730">
        <v>33</v>
      </c>
      <c r="AW20" s="730">
        <v>33</v>
      </c>
      <c r="AX20" s="730">
        <v>33</v>
      </c>
      <c r="AY20" s="730">
        <v>33</v>
      </c>
      <c r="AZ20" s="730">
        <v>33</v>
      </c>
      <c r="BA20" s="730">
        <v>33</v>
      </c>
      <c r="BB20" s="730">
        <v>33</v>
      </c>
      <c r="BC20" s="730">
        <v>33</v>
      </c>
      <c r="BD20" s="730">
        <v>33</v>
      </c>
      <c r="BE20" s="730">
        <v>33</v>
      </c>
      <c r="BF20" s="730">
        <v>33</v>
      </c>
      <c r="BG20" s="730">
        <v>33</v>
      </c>
      <c r="BH20" s="730">
        <v>33</v>
      </c>
      <c r="BI20" s="730">
        <v>33</v>
      </c>
      <c r="BJ20" s="730">
        <v>33</v>
      </c>
      <c r="BK20" s="730">
        <v>33</v>
      </c>
      <c r="BL20" s="730">
        <v>33</v>
      </c>
      <c r="BM20" s="730">
        <v>33</v>
      </c>
      <c r="BN20" s="730">
        <v>33</v>
      </c>
      <c r="BO20" s="730">
        <v>33</v>
      </c>
      <c r="BP20" s="730">
        <v>33</v>
      </c>
      <c r="BQ20" s="730">
        <v>33</v>
      </c>
      <c r="BR20" s="730">
        <v>33</v>
      </c>
      <c r="BS20" s="730">
        <v>33</v>
      </c>
      <c r="BT20" s="730">
        <v>33</v>
      </c>
      <c r="BU20" s="730">
        <v>33</v>
      </c>
      <c r="BV20" s="730">
        <v>33</v>
      </c>
      <c r="BW20" s="730">
        <v>33</v>
      </c>
      <c r="BX20" s="730">
        <v>33</v>
      </c>
      <c r="BY20" s="730">
        <v>34</v>
      </c>
      <c r="BZ20" s="730">
        <v>33</v>
      </c>
      <c r="CA20" s="730">
        <v>33</v>
      </c>
      <c r="CB20" s="730">
        <v>33</v>
      </c>
      <c r="CC20" s="730">
        <v>34</v>
      </c>
      <c r="CD20" s="730">
        <v>33</v>
      </c>
      <c r="CE20" s="730">
        <v>33</v>
      </c>
      <c r="CF20" s="730">
        <v>33</v>
      </c>
      <c r="CG20" s="730">
        <v>33</v>
      </c>
      <c r="CH20" s="730">
        <v>33</v>
      </c>
      <c r="CI20" s="730">
        <v>33</v>
      </c>
      <c r="CJ20" s="730">
        <v>33</v>
      </c>
      <c r="CK20" s="730">
        <v>33</v>
      </c>
      <c r="CL20" s="730">
        <v>33</v>
      </c>
      <c r="CM20" s="730">
        <v>33</v>
      </c>
      <c r="CN20" s="730">
        <v>33</v>
      </c>
      <c r="CO20" s="730">
        <v>33</v>
      </c>
      <c r="CP20" s="730"/>
      <c r="CQ20" s="731"/>
      <c r="CR20" s="731"/>
      <c r="CS20" s="732"/>
      <c r="CT20" s="733"/>
      <c r="CU20" s="733"/>
      <c r="CV20" s="733"/>
      <c r="CW20" s="733"/>
      <c r="CX20" s="733"/>
      <c r="CY20" s="733"/>
      <c r="CZ20" s="733"/>
      <c r="DA20" s="733"/>
      <c r="DB20" s="179"/>
      <c r="DC20" s="179"/>
      <c r="DD20" s="179"/>
      <c r="DE20" s="179"/>
      <c r="DF20" s="179"/>
      <c r="DG20" s="179"/>
      <c r="DH20" s="179"/>
      <c r="DI20" s="179"/>
      <c r="DJ20" s="179"/>
      <c r="DK20" s="179"/>
      <c r="DL20" s="179"/>
      <c r="DM20" s="179"/>
      <c r="DN20" s="179"/>
      <c r="DO20" s="179"/>
      <c r="DP20" s="179"/>
      <c r="DQ20" s="179"/>
      <c r="DR20" s="179"/>
      <c r="DS20" s="179"/>
      <c r="DT20" s="179"/>
      <c r="DU20" s="179"/>
      <c r="DV20" s="179"/>
      <c r="DW20" s="179"/>
      <c r="DX20" s="179"/>
      <c r="DY20" s="179"/>
      <c r="DZ20" s="180"/>
      <c r="EA20" s="181"/>
      <c r="EB20" s="182"/>
      <c r="ED20" s="110">
        <f>'Offshore CF'!EF20</f>
        <v>0</v>
      </c>
      <c r="EE20" s="110">
        <f>'Offshore CF'!EG20</f>
        <v>0</v>
      </c>
      <c r="EF20" s="110">
        <f>'Offshore CF'!EH20</f>
        <v>0</v>
      </c>
      <c r="EG20" s="110">
        <f>'Offshore CF'!EI20</f>
        <v>0</v>
      </c>
      <c r="EH20" s="110">
        <f>'Offshore CF'!EJ20</f>
        <v>0</v>
      </c>
      <c r="EI20" s="734"/>
      <c r="EJ20" s="734"/>
      <c r="EK20" s="714"/>
      <c r="EM20" s="60"/>
    </row>
    <row r="21" spans="1:174" ht="14.25" customHeight="1" thickBot="1">
      <c r="A21" s="10"/>
      <c r="B21" s="2"/>
      <c r="G21" s="10"/>
      <c r="H21" s="135"/>
      <c r="I21" s="130"/>
      <c r="J21" s="130"/>
      <c r="K21" s="130"/>
      <c r="L21" s="184" t="s">
        <v>85</v>
      </c>
      <c r="M21" s="735"/>
      <c r="N21" s="735"/>
      <c r="O21" s="735"/>
      <c r="P21" s="735"/>
      <c r="Q21" s="735"/>
      <c r="R21" s="735"/>
      <c r="S21" s="735"/>
      <c r="T21" s="735"/>
      <c r="U21" s="735"/>
      <c r="V21" s="735"/>
      <c r="W21" s="735"/>
      <c r="X21" s="735"/>
      <c r="Y21" s="735"/>
      <c r="Z21" s="735"/>
      <c r="AA21" s="735"/>
      <c r="AB21" s="735"/>
      <c r="AC21" s="735"/>
      <c r="AD21" s="735"/>
      <c r="AE21" s="735"/>
      <c r="AF21" s="735"/>
      <c r="AG21" s="735"/>
      <c r="AH21" s="735"/>
      <c r="AI21" s="735"/>
      <c r="AJ21" s="735"/>
      <c r="AK21" s="735"/>
      <c r="AL21" s="735"/>
      <c r="AM21" s="735"/>
      <c r="AN21" s="735"/>
      <c r="AO21" s="735"/>
      <c r="AP21" s="735"/>
      <c r="AQ21" s="730"/>
      <c r="AR21" s="730"/>
      <c r="AS21" s="730"/>
      <c r="AT21" s="730"/>
      <c r="AU21" s="730"/>
      <c r="AV21" s="730"/>
      <c r="AW21" s="730"/>
      <c r="AX21" s="730"/>
      <c r="AY21" s="730"/>
      <c r="AZ21" s="730"/>
      <c r="BA21" s="730"/>
      <c r="BB21" s="730"/>
      <c r="BC21" s="730"/>
      <c r="BD21" s="730"/>
      <c r="BE21" s="730"/>
      <c r="BF21" s="730"/>
      <c r="BG21" s="730"/>
      <c r="BH21" s="730"/>
      <c r="BI21" s="730"/>
      <c r="BJ21" s="730"/>
      <c r="BK21" s="730"/>
      <c r="BL21" s="730"/>
      <c r="BM21" s="730"/>
      <c r="BN21" s="187"/>
      <c r="BO21" s="187"/>
      <c r="BP21" s="187"/>
      <c r="BQ21" s="187"/>
      <c r="BR21" s="187"/>
      <c r="BS21" s="187"/>
      <c r="BT21" s="187"/>
      <c r="BU21" s="187"/>
      <c r="BV21" s="187"/>
      <c r="BW21" s="187"/>
      <c r="BX21" s="187"/>
      <c r="BY21" s="187"/>
      <c r="BZ21" s="187"/>
      <c r="CA21" s="187"/>
      <c r="CB21" s="187"/>
      <c r="CC21" s="187"/>
      <c r="CD21" s="187"/>
      <c r="CE21" s="187"/>
      <c r="CF21" s="187"/>
      <c r="CG21" s="187"/>
      <c r="CH21" s="187"/>
      <c r="CI21" s="187"/>
      <c r="CJ21" s="187"/>
      <c r="CK21" s="187"/>
      <c r="CL21" s="187"/>
      <c r="CM21" s="187"/>
      <c r="CN21" s="187"/>
      <c r="CO21" s="187"/>
      <c r="CP21" s="187"/>
      <c r="CQ21" s="187"/>
      <c r="CR21" s="187"/>
      <c r="CS21" s="733"/>
      <c r="CT21" s="733"/>
      <c r="CU21" s="733"/>
      <c r="CV21" s="733"/>
      <c r="CW21" s="733"/>
      <c r="CX21" s="733"/>
      <c r="CY21" s="733"/>
      <c r="CZ21" s="733"/>
      <c r="DA21" s="733"/>
      <c r="DB21" s="179"/>
      <c r="DC21" s="179"/>
      <c r="DD21" s="179"/>
      <c r="DE21" s="179"/>
      <c r="DF21" s="179"/>
      <c r="DG21" s="179"/>
      <c r="DH21" s="179"/>
      <c r="DI21" s="179"/>
      <c r="DJ21" s="179"/>
      <c r="DK21" s="179"/>
      <c r="DL21" s="179"/>
      <c r="DM21" s="179"/>
      <c r="DN21" s="179"/>
      <c r="DO21" s="179"/>
      <c r="DP21" s="179"/>
      <c r="DQ21" s="179"/>
      <c r="DR21" s="179"/>
      <c r="DS21" s="179"/>
      <c r="DT21" s="179"/>
      <c r="DU21" s="179"/>
      <c r="DV21" s="179"/>
      <c r="DW21" s="179"/>
      <c r="DX21" s="179"/>
      <c r="DY21" s="179"/>
      <c r="DZ21" s="188"/>
      <c r="EA21" s="5"/>
      <c r="EB21" s="189"/>
      <c r="EI21" s="734"/>
      <c r="EJ21" s="734"/>
      <c r="EM21" s="2"/>
    </row>
    <row r="22" spans="1:174" s="206" customFormat="1" ht="13.9" customHeight="1" thickBot="1">
      <c r="A22" s="10"/>
      <c r="B22" s="190"/>
      <c r="C22" s="191"/>
      <c r="D22" s="2721" t="s">
        <v>362</v>
      </c>
      <c r="E22" s="2721"/>
      <c r="F22" s="736"/>
      <c r="G22" s="737" t="s">
        <v>363</v>
      </c>
      <c r="H22" s="736"/>
      <c r="I22" s="60"/>
      <c r="J22" s="192"/>
      <c r="K22" s="193"/>
      <c r="L22" s="194" t="s">
        <v>88</v>
      </c>
      <c r="M22" s="738">
        <f>'Estimate Detail'!H$12</f>
        <v>0</v>
      </c>
      <c r="N22" s="738">
        <f>'Estimate Detail'!H$13</f>
        <v>0</v>
      </c>
      <c r="O22" s="738">
        <f>'Estimate Detail'!$H14</f>
        <v>0</v>
      </c>
      <c r="P22" s="738">
        <f>'Estimate Detail'!$H15</f>
        <v>0</v>
      </c>
      <c r="Q22" s="738">
        <f>'Estimate Detail'!$H16</f>
        <v>0</v>
      </c>
      <c r="R22" s="738">
        <f>'Estimate Detail'!$H17</f>
        <v>0</v>
      </c>
      <c r="S22" s="738">
        <f>'Estimate Detail'!$H18</f>
        <v>0</v>
      </c>
      <c r="T22" s="738">
        <f>'Estimate Detail'!$H19</f>
        <v>0</v>
      </c>
      <c r="U22" s="738">
        <f>'Estimate Detail'!$H20</f>
        <v>0</v>
      </c>
      <c r="V22" s="738">
        <f>'Estimate Detail'!$H21</f>
        <v>0</v>
      </c>
      <c r="W22" s="738">
        <f>'Estimate Detail'!$H22</f>
        <v>0</v>
      </c>
      <c r="X22" s="738">
        <f>'Estimate Detail'!$H23</f>
        <v>0</v>
      </c>
      <c r="Y22" s="738">
        <f>'Estimate Detail'!$H24</f>
        <v>0</v>
      </c>
      <c r="Z22" s="738">
        <f>'Estimate Detail'!$H25</f>
        <v>0</v>
      </c>
      <c r="AA22" s="738">
        <f>'Estimate Detail'!$H26</f>
        <v>0</v>
      </c>
      <c r="AB22" s="738">
        <f>'Estimate Detail'!$H27</f>
        <v>0</v>
      </c>
      <c r="AC22" s="738">
        <f>'Estimate Detail'!$H28</f>
        <v>0</v>
      </c>
      <c r="AD22" s="738">
        <f>'Estimate Detail'!$H29</f>
        <v>0</v>
      </c>
      <c r="AE22" s="738">
        <f>'Estimate Detail'!$H30</f>
        <v>0</v>
      </c>
      <c r="AF22" s="738">
        <f>'Estimate Detail'!$H31</f>
        <v>0</v>
      </c>
      <c r="AG22" s="738">
        <f>'Estimate Detail'!$H32</f>
        <v>0</v>
      </c>
      <c r="AH22" s="738">
        <f>'Estimate Detail'!$H33</f>
        <v>0</v>
      </c>
      <c r="AI22" s="738">
        <f>'Estimate Detail'!$H34</f>
        <v>0</v>
      </c>
      <c r="AJ22" s="738">
        <f>'Estimate Detail'!$H35</f>
        <v>0</v>
      </c>
      <c r="AK22" s="738">
        <f>'Estimate Detail'!$H36</f>
        <v>0</v>
      </c>
      <c r="AL22" s="738">
        <f>'Estimate Detail'!$H37</f>
        <v>0</v>
      </c>
      <c r="AM22" s="738">
        <f>'Estimate Detail'!$H38</f>
        <v>0</v>
      </c>
      <c r="AN22" s="738">
        <f>'Estimate Detail'!$H39</f>
        <v>93.6268400850239</v>
      </c>
      <c r="AO22" s="738">
        <f>'Estimate Detail'!$H40</f>
        <v>0</v>
      </c>
      <c r="AP22" s="738">
        <f>'Estimate Detail'!$H41</f>
        <v>0</v>
      </c>
      <c r="AQ22" s="738">
        <f>'Estimate Detail'!$H42</f>
        <v>0</v>
      </c>
      <c r="AR22" s="738">
        <f>'Estimate Detail'!$H43</f>
        <v>0</v>
      </c>
      <c r="AS22" s="738">
        <f>'Estimate Detail'!$H44</f>
        <v>0</v>
      </c>
      <c r="AT22" s="738">
        <f>'Estimate Detail'!$H45</f>
        <v>0</v>
      </c>
      <c r="AU22" s="738">
        <f>'Estimate Detail'!$H46</f>
        <v>0</v>
      </c>
      <c r="AV22" s="738">
        <f>'Estimate Detail'!$H47</f>
        <v>0</v>
      </c>
      <c r="AW22" s="196">
        <f>'Estimate Detail'!$H50</f>
        <v>0</v>
      </c>
      <c r="AX22" s="196">
        <f>'Estimate Detail'!$H51</f>
        <v>0</v>
      </c>
      <c r="AY22" s="196">
        <f>'Estimate Detail'!$H52</f>
        <v>3.589467835601261</v>
      </c>
      <c r="AZ22" s="196">
        <f>'Estimate Detail'!$H53</f>
        <v>0</v>
      </c>
      <c r="BA22" s="196">
        <f>'Estimate Detail'!$H56</f>
        <v>0</v>
      </c>
      <c r="BB22" s="196">
        <f>'Estimate Detail'!$H78</f>
        <v>0</v>
      </c>
      <c r="BC22" s="196">
        <f>'Estimate Detail'!$H87</f>
        <v>0</v>
      </c>
      <c r="BD22" s="196">
        <f>'Estimate Detail'!$H90</f>
        <v>0</v>
      </c>
      <c r="BE22" s="196">
        <f>'Estimate Detail'!$H93</f>
        <v>0</v>
      </c>
      <c r="BF22" s="196">
        <f>'Estimate Detail'!$H96</f>
        <v>0</v>
      </c>
      <c r="BG22" s="196">
        <f>'Estimate Detail'!$H99</f>
        <v>0</v>
      </c>
      <c r="BH22" s="196">
        <f>'Estimate Detail'!$H100</f>
        <v>0</v>
      </c>
      <c r="BI22" s="196">
        <f>'Estimate Detail'!$H98</f>
        <v>0</v>
      </c>
      <c r="BJ22" s="196">
        <f>'Estimate Detail'!$H101</f>
        <v>0</v>
      </c>
      <c r="BK22" s="196">
        <f>'Estimate Detail'!$H102</f>
        <v>0</v>
      </c>
      <c r="BL22" s="196">
        <f>'Estimate Detail'!$H103</f>
        <v>0</v>
      </c>
      <c r="BM22" s="196">
        <f>'Estimate Detail'!$H104</f>
        <v>0</v>
      </c>
      <c r="BN22" s="196">
        <f>'Estimate Detail'!$H97</f>
        <v>0</v>
      </c>
      <c r="BO22" s="196">
        <f>'Estimate Detail'!$H107</f>
        <v>0</v>
      </c>
      <c r="BP22" s="196">
        <f>'Estimate Detail'!$H108</f>
        <v>0</v>
      </c>
      <c r="BQ22" s="196">
        <f>'Estimate Detail'!$H111</f>
        <v>0</v>
      </c>
      <c r="BR22" s="196">
        <f>'Estimate Detail'!$H120</f>
        <v>0</v>
      </c>
      <c r="BS22" s="196">
        <f>'Estimate Detail'!$H125</f>
        <v>0</v>
      </c>
      <c r="BT22" s="196">
        <f>'Estimate Detail'!$H131</f>
        <v>0</v>
      </c>
      <c r="BU22" s="196">
        <f>'Estimate Detail'!$H145</f>
        <v>0</v>
      </c>
      <c r="BV22" s="196">
        <f>'Estimate Detail'!$H154</f>
        <v>0</v>
      </c>
      <c r="BW22" s="196">
        <f>'Estimate Detail'!$H155</f>
        <v>0</v>
      </c>
      <c r="BX22" s="196">
        <f>'Estimate Detail'!$H163</f>
        <v>0</v>
      </c>
      <c r="BY22" s="196">
        <f>'Estimate Detail'!$H170</f>
        <v>0</v>
      </c>
      <c r="BZ22" s="196">
        <f>'Estimate Detail'!$H175</f>
        <v>0</v>
      </c>
      <c r="CA22" s="196">
        <f>'Estimate Detail'!$H187</f>
        <v>0</v>
      </c>
      <c r="CB22" s="196">
        <f>'Estimate Detail'!$H190</f>
        <v>0</v>
      </c>
      <c r="CC22" s="196">
        <f>'Estimate Detail'!$H195</f>
        <v>0</v>
      </c>
      <c r="CD22" s="196">
        <f>'Estimate Detail'!$H202</f>
        <v>0</v>
      </c>
      <c r="CE22" s="196">
        <f>'Estimate Detail'!$H205</f>
        <v>0</v>
      </c>
      <c r="CF22" s="196">
        <f>'Estimate Detail'!$H212</f>
        <v>0</v>
      </c>
      <c r="CG22" s="196">
        <f>'Estimate Detail'!$H235</f>
        <v>0</v>
      </c>
      <c r="CH22" s="196">
        <f>'Estimate Detail'!$H236</f>
        <v>0</v>
      </c>
      <c r="CI22" s="196">
        <f>'Estimate Detail'!$H237</f>
        <v>0</v>
      </c>
      <c r="CJ22" s="196">
        <f>'Estimate Detail'!$H238</f>
        <v>0</v>
      </c>
      <c r="CK22" s="196">
        <f>'Estimate Detail'!$H239</f>
        <v>0</v>
      </c>
      <c r="CL22" s="196">
        <f>'Estimate Detail'!$H240</f>
        <v>0</v>
      </c>
      <c r="CM22" s="196">
        <f>'Estimate Detail'!$H243</f>
        <v>0</v>
      </c>
      <c r="CN22" s="196">
        <f>'Estimate Detail'!$H250</f>
        <v>0</v>
      </c>
      <c r="CO22" s="196">
        <f>'Estimate Detail'!$H254</f>
        <v>0</v>
      </c>
      <c r="CP22" s="596">
        <f>'Estimate Detail'!H331+'Estimate Detail'!H335+'Estimate Detail'!H339</f>
        <v>28</v>
      </c>
      <c r="CQ22" s="187"/>
      <c r="CR22" s="187"/>
      <c r="CS22" s="197"/>
      <c r="CT22" s="738">
        <f>'Estimate Summary'!$N47*0</f>
        <v>0</v>
      </c>
      <c r="CU22" s="738">
        <f>'Estimate Summary'!$N48*0</f>
        <v>0</v>
      </c>
      <c r="CV22" s="738">
        <f>'Estimate Summary'!$N49*0</f>
        <v>0</v>
      </c>
      <c r="CW22" s="738" t="e">
        <f ca="1">'Estimate Summary'!$N52*0</f>
        <v>#N/A</v>
      </c>
      <c r="CX22" s="738" t="e">
        <f ca="1">'Estimate Summary'!$N54*0</f>
        <v>#N/A</v>
      </c>
      <c r="CY22" s="738" t="e">
        <f ca="1">'Estimate Summary'!$N55*0</f>
        <v>#N/A</v>
      </c>
      <c r="CZ22" s="738" t="e">
        <f ca="1">'Estimate Summary'!$N56*0</f>
        <v>#N/A</v>
      </c>
      <c r="DA22" s="738" t="e">
        <f ca="1">'Estimate Summary'!$N59*0</f>
        <v>#N/A</v>
      </c>
      <c r="DB22" s="187">
        <f>'Estimate Detail'!$H60</f>
        <v>0</v>
      </c>
      <c r="DC22" s="187">
        <f>'Estimate Detail'!$H61</f>
        <v>0</v>
      </c>
      <c r="DD22" s="187">
        <f>'Estimate Detail'!$H62</f>
        <v>0</v>
      </c>
      <c r="DE22" s="187">
        <f>'Estimate Detail'!$H63</f>
        <v>0</v>
      </c>
      <c r="DF22" s="187">
        <f>'Estimate Detail'!$H64</f>
        <v>0</v>
      </c>
      <c r="DG22" s="187">
        <f>'Estimate Detail'!$H65</f>
        <v>0</v>
      </c>
      <c r="DH22" s="187">
        <f>'Estimate Detail'!$H66</f>
        <v>0</v>
      </c>
      <c r="DI22" s="187">
        <f>'Estimate Detail'!$H67</f>
        <v>0</v>
      </c>
      <c r="DJ22" s="187">
        <f>'Estimate Detail'!$H68</f>
        <v>0</v>
      </c>
      <c r="DK22" s="187">
        <f>'Estimate Detail'!$H69</f>
        <v>1.716</v>
      </c>
      <c r="DL22" s="187">
        <f>'Estimate Detail'!$H70</f>
        <v>0</v>
      </c>
      <c r="DM22" s="187">
        <f>'Estimate Detail'!$H71</f>
        <v>0</v>
      </c>
      <c r="DN22" s="187">
        <f>'Estimate Detail'!$H72</f>
        <v>0</v>
      </c>
      <c r="DO22" s="187">
        <f>'Estimate Detail'!$H75</f>
        <v>9.828000000000002E-2</v>
      </c>
      <c r="DP22" s="597">
        <f>'Estimate Detail'!H272+'Estimate Detail'!H277+'Estimate Detail'!H292</f>
        <v>2.4</v>
      </c>
      <c r="DQ22" s="187">
        <f>'Estimate Detail'!$H294+'Estimate Detail'!H295+'Estimate Detail'!H296+'Estimate Detail'!H315+'Estimate Detail'!H319</f>
        <v>17.920000000000002</v>
      </c>
      <c r="DR22" s="187">
        <f>'Estimate Detail'!$H297</f>
        <v>0</v>
      </c>
      <c r="DS22" s="187">
        <f>'Estimate Detail'!$H300</f>
        <v>21.734999999999999</v>
      </c>
      <c r="DT22" s="187">
        <f>'Estimate Detail'!$H302</f>
        <v>0</v>
      </c>
      <c r="DU22" s="187">
        <f>'Estimate Detail'!$H303</f>
        <v>0</v>
      </c>
      <c r="DV22" s="187">
        <f>'Estimate Detail'!$H341</f>
        <v>0</v>
      </c>
      <c r="DW22" s="187">
        <f>'Estimate Detail'!$H369</f>
        <v>0</v>
      </c>
      <c r="DX22" s="187">
        <f>'Estimate Detail'!$H372</f>
        <v>0</v>
      </c>
      <c r="DY22" s="187">
        <f>'Estimate Detail'!$V413</f>
        <v>0</v>
      </c>
      <c r="DZ22" s="198" t="e">
        <f ca="1">SUM(M22:DY22)</f>
        <v>#N/A</v>
      </c>
      <c r="EA22" s="199" t="s">
        <v>89</v>
      </c>
      <c r="EB22" s="200" t="e">
        <f ca="1">EB155</f>
        <v>#REF!</v>
      </c>
      <c r="EC22" s="201" t="s">
        <v>90</v>
      </c>
      <c r="ED22" s="202">
        <f>'Estimate Summary'!O57</f>
        <v>0</v>
      </c>
      <c r="EE22" s="202">
        <f>'Estimate Summary'!P57</f>
        <v>0</v>
      </c>
      <c r="EF22" s="202">
        <f>'Estimate Summary'!Q57</f>
        <v>0</v>
      </c>
      <c r="EG22" s="202">
        <f>'Estimate Summary'!R57</f>
        <v>0</v>
      </c>
      <c r="EH22" s="202">
        <f>'Estimate Summary'!S57</f>
        <v>0</v>
      </c>
      <c r="EI22" s="739"/>
      <c r="EJ22" s="740" t="e">
        <f ca="1">('Estimate Summary'!L65+'Estimate Summary'!L66)*0</f>
        <v>#N/A</v>
      </c>
      <c r="EK22" s="741"/>
      <c r="EL22" s="110"/>
      <c r="EM22" s="60"/>
      <c r="EN22" s="110"/>
      <c r="EO22" s="110"/>
      <c r="EP22" s="110"/>
      <c r="EQ22" s="110"/>
      <c r="ER22" s="110"/>
      <c r="ES22" s="110"/>
      <c r="ET22" s="110"/>
      <c r="EU22" s="110"/>
      <c r="EV22" s="110"/>
      <c r="EW22" s="110"/>
      <c r="EX22" s="110"/>
      <c r="EY22" s="110"/>
      <c r="EZ22" s="110"/>
      <c r="FA22" s="110"/>
      <c r="FB22" s="110"/>
      <c r="FC22" s="110"/>
      <c r="FD22" s="110"/>
      <c r="FE22" s="110"/>
      <c r="FF22" s="110"/>
      <c r="FG22" s="110"/>
      <c r="FH22" s="110"/>
      <c r="FI22" s="110"/>
      <c r="FJ22" s="110"/>
      <c r="FK22" s="110"/>
      <c r="FL22" s="110"/>
      <c r="FM22" s="110"/>
      <c r="FN22" s="110"/>
      <c r="FO22" s="110"/>
      <c r="FP22" s="110"/>
      <c r="FQ22" s="110"/>
      <c r="FR22" s="110"/>
    </row>
    <row r="23" spans="1:174" ht="201" customHeight="1" thickBot="1">
      <c r="A23" s="207" t="s">
        <v>91</v>
      </c>
      <c r="B23" s="207" t="s">
        <v>92</v>
      </c>
      <c r="C23" s="208" t="s">
        <v>93</v>
      </c>
      <c r="D23" s="211" t="s">
        <v>364</v>
      </c>
      <c r="E23" s="742" t="s">
        <v>365</v>
      </c>
      <c r="F23" s="743" t="s">
        <v>366</v>
      </c>
      <c r="G23" s="211" t="s">
        <v>367</v>
      </c>
      <c r="H23" s="210" t="s">
        <v>368</v>
      </c>
      <c r="I23" s="60"/>
      <c r="J23" s="213" t="s">
        <v>91</v>
      </c>
      <c r="K23" s="213" t="s">
        <v>92</v>
      </c>
      <c r="L23" s="214" t="s">
        <v>101</v>
      </c>
      <c r="M23" s="215" t="str">
        <f>'Estimate Detail'!$C12</f>
        <v>Water Cooling System</v>
      </c>
      <c r="N23" s="215" t="str">
        <f>'Estimate Detail'!$C13</f>
        <v>Water Cooling System</v>
      </c>
      <c r="O23" s="215" t="str">
        <f>'Estimate Detail'!$C14</f>
        <v>Water Cooling System</v>
      </c>
      <c r="P23" s="215" t="str">
        <f>'Estimate Detail'!$C15</f>
        <v>Superheater internal surfaces</v>
      </c>
      <c r="Q23" s="215" t="str">
        <f>'Estimate Detail'!$C16</f>
        <v>Superheater internal surfaces</v>
      </c>
      <c r="R23" s="215" t="str">
        <f>'Estimate Detail'!$C17</f>
        <v>Superheater internal surfaces</v>
      </c>
      <c r="S23" s="215" t="str">
        <f>'Estimate Detail'!$C18</f>
        <v>Superheater backpass wall</v>
      </c>
      <c r="T23" s="215" t="str">
        <f>'Estimate Detail'!$C19</f>
        <v>Superheater backpass wall</v>
      </c>
      <c r="U23" s="215" t="str">
        <f>'Estimate Detail'!$C20</f>
        <v>Superheater backpass wall</v>
      </c>
      <c r="V23" s="215" t="str">
        <f>'Estimate Detail'!$C21</f>
        <v>Reheater</v>
      </c>
      <c r="W23" s="215" t="str">
        <f>'Estimate Detail'!$C22</f>
        <v>Reheater</v>
      </c>
      <c r="X23" s="215" t="str">
        <f>'Estimate Detail'!$C23</f>
        <v>Reheater</v>
      </c>
      <c r="Y23" s="215" t="str">
        <f>'Estimate Detail'!$C24</f>
        <v>Economizer</v>
      </c>
      <c r="Z23" s="215" t="str">
        <f>'Estimate Detail'!$C25</f>
        <v>Economizer</v>
      </c>
      <c r="AA23" s="215" t="str">
        <f>'Estimate Detail'!$C26</f>
        <v>Economizer</v>
      </c>
      <c r="AB23" s="215" t="str">
        <f>'Estimate Detail'!$C27</f>
        <v>Boiler Internal Piping</v>
      </c>
      <c r="AC23" s="215" t="str">
        <f>'Estimate Detail'!$C28</f>
        <v>Boiler Internal Piping</v>
      </c>
      <c r="AD23" s="215" t="str">
        <f>'Estimate Detail'!$C29</f>
        <v>Boiler Internal Piping</v>
      </c>
      <c r="AE23" s="215" t="str">
        <f>'Estimate Detail'!$C30</f>
        <v>Ancillaries</v>
      </c>
      <c r="AF23" s="215" t="str">
        <f>'Estimate Detail'!$C31</f>
        <v>Ancillaries</v>
      </c>
      <c r="AG23" s="215" t="str">
        <f>'Estimate Detail'!$C32</f>
        <v>Ancillaries</v>
      </c>
      <c r="AH23" s="215" t="str">
        <f>'Estimate Detail'!$C33</f>
        <v>Boiler External Piping</v>
      </c>
      <c r="AI23" s="215" t="str">
        <f>'Estimate Detail'!$C34</f>
        <v>Boiler External Piping</v>
      </c>
      <c r="AJ23" s="215" t="str">
        <f>'Estimate Detail'!$C35</f>
        <v>Boiler External Piping</v>
      </c>
      <c r="AK23" s="215" t="str">
        <f>'Estimate Detail'!$C36</f>
        <v>Roof  Links</v>
      </c>
      <c r="AL23" s="215" t="str">
        <f>'Estimate Detail'!$C37</f>
        <v>Roof  Links</v>
      </c>
      <c r="AM23" s="215" t="str">
        <f>'Estimate Detail'!$C38</f>
        <v>Roof  Links</v>
      </c>
      <c r="AN23" s="215" t="str">
        <f>'Estimate Detail'!$C39</f>
        <v>Spare Parts</v>
      </c>
      <c r="AO23" s="215" t="str">
        <f>'Estimate Detail'!$C40</f>
        <v>Spare Parts</v>
      </c>
      <c r="AP23" s="215" t="str">
        <f>'Estimate Detail'!$C41</f>
        <v>Spare Parts</v>
      </c>
      <c r="AQ23" s="215" t="str">
        <f>'Estimate Detail'!$C42</f>
        <v>Start Up System</v>
      </c>
      <c r="AR23" s="215" t="str">
        <f>'Estimate Detail'!$C43</f>
        <v>Start Up System</v>
      </c>
      <c r="AS23" s="215" t="str">
        <f>'Estimate Detail'!$C44</f>
        <v>Start Up System</v>
      </c>
      <c r="AT23" s="215" t="str">
        <f>'Estimate Detail'!$C45</f>
        <v>Drums</v>
      </c>
      <c r="AU23" s="215" t="str">
        <f>'Estimate Detail'!$C46</f>
        <v>Drums</v>
      </c>
      <c r="AV23" s="215" t="str">
        <f>'Estimate Detail'!$C47</f>
        <v>Drums</v>
      </c>
      <c r="AW23" s="215" t="str">
        <f>'Estimate Detail'!$C50</f>
        <v>Welding</v>
      </c>
      <c r="AX23" s="215" t="str">
        <f>'Estimate Detail'!$C51</f>
        <v>Painting</v>
      </c>
      <c r="AY23" s="215" t="str">
        <f>'Estimate Detail'!$C52</f>
        <v>Packaging</v>
      </c>
      <c r="AZ23" s="215" t="str">
        <f>'Estimate Detail'!$C53</f>
        <v>Jig</v>
      </c>
      <c r="BA23" s="215" t="str">
        <f>'Estimate Detail'!$C56</f>
        <v>Attachment subcontract process cost</v>
      </c>
      <c r="BB23" s="215" t="str">
        <f>'Estimate Detail'!$C78</f>
        <v>Structural Steel</v>
      </c>
      <c r="BC23" s="215" t="str">
        <f>'Estimate Detail'!$C87</f>
        <v>Platforms &amp; Stairs</v>
      </c>
      <c r="BD23" s="215" t="str">
        <f>'Estimate Detail'!$C90</f>
        <v>Boiler Roof and External Cladding - Assy No. 36</v>
      </c>
      <c r="BE23" s="215" t="str">
        <f>'Estimate Detail'!$C93</f>
        <v>Buckstays</v>
      </c>
      <c r="BF23" s="215" t="str">
        <f>'Estimate Detail'!$C96</f>
        <v>Outer Casing - Assy No. 09</v>
      </c>
      <c r="BG23" s="215" t="str">
        <f>'Estimate Detail'!$C99</f>
        <v>Top Enclosure - Assy No. 34</v>
      </c>
      <c r="BH23" s="215" t="str">
        <f>'Estimate Detail'!$C100</f>
        <v>Skin Casing - Assy No. 35</v>
      </c>
      <c r="BI23" s="215" t="str">
        <f>'Estimate Detail'!$C98</f>
        <v>Windbox Hangers &amp; Supports - Assy No. 12</v>
      </c>
      <c r="BJ23" s="215" t="str">
        <f>'Estimate Detail'!$C101</f>
        <v>Pressure Parts Hangers &amp; Supports - Assy No. 32</v>
      </c>
      <c r="BK23" s="215" t="str">
        <f>'Estimate Detail'!$C102</f>
        <v>Start Up System Hangers - Assy No. 64</v>
      </c>
      <c r="BL23" s="215" t="str">
        <f>'Estimate Detail'!$C103</f>
        <v>Air &amp; Gas Ducts Hangers - Assy No. 41&amp;50</v>
      </c>
      <c r="BM23" s="215" t="str">
        <f>'Estimate Detail'!$C104</f>
        <v>Air &amp; Gas Ducts Joint hinge - Assy No. 41&amp;51</v>
      </c>
      <c r="BN23" s="215" t="str">
        <f>'Estimate Detail'!$C97</f>
        <v>Doors including Connection - Assy No. 23</v>
      </c>
      <c r="BO23" s="215" t="str">
        <f>'Estimate Detail'!$C107</f>
        <v>Condensate Pumps - Assy No. 64</v>
      </c>
      <c r="BP23" s="215" t="str">
        <f>'Estimate Detail'!$C108</f>
        <v>Boiler Circulating Pumps - Assy No. 64</v>
      </c>
      <c r="BQ23" s="215" t="str">
        <f>'Estimate Detail'!$C111</f>
        <v>Valves</v>
      </c>
      <c r="BR23" s="215" t="str">
        <f>'Estimate Detail'!$C120</f>
        <v>Vent Piping &amp; Silencer</v>
      </c>
      <c r="BS23" s="215" t="str">
        <f>'Estimate Detail'!$C125</f>
        <v>Sootblower(Included Gas-temperature probe)</v>
      </c>
      <c r="BT23" s="215" t="str">
        <f>'Estimate Detail'!$C131</f>
        <v>Mill</v>
      </c>
      <c r="BU23" s="215" t="str">
        <f>'Estimate Detail'!$C145</f>
        <v>Burners</v>
      </c>
      <c r="BV23" s="215" t="str">
        <f>'Estimate Detail'!$C154</f>
        <v>Plasma Firing Equipment - Assy No. 12</v>
      </c>
      <c r="BW23" s="215" t="str">
        <f>'Estimate Detail'!$C155</f>
        <v>Fuel Piping</v>
      </c>
      <c r="BX23" s="215" t="str">
        <f>'Estimate Detail'!$C163</f>
        <v>Oil &amp; Atomizing Air System</v>
      </c>
      <c r="BY23" s="215" t="str">
        <f>'Estimate Detail'!$C170</f>
        <v>Ash handling System</v>
      </c>
      <c r="BZ23" s="215" t="str">
        <f>'Estimate Detail'!$C175</f>
        <v>Air &amp; Duct</v>
      </c>
      <c r="CA23" s="215" t="str">
        <f>'Estimate Detail'!$C187</f>
        <v>SCR Complete System - Assy No. 66</v>
      </c>
      <c r="CB23" s="215" t="str">
        <f>'Estimate Detail'!$C190</f>
        <v>Air Preheater</v>
      </c>
      <c r="CC23" s="215" t="str">
        <f>'Estimate Detail'!$C195</f>
        <v>Fans</v>
      </c>
      <c r="CD23" s="215" t="str">
        <f>'Estimate Detail'!$C202</f>
        <v>Flue Gas Heat Recovery System</v>
      </c>
      <c r="CE23" s="215" t="str">
        <f>'Estimate Detail'!$C205</f>
        <v>Motors</v>
      </c>
      <c r="CF23" s="215" t="str">
        <f>'Estimate Detail'!$C212</f>
        <v>Controls &amp; Instrumentation</v>
      </c>
      <c r="CG23" s="215" t="str">
        <f>'Estimate Detail'!$C235</f>
        <v>Hoists &amp; Trolleys</v>
      </c>
      <c r="CH23" s="215" t="str">
        <f>'Estimate Detail'!$C236</f>
        <v>Wrench - Assy No. 07</v>
      </c>
      <c r="CI23" s="215" t="str">
        <f>'Estimate Detail'!$C237</f>
        <v>Maintenance Platform - Assy No. 26</v>
      </c>
      <c r="CJ23" s="215" t="str">
        <f>'Estimate Detail'!$C238</f>
        <v>Hangers for Internal Pipes - Assy No. 22</v>
      </c>
      <c r="CK23" s="215" t="str">
        <f>'Estimate Detail'!$C239</f>
        <v>Hangers for External Pipes - Assy No. 29</v>
      </c>
      <c r="CL23" s="215" t="str">
        <f>'Estimate Detail'!$C240</f>
        <v>Elevator (personnal &amp; cargo)</v>
      </c>
      <c r="CM23" s="215" t="str">
        <f>'Estimate Detail'!$C243</f>
        <v>Refractory, Insulation, Lagging &amp; Painting</v>
      </c>
      <c r="CN23" s="215" t="str">
        <f>'Estimate Detail'!$C250</f>
        <v>WBC-Spare parts</v>
      </c>
      <c r="CO23" s="215" t="str">
        <f>'Estimate Detail'!$C254</f>
        <v>Mills - Spare Parts</v>
      </c>
      <c r="CP23" s="215" t="str">
        <f>'Estimate Detail'!$C321</f>
        <v>WBC -Transportation</v>
      </c>
      <c r="CQ23" s="215"/>
      <c r="CR23" s="215"/>
      <c r="CS23" s="216"/>
      <c r="CT23" s="215" t="str">
        <f>'Estimate Summary'!$C47</f>
        <v>Risk Coverage</v>
      </c>
      <c r="CU23" s="215" t="str">
        <f>'Estimate Summary'!$C48</f>
        <v>Other</v>
      </c>
      <c r="CV23" s="215" t="str">
        <f>'Estimate Summary'!$C49</f>
        <v>Other</v>
      </c>
      <c r="CW23" s="215" t="str">
        <f>'Estimate Summary'!$C52</f>
        <v>Financial Cost</v>
      </c>
      <c r="CX23" s="215" t="str">
        <f>'Estimate Summary'!$C54</f>
        <v>Warranty</v>
      </c>
      <c r="CY23" s="215" t="str">
        <f>'Estimate Summary'!$C55</f>
        <v>Site Non-Inventoriable Cost</v>
      </c>
      <c r="CZ23" s="215" t="str">
        <f>'Estimate Summary'!$C56</f>
        <v>Other</v>
      </c>
      <c r="DA23" s="215" t="str">
        <f>'Estimate Summary'!$C59</f>
        <v>Forward Points</v>
      </c>
      <c r="DB23" s="215" t="str">
        <f>'Estimate Detail'!$C60</f>
        <v>Water Cooling System</v>
      </c>
      <c r="DC23" s="215" t="str">
        <f>'Estimate Detail'!$C61</f>
        <v>Superheater internal surfaces</v>
      </c>
      <c r="DD23" s="215" t="str">
        <f>'Estimate Detail'!$C62</f>
        <v>Superheater backpass wall</v>
      </c>
      <c r="DE23" s="215" t="str">
        <f>'Estimate Detail'!$C63</f>
        <v>Reheater</v>
      </c>
      <c r="DF23" s="215" t="str">
        <f>'Estimate Detail'!$C64</f>
        <v>Economizer</v>
      </c>
      <c r="DG23" s="215" t="str">
        <f>'Estimate Detail'!$C65</f>
        <v>Boiler Internal Piping</v>
      </c>
      <c r="DH23" s="215" t="str">
        <f>'Estimate Detail'!$C66</f>
        <v>Ancillaries</v>
      </c>
      <c r="DI23" s="215" t="str">
        <f>'Estimate Detail'!$C67</f>
        <v>Boiler External Piping</v>
      </c>
      <c r="DJ23" s="215" t="str">
        <f>'Estimate Detail'!$C68</f>
        <v>Roof  Links</v>
      </c>
      <c r="DK23" s="215" t="str">
        <f>'Estimate Detail'!$C69</f>
        <v>Spare Parts</v>
      </c>
      <c r="DL23" s="215" t="str">
        <f>'Estimate Detail'!$C70</f>
        <v>Start Up System</v>
      </c>
      <c r="DM23" s="215" t="str">
        <f>'Estimate Detail'!$C71</f>
        <v>Drums</v>
      </c>
      <c r="DN23" s="215" t="str">
        <f>'Estimate Detail'!$C72</f>
        <v>Shotpeening</v>
      </c>
      <c r="DO23" s="215" t="str">
        <f>'Estimate Detail'!$C75</f>
        <v>Factory Quality Inspection hours</v>
      </c>
      <c r="DP23" s="215" t="str">
        <f>'Estimate Detail'!$C256</f>
        <v>WBC - Engineering</v>
      </c>
      <c r="DQ23" s="215" t="str">
        <f>'Estimate Detail'!$C294</f>
        <v>Project Manager off-shore</v>
      </c>
      <c r="DR23" s="215" t="str">
        <f>'Estimate Detail'!$C297</f>
        <v>Site Respresentation</v>
      </c>
      <c r="DS23" s="215" t="str">
        <f>'Estimate Detail'!$C300</f>
        <v>Factory Procurement</v>
      </c>
      <c r="DT23" s="215" t="str">
        <f>'Estimate Detail'!$C302</f>
        <v>Transport &amp; Logistics Management</v>
      </c>
      <c r="DU23" s="215" t="str">
        <f>'Estimate Detail'!$C303</f>
        <v>Miscellaneous Exp (Travel, Accomodation, Documentation)</v>
      </c>
      <c r="DV23" s="215" t="str">
        <f>'Estimate Detail'!$C341</f>
        <v>WBC - Site service</v>
      </c>
      <c r="DW23" s="215" t="str">
        <f>'Estimate Detail'!$C369</f>
        <v>Erection Execution</v>
      </c>
      <c r="DX23" s="215" t="str">
        <f>'Estimate Detail'!$C372</f>
        <v>Civil Works</v>
      </c>
      <c r="DY23" s="215"/>
      <c r="DZ23" s="60"/>
      <c r="EA23" s="60" t="s">
        <v>102</v>
      </c>
      <c r="EB23" s="217" t="s">
        <v>103</v>
      </c>
      <c r="EC23" s="217" t="s">
        <v>103</v>
      </c>
      <c r="ED23" s="217" t="s">
        <v>104</v>
      </c>
      <c r="EE23" s="217" t="s">
        <v>105</v>
      </c>
      <c r="EF23" s="217" t="s">
        <v>106</v>
      </c>
      <c r="EG23" s="217" t="s">
        <v>107</v>
      </c>
      <c r="EH23" s="217" t="s">
        <v>108</v>
      </c>
      <c r="EI23" s="744" t="s">
        <v>109</v>
      </c>
      <c r="EJ23" s="745" t="s">
        <v>110</v>
      </c>
      <c r="EK23" s="744" t="s">
        <v>111</v>
      </c>
    </row>
    <row r="24" spans="1:174">
      <c r="A24" s="220" t="s">
        <v>112</v>
      </c>
      <c r="B24" s="236">
        <f>'Offshore CF'!B24</f>
        <v>1</v>
      </c>
      <c r="C24" s="221">
        <f>'Offshore CF'!C24</f>
        <v>43471</v>
      </c>
      <c r="D24" s="746" t="e">
        <f ca="1">E24*G$3</f>
        <v>#DIV/0!</v>
      </c>
      <c r="E24" s="747" t="e">
        <f ca="1">ROUND(F24*100,0)/100+0.02</f>
        <v>#DIV/0!</v>
      </c>
      <c r="F24" s="748" t="e">
        <f ca="1">IF(F23=0,0,SUM($G$24:G24))</f>
        <v>#DIV/0!</v>
      </c>
      <c r="G24" s="225" t="e">
        <f t="shared" ref="G24:G55" ca="1" si="5">IF(G$3=0,0,H24/H$155)</f>
        <v>#DIV/0!</v>
      </c>
      <c r="H24" s="746">
        <f ca="1">IF(ISERROR(SUM(EK24)),0,SUM(EK24))</f>
        <v>0</v>
      </c>
      <c r="I24" s="60"/>
      <c r="J24" s="220" t="s">
        <v>112</v>
      </c>
      <c r="K24" s="228">
        <f t="shared" ref="K24:K55" si="6">B24</f>
        <v>1</v>
      </c>
      <c r="L24" s="221">
        <f t="shared" ref="L24:L55" si="7">C24</f>
        <v>43471</v>
      </c>
      <c r="M24" s="229">
        <f t="shared" ref="M24:AQ33" si="8">IF($K24=M$13,M$22*M$3,IF($K24=M$14,M$22*M$4,IF($K24=M$15,M$22*M$5,IF($K24=M$16,M$22*M$6,IF($K24=M$17,M$22*M$7,IF($K24=M$18,M$22*M$8,IF($K24=M$19,M$22*M$9,IF($K24=M$20,M$22*M$10,0))))))))</f>
        <v>0</v>
      </c>
      <c r="N24" s="229">
        <f t="shared" si="8"/>
        <v>0</v>
      </c>
      <c r="O24" s="229">
        <f t="shared" si="8"/>
        <v>0</v>
      </c>
      <c r="P24" s="229">
        <f t="shared" si="8"/>
        <v>0</v>
      </c>
      <c r="Q24" s="229">
        <f t="shared" si="8"/>
        <v>0</v>
      </c>
      <c r="R24" s="229">
        <f t="shared" ref="R24:T31" si="9">IF($K24=R$13,R$22*R$3,IF($K24=R$14,R$22*R$4,IF($K24=R$15,R$22*R$5,IF($K24=R$16,R$22*R$6,IF($K24=R$17,R$22*R$7,IF($K24=R$18,R$22*R$8,IF($K24=R$19,R$22*R$9,IF($K24=R$20,R$22*R$10,0))))))))</f>
        <v>0</v>
      </c>
      <c r="S24" s="229">
        <f t="shared" si="9"/>
        <v>0</v>
      </c>
      <c r="T24" s="229">
        <f t="shared" si="9"/>
        <v>0</v>
      </c>
      <c r="U24" s="229">
        <f t="shared" si="8"/>
        <v>0</v>
      </c>
      <c r="V24" s="229">
        <f t="shared" si="8"/>
        <v>0</v>
      </c>
      <c r="W24" s="229">
        <f t="shared" si="8"/>
        <v>0</v>
      </c>
      <c r="X24" s="229">
        <f t="shared" si="8"/>
        <v>0</v>
      </c>
      <c r="Y24" s="229">
        <f t="shared" si="8"/>
        <v>0</v>
      </c>
      <c r="Z24" s="229">
        <f t="shared" si="8"/>
        <v>0</v>
      </c>
      <c r="AA24" s="229">
        <f t="shared" si="8"/>
        <v>0</v>
      </c>
      <c r="AB24" s="229">
        <f t="shared" si="8"/>
        <v>0</v>
      </c>
      <c r="AC24" s="229">
        <f t="shared" si="8"/>
        <v>0</v>
      </c>
      <c r="AD24" s="229">
        <f t="shared" si="8"/>
        <v>0</v>
      </c>
      <c r="AE24" s="229">
        <f t="shared" si="8"/>
        <v>0</v>
      </c>
      <c r="AF24" s="229">
        <f t="shared" si="8"/>
        <v>0</v>
      </c>
      <c r="AG24" s="229">
        <f t="shared" si="8"/>
        <v>0</v>
      </c>
      <c r="AH24" s="229">
        <f t="shared" si="8"/>
        <v>0</v>
      </c>
      <c r="AI24" s="229">
        <f t="shared" si="8"/>
        <v>0</v>
      </c>
      <c r="AJ24" s="229">
        <f t="shared" si="8"/>
        <v>0</v>
      </c>
      <c r="AK24" s="229">
        <f t="shared" si="8"/>
        <v>0</v>
      </c>
      <c r="AL24" s="229">
        <f t="shared" si="8"/>
        <v>0</v>
      </c>
      <c r="AM24" s="229">
        <f t="shared" si="8"/>
        <v>0</v>
      </c>
      <c r="AN24" s="229">
        <f t="shared" si="8"/>
        <v>0</v>
      </c>
      <c r="AO24" s="229">
        <f t="shared" si="8"/>
        <v>0</v>
      </c>
      <c r="AP24" s="229">
        <f t="shared" si="8"/>
        <v>0</v>
      </c>
      <c r="AQ24" s="229">
        <f t="shared" si="8"/>
        <v>0</v>
      </c>
      <c r="AR24" s="229">
        <f t="shared" ref="AR24:BB33" si="10">IF($K24=AR$13,AR$22*AR$3,IF($K24=AR$14,AR$22*AR$4,IF($K24=AR$15,AR$22*AR$5,IF($K24=AR$16,AR$22*AR$6,IF($K24=AR$17,AR$22*AR$7,IF($K24=AR$18,AR$22*AR$8,IF($K24=AR$19,AR$22*AR$9,IF($K24=AR$20,AR$22*AR$10,0))))))))</f>
        <v>0</v>
      </c>
      <c r="AS24" s="229">
        <f t="shared" si="10"/>
        <v>0</v>
      </c>
      <c r="AT24" s="229">
        <f t="shared" si="10"/>
        <v>0</v>
      </c>
      <c r="AU24" s="229">
        <f t="shared" si="10"/>
        <v>0</v>
      </c>
      <c r="AV24" s="229">
        <f t="shared" si="10"/>
        <v>0</v>
      </c>
      <c r="AW24" s="229">
        <f t="shared" si="10"/>
        <v>0</v>
      </c>
      <c r="AX24" s="229">
        <f t="shared" si="10"/>
        <v>0</v>
      </c>
      <c r="AY24" s="229">
        <f t="shared" si="10"/>
        <v>0</v>
      </c>
      <c r="AZ24" s="229">
        <f t="shared" si="10"/>
        <v>0</v>
      </c>
      <c r="BA24" s="229">
        <f t="shared" si="10"/>
        <v>0</v>
      </c>
      <c r="BB24" s="229">
        <f t="shared" si="10"/>
        <v>0</v>
      </c>
      <c r="BC24" s="229">
        <f t="shared" ref="BC24:BL33" si="11">IF($K24=BC$13,BC$22*BC$3,IF($K24=BC$14,BC$22*BC$4,IF($K24=BC$15,BC$22*BC$5,IF($K24=BC$16,BC$22*BC$6,IF($K24=BC$17,BC$22*BC$7,IF($K24=BC$18,BC$22*BC$8,IF($K24=BC$19,BC$22*BC$9,IF($K24=BC$20,BC$22*BC$10,0))))))))</f>
        <v>0</v>
      </c>
      <c r="BD24" s="229">
        <f t="shared" si="11"/>
        <v>0</v>
      </c>
      <c r="BE24" s="229">
        <f t="shared" si="11"/>
        <v>0</v>
      </c>
      <c r="BF24" s="229">
        <f t="shared" si="11"/>
        <v>0</v>
      </c>
      <c r="BG24" s="229">
        <f t="shared" si="11"/>
        <v>0</v>
      </c>
      <c r="BH24" s="229">
        <f t="shared" si="11"/>
        <v>0</v>
      </c>
      <c r="BI24" s="229">
        <f t="shared" si="11"/>
        <v>0</v>
      </c>
      <c r="BJ24" s="229">
        <f t="shared" si="11"/>
        <v>0</v>
      </c>
      <c r="BK24" s="229">
        <f t="shared" si="11"/>
        <v>0</v>
      </c>
      <c r="BL24" s="229">
        <f t="shared" si="11"/>
        <v>0</v>
      </c>
      <c r="BM24" s="229">
        <f t="shared" ref="BM24:CA33" si="12">IF($K24=BM$13,BM$22*BM$3,IF($K24=BM$14,BM$22*BM$4,IF($K24=BM$15,BM$22*BM$5,IF($K24=BM$16,BM$22*BM$6,IF($K24=BM$17,BM$22*BM$7,IF($K24=BM$18,BM$22*BM$8,IF($K24=BM$19,BM$22*BM$9,IF($K24=BM$20,BM$22*BM$10,0))))))))</f>
        <v>0</v>
      </c>
      <c r="BN24" s="229">
        <f t="shared" si="12"/>
        <v>0</v>
      </c>
      <c r="BO24" s="229">
        <f t="shared" ref="BO24:BQ43" si="13">IF($K24=BO$13,BO$22*BO$3,IF($K24=BO$14,BO$22*BO$4,IF($K24=BO$15,BO$22*BO$5,IF($K24=BO$16,BO$22*BO$6,IF($K24=BO$17,BO$22*BO$7,IF($K24=BO$18,BO$22*BO$8,IF($K24=BO$19,BO$22*BO$9,IF($K24=BO$20,BO$22*BO$10,0))))))))</f>
        <v>0</v>
      </c>
      <c r="BP24" s="229">
        <f t="shared" si="13"/>
        <v>0</v>
      </c>
      <c r="BQ24" s="229">
        <f t="shared" si="13"/>
        <v>0</v>
      </c>
      <c r="BR24" s="229">
        <f t="shared" si="12"/>
        <v>0</v>
      </c>
      <c r="BS24" s="229">
        <f t="shared" si="12"/>
        <v>0</v>
      </c>
      <c r="BT24" s="229">
        <f t="shared" si="12"/>
        <v>0</v>
      </c>
      <c r="BU24" s="229">
        <f t="shared" si="12"/>
        <v>0</v>
      </c>
      <c r="BV24" s="229">
        <f t="shared" si="12"/>
        <v>0</v>
      </c>
      <c r="BW24" s="229">
        <f t="shared" si="12"/>
        <v>0</v>
      </c>
      <c r="BX24" s="229">
        <f t="shared" si="12"/>
        <v>0</v>
      </c>
      <c r="BY24" s="229">
        <f t="shared" si="12"/>
        <v>0</v>
      </c>
      <c r="BZ24" s="229">
        <f t="shared" si="12"/>
        <v>0</v>
      </c>
      <c r="CA24" s="229">
        <f t="shared" si="12"/>
        <v>0</v>
      </c>
      <c r="CB24" s="229">
        <f t="shared" ref="CB24:CR33" si="14">IF($K24=CB$13,CB$22*CB$3,IF($K24=CB$14,CB$22*CB$4,IF($K24=CB$15,CB$22*CB$5,IF($K24=CB$16,CB$22*CB$6,IF($K24=CB$17,CB$22*CB$7,IF($K24=CB$18,CB$22*CB$8,IF($K24=CB$19,CB$22*CB$9,IF($K24=CB$20,CB$22*CB$10,0))))))))</f>
        <v>0</v>
      </c>
      <c r="CC24" s="229">
        <f t="shared" si="14"/>
        <v>0</v>
      </c>
      <c r="CD24" s="229">
        <f t="shared" si="14"/>
        <v>0</v>
      </c>
      <c r="CE24" s="229">
        <f t="shared" si="14"/>
        <v>0</v>
      </c>
      <c r="CF24" s="229">
        <f t="shared" si="14"/>
        <v>0</v>
      </c>
      <c r="CG24" s="229">
        <f t="shared" si="14"/>
        <v>0</v>
      </c>
      <c r="CH24" s="229">
        <f t="shared" si="14"/>
        <v>0</v>
      </c>
      <c r="CI24" s="229">
        <f t="shared" si="14"/>
        <v>0</v>
      </c>
      <c r="CJ24" s="229">
        <f t="shared" si="14"/>
        <v>0</v>
      </c>
      <c r="CK24" s="229">
        <f t="shared" si="14"/>
        <v>0</v>
      </c>
      <c r="CL24" s="229">
        <f t="shared" si="14"/>
        <v>0</v>
      </c>
      <c r="CM24" s="229">
        <f t="shared" si="14"/>
        <v>0</v>
      </c>
      <c r="CN24" s="229">
        <f t="shared" si="14"/>
        <v>0</v>
      </c>
      <c r="CO24" s="229">
        <f t="shared" si="14"/>
        <v>0</v>
      </c>
      <c r="CP24" s="229">
        <f t="shared" si="14"/>
        <v>0</v>
      </c>
      <c r="CQ24" s="229">
        <f t="shared" si="14"/>
        <v>0</v>
      </c>
      <c r="CR24" s="229">
        <f t="shared" si="14"/>
        <v>0</v>
      </c>
      <c r="CS24" s="230"/>
      <c r="CT24" s="231"/>
      <c r="CU24" s="231"/>
      <c r="CV24" s="231">
        <f>CV22</f>
        <v>0</v>
      </c>
      <c r="CW24" s="231"/>
      <c r="CX24" s="231"/>
      <c r="CY24" s="232"/>
      <c r="CZ24" s="232"/>
      <c r="DB24" s="233">
        <f t="shared" ref="DB24:DO29" si="15">IF(AND($K24&gt;=DB$15,$K24&lt;(DB$16+1)),DB$22/(DB$16-DB$15+1),0)</f>
        <v>0</v>
      </c>
      <c r="DC24" s="233">
        <f t="shared" si="15"/>
        <v>0</v>
      </c>
      <c r="DD24" s="233">
        <f t="shared" si="15"/>
        <v>0</v>
      </c>
      <c r="DE24" s="233">
        <f t="shared" si="15"/>
        <v>0</v>
      </c>
      <c r="DF24" s="233">
        <f t="shared" si="15"/>
        <v>0</v>
      </c>
      <c r="DG24" s="233">
        <f t="shared" si="15"/>
        <v>0</v>
      </c>
      <c r="DH24" s="233">
        <f t="shared" si="15"/>
        <v>0</v>
      </c>
      <c r="DI24" s="233">
        <f t="shared" si="15"/>
        <v>0</v>
      </c>
      <c r="DJ24" s="233">
        <f t="shared" si="15"/>
        <v>0</v>
      </c>
      <c r="DK24" s="233">
        <f t="shared" si="15"/>
        <v>0</v>
      </c>
      <c r="DL24" s="233">
        <f t="shared" si="15"/>
        <v>0</v>
      </c>
      <c r="DM24" s="233">
        <f t="shared" si="15"/>
        <v>0</v>
      </c>
      <c r="DN24" s="233">
        <f t="shared" si="15"/>
        <v>0</v>
      </c>
      <c r="DO24" s="233">
        <f t="shared" si="15"/>
        <v>0</v>
      </c>
      <c r="DP24" s="233">
        <f>'Offshore CF'!DR24</f>
        <v>0</v>
      </c>
      <c r="DQ24" s="233">
        <f>'Offshore CF'!DS24</f>
        <v>0</v>
      </c>
      <c r="DR24" s="233">
        <f ca="1">IF(SUM(DR23:DR$24)=DR$22,0,IF(AND($K24&gt;=DR$15,$K24&lt;(DR$16+1)),DR$22/(DR$16-DR$15+1),0))</f>
        <v>0</v>
      </c>
      <c r="DS24" s="233" t="e">
        <f ca="1">IF(SUM(DS23:DS$24)=DS$22,0,IF(AND($K24&gt;=DS$15,$K24&lt;(DS$16+1)),DS$22/(DS$16-DS$15+1),0))</f>
        <v>#REF!</v>
      </c>
      <c r="DT24" s="233" t="e">
        <f ca="1">IF(SUM(DT23:DT$24)=DT$22,0,IF(AND(K24&gt;=DT$15,K24&lt;(DT$16+1)),DT$22/(DT$16-DT$15+1),0))</f>
        <v>#REF!</v>
      </c>
      <c r="DU24" s="233" t="e">
        <f ca="1">IF(SUM(DU23:DU$24)=DU$22,0,IF(AND($K24&gt;=DU$15,$K24&lt;(DU$16+1)),DU$22/(DU$16-DU$15+1),0))</f>
        <v>#REF!</v>
      </c>
      <c r="DV24" s="233">
        <f ca="1">IF(SUM(DV23:DV$24)=DV$22,0,IF(AND($K24&gt;=DV$15,$K24&lt;(DV$16+1)),DV$22/(DV$16-DV$15+1),0))</f>
        <v>0</v>
      </c>
      <c r="DW24" s="233">
        <f ca="1">IF(SUM(DW23:DW$24)=DW$22,0,IF(AND($K24&gt;=DW$15,$K24&lt;(DW$16+1)),DW$22/(DW$16-DW$15+1),0))</f>
        <v>0</v>
      </c>
      <c r="DX24" s="233">
        <f ca="1">IF(SUM(DX23:DX$24)=DX$22,0,IF(AND($K24&gt;=DX$15,$K24&lt;(DX$16+1)),DX$22/(DX$16-DX$15+1),0))</f>
        <v>0</v>
      </c>
      <c r="DY24" s="233">
        <f ca="1">IF(SUM(DY23:DY$24)=DY$22,0,IF(AND($K24&gt;=DY$15,$K24&lt;(DY$16+1)),DY$22/(DY$16-DY$15+1),0))</f>
        <v>0</v>
      </c>
      <c r="DZ24" s="749"/>
      <c r="EA24" s="749">
        <f t="shared" ref="EA24:EA55" si="16">K24</f>
        <v>1</v>
      </c>
      <c r="EB24" s="749" t="e">
        <f t="shared" ref="EB24:EB55" ca="1" si="17">SUM(M24:DY24)</f>
        <v>#REF!</v>
      </c>
      <c r="EC24" s="750" t="e">
        <f t="shared" ref="EC24:EC55" ca="1" si="18">EB24/EB$22</f>
        <v>#REF!</v>
      </c>
      <c r="ED24" s="749" t="e">
        <f ca="1">$ED$22*EC24</f>
        <v>#REF!</v>
      </c>
      <c r="EE24" s="749"/>
      <c r="EF24" s="749"/>
      <c r="EG24" s="749"/>
      <c r="EH24" s="749"/>
      <c r="EI24" s="714" t="e">
        <f t="shared" ref="EI24:EI87" ca="1" si="19">SUM(EB24,ED24:EH24)</f>
        <v>#REF!</v>
      </c>
      <c r="EJ24" s="233" t="e">
        <f ca="1">IF(SUM(EJ23:EJ$24)=EJ$22,0,IF(AND($K24&gt;=EJ$15,$K24&lt;(EJ$16+1)),EJ$22/(EJ$16-EJ$15+1),0))</f>
        <v>#REF!</v>
      </c>
      <c r="EK24" s="714" t="e">
        <f ca="1">SUM(EI24:EJ24)</f>
        <v>#REF!</v>
      </c>
      <c r="EM24" s="60"/>
      <c r="EN24" s="60"/>
    </row>
    <row r="25" spans="1:174">
      <c r="A25" s="220"/>
      <c r="B25" s="236">
        <f t="shared" ref="B25:B88" si="20">B24+1</f>
        <v>2</v>
      </c>
      <c r="C25" s="221">
        <f t="shared" ref="C25:C88" si="21">C24+30.4167</f>
        <v>43501.416700000002</v>
      </c>
      <c r="D25" s="746" t="e">
        <f t="shared" ref="D25:D88" ca="1" si="22">E25*G$3</f>
        <v>#DIV/0!</v>
      </c>
      <c r="E25" s="747" t="e">
        <f ca="1">IF(E24&gt;=1,1,ROUND(F25*100,0)/100+0.02)</f>
        <v>#DIV/0!</v>
      </c>
      <c r="F25" s="748" t="e">
        <f ca="1">IF(F24=0,0,SUM($G$24:G25))</f>
        <v>#DIV/0!</v>
      </c>
      <c r="G25" s="225" t="e">
        <f t="shared" ca="1" si="5"/>
        <v>#DIV/0!</v>
      </c>
      <c r="H25" s="746">
        <f t="shared" ref="H25:H88" ca="1" si="23">IF(ISERROR(SUM(EK25)),0,SUM(EK25))</f>
        <v>0</v>
      </c>
      <c r="I25" s="60"/>
      <c r="J25" s="228"/>
      <c r="K25" s="228">
        <f t="shared" si="6"/>
        <v>2</v>
      </c>
      <c r="L25" s="221">
        <f t="shared" si="7"/>
        <v>43501.416700000002</v>
      </c>
      <c r="M25" s="229">
        <f t="shared" si="8"/>
        <v>0</v>
      </c>
      <c r="N25" s="229">
        <f t="shared" si="8"/>
        <v>0</v>
      </c>
      <c r="O25" s="229">
        <f t="shared" si="8"/>
        <v>0</v>
      </c>
      <c r="P25" s="229">
        <f t="shared" si="8"/>
        <v>0</v>
      </c>
      <c r="Q25" s="229">
        <f t="shared" si="8"/>
        <v>0</v>
      </c>
      <c r="R25" s="229">
        <f t="shared" si="9"/>
        <v>0</v>
      </c>
      <c r="S25" s="229">
        <f t="shared" si="9"/>
        <v>0</v>
      </c>
      <c r="T25" s="229">
        <f t="shared" si="9"/>
        <v>0</v>
      </c>
      <c r="U25" s="229">
        <f t="shared" si="8"/>
        <v>0</v>
      </c>
      <c r="V25" s="229">
        <f t="shared" si="8"/>
        <v>0</v>
      </c>
      <c r="W25" s="229">
        <f t="shared" si="8"/>
        <v>0</v>
      </c>
      <c r="X25" s="229">
        <f t="shared" si="8"/>
        <v>0</v>
      </c>
      <c r="Y25" s="229">
        <f t="shared" si="8"/>
        <v>0</v>
      </c>
      <c r="Z25" s="229">
        <f t="shared" si="8"/>
        <v>0</v>
      </c>
      <c r="AA25" s="229">
        <f t="shared" si="8"/>
        <v>0</v>
      </c>
      <c r="AB25" s="229">
        <f t="shared" si="8"/>
        <v>0</v>
      </c>
      <c r="AC25" s="229">
        <f t="shared" si="8"/>
        <v>0</v>
      </c>
      <c r="AD25" s="229">
        <f t="shared" si="8"/>
        <v>0</v>
      </c>
      <c r="AE25" s="229">
        <f t="shared" si="8"/>
        <v>0</v>
      </c>
      <c r="AF25" s="229">
        <f t="shared" si="8"/>
        <v>0</v>
      </c>
      <c r="AG25" s="229">
        <f t="shared" si="8"/>
        <v>0</v>
      </c>
      <c r="AH25" s="229">
        <f t="shared" si="8"/>
        <v>0</v>
      </c>
      <c r="AI25" s="229">
        <f t="shared" si="8"/>
        <v>0</v>
      </c>
      <c r="AJ25" s="229">
        <f t="shared" si="8"/>
        <v>0</v>
      </c>
      <c r="AK25" s="229">
        <f t="shared" si="8"/>
        <v>0</v>
      </c>
      <c r="AL25" s="229">
        <f t="shared" si="8"/>
        <v>0</v>
      </c>
      <c r="AM25" s="229">
        <f t="shared" si="8"/>
        <v>0</v>
      </c>
      <c r="AN25" s="229">
        <f t="shared" si="8"/>
        <v>0</v>
      </c>
      <c r="AO25" s="229">
        <f t="shared" si="8"/>
        <v>0</v>
      </c>
      <c r="AP25" s="229">
        <f t="shared" si="8"/>
        <v>0</v>
      </c>
      <c r="AQ25" s="229">
        <f t="shared" si="8"/>
        <v>0</v>
      </c>
      <c r="AR25" s="229">
        <f t="shared" si="10"/>
        <v>0</v>
      </c>
      <c r="AS25" s="229">
        <f t="shared" si="10"/>
        <v>0</v>
      </c>
      <c r="AT25" s="229">
        <f t="shared" si="10"/>
        <v>0</v>
      </c>
      <c r="AU25" s="229">
        <f t="shared" si="10"/>
        <v>0</v>
      </c>
      <c r="AV25" s="229">
        <f t="shared" si="10"/>
        <v>0</v>
      </c>
      <c r="AW25" s="229">
        <f t="shared" si="10"/>
        <v>0</v>
      </c>
      <c r="AX25" s="229">
        <f t="shared" si="10"/>
        <v>0</v>
      </c>
      <c r="AY25" s="229">
        <f t="shared" si="10"/>
        <v>0</v>
      </c>
      <c r="AZ25" s="229">
        <f t="shared" si="10"/>
        <v>0</v>
      </c>
      <c r="BA25" s="229">
        <f t="shared" si="10"/>
        <v>0</v>
      </c>
      <c r="BB25" s="229">
        <f t="shared" si="10"/>
        <v>0</v>
      </c>
      <c r="BC25" s="229">
        <f t="shared" si="11"/>
        <v>0</v>
      </c>
      <c r="BD25" s="229">
        <f t="shared" si="11"/>
        <v>0</v>
      </c>
      <c r="BE25" s="229">
        <f t="shared" si="11"/>
        <v>0</v>
      </c>
      <c r="BF25" s="229">
        <f t="shared" si="11"/>
        <v>0</v>
      </c>
      <c r="BG25" s="229">
        <f t="shared" si="11"/>
        <v>0</v>
      </c>
      <c r="BH25" s="229">
        <f t="shared" si="11"/>
        <v>0</v>
      </c>
      <c r="BI25" s="229">
        <f t="shared" si="11"/>
        <v>0</v>
      </c>
      <c r="BJ25" s="229">
        <f t="shared" si="11"/>
        <v>0</v>
      </c>
      <c r="BK25" s="229">
        <f t="shared" si="11"/>
        <v>0</v>
      </c>
      <c r="BL25" s="229">
        <f t="shared" si="11"/>
        <v>0</v>
      </c>
      <c r="BM25" s="229">
        <f t="shared" si="12"/>
        <v>0</v>
      </c>
      <c r="BN25" s="229">
        <f t="shared" si="12"/>
        <v>0</v>
      </c>
      <c r="BO25" s="229">
        <f t="shared" si="13"/>
        <v>0</v>
      </c>
      <c r="BP25" s="229">
        <f t="shared" si="13"/>
        <v>0</v>
      </c>
      <c r="BQ25" s="229">
        <f t="shared" si="13"/>
        <v>0</v>
      </c>
      <c r="BR25" s="229">
        <f t="shared" si="12"/>
        <v>0</v>
      </c>
      <c r="BS25" s="229">
        <f t="shared" si="12"/>
        <v>0</v>
      </c>
      <c r="BT25" s="229">
        <f t="shared" si="12"/>
        <v>0</v>
      </c>
      <c r="BU25" s="229">
        <f t="shared" si="12"/>
        <v>0</v>
      </c>
      <c r="BV25" s="229">
        <f t="shared" si="12"/>
        <v>0</v>
      </c>
      <c r="BW25" s="229">
        <f t="shared" si="12"/>
        <v>0</v>
      </c>
      <c r="BX25" s="229">
        <f t="shared" si="12"/>
        <v>0</v>
      </c>
      <c r="BY25" s="229">
        <f t="shared" si="12"/>
        <v>0</v>
      </c>
      <c r="BZ25" s="229">
        <f t="shared" si="12"/>
        <v>0</v>
      </c>
      <c r="CA25" s="229">
        <f t="shared" si="12"/>
        <v>0</v>
      </c>
      <c r="CB25" s="229">
        <f t="shared" si="14"/>
        <v>0</v>
      </c>
      <c r="CC25" s="229">
        <f t="shared" si="14"/>
        <v>0</v>
      </c>
      <c r="CD25" s="229">
        <f t="shared" si="14"/>
        <v>0</v>
      </c>
      <c r="CE25" s="229">
        <f t="shared" si="14"/>
        <v>0</v>
      </c>
      <c r="CF25" s="229">
        <f t="shared" si="14"/>
        <v>0</v>
      </c>
      <c r="CG25" s="229">
        <f t="shared" si="14"/>
        <v>0</v>
      </c>
      <c r="CH25" s="229">
        <f t="shared" si="14"/>
        <v>0</v>
      </c>
      <c r="CI25" s="229">
        <f t="shared" si="14"/>
        <v>0</v>
      </c>
      <c r="CJ25" s="229">
        <f t="shared" si="14"/>
        <v>0</v>
      </c>
      <c r="CK25" s="229">
        <f t="shared" si="14"/>
        <v>0</v>
      </c>
      <c r="CL25" s="229">
        <f t="shared" si="14"/>
        <v>0</v>
      </c>
      <c r="CM25" s="229">
        <f t="shared" si="14"/>
        <v>0</v>
      </c>
      <c r="CN25" s="229">
        <f t="shared" si="14"/>
        <v>0</v>
      </c>
      <c r="CO25" s="229">
        <f t="shared" si="14"/>
        <v>0</v>
      </c>
      <c r="CP25" s="229">
        <f t="shared" si="14"/>
        <v>0</v>
      </c>
      <c r="CQ25" s="229">
        <f t="shared" si="14"/>
        <v>0</v>
      </c>
      <c r="CR25" s="229">
        <f t="shared" si="14"/>
        <v>0</v>
      </c>
      <c r="CS25" s="230"/>
      <c r="CT25" s="231"/>
      <c r="CU25" s="231"/>
      <c r="CV25" s="231"/>
      <c r="CW25" s="231"/>
      <c r="CX25" s="231"/>
      <c r="CY25" s="231"/>
      <c r="CZ25" s="231"/>
      <c r="DB25" s="233">
        <f t="shared" si="15"/>
        <v>0</v>
      </c>
      <c r="DC25" s="233">
        <f t="shared" si="15"/>
        <v>0</v>
      </c>
      <c r="DD25" s="233">
        <f t="shared" si="15"/>
        <v>0</v>
      </c>
      <c r="DE25" s="233">
        <f t="shared" si="15"/>
        <v>0</v>
      </c>
      <c r="DF25" s="233">
        <f t="shared" si="15"/>
        <v>0</v>
      </c>
      <c r="DG25" s="233">
        <f t="shared" si="15"/>
        <v>0</v>
      </c>
      <c r="DH25" s="233">
        <f t="shared" si="15"/>
        <v>0</v>
      </c>
      <c r="DI25" s="233">
        <f t="shared" si="15"/>
        <v>0</v>
      </c>
      <c r="DJ25" s="233">
        <f t="shared" si="15"/>
        <v>0</v>
      </c>
      <c r="DK25" s="233">
        <f t="shared" si="15"/>
        <v>0</v>
      </c>
      <c r="DL25" s="233">
        <f t="shared" si="15"/>
        <v>0</v>
      </c>
      <c r="DM25" s="233">
        <f t="shared" si="15"/>
        <v>0</v>
      </c>
      <c r="DN25" s="233">
        <f t="shared" si="15"/>
        <v>0</v>
      </c>
      <c r="DO25" s="233">
        <f t="shared" si="15"/>
        <v>0</v>
      </c>
      <c r="DP25" s="233">
        <f>'Offshore CF'!DR25</f>
        <v>0</v>
      </c>
      <c r="DQ25" s="233">
        <f>'Offshore CF'!DS25</f>
        <v>0</v>
      </c>
      <c r="DR25" s="233">
        <f ca="1">IF(SUM(DR24:DR$24)=DR$22,0,IF(AND($K25&gt;=DR$15,$K25&lt;(DR$16+1)),DR$22/(DR$16-DR$15+1),0))</f>
        <v>0</v>
      </c>
      <c r="DS25" s="233" t="e">
        <f ca="1">IF(SUM(DS24:DS$24)=DS$22,0,IF(AND($K25&gt;=DS$15,$K25&lt;(DS$16+1)),DS$22/(DS$16-DS$15+1),0))</f>
        <v>#REF!</v>
      </c>
      <c r="DT25" s="233" t="e">
        <f ca="1">IF(SUM(DT24:DT$24)=DT$22,0,IF(AND(K25&gt;=DT$15,K25&lt;(DT$16+1)),DT$22/(DT$16-DT$15+1),0))</f>
        <v>#REF!</v>
      </c>
      <c r="DU25" s="233" t="e">
        <f ca="1">IF(SUM(DU24:DU$24)=DU$22,0,IF(AND($K25&gt;=DU$15,$K25&lt;(DU$16+1)),DU$22/(DU$16-DU$15+1),0))</f>
        <v>#REF!</v>
      </c>
      <c r="DV25" s="233">
        <f ca="1">IF(SUM(DV24:DV$24)=DV$22,0,IF(AND($K25&gt;=DV$15,$K25&lt;(DV$16+1)),DV$22/(DV$16-DV$15+1),0))</f>
        <v>0</v>
      </c>
      <c r="DW25" s="233">
        <f ca="1">IF(SUM(DW24:DW$24)=DW$22,0,IF(AND($K25&gt;=DW$15,$K25&lt;(DW$16+1)),DW$22/(DW$16-DW$15+1),0))</f>
        <v>0</v>
      </c>
      <c r="DX25" s="233">
        <f ca="1">IF(SUM(DX24:DX$24)=DX$22,0,IF(AND($K25&gt;=DX$15,$K25&lt;(DX$16+1)),DX$22/(DX$16-DX$15+1),0))</f>
        <v>0</v>
      </c>
      <c r="DY25" s="233">
        <f ca="1">IF(SUM(DY24:DY$24)=DY$22,0,IF(AND($K25&gt;=DY$15,$K25&lt;(DY$16+1)),DY$22/(DY$16-DY$15+1),0))</f>
        <v>0</v>
      </c>
      <c r="EA25" s="749">
        <f t="shared" si="16"/>
        <v>2</v>
      </c>
      <c r="EB25" s="749" t="e">
        <f t="shared" ca="1" si="17"/>
        <v>#REF!</v>
      </c>
      <c r="EC25" s="750" t="e">
        <f t="shared" ca="1" si="18"/>
        <v>#REF!</v>
      </c>
      <c r="ED25" s="749" t="e">
        <f ca="1">$ED$22*EC25</f>
        <v>#REF!</v>
      </c>
      <c r="EE25" s="749"/>
      <c r="EF25" s="749"/>
      <c r="EG25" s="749"/>
      <c r="EH25" s="749"/>
      <c r="EI25" s="714" t="e">
        <f t="shared" ca="1" si="19"/>
        <v>#REF!</v>
      </c>
      <c r="EJ25" s="233" t="e">
        <f ca="1">IF(SUM(EJ24:EJ$24)=EJ$22,0,IF(AND($K25&gt;=EJ$15,$K25&lt;(EJ$16+1)),EJ$22/(EJ$16-EJ$15+1),0))</f>
        <v>#REF!</v>
      </c>
      <c r="EK25" s="714" t="e">
        <f t="shared" ref="EK25:EK55" ca="1" si="24">SUM(EI25:EJ25)</f>
        <v>#REF!</v>
      </c>
      <c r="EM25" s="60"/>
      <c r="EN25" s="60"/>
    </row>
    <row r="26" spans="1:174">
      <c r="A26" s="220"/>
      <c r="B26" s="236">
        <f t="shared" si="20"/>
        <v>3</v>
      </c>
      <c r="C26" s="221">
        <f t="shared" si="21"/>
        <v>43531.833400000003</v>
      </c>
      <c r="D26" s="746" t="e">
        <f t="shared" ca="1" si="22"/>
        <v>#DIV/0!</v>
      </c>
      <c r="E26" s="747" t="e">
        <f t="shared" ref="E26:E89" ca="1" si="25">IF(E25&gt;=1,1,ROUND(F26*100,0)/100+0.02)</f>
        <v>#DIV/0!</v>
      </c>
      <c r="F26" s="748" t="e">
        <f ca="1">IF(F25=0,0,SUM($G$24:G26))</f>
        <v>#DIV/0!</v>
      </c>
      <c r="G26" s="225" t="e">
        <f t="shared" ca="1" si="5"/>
        <v>#DIV/0!</v>
      </c>
      <c r="H26" s="746">
        <f t="shared" ca="1" si="23"/>
        <v>0</v>
      </c>
      <c r="I26" s="60"/>
      <c r="J26" s="228"/>
      <c r="K26" s="228">
        <f t="shared" si="6"/>
        <v>3</v>
      </c>
      <c r="L26" s="221">
        <f t="shared" si="7"/>
        <v>43531.833400000003</v>
      </c>
      <c r="M26" s="229">
        <f t="shared" si="8"/>
        <v>0</v>
      </c>
      <c r="N26" s="229">
        <f t="shared" si="8"/>
        <v>0</v>
      </c>
      <c r="O26" s="229">
        <f t="shared" si="8"/>
        <v>0</v>
      </c>
      <c r="P26" s="229">
        <f t="shared" si="8"/>
        <v>0</v>
      </c>
      <c r="Q26" s="229">
        <f t="shared" si="8"/>
        <v>0</v>
      </c>
      <c r="R26" s="229">
        <f t="shared" si="9"/>
        <v>0</v>
      </c>
      <c r="S26" s="229">
        <f t="shared" si="9"/>
        <v>0</v>
      </c>
      <c r="T26" s="229">
        <f t="shared" si="9"/>
        <v>0</v>
      </c>
      <c r="U26" s="229">
        <f t="shared" si="8"/>
        <v>0</v>
      </c>
      <c r="V26" s="229">
        <f t="shared" si="8"/>
        <v>0</v>
      </c>
      <c r="W26" s="229">
        <f t="shared" si="8"/>
        <v>0</v>
      </c>
      <c r="X26" s="229">
        <f t="shared" si="8"/>
        <v>0</v>
      </c>
      <c r="Y26" s="229">
        <f t="shared" si="8"/>
        <v>0</v>
      </c>
      <c r="Z26" s="229">
        <f t="shared" si="8"/>
        <v>0</v>
      </c>
      <c r="AA26" s="229">
        <f t="shared" si="8"/>
        <v>0</v>
      </c>
      <c r="AB26" s="229">
        <f t="shared" si="8"/>
        <v>0</v>
      </c>
      <c r="AC26" s="229">
        <f t="shared" si="8"/>
        <v>0</v>
      </c>
      <c r="AD26" s="229">
        <f t="shared" si="8"/>
        <v>0</v>
      </c>
      <c r="AE26" s="229">
        <f t="shared" si="8"/>
        <v>0</v>
      </c>
      <c r="AF26" s="229">
        <f t="shared" si="8"/>
        <v>0</v>
      </c>
      <c r="AG26" s="229">
        <f t="shared" si="8"/>
        <v>0</v>
      </c>
      <c r="AH26" s="229">
        <f t="shared" si="8"/>
        <v>0</v>
      </c>
      <c r="AI26" s="229">
        <f t="shared" si="8"/>
        <v>0</v>
      </c>
      <c r="AJ26" s="229">
        <f t="shared" si="8"/>
        <v>0</v>
      </c>
      <c r="AK26" s="229">
        <f t="shared" si="8"/>
        <v>0</v>
      </c>
      <c r="AL26" s="229">
        <f t="shared" si="8"/>
        <v>0</v>
      </c>
      <c r="AM26" s="229">
        <f t="shared" si="8"/>
        <v>0</v>
      </c>
      <c r="AN26" s="229">
        <f t="shared" si="8"/>
        <v>0</v>
      </c>
      <c r="AO26" s="229">
        <f t="shared" si="8"/>
        <v>0</v>
      </c>
      <c r="AP26" s="229">
        <f t="shared" si="8"/>
        <v>0</v>
      </c>
      <c r="AQ26" s="229">
        <f t="shared" si="8"/>
        <v>0</v>
      </c>
      <c r="AR26" s="229">
        <f t="shared" si="10"/>
        <v>0</v>
      </c>
      <c r="AS26" s="229">
        <f t="shared" si="10"/>
        <v>0</v>
      </c>
      <c r="AT26" s="229">
        <f t="shared" si="10"/>
        <v>0</v>
      </c>
      <c r="AU26" s="229">
        <f t="shared" si="10"/>
        <v>0</v>
      </c>
      <c r="AV26" s="229">
        <f t="shared" si="10"/>
        <v>0</v>
      </c>
      <c r="AW26" s="229">
        <f t="shared" si="10"/>
        <v>0</v>
      </c>
      <c r="AX26" s="229">
        <f t="shared" si="10"/>
        <v>0</v>
      </c>
      <c r="AY26" s="229">
        <f t="shared" si="10"/>
        <v>0</v>
      </c>
      <c r="AZ26" s="229">
        <f t="shared" si="10"/>
        <v>0</v>
      </c>
      <c r="BA26" s="229">
        <f t="shared" si="10"/>
        <v>0</v>
      </c>
      <c r="BB26" s="229">
        <f t="shared" si="10"/>
        <v>0</v>
      </c>
      <c r="BC26" s="229">
        <f t="shared" si="11"/>
        <v>0</v>
      </c>
      <c r="BD26" s="229">
        <f t="shared" si="11"/>
        <v>0</v>
      </c>
      <c r="BE26" s="229">
        <f t="shared" si="11"/>
        <v>0</v>
      </c>
      <c r="BF26" s="229">
        <f t="shared" si="11"/>
        <v>0</v>
      </c>
      <c r="BG26" s="229">
        <f t="shared" si="11"/>
        <v>0</v>
      </c>
      <c r="BH26" s="229">
        <f t="shared" si="11"/>
        <v>0</v>
      </c>
      <c r="BI26" s="229">
        <f t="shared" si="11"/>
        <v>0</v>
      </c>
      <c r="BJ26" s="229">
        <f t="shared" si="11"/>
        <v>0</v>
      </c>
      <c r="BK26" s="229">
        <f t="shared" si="11"/>
        <v>0</v>
      </c>
      <c r="BL26" s="229">
        <f t="shared" si="11"/>
        <v>0</v>
      </c>
      <c r="BM26" s="229">
        <f t="shared" si="12"/>
        <v>0</v>
      </c>
      <c r="BN26" s="229">
        <f t="shared" si="12"/>
        <v>0</v>
      </c>
      <c r="BO26" s="229">
        <f t="shared" si="13"/>
        <v>0</v>
      </c>
      <c r="BP26" s="229">
        <f t="shared" si="13"/>
        <v>0</v>
      </c>
      <c r="BQ26" s="229">
        <f t="shared" si="13"/>
        <v>0</v>
      </c>
      <c r="BR26" s="229">
        <f t="shared" si="12"/>
        <v>0</v>
      </c>
      <c r="BS26" s="229">
        <f t="shared" si="12"/>
        <v>0</v>
      </c>
      <c r="BT26" s="229">
        <f t="shared" si="12"/>
        <v>0</v>
      </c>
      <c r="BU26" s="229">
        <f t="shared" si="12"/>
        <v>0</v>
      </c>
      <c r="BV26" s="229">
        <f t="shared" si="12"/>
        <v>0</v>
      </c>
      <c r="BW26" s="229">
        <f t="shared" si="12"/>
        <v>0</v>
      </c>
      <c r="BX26" s="229">
        <f t="shared" si="12"/>
        <v>0</v>
      </c>
      <c r="BY26" s="229">
        <f t="shared" si="12"/>
        <v>0</v>
      </c>
      <c r="BZ26" s="229">
        <f t="shared" si="12"/>
        <v>0</v>
      </c>
      <c r="CA26" s="229">
        <f t="shared" si="12"/>
        <v>0</v>
      </c>
      <c r="CB26" s="229">
        <f t="shared" si="14"/>
        <v>0</v>
      </c>
      <c r="CC26" s="229">
        <f t="shared" si="14"/>
        <v>0</v>
      </c>
      <c r="CD26" s="229">
        <f t="shared" si="14"/>
        <v>0</v>
      </c>
      <c r="CE26" s="229">
        <f t="shared" si="14"/>
        <v>0</v>
      </c>
      <c r="CF26" s="229">
        <f t="shared" si="14"/>
        <v>0</v>
      </c>
      <c r="CG26" s="229">
        <f t="shared" si="14"/>
        <v>0</v>
      </c>
      <c r="CH26" s="229">
        <f t="shared" si="14"/>
        <v>0</v>
      </c>
      <c r="CI26" s="229">
        <f t="shared" si="14"/>
        <v>0</v>
      </c>
      <c r="CJ26" s="229">
        <f t="shared" si="14"/>
        <v>0</v>
      </c>
      <c r="CK26" s="229">
        <f t="shared" si="14"/>
        <v>0</v>
      </c>
      <c r="CL26" s="229">
        <f t="shared" si="14"/>
        <v>0</v>
      </c>
      <c r="CM26" s="229">
        <f t="shared" si="14"/>
        <v>0</v>
      </c>
      <c r="CN26" s="229">
        <f t="shared" si="14"/>
        <v>0</v>
      </c>
      <c r="CO26" s="229">
        <f t="shared" si="14"/>
        <v>0</v>
      </c>
      <c r="CP26" s="229">
        <f t="shared" si="14"/>
        <v>0</v>
      </c>
      <c r="CQ26" s="229">
        <f t="shared" si="14"/>
        <v>0</v>
      </c>
      <c r="CR26" s="229">
        <f t="shared" si="14"/>
        <v>0</v>
      </c>
      <c r="CS26" s="230"/>
      <c r="CT26" s="231"/>
      <c r="CU26" s="231"/>
      <c r="CV26" s="231"/>
      <c r="CW26" s="231"/>
      <c r="CX26" s="231"/>
      <c r="CY26" s="231"/>
      <c r="CZ26" s="231"/>
      <c r="DB26" s="231">
        <f t="shared" si="15"/>
        <v>0</v>
      </c>
      <c r="DC26" s="231">
        <f t="shared" si="15"/>
        <v>0</v>
      </c>
      <c r="DD26" s="231">
        <f t="shared" si="15"/>
        <v>0</v>
      </c>
      <c r="DE26" s="231">
        <f t="shared" si="15"/>
        <v>0</v>
      </c>
      <c r="DF26" s="231">
        <f t="shared" si="15"/>
        <v>0</v>
      </c>
      <c r="DG26" s="231">
        <f t="shared" si="15"/>
        <v>0</v>
      </c>
      <c r="DH26" s="231">
        <f t="shared" si="15"/>
        <v>0</v>
      </c>
      <c r="DI26" s="231">
        <f t="shared" si="15"/>
        <v>0</v>
      </c>
      <c r="DJ26" s="231">
        <f t="shared" si="15"/>
        <v>0</v>
      </c>
      <c r="DK26" s="231">
        <f t="shared" si="15"/>
        <v>0</v>
      </c>
      <c r="DL26" s="231">
        <f t="shared" si="15"/>
        <v>0</v>
      </c>
      <c r="DM26" s="231">
        <f t="shared" si="15"/>
        <v>0</v>
      </c>
      <c r="DN26" s="231">
        <f t="shared" si="15"/>
        <v>0</v>
      </c>
      <c r="DO26" s="231">
        <f t="shared" si="15"/>
        <v>0</v>
      </c>
      <c r="DP26" s="233">
        <f>'Offshore CF'!DR26</f>
        <v>0</v>
      </c>
      <c r="DQ26" s="233">
        <f>'Offshore CF'!DS26</f>
        <v>0</v>
      </c>
      <c r="DR26" s="231">
        <f ca="1">IF(SUM(DR$24:DR25)=DR$22,0,IF(AND($K26&gt;=DR$15,$K26&lt;(DR$16+1)),DR$22/(DR$16-DR$15+1),0))</f>
        <v>0</v>
      </c>
      <c r="DS26" s="231" t="e">
        <f ca="1">IF(SUM(DS$24:DS25)=DS$22,0,IF(AND($K26&gt;=DS$15,$K26&lt;(DS$16+1)),DS$22/(DS$16-DS$15+1),0))</f>
        <v>#REF!</v>
      </c>
      <c r="DT26" s="231" t="e">
        <f ca="1">IF(SUM(DT$24:DT25)=DT$22,0,IF(AND(K26&gt;=DT$15,K26&lt;(DT$16+1)),DT$22/(DT$16-DT$15+1),0))</f>
        <v>#REF!</v>
      </c>
      <c r="DU26" s="231" t="e">
        <f ca="1">IF(SUM(DU$24:DU25)=DU$22,0,IF(AND($K26&gt;=DU$15,$K26&lt;(DU$16+1)),DU$22/(DU$16-DU$15+1),0))</f>
        <v>#REF!</v>
      </c>
      <c r="DV26" s="231">
        <f ca="1">IF(SUM(DV$24:DV25)=DV$22,0,IF(AND($K26&gt;=DV$15,$K26&lt;(DV$16+1)),DV$22/(DV$16-DV$15+1),0))</f>
        <v>0</v>
      </c>
      <c r="DW26" s="231">
        <f ca="1">IF(SUM(DW$24:DW25)=DW$22,0,IF(AND($K26&gt;=DW$15,$K26&lt;(DW$16+1)),DW$22/(DW$16-DW$15+1),0))</f>
        <v>0</v>
      </c>
      <c r="DX26" s="231">
        <f ca="1">IF(SUM(DX$24:DX25)=DX$22,0,IF(AND($K26&gt;=DX$15,$K26&lt;(DX$16+1)),DX$22/(DX$16-DX$15+1),0))</f>
        <v>0</v>
      </c>
      <c r="DY26" s="231">
        <f ca="1">IF(SUM(DY$24:DY25)=DY$22,0,IF(AND($K26&gt;=DY$15,$K26&lt;(DY$16+1)),DY$22/(DY$16-DY$15+1),0))</f>
        <v>0</v>
      </c>
      <c r="EA26" s="749">
        <f t="shared" si="16"/>
        <v>3</v>
      </c>
      <c r="EB26" s="749" t="e">
        <f t="shared" ca="1" si="17"/>
        <v>#REF!</v>
      </c>
      <c r="EC26" s="750" t="e">
        <f t="shared" ca="1" si="18"/>
        <v>#REF!</v>
      </c>
      <c r="ED26" s="749" t="e">
        <f ca="1">$ED$22*EC26</f>
        <v>#REF!</v>
      </c>
      <c r="EE26" s="749"/>
      <c r="EF26" s="749"/>
      <c r="EG26" s="749"/>
      <c r="EH26" s="749"/>
      <c r="EI26" s="714" t="e">
        <f ca="1">SUM(EB26,ED26:EH26)</f>
        <v>#REF!</v>
      </c>
      <c r="EJ26" s="231" t="e">
        <f ca="1">IF(SUM(EJ$24:EJ25)=EJ$22,0,IF(AND($K26&gt;=EJ$15,$K26&lt;(EJ$16+1)),EJ$22/(EJ$16-EJ$15+1),0))</f>
        <v>#REF!</v>
      </c>
      <c r="EK26" s="714" t="e">
        <f t="shared" ca="1" si="24"/>
        <v>#REF!</v>
      </c>
      <c r="EM26" s="60"/>
      <c r="EN26" s="60"/>
    </row>
    <row r="27" spans="1:174">
      <c r="A27" s="220"/>
      <c r="B27" s="236">
        <f t="shared" si="20"/>
        <v>4</v>
      </c>
      <c r="C27" s="221">
        <f t="shared" si="21"/>
        <v>43562.250100000005</v>
      </c>
      <c r="D27" s="746" t="e">
        <f t="shared" ca="1" si="22"/>
        <v>#DIV/0!</v>
      </c>
      <c r="E27" s="747" t="e">
        <f t="shared" ca="1" si="25"/>
        <v>#DIV/0!</v>
      </c>
      <c r="F27" s="748" t="e">
        <f ca="1">IF(F26=0,0,SUM($G$24:G27))</f>
        <v>#DIV/0!</v>
      </c>
      <c r="G27" s="225" t="e">
        <f t="shared" ca="1" si="5"/>
        <v>#DIV/0!</v>
      </c>
      <c r="H27" s="746">
        <f t="shared" ca="1" si="23"/>
        <v>0</v>
      </c>
      <c r="I27" s="60"/>
      <c r="J27" s="228"/>
      <c r="K27" s="228">
        <f t="shared" si="6"/>
        <v>4</v>
      </c>
      <c r="L27" s="221">
        <f t="shared" si="7"/>
        <v>43562.250100000005</v>
      </c>
      <c r="M27" s="229">
        <f t="shared" si="8"/>
        <v>0</v>
      </c>
      <c r="N27" s="229">
        <f t="shared" si="8"/>
        <v>0</v>
      </c>
      <c r="O27" s="229">
        <f t="shared" si="8"/>
        <v>0</v>
      </c>
      <c r="P27" s="229">
        <f t="shared" si="8"/>
        <v>0</v>
      </c>
      <c r="Q27" s="229">
        <f t="shared" si="8"/>
        <v>0</v>
      </c>
      <c r="R27" s="229">
        <f t="shared" si="9"/>
        <v>0</v>
      </c>
      <c r="S27" s="229">
        <f t="shared" si="9"/>
        <v>0</v>
      </c>
      <c r="T27" s="229">
        <f t="shared" si="9"/>
        <v>0</v>
      </c>
      <c r="U27" s="229">
        <f t="shared" si="8"/>
        <v>0</v>
      </c>
      <c r="V27" s="229">
        <f t="shared" si="8"/>
        <v>0</v>
      </c>
      <c r="W27" s="229">
        <f t="shared" si="8"/>
        <v>0</v>
      </c>
      <c r="X27" s="229">
        <f t="shared" si="8"/>
        <v>0</v>
      </c>
      <c r="Y27" s="229">
        <f t="shared" si="8"/>
        <v>0</v>
      </c>
      <c r="Z27" s="229">
        <f t="shared" si="8"/>
        <v>0</v>
      </c>
      <c r="AA27" s="229">
        <f t="shared" si="8"/>
        <v>0</v>
      </c>
      <c r="AB27" s="229">
        <f t="shared" si="8"/>
        <v>0</v>
      </c>
      <c r="AC27" s="229">
        <f t="shared" si="8"/>
        <v>0</v>
      </c>
      <c r="AD27" s="229">
        <f t="shared" si="8"/>
        <v>0</v>
      </c>
      <c r="AE27" s="229">
        <f t="shared" si="8"/>
        <v>0</v>
      </c>
      <c r="AF27" s="229">
        <f t="shared" si="8"/>
        <v>0</v>
      </c>
      <c r="AG27" s="229">
        <f t="shared" si="8"/>
        <v>0</v>
      </c>
      <c r="AH27" s="229">
        <f t="shared" si="8"/>
        <v>0</v>
      </c>
      <c r="AI27" s="229">
        <f t="shared" si="8"/>
        <v>0</v>
      </c>
      <c r="AJ27" s="229">
        <f t="shared" si="8"/>
        <v>0</v>
      </c>
      <c r="AK27" s="229">
        <f t="shared" si="8"/>
        <v>0</v>
      </c>
      <c r="AL27" s="229">
        <f t="shared" si="8"/>
        <v>0</v>
      </c>
      <c r="AM27" s="229">
        <f t="shared" si="8"/>
        <v>0</v>
      </c>
      <c r="AN27" s="229">
        <f t="shared" si="8"/>
        <v>0</v>
      </c>
      <c r="AO27" s="229">
        <f t="shared" si="8"/>
        <v>0</v>
      </c>
      <c r="AP27" s="229">
        <f t="shared" si="8"/>
        <v>0</v>
      </c>
      <c r="AQ27" s="229">
        <f t="shared" si="8"/>
        <v>0</v>
      </c>
      <c r="AR27" s="229">
        <f t="shared" si="10"/>
        <v>0</v>
      </c>
      <c r="AS27" s="229">
        <f t="shared" si="10"/>
        <v>0</v>
      </c>
      <c r="AT27" s="229">
        <f t="shared" si="10"/>
        <v>0</v>
      </c>
      <c r="AU27" s="229">
        <f t="shared" si="10"/>
        <v>0</v>
      </c>
      <c r="AV27" s="229">
        <f t="shared" si="10"/>
        <v>0</v>
      </c>
      <c r="AW27" s="229">
        <f t="shared" si="10"/>
        <v>0</v>
      </c>
      <c r="AX27" s="229">
        <f t="shared" si="10"/>
        <v>0</v>
      </c>
      <c r="AY27" s="229">
        <f t="shared" si="10"/>
        <v>0</v>
      </c>
      <c r="AZ27" s="229">
        <f t="shared" si="10"/>
        <v>0</v>
      </c>
      <c r="BA27" s="229">
        <f t="shared" si="10"/>
        <v>0</v>
      </c>
      <c r="BB27" s="229">
        <f t="shared" si="10"/>
        <v>0</v>
      </c>
      <c r="BC27" s="229">
        <f t="shared" si="11"/>
        <v>0</v>
      </c>
      <c r="BD27" s="229">
        <f t="shared" si="11"/>
        <v>0</v>
      </c>
      <c r="BE27" s="229">
        <f t="shared" si="11"/>
        <v>0</v>
      </c>
      <c r="BF27" s="229">
        <f t="shared" si="11"/>
        <v>0</v>
      </c>
      <c r="BG27" s="229">
        <f t="shared" si="11"/>
        <v>0</v>
      </c>
      <c r="BH27" s="229">
        <f t="shared" si="11"/>
        <v>0</v>
      </c>
      <c r="BI27" s="229">
        <f t="shared" si="11"/>
        <v>0</v>
      </c>
      <c r="BJ27" s="229">
        <f t="shared" si="11"/>
        <v>0</v>
      </c>
      <c r="BK27" s="229">
        <f t="shared" si="11"/>
        <v>0</v>
      </c>
      <c r="BL27" s="229">
        <f t="shared" si="11"/>
        <v>0</v>
      </c>
      <c r="BM27" s="229">
        <f t="shared" si="12"/>
        <v>0</v>
      </c>
      <c r="BN27" s="229">
        <f t="shared" si="12"/>
        <v>0</v>
      </c>
      <c r="BO27" s="229">
        <f t="shared" si="13"/>
        <v>0</v>
      </c>
      <c r="BP27" s="229">
        <f t="shared" si="13"/>
        <v>0</v>
      </c>
      <c r="BQ27" s="229">
        <f t="shared" si="13"/>
        <v>0</v>
      </c>
      <c r="BR27" s="229">
        <f t="shared" si="12"/>
        <v>0</v>
      </c>
      <c r="BS27" s="229">
        <f t="shared" si="12"/>
        <v>0</v>
      </c>
      <c r="BT27" s="229">
        <f t="shared" si="12"/>
        <v>0</v>
      </c>
      <c r="BU27" s="229">
        <f t="shared" si="12"/>
        <v>0</v>
      </c>
      <c r="BV27" s="229">
        <f t="shared" si="12"/>
        <v>0</v>
      </c>
      <c r="BW27" s="229">
        <f t="shared" si="12"/>
        <v>0</v>
      </c>
      <c r="BX27" s="229">
        <f t="shared" si="12"/>
        <v>0</v>
      </c>
      <c r="BY27" s="229">
        <f t="shared" si="12"/>
        <v>0</v>
      </c>
      <c r="BZ27" s="229">
        <f t="shared" si="12"/>
        <v>0</v>
      </c>
      <c r="CA27" s="229">
        <f t="shared" si="12"/>
        <v>0</v>
      </c>
      <c r="CB27" s="229">
        <f t="shared" si="14"/>
        <v>0</v>
      </c>
      <c r="CC27" s="229">
        <f t="shared" si="14"/>
        <v>0</v>
      </c>
      <c r="CD27" s="229">
        <f t="shared" si="14"/>
        <v>0</v>
      </c>
      <c r="CE27" s="229">
        <f t="shared" si="14"/>
        <v>0</v>
      </c>
      <c r="CF27" s="229">
        <f t="shared" si="14"/>
        <v>0</v>
      </c>
      <c r="CG27" s="229">
        <f t="shared" si="14"/>
        <v>0</v>
      </c>
      <c r="CH27" s="229">
        <f t="shared" si="14"/>
        <v>0</v>
      </c>
      <c r="CI27" s="229">
        <f t="shared" si="14"/>
        <v>0</v>
      </c>
      <c r="CJ27" s="229">
        <f t="shared" si="14"/>
        <v>0</v>
      </c>
      <c r="CK27" s="229">
        <f t="shared" si="14"/>
        <v>0</v>
      </c>
      <c r="CL27" s="229">
        <f t="shared" si="14"/>
        <v>0</v>
      </c>
      <c r="CM27" s="229">
        <f t="shared" si="14"/>
        <v>0</v>
      </c>
      <c r="CN27" s="229">
        <f t="shared" si="14"/>
        <v>0</v>
      </c>
      <c r="CO27" s="229">
        <f t="shared" si="14"/>
        <v>0</v>
      </c>
      <c r="CP27" s="229">
        <f t="shared" si="14"/>
        <v>0</v>
      </c>
      <c r="CQ27" s="229">
        <f t="shared" si="14"/>
        <v>0</v>
      </c>
      <c r="CR27" s="229">
        <f t="shared" si="14"/>
        <v>0</v>
      </c>
      <c r="CS27" s="230"/>
      <c r="CT27" s="231"/>
      <c r="CU27" s="231"/>
      <c r="CV27" s="231"/>
      <c r="CW27" s="231"/>
      <c r="CX27" s="231"/>
      <c r="CY27" s="231"/>
      <c r="CZ27" s="231"/>
      <c r="DB27" s="231">
        <f t="shared" si="15"/>
        <v>0</v>
      </c>
      <c r="DC27" s="231">
        <f t="shared" si="15"/>
        <v>0</v>
      </c>
      <c r="DD27" s="231">
        <f t="shared" si="15"/>
        <v>0</v>
      </c>
      <c r="DE27" s="231">
        <f t="shared" si="15"/>
        <v>0</v>
      </c>
      <c r="DF27" s="231">
        <f t="shared" si="15"/>
        <v>0</v>
      </c>
      <c r="DG27" s="231">
        <f t="shared" si="15"/>
        <v>0</v>
      </c>
      <c r="DH27" s="231">
        <f t="shared" si="15"/>
        <v>0</v>
      </c>
      <c r="DI27" s="231">
        <f t="shared" si="15"/>
        <v>0</v>
      </c>
      <c r="DJ27" s="231">
        <f t="shared" si="15"/>
        <v>0</v>
      </c>
      <c r="DK27" s="231">
        <f t="shared" si="15"/>
        <v>0</v>
      </c>
      <c r="DL27" s="231">
        <f t="shared" si="15"/>
        <v>0</v>
      </c>
      <c r="DM27" s="231">
        <f t="shared" si="15"/>
        <v>0</v>
      </c>
      <c r="DN27" s="231">
        <f t="shared" si="15"/>
        <v>0</v>
      </c>
      <c r="DO27" s="231">
        <f t="shared" si="15"/>
        <v>0</v>
      </c>
      <c r="DP27" s="233">
        <f>'Offshore CF'!DR27</f>
        <v>0</v>
      </c>
      <c r="DQ27" s="233">
        <f>'Offshore CF'!DS27</f>
        <v>0</v>
      </c>
      <c r="DR27" s="231">
        <f ca="1">IF(SUM(DR$24:DR26)=DR$22,0,IF(AND($K27&gt;=DR$15,$K27&lt;(DR$16+1)),DR$22/(DR$16-DR$15+1),0))</f>
        <v>0</v>
      </c>
      <c r="DS27" s="231" t="e">
        <f ca="1">IF(SUM(DS$24:DS26)=DS$22,0,IF(AND($K27&gt;=DS$15,$K27&lt;(DS$16+1)),DS$22/(DS$16-DS$15+1),0))</f>
        <v>#REF!</v>
      </c>
      <c r="DT27" s="231" t="e">
        <f ca="1">IF(SUM(DT$24:DT26)=DT$22,0,IF(AND(K27&gt;=DT$15,K27&lt;(DT$16+1)),DT$22/(DT$16-DT$15+1),0))</f>
        <v>#REF!</v>
      </c>
      <c r="DU27" s="231" t="e">
        <f ca="1">IF(SUM(DU$24:DU26)=DU$22,0,IF(AND($K27&gt;=DU$15,$K27&lt;(DU$16+1)),DU$22/(DU$16-DU$15+1),0))</f>
        <v>#REF!</v>
      </c>
      <c r="DV27" s="231">
        <f ca="1">IF(SUM(DV$24:DV26)=DV$22,0,IF(AND($K27&gt;=DV$15,$K27&lt;(DV$16+1)),DV$22/(DV$16-DV$15+1),0))</f>
        <v>0</v>
      </c>
      <c r="DW27" s="231">
        <f ca="1">IF(SUM(DW$24:DW26)=DW$22,0,IF(AND($K27&gt;=DW$15,$K27&lt;(DW$16+1)),DW$22/(DW$16-DW$15+1),0))</f>
        <v>0</v>
      </c>
      <c r="DX27" s="231">
        <f ca="1">IF(SUM(DX$24:DX26)=DX$22,0,IF(AND($K27&gt;=DX$15,$K27&lt;(DX$16+1)),DX$22/(DX$16-DX$15+1),0))</f>
        <v>0</v>
      </c>
      <c r="DY27" s="231">
        <f ca="1">IF(SUM(DY$24:DY26)=DY$22,0,IF(AND($K27&gt;=DY$15,$K27&lt;(DY$16+1)),DY$22/(DY$16-DY$15+1),0))</f>
        <v>0</v>
      </c>
      <c r="EA27" s="749">
        <f t="shared" si="16"/>
        <v>4</v>
      </c>
      <c r="EB27" s="749" t="e">
        <f t="shared" ca="1" si="17"/>
        <v>#REF!</v>
      </c>
      <c r="EC27" s="750" t="e">
        <f t="shared" ca="1" si="18"/>
        <v>#REF!</v>
      </c>
      <c r="ED27" s="749" t="e">
        <f ca="1">$ED$22*EC27</f>
        <v>#REF!</v>
      </c>
      <c r="EE27" s="749"/>
      <c r="EF27" s="749"/>
      <c r="EG27" s="749"/>
      <c r="EH27" s="749"/>
      <c r="EI27" s="714" t="e">
        <f t="shared" ca="1" si="19"/>
        <v>#REF!</v>
      </c>
      <c r="EJ27" s="231" t="e">
        <f ca="1">IF(SUM(EJ$24:EJ26)=EJ$22,0,IF(AND($K27&gt;=EJ$15,$K27&lt;(EJ$16+1)),EJ$22/(EJ$16-EJ$15+1),0))</f>
        <v>#REF!</v>
      </c>
      <c r="EK27" s="714" t="e">
        <f t="shared" ca="1" si="24"/>
        <v>#REF!</v>
      </c>
      <c r="EM27" s="60"/>
      <c r="EN27" s="60"/>
    </row>
    <row r="28" spans="1:174">
      <c r="A28" s="220"/>
      <c r="B28" s="236">
        <f t="shared" si="20"/>
        <v>5</v>
      </c>
      <c r="C28" s="221">
        <f t="shared" si="21"/>
        <v>43592.666800000006</v>
      </c>
      <c r="D28" s="746" t="e">
        <f t="shared" ca="1" si="22"/>
        <v>#DIV/0!</v>
      </c>
      <c r="E28" s="747" t="e">
        <f t="shared" ca="1" si="25"/>
        <v>#DIV/0!</v>
      </c>
      <c r="F28" s="748" t="e">
        <f ca="1">IF(F27=0,0,SUM($G$24:G28))</f>
        <v>#DIV/0!</v>
      </c>
      <c r="G28" s="225" t="e">
        <f t="shared" ca="1" si="5"/>
        <v>#DIV/0!</v>
      </c>
      <c r="H28" s="746">
        <f t="shared" ca="1" si="23"/>
        <v>0</v>
      </c>
      <c r="I28" s="60"/>
      <c r="J28" s="228"/>
      <c r="K28" s="228">
        <f t="shared" si="6"/>
        <v>5</v>
      </c>
      <c r="L28" s="221">
        <f t="shared" si="7"/>
        <v>43592.666800000006</v>
      </c>
      <c r="M28" s="229">
        <f t="shared" si="8"/>
        <v>0</v>
      </c>
      <c r="N28" s="229">
        <f t="shared" si="8"/>
        <v>0</v>
      </c>
      <c r="O28" s="229">
        <f t="shared" si="8"/>
        <v>0</v>
      </c>
      <c r="P28" s="229">
        <f t="shared" si="8"/>
        <v>0</v>
      </c>
      <c r="Q28" s="229">
        <f t="shared" si="8"/>
        <v>0</v>
      </c>
      <c r="R28" s="229">
        <f t="shared" si="9"/>
        <v>0</v>
      </c>
      <c r="S28" s="229">
        <f t="shared" si="9"/>
        <v>0</v>
      </c>
      <c r="T28" s="229">
        <f t="shared" si="9"/>
        <v>0</v>
      </c>
      <c r="U28" s="229">
        <f t="shared" si="8"/>
        <v>0</v>
      </c>
      <c r="V28" s="229">
        <f t="shared" si="8"/>
        <v>0</v>
      </c>
      <c r="W28" s="229">
        <f t="shared" si="8"/>
        <v>0</v>
      </c>
      <c r="X28" s="229">
        <f t="shared" si="8"/>
        <v>0</v>
      </c>
      <c r="Y28" s="229">
        <f t="shared" si="8"/>
        <v>0</v>
      </c>
      <c r="Z28" s="229">
        <f t="shared" si="8"/>
        <v>0</v>
      </c>
      <c r="AA28" s="229">
        <f t="shared" si="8"/>
        <v>0</v>
      </c>
      <c r="AB28" s="229">
        <f t="shared" si="8"/>
        <v>0</v>
      </c>
      <c r="AC28" s="229">
        <f t="shared" si="8"/>
        <v>0</v>
      </c>
      <c r="AD28" s="229">
        <f t="shared" si="8"/>
        <v>0</v>
      </c>
      <c r="AE28" s="229">
        <f t="shared" si="8"/>
        <v>0</v>
      </c>
      <c r="AF28" s="229">
        <f t="shared" si="8"/>
        <v>0</v>
      </c>
      <c r="AG28" s="229">
        <f t="shared" si="8"/>
        <v>0</v>
      </c>
      <c r="AH28" s="229">
        <f t="shared" si="8"/>
        <v>0</v>
      </c>
      <c r="AI28" s="229">
        <f t="shared" si="8"/>
        <v>0</v>
      </c>
      <c r="AJ28" s="229">
        <f t="shared" si="8"/>
        <v>0</v>
      </c>
      <c r="AK28" s="229">
        <f t="shared" si="8"/>
        <v>0</v>
      </c>
      <c r="AL28" s="229">
        <f t="shared" si="8"/>
        <v>0</v>
      </c>
      <c r="AM28" s="229">
        <f t="shared" si="8"/>
        <v>0</v>
      </c>
      <c r="AN28" s="229">
        <f t="shared" si="8"/>
        <v>0</v>
      </c>
      <c r="AO28" s="229">
        <f t="shared" si="8"/>
        <v>0</v>
      </c>
      <c r="AP28" s="229">
        <f t="shared" si="8"/>
        <v>0</v>
      </c>
      <c r="AQ28" s="229">
        <f t="shared" si="8"/>
        <v>0</v>
      </c>
      <c r="AR28" s="229">
        <f t="shared" si="10"/>
        <v>0</v>
      </c>
      <c r="AS28" s="229">
        <f t="shared" si="10"/>
        <v>0</v>
      </c>
      <c r="AT28" s="229">
        <f t="shared" si="10"/>
        <v>0</v>
      </c>
      <c r="AU28" s="229">
        <f t="shared" si="10"/>
        <v>0</v>
      </c>
      <c r="AV28" s="229">
        <f t="shared" si="10"/>
        <v>0</v>
      </c>
      <c r="AW28" s="229">
        <f t="shared" si="10"/>
        <v>0</v>
      </c>
      <c r="AX28" s="229">
        <f t="shared" si="10"/>
        <v>0</v>
      </c>
      <c r="AY28" s="229">
        <f t="shared" si="10"/>
        <v>0</v>
      </c>
      <c r="AZ28" s="229">
        <f t="shared" si="10"/>
        <v>0</v>
      </c>
      <c r="BA28" s="229">
        <f t="shared" si="10"/>
        <v>0</v>
      </c>
      <c r="BB28" s="229">
        <f t="shared" si="10"/>
        <v>0</v>
      </c>
      <c r="BC28" s="229">
        <f t="shared" si="11"/>
        <v>0</v>
      </c>
      <c r="BD28" s="229">
        <f t="shared" si="11"/>
        <v>0</v>
      </c>
      <c r="BE28" s="229">
        <f t="shared" si="11"/>
        <v>0</v>
      </c>
      <c r="BF28" s="229">
        <f t="shared" si="11"/>
        <v>0</v>
      </c>
      <c r="BG28" s="229">
        <f t="shared" si="11"/>
        <v>0</v>
      </c>
      <c r="BH28" s="229">
        <f t="shared" si="11"/>
        <v>0</v>
      </c>
      <c r="BI28" s="229">
        <f t="shared" si="11"/>
        <v>0</v>
      </c>
      <c r="BJ28" s="229">
        <f t="shared" si="11"/>
        <v>0</v>
      </c>
      <c r="BK28" s="229">
        <f t="shared" si="11"/>
        <v>0</v>
      </c>
      <c r="BL28" s="229">
        <f t="shared" si="11"/>
        <v>0</v>
      </c>
      <c r="BM28" s="229">
        <f t="shared" si="12"/>
        <v>0</v>
      </c>
      <c r="BN28" s="229">
        <f t="shared" si="12"/>
        <v>0</v>
      </c>
      <c r="BO28" s="229">
        <f t="shared" si="13"/>
        <v>0</v>
      </c>
      <c r="BP28" s="229">
        <f t="shared" si="13"/>
        <v>0</v>
      </c>
      <c r="BQ28" s="229">
        <f t="shared" si="13"/>
        <v>0</v>
      </c>
      <c r="BR28" s="229">
        <f t="shared" si="12"/>
        <v>0</v>
      </c>
      <c r="BS28" s="229">
        <f t="shared" si="12"/>
        <v>0</v>
      </c>
      <c r="BT28" s="229">
        <f t="shared" si="12"/>
        <v>0</v>
      </c>
      <c r="BU28" s="229">
        <f t="shared" si="12"/>
        <v>0</v>
      </c>
      <c r="BV28" s="229">
        <f t="shared" si="12"/>
        <v>0</v>
      </c>
      <c r="BW28" s="229">
        <f t="shared" si="12"/>
        <v>0</v>
      </c>
      <c r="BX28" s="229">
        <f t="shared" si="12"/>
        <v>0</v>
      </c>
      <c r="BY28" s="229">
        <f t="shared" si="12"/>
        <v>0</v>
      </c>
      <c r="BZ28" s="229">
        <f t="shared" si="12"/>
        <v>0</v>
      </c>
      <c r="CA28" s="229">
        <f t="shared" si="12"/>
        <v>0</v>
      </c>
      <c r="CB28" s="229">
        <f t="shared" si="14"/>
        <v>0</v>
      </c>
      <c r="CC28" s="229">
        <f t="shared" si="14"/>
        <v>0</v>
      </c>
      <c r="CD28" s="229">
        <f t="shared" si="14"/>
        <v>0</v>
      </c>
      <c r="CE28" s="229">
        <f t="shared" si="14"/>
        <v>0</v>
      </c>
      <c r="CF28" s="229">
        <f t="shared" si="14"/>
        <v>0</v>
      </c>
      <c r="CG28" s="229">
        <f t="shared" si="14"/>
        <v>0</v>
      </c>
      <c r="CH28" s="229">
        <f t="shared" si="14"/>
        <v>0</v>
      </c>
      <c r="CI28" s="229">
        <f t="shared" si="14"/>
        <v>0</v>
      </c>
      <c r="CJ28" s="229">
        <f t="shared" si="14"/>
        <v>0</v>
      </c>
      <c r="CK28" s="229">
        <f t="shared" si="14"/>
        <v>0</v>
      </c>
      <c r="CL28" s="229">
        <f t="shared" si="14"/>
        <v>0</v>
      </c>
      <c r="CM28" s="229">
        <f t="shared" si="14"/>
        <v>0</v>
      </c>
      <c r="CN28" s="229">
        <f t="shared" si="14"/>
        <v>0</v>
      </c>
      <c r="CO28" s="229">
        <f t="shared" si="14"/>
        <v>0</v>
      </c>
      <c r="CP28" s="229">
        <f t="shared" si="14"/>
        <v>0</v>
      </c>
      <c r="CQ28" s="229">
        <f t="shared" si="14"/>
        <v>0</v>
      </c>
      <c r="CR28" s="229">
        <f t="shared" si="14"/>
        <v>0</v>
      </c>
      <c r="CS28" s="230"/>
      <c r="CT28" s="231">
        <f>CT22/4</f>
        <v>0</v>
      </c>
      <c r="CU28" s="231">
        <f>CU22/4</f>
        <v>0</v>
      </c>
      <c r="CV28" s="231"/>
      <c r="CW28" s="231" t="e">
        <f ca="1">CW22/4</f>
        <v>#N/A</v>
      </c>
      <c r="CX28" s="231"/>
      <c r="CY28" s="231" t="e">
        <f ca="1">CY22</f>
        <v>#N/A</v>
      </c>
      <c r="CZ28" s="231" t="e">
        <f ca="1">CZ22</f>
        <v>#N/A</v>
      </c>
      <c r="DB28" s="231">
        <f t="shared" si="15"/>
        <v>0</v>
      </c>
      <c r="DC28" s="231">
        <f t="shared" si="15"/>
        <v>0</v>
      </c>
      <c r="DD28" s="231">
        <f t="shared" si="15"/>
        <v>0</v>
      </c>
      <c r="DE28" s="231">
        <f t="shared" si="15"/>
        <v>0</v>
      </c>
      <c r="DF28" s="231">
        <f t="shared" si="15"/>
        <v>0</v>
      </c>
      <c r="DG28" s="231">
        <f t="shared" si="15"/>
        <v>0</v>
      </c>
      <c r="DH28" s="231">
        <f t="shared" si="15"/>
        <v>0</v>
      </c>
      <c r="DI28" s="231">
        <f t="shared" si="15"/>
        <v>0</v>
      </c>
      <c r="DJ28" s="231">
        <f t="shared" si="15"/>
        <v>0</v>
      </c>
      <c r="DK28" s="231">
        <f t="shared" si="15"/>
        <v>0</v>
      </c>
      <c r="DL28" s="231">
        <f t="shared" si="15"/>
        <v>0</v>
      </c>
      <c r="DM28" s="231">
        <f t="shared" si="15"/>
        <v>0</v>
      </c>
      <c r="DN28" s="231">
        <f t="shared" si="15"/>
        <v>0</v>
      </c>
      <c r="DO28" s="231">
        <f t="shared" si="15"/>
        <v>0</v>
      </c>
      <c r="DP28" s="231">
        <f>'Offshore CF'!DR28</f>
        <v>0.24</v>
      </c>
      <c r="DQ28" s="231">
        <f>'Offshore CF'!DS28</f>
        <v>0.29866666666666669</v>
      </c>
      <c r="DR28" s="231">
        <f ca="1">IF(SUM(DR$24:DR27)=DR$22,0,IF(AND($K28&gt;=DR$15,$K28&lt;(DR$16+1)),DR$22/(DR$16-DR$15+1),0))</f>
        <v>0</v>
      </c>
      <c r="DS28" s="231" t="e">
        <f ca="1">IF(SUM(DS$24:DS27)=DS$22,0,IF(AND($K28&gt;=DS$15,$K28&lt;(DS$16+1)),DS$22/(DS$16-DS$15+1),0))</f>
        <v>#REF!</v>
      </c>
      <c r="DT28" s="231" t="e">
        <f ca="1">IF(SUM(DT$24:DT27)=DT$22,0,IF(AND(K28&gt;=DT$15,K28&lt;(DT$16+1)),DT$22/(DT$16-DT$15+1),0))</f>
        <v>#REF!</v>
      </c>
      <c r="DU28" s="231" t="e">
        <f ca="1">IF(SUM(DU$24:DU27)=DU$22,0,IF(AND($K28&gt;=DU$15,$K28&lt;(DU$16+1)),DU$22/(DU$16-DU$15+1),0))</f>
        <v>#REF!</v>
      </c>
      <c r="DV28" s="231">
        <f ca="1">IF(SUM(DV$24:DV27)=DV$22,0,IF(AND($K28&gt;=DV$15,$K28&lt;(DV$16+1)),DV$22/(DV$16-DV$15+1),0))</f>
        <v>0</v>
      </c>
      <c r="DW28" s="231">
        <f ca="1">IF(SUM(DW$24:DW27)=DW$22,0,IF(AND($K28&gt;=DW$15,$K28&lt;(DW$16+1)),DW$22/(DW$16-DW$15+1),0))</f>
        <v>0</v>
      </c>
      <c r="DX28" s="231">
        <f ca="1">IF(SUM(DX$24:DX27)=DX$22,0,IF(AND($K28&gt;=DX$15,$K28&lt;(DX$16+1)),DX$22/(DX$16-DX$15+1),0))</f>
        <v>0</v>
      </c>
      <c r="DY28" s="231">
        <f ca="1">IF(SUM(DY$24:DY27)=DY$22,0,IF(AND($K28&gt;=DY$15,$K28&lt;(DY$16+1)),DY$22/(DY$16-DY$15+1),0))</f>
        <v>0</v>
      </c>
      <c r="EA28" s="749">
        <f t="shared" si="16"/>
        <v>5</v>
      </c>
      <c r="EB28" s="749" t="e">
        <f t="shared" ca="1" si="17"/>
        <v>#N/A</v>
      </c>
      <c r="EC28" s="750" t="e">
        <f t="shared" ca="1" si="18"/>
        <v>#N/A</v>
      </c>
      <c r="ED28" s="749"/>
      <c r="EE28" s="749"/>
      <c r="EF28" s="749"/>
      <c r="EG28" s="749"/>
      <c r="EH28" s="749"/>
      <c r="EI28" s="714" t="e">
        <f t="shared" ca="1" si="19"/>
        <v>#N/A</v>
      </c>
      <c r="EJ28" s="231" t="e">
        <f ca="1">IF(SUM(EJ$24:EJ27)=EJ$22,0,IF(AND($K28&gt;=EJ$15,$K28&lt;(EJ$16+1)),EJ$22/(EJ$16-EJ$15+1),0))</f>
        <v>#REF!</v>
      </c>
      <c r="EK28" s="714" t="e">
        <f t="shared" ca="1" si="24"/>
        <v>#N/A</v>
      </c>
      <c r="EM28" s="60"/>
      <c r="EN28" s="60"/>
    </row>
    <row r="29" spans="1:174">
      <c r="A29" s="220"/>
      <c r="B29" s="236">
        <f t="shared" si="20"/>
        <v>6</v>
      </c>
      <c r="C29" s="221">
        <f t="shared" si="21"/>
        <v>43623.083500000008</v>
      </c>
      <c r="D29" s="746" t="e">
        <f t="shared" ca="1" si="22"/>
        <v>#DIV/0!</v>
      </c>
      <c r="E29" s="747" t="e">
        <f t="shared" ca="1" si="25"/>
        <v>#DIV/0!</v>
      </c>
      <c r="F29" s="748" t="e">
        <f ca="1">IF(F28=0,0,SUM($G$24:G29))</f>
        <v>#DIV/0!</v>
      </c>
      <c r="G29" s="225" t="e">
        <f t="shared" ca="1" si="5"/>
        <v>#DIV/0!</v>
      </c>
      <c r="H29" s="746">
        <f t="shared" ca="1" si="23"/>
        <v>0</v>
      </c>
      <c r="I29" s="60"/>
      <c r="J29" s="228"/>
      <c r="K29" s="228">
        <f t="shared" si="6"/>
        <v>6</v>
      </c>
      <c r="L29" s="221">
        <f t="shared" si="7"/>
        <v>43623.083500000008</v>
      </c>
      <c r="M29" s="229">
        <f t="shared" si="8"/>
        <v>0</v>
      </c>
      <c r="N29" s="229">
        <f t="shared" si="8"/>
        <v>0</v>
      </c>
      <c r="O29" s="229">
        <f t="shared" si="8"/>
        <v>0</v>
      </c>
      <c r="P29" s="229">
        <f t="shared" si="8"/>
        <v>0</v>
      </c>
      <c r="Q29" s="229">
        <f t="shared" si="8"/>
        <v>0</v>
      </c>
      <c r="R29" s="229">
        <f t="shared" si="9"/>
        <v>0</v>
      </c>
      <c r="S29" s="229">
        <f t="shared" si="9"/>
        <v>0</v>
      </c>
      <c r="T29" s="229">
        <f t="shared" si="9"/>
        <v>0</v>
      </c>
      <c r="U29" s="229">
        <f t="shared" si="8"/>
        <v>0</v>
      </c>
      <c r="V29" s="229">
        <f t="shared" si="8"/>
        <v>0</v>
      </c>
      <c r="W29" s="229">
        <f t="shared" si="8"/>
        <v>0</v>
      </c>
      <c r="X29" s="229">
        <f t="shared" si="8"/>
        <v>0</v>
      </c>
      <c r="Y29" s="229">
        <f t="shared" si="8"/>
        <v>0</v>
      </c>
      <c r="Z29" s="229">
        <f t="shared" si="8"/>
        <v>0</v>
      </c>
      <c r="AA29" s="229">
        <f t="shared" si="8"/>
        <v>0</v>
      </c>
      <c r="AB29" s="229">
        <f t="shared" si="8"/>
        <v>0</v>
      </c>
      <c r="AC29" s="229">
        <f t="shared" si="8"/>
        <v>0</v>
      </c>
      <c r="AD29" s="229">
        <f t="shared" si="8"/>
        <v>0</v>
      </c>
      <c r="AE29" s="229">
        <f t="shared" si="8"/>
        <v>0</v>
      </c>
      <c r="AF29" s="229">
        <f t="shared" si="8"/>
        <v>0</v>
      </c>
      <c r="AG29" s="229">
        <f t="shared" si="8"/>
        <v>0</v>
      </c>
      <c r="AH29" s="229">
        <f t="shared" si="8"/>
        <v>0</v>
      </c>
      <c r="AI29" s="229">
        <f t="shared" si="8"/>
        <v>0</v>
      </c>
      <c r="AJ29" s="229">
        <f t="shared" si="8"/>
        <v>0</v>
      </c>
      <c r="AK29" s="229">
        <f t="shared" si="8"/>
        <v>0</v>
      </c>
      <c r="AL29" s="229">
        <f t="shared" si="8"/>
        <v>0</v>
      </c>
      <c r="AM29" s="229">
        <f t="shared" si="8"/>
        <v>0</v>
      </c>
      <c r="AN29" s="229">
        <f t="shared" si="8"/>
        <v>65.538788059516733</v>
      </c>
      <c r="AO29" s="229">
        <f t="shared" si="8"/>
        <v>0</v>
      </c>
      <c r="AP29" s="229">
        <f t="shared" si="8"/>
        <v>0</v>
      </c>
      <c r="AQ29" s="229">
        <f t="shared" si="8"/>
        <v>0</v>
      </c>
      <c r="AR29" s="229">
        <f t="shared" si="10"/>
        <v>0</v>
      </c>
      <c r="AS29" s="229">
        <f t="shared" si="10"/>
        <v>0</v>
      </c>
      <c r="AT29" s="229">
        <f t="shared" si="10"/>
        <v>0</v>
      </c>
      <c r="AU29" s="229">
        <f t="shared" si="10"/>
        <v>0</v>
      </c>
      <c r="AV29" s="229">
        <f t="shared" si="10"/>
        <v>0</v>
      </c>
      <c r="AW29" s="229">
        <f t="shared" si="10"/>
        <v>0</v>
      </c>
      <c r="AX29" s="229">
        <f t="shared" si="10"/>
        <v>0</v>
      </c>
      <c r="AY29" s="229">
        <f t="shared" si="10"/>
        <v>2.5126274849208827</v>
      </c>
      <c r="AZ29" s="229">
        <f t="shared" si="10"/>
        <v>0</v>
      </c>
      <c r="BA29" s="229">
        <f t="shared" si="10"/>
        <v>0</v>
      </c>
      <c r="BB29" s="229">
        <f t="shared" si="10"/>
        <v>0</v>
      </c>
      <c r="BC29" s="229">
        <f t="shared" si="11"/>
        <v>0</v>
      </c>
      <c r="BD29" s="229">
        <f t="shared" si="11"/>
        <v>0</v>
      </c>
      <c r="BE29" s="229">
        <f t="shared" si="11"/>
        <v>0</v>
      </c>
      <c r="BF29" s="229">
        <f t="shared" si="11"/>
        <v>0</v>
      </c>
      <c r="BG29" s="229">
        <f t="shared" si="11"/>
        <v>0</v>
      </c>
      <c r="BH29" s="229">
        <f t="shared" si="11"/>
        <v>0</v>
      </c>
      <c r="BI29" s="229">
        <f t="shared" si="11"/>
        <v>0</v>
      </c>
      <c r="BJ29" s="229">
        <f t="shared" si="11"/>
        <v>0</v>
      </c>
      <c r="BK29" s="229">
        <f t="shared" si="11"/>
        <v>0</v>
      </c>
      <c r="BL29" s="229">
        <f t="shared" si="11"/>
        <v>0</v>
      </c>
      <c r="BM29" s="229">
        <f t="shared" si="12"/>
        <v>0</v>
      </c>
      <c r="BN29" s="229">
        <f t="shared" si="12"/>
        <v>0</v>
      </c>
      <c r="BO29" s="229">
        <f t="shared" si="13"/>
        <v>0</v>
      </c>
      <c r="BP29" s="229">
        <f t="shared" si="13"/>
        <v>0</v>
      </c>
      <c r="BQ29" s="229">
        <f t="shared" si="13"/>
        <v>0</v>
      </c>
      <c r="BR29" s="229">
        <f t="shared" si="12"/>
        <v>0</v>
      </c>
      <c r="BS29" s="229">
        <f t="shared" si="12"/>
        <v>0</v>
      </c>
      <c r="BT29" s="229">
        <f t="shared" si="12"/>
        <v>0</v>
      </c>
      <c r="BU29" s="229">
        <f t="shared" si="12"/>
        <v>0</v>
      </c>
      <c r="BV29" s="229">
        <f t="shared" si="12"/>
        <v>0</v>
      </c>
      <c r="BW29" s="229">
        <f t="shared" si="12"/>
        <v>0</v>
      </c>
      <c r="BX29" s="229">
        <f t="shared" si="12"/>
        <v>0</v>
      </c>
      <c r="BY29" s="229">
        <f t="shared" si="12"/>
        <v>0</v>
      </c>
      <c r="BZ29" s="229">
        <f t="shared" si="12"/>
        <v>0</v>
      </c>
      <c r="CA29" s="229">
        <f t="shared" si="12"/>
        <v>0</v>
      </c>
      <c r="CB29" s="229">
        <f t="shared" si="14"/>
        <v>0</v>
      </c>
      <c r="CC29" s="229">
        <f t="shared" si="14"/>
        <v>0</v>
      </c>
      <c r="CD29" s="229">
        <f t="shared" si="14"/>
        <v>0</v>
      </c>
      <c r="CE29" s="229">
        <f t="shared" si="14"/>
        <v>0</v>
      </c>
      <c r="CF29" s="229">
        <f t="shared" si="14"/>
        <v>0</v>
      </c>
      <c r="CG29" s="229">
        <f t="shared" si="14"/>
        <v>0</v>
      </c>
      <c r="CH29" s="229">
        <f t="shared" si="14"/>
        <v>0</v>
      </c>
      <c r="CI29" s="229">
        <f t="shared" si="14"/>
        <v>0</v>
      </c>
      <c r="CJ29" s="229">
        <f t="shared" si="14"/>
        <v>0</v>
      </c>
      <c r="CK29" s="229">
        <f t="shared" si="14"/>
        <v>0</v>
      </c>
      <c r="CL29" s="229">
        <f t="shared" si="14"/>
        <v>0</v>
      </c>
      <c r="CM29" s="229">
        <f t="shared" si="14"/>
        <v>0</v>
      </c>
      <c r="CN29" s="229">
        <f t="shared" si="14"/>
        <v>0</v>
      </c>
      <c r="CO29" s="229">
        <f t="shared" si="14"/>
        <v>0</v>
      </c>
      <c r="CP29" s="229">
        <f t="shared" si="14"/>
        <v>0</v>
      </c>
      <c r="CQ29" s="229">
        <f t="shared" si="14"/>
        <v>0</v>
      </c>
      <c r="CR29" s="229">
        <f t="shared" si="14"/>
        <v>0</v>
      </c>
      <c r="CS29" s="230"/>
      <c r="CT29" s="231"/>
      <c r="CU29" s="231"/>
      <c r="CV29" s="231"/>
      <c r="CW29" s="231"/>
      <c r="CX29" s="231"/>
      <c r="CY29" s="231"/>
      <c r="CZ29" s="231"/>
      <c r="DB29" s="231">
        <f t="shared" si="15"/>
        <v>0</v>
      </c>
      <c r="DC29" s="231">
        <f t="shared" si="15"/>
        <v>0</v>
      </c>
      <c r="DD29" s="231">
        <f t="shared" si="15"/>
        <v>0</v>
      </c>
      <c r="DE29" s="231">
        <f t="shared" si="15"/>
        <v>0</v>
      </c>
      <c r="DF29" s="231">
        <f t="shared" si="15"/>
        <v>0</v>
      </c>
      <c r="DG29" s="231">
        <f t="shared" si="15"/>
        <v>0</v>
      </c>
      <c r="DH29" s="231">
        <f t="shared" si="15"/>
        <v>0</v>
      </c>
      <c r="DI29" s="231">
        <f t="shared" si="15"/>
        <v>0</v>
      </c>
      <c r="DJ29" s="231">
        <f t="shared" si="15"/>
        <v>0</v>
      </c>
      <c r="DK29" s="231">
        <f t="shared" si="15"/>
        <v>0</v>
      </c>
      <c r="DL29" s="231">
        <f t="shared" si="15"/>
        <v>0</v>
      </c>
      <c r="DM29" s="231">
        <f t="shared" si="15"/>
        <v>0</v>
      </c>
      <c r="DN29" s="231">
        <f t="shared" si="15"/>
        <v>0</v>
      </c>
      <c r="DO29" s="231">
        <f t="shared" si="15"/>
        <v>0</v>
      </c>
      <c r="DP29" s="231">
        <f>'Offshore CF'!DR29</f>
        <v>0.24</v>
      </c>
      <c r="DQ29" s="231">
        <f>'Offshore CF'!DS29</f>
        <v>0.29866666666666669</v>
      </c>
      <c r="DR29" s="231">
        <f ca="1">IF(SUM(DR$24:DR28)=DR$22,0,IF(AND($K29&gt;=DR$15,$K29&lt;(DR$16+1)),DR$22/(DR$16-DR$15+1),0))</f>
        <v>0</v>
      </c>
      <c r="DS29" s="231" t="e">
        <f ca="1">IF(SUM(DS$24:DS28)=DS$22,0,IF(AND($K29&gt;=DS$15,$K29&lt;(DS$16+1)),DS$22/(DS$16-DS$15+1),0))</f>
        <v>#REF!</v>
      </c>
      <c r="DT29" s="231" t="e">
        <f ca="1">IF(SUM(DT$24:DT28)=DT$22,0,IF(AND(K29&gt;=DT$15,K29&lt;(DT$16+1)),DT$22/(DT$16-DT$15+1),0))</f>
        <v>#REF!</v>
      </c>
      <c r="DU29" s="231" t="e">
        <f ca="1">IF(SUM(DU$24:DU28)=DU$22,0,IF(AND($K29&gt;=DU$15,$K29&lt;(DU$16+1)),DU$22/(DU$16-DU$15+1),0))</f>
        <v>#REF!</v>
      </c>
      <c r="DV29" s="231">
        <f ca="1">IF(SUM(DV$24:DV28)=DV$22,0,IF(AND($K29&gt;=DV$15,$K29&lt;(DV$16+1)),DV$22/(DV$16-DV$15+1),0))</f>
        <v>0</v>
      </c>
      <c r="DW29" s="231">
        <f ca="1">IF(SUM(DW$24:DW28)=DW$22,0,IF(AND($K29&gt;=DW$15,$K29&lt;(DW$16+1)),DW$22/(DW$16-DW$15+1),0))</f>
        <v>0</v>
      </c>
      <c r="DX29" s="231">
        <f ca="1">IF(SUM(DX$24:DX28)=DX$22,0,IF(AND($K29&gt;=DX$15,$K29&lt;(DX$16+1)),DX$22/(DX$16-DX$15+1),0))</f>
        <v>0</v>
      </c>
      <c r="DY29" s="231">
        <f ca="1">IF(SUM(DY$24:DY28)=DY$22,0,IF(AND($K29&gt;=DY$15,$K29&lt;(DY$16+1)),DY$22/(DY$16-DY$15+1),0))</f>
        <v>0</v>
      </c>
      <c r="EA29" s="749">
        <f t="shared" si="16"/>
        <v>6</v>
      </c>
      <c r="EB29" s="749" t="e">
        <f t="shared" ca="1" si="17"/>
        <v>#REF!</v>
      </c>
      <c r="EC29" s="750" t="e">
        <f t="shared" ca="1" si="18"/>
        <v>#REF!</v>
      </c>
      <c r="ED29" s="749"/>
      <c r="EE29" s="749"/>
      <c r="EF29" s="749"/>
      <c r="EG29" s="749"/>
      <c r="EH29" s="749"/>
      <c r="EI29" s="714" t="e">
        <f t="shared" ca="1" si="19"/>
        <v>#REF!</v>
      </c>
      <c r="EJ29" s="231" t="e">
        <f ca="1">IF(SUM(EJ$24:EJ28)=EJ$22,0,IF(AND($K29&gt;=EJ$15,$K29&lt;(EJ$16+1)),EJ$22/(EJ$16-EJ$15+1),0))</f>
        <v>#REF!</v>
      </c>
      <c r="EK29" s="714" t="e">
        <f t="shared" ca="1" si="24"/>
        <v>#REF!</v>
      </c>
      <c r="EM29" s="60"/>
      <c r="EN29" s="60"/>
    </row>
    <row r="30" spans="1:174">
      <c r="A30" s="220"/>
      <c r="B30" s="236">
        <f t="shared" si="20"/>
        <v>7</v>
      </c>
      <c r="C30" s="221">
        <f t="shared" si="21"/>
        <v>43653.500200000009</v>
      </c>
      <c r="D30" s="746" t="e">
        <f t="shared" ca="1" si="22"/>
        <v>#DIV/0!</v>
      </c>
      <c r="E30" s="747" t="e">
        <f t="shared" ca="1" si="25"/>
        <v>#DIV/0!</v>
      </c>
      <c r="F30" s="748" t="e">
        <f ca="1">IF(F29=0,0,SUM($G$24:G30))</f>
        <v>#DIV/0!</v>
      </c>
      <c r="G30" s="225" t="e">
        <f t="shared" ca="1" si="5"/>
        <v>#DIV/0!</v>
      </c>
      <c r="H30" s="746">
        <f t="shared" ca="1" si="23"/>
        <v>0</v>
      </c>
      <c r="I30" s="60"/>
      <c r="J30" s="228"/>
      <c r="K30" s="228">
        <f t="shared" si="6"/>
        <v>7</v>
      </c>
      <c r="L30" s="221">
        <f t="shared" si="7"/>
        <v>43653.500200000009</v>
      </c>
      <c r="M30" s="229">
        <f t="shared" si="8"/>
        <v>0</v>
      </c>
      <c r="N30" s="229">
        <f t="shared" si="8"/>
        <v>0</v>
      </c>
      <c r="O30" s="229">
        <f t="shared" si="8"/>
        <v>0</v>
      </c>
      <c r="P30" s="229">
        <f t="shared" si="8"/>
        <v>0</v>
      </c>
      <c r="Q30" s="229">
        <f t="shared" si="8"/>
        <v>0</v>
      </c>
      <c r="R30" s="229">
        <f t="shared" si="9"/>
        <v>0</v>
      </c>
      <c r="S30" s="229">
        <f t="shared" si="9"/>
        <v>0</v>
      </c>
      <c r="T30" s="229">
        <f t="shared" si="9"/>
        <v>0</v>
      </c>
      <c r="U30" s="229">
        <f t="shared" si="8"/>
        <v>0</v>
      </c>
      <c r="V30" s="229">
        <f t="shared" si="8"/>
        <v>0</v>
      </c>
      <c r="W30" s="229">
        <f t="shared" si="8"/>
        <v>0</v>
      </c>
      <c r="X30" s="229">
        <f t="shared" si="8"/>
        <v>0</v>
      </c>
      <c r="Y30" s="229">
        <f t="shared" si="8"/>
        <v>0</v>
      </c>
      <c r="Z30" s="229">
        <f t="shared" si="8"/>
        <v>0</v>
      </c>
      <c r="AA30" s="229">
        <f t="shared" si="8"/>
        <v>0</v>
      </c>
      <c r="AB30" s="229">
        <f t="shared" si="8"/>
        <v>0</v>
      </c>
      <c r="AC30" s="229">
        <f t="shared" si="8"/>
        <v>0</v>
      </c>
      <c r="AD30" s="229">
        <f t="shared" si="8"/>
        <v>0</v>
      </c>
      <c r="AE30" s="229">
        <f t="shared" si="8"/>
        <v>0</v>
      </c>
      <c r="AF30" s="229">
        <f t="shared" si="8"/>
        <v>0</v>
      </c>
      <c r="AG30" s="229">
        <f t="shared" si="8"/>
        <v>0</v>
      </c>
      <c r="AH30" s="229">
        <f t="shared" si="8"/>
        <v>0</v>
      </c>
      <c r="AI30" s="229">
        <f t="shared" si="8"/>
        <v>0</v>
      </c>
      <c r="AJ30" s="229">
        <f t="shared" si="8"/>
        <v>0</v>
      </c>
      <c r="AK30" s="229">
        <f t="shared" si="8"/>
        <v>0</v>
      </c>
      <c r="AL30" s="229">
        <f t="shared" si="8"/>
        <v>0</v>
      </c>
      <c r="AM30" s="229">
        <f t="shared" si="8"/>
        <v>0</v>
      </c>
      <c r="AN30" s="229">
        <f t="shared" si="8"/>
        <v>0</v>
      </c>
      <c r="AO30" s="229">
        <f t="shared" si="8"/>
        <v>0</v>
      </c>
      <c r="AP30" s="229">
        <f t="shared" si="8"/>
        <v>0</v>
      </c>
      <c r="AQ30" s="229">
        <f t="shared" si="8"/>
        <v>0</v>
      </c>
      <c r="AR30" s="229">
        <f t="shared" si="10"/>
        <v>0</v>
      </c>
      <c r="AS30" s="229">
        <f t="shared" si="10"/>
        <v>0</v>
      </c>
      <c r="AT30" s="229">
        <f t="shared" si="10"/>
        <v>0</v>
      </c>
      <c r="AU30" s="229">
        <f t="shared" si="10"/>
        <v>0</v>
      </c>
      <c r="AV30" s="229">
        <f t="shared" si="10"/>
        <v>0</v>
      </c>
      <c r="AW30" s="229">
        <f t="shared" si="10"/>
        <v>0</v>
      </c>
      <c r="AX30" s="229">
        <f t="shared" si="10"/>
        <v>0</v>
      </c>
      <c r="AY30" s="229">
        <f t="shared" si="10"/>
        <v>0</v>
      </c>
      <c r="AZ30" s="229">
        <f t="shared" si="10"/>
        <v>0</v>
      </c>
      <c r="BA30" s="229">
        <f t="shared" si="10"/>
        <v>0</v>
      </c>
      <c r="BB30" s="229">
        <f t="shared" si="10"/>
        <v>0</v>
      </c>
      <c r="BC30" s="229">
        <f t="shared" si="11"/>
        <v>0</v>
      </c>
      <c r="BD30" s="229">
        <f t="shared" si="11"/>
        <v>0</v>
      </c>
      <c r="BE30" s="229">
        <f t="shared" si="11"/>
        <v>0</v>
      </c>
      <c r="BF30" s="229">
        <f t="shared" si="11"/>
        <v>0</v>
      </c>
      <c r="BG30" s="229">
        <f t="shared" si="11"/>
        <v>0</v>
      </c>
      <c r="BH30" s="229">
        <f t="shared" si="11"/>
        <v>0</v>
      </c>
      <c r="BI30" s="229">
        <f t="shared" si="11"/>
        <v>0</v>
      </c>
      <c r="BJ30" s="229">
        <f t="shared" si="11"/>
        <v>0</v>
      </c>
      <c r="BK30" s="229">
        <f t="shared" si="11"/>
        <v>0</v>
      </c>
      <c r="BL30" s="229">
        <f t="shared" si="11"/>
        <v>0</v>
      </c>
      <c r="BM30" s="229">
        <f t="shared" si="12"/>
        <v>0</v>
      </c>
      <c r="BN30" s="229">
        <f t="shared" si="12"/>
        <v>0</v>
      </c>
      <c r="BO30" s="229">
        <f t="shared" si="13"/>
        <v>0</v>
      </c>
      <c r="BP30" s="229">
        <f t="shared" si="13"/>
        <v>0</v>
      </c>
      <c r="BQ30" s="229">
        <f t="shared" si="13"/>
        <v>0</v>
      </c>
      <c r="BR30" s="229">
        <f t="shared" si="12"/>
        <v>0</v>
      </c>
      <c r="BS30" s="229">
        <f t="shared" si="12"/>
        <v>0</v>
      </c>
      <c r="BT30" s="229">
        <f t="shared" si="12"/>
        <v>0</v>
      </c>
      <c r="BU30" s="229">
        <f t="shared" si="12"/>
        <v>0</v>
      </c>
      <c r="BV30" s="229">
        <f t="shared" si="12"/>
        <v>0</v>
      </c>
      <c r="BW30" s="229">
        <f t="shared" si="12"/>
        <v>0</v>
      </c>
      <c r="BX30" s="229">
        <f t="shared" si="12"/>
        <v>0</v>
      </c>
      <c r="BY30" s="229">
        <f t="shared" si="12"/>
        <v>0</v>
      </c>
      <c r="BZ30" s="229">
        <f t="shared" si="12"/>
        <v>0</v>
      </c>
      <c r="CA30" s="229">
        <f t="shared" si="12"/>
        <v>0</v>
      </c>
      <c r="CB30" s="229">
        <f t="shared" si="14"/>
        <v>0</v>
      </c>
      <c r="CC30" s="229">
        <f t="shared" si="14"/>
        <v>0</v>
      </c>
      <c r="CD30" s="229">
        <f t="shared" si="14"/>
        <v>0</v>
      </c>
      <c r="CE30" s="229">
        <f t="shared" si="14"/>
        <v>0</v>
      </c>
      <c r="CF30" s="229">
        <f t="shared" si="14"/>
        <v>0</v>
      </c>
      <c r="CG30" s="229">
        <f t="shared" si="14"/>
        <v>0</v>
      </c>
      <c r="CH30" s="229">
        <f t="shared" si="14"/>
        <v>0</v>
      </c>
      <c r="CI30" s="229">
        <f t="shared" si="14"/>
        <v>0</v>
      </c>
      <c r="CJ30" s="229">
        <f t="shared" si="14"/>
        <v>0</v>
      </c>
      <c r="CK30" s="229">
        <f t="shared" si="14"/>
        <v>0</v>
      </c>
      <c r="CL30" s="229">
        <f t="shared" si="14"/>
        <v>0</v>
      </c>
      <c r="CM30" s="229">
        <f t="shared" si="14"/>
        <v>0</v>
      </c>
      <c r="CN30" s="229">
        <f t="shared" si="14"/>
        <v>0</v>
      </c>
      <c r="CO30" s="229">
        <f t="shared" si="14"/>
        <v>0</v>
      </c>
      <c r="CP30" s="229">
        <f t="shared" si="14"/>
        <v>0</v>
      </c>
      <c r="CQ30" s="229">
        <f t="shared" si="14"/>
        <v>0</v>
      </c>
      <c r="CR30" s="229">
        <f t="shared" si="14"/>
        <v>0</v>
      </c>
      <c r="CS30" s="230"/>
      <c r="CT30" s="231"/>
      <c r="CU30" s="231"/>
      <c r="CV30" s="231"/>
      <c r="CW30" s="231"/>
      <c r="CX30" s="231"/>
      <c r="CY30" s="231"/>
      <c r="CZ30" s="231"/>
      <c r="DB30" s="231">
        <f>IF(SUM(DB$24:DB29)=DB$22,0,IF(AND($K30&gt;=DB$15,$K30&lt;(DB$16+1)),DB$22/(DB$16-DB$15+1),0))</f>
        <v>0</v>
      </c>
      <c r="DC30" s="231">
        <f t="shared" ref="DC30:DO39" si="26">IF(AND($K30&gt;=DC$15,$K30&lt;(DC$16+1)),DC$22/(DC$16-DC$15+1),0)</f>
        <v>0</v>
      </c>
      <c r="DD30" s="231">
        <f t="shared" si="26"/>
        <v>0</v>
      </c>
      <c r="DE30" s="231">
        <f t="shared" si="26"/>
        <v>0</v>
      </c>
      <c r="DF30" s="231">
        <f t="shared" si="26"/>
        <v>0</v>
      </c>
      <c r="DG30" s="231">
        <f t="shared" si="26"/>
        <v>0</v>
      </c>
      <c r="DH30" s="231">
        <f t="shared" si="26"/>
        <v>0</v>
      </c>
      <c r="DI30" s="231">
        <f t="shared" si="26"/>
        <v>0</v>
      </c>
      <c r="DJ30" s="231">
        <f t="shared" si="26"/>
        <v>0</v>
      </c>
      <c r="DK30" s="231">
        <f t="shared" si="26"/>
        <v>0</v>
      </c>
      <c r="DL30" s="231">
        <f t="shared" si="26"/>
        <v>0</v>
      </c>
      <c r="DM30" s="231">
        <f t="shared" si="26"/>
        <v>0</v>
      </c>
      <c r="DN30" s="231">
        <f t="shared" si="26"/>
        <v>0</v>
      </c>
      <c r="DO30" s="231">
        <f t="shared" si="26"/>
        <v>0</v>
      </c>
      <c r="DP30" s="231">
        <f>'Offshore CF'!DR30</f>
        <v>0.24</v>
      </c>
      <c r="DQ30" s="231">
        <f>'Offshore CF'!DS30</f>
        <v>0.29866666666666669</v>
      </c>
      <c r="DR30" s="231">
        <f ca="1">IF(SUM(DR$24:DR29)=DR$22,0,IF(AND($K30&gt;=DR$15,$K30&lt;(DR$16+1)),DR$22/(DR$16-DR$15+1),0))</f>
        <v>0</v>
      </c>
      <c r="DS30" s="231" t="e">
        <f ca="1">IF(SUM(DS$24:DS29)=DS$22,0,IF(AND($K30&gt;=DS$15,$K30&lt;(DS$16+1)),DS$22/(DS$16-DS$15+1),0))</f>
        <v>#REF!</v>
      </c>
      <c r="DT30" s="231" t="e">
        <f ca="1">IF(SUM(DT$24:DT29)=DT$22,0,IF(AND(K30&gt;=DT$15,K30&lt;(DT$16+1)),DT$22/(DT$16-DT$15+1),0))</f>
        <v>#REF!</v>
      </c>
      <c r="DU30" s="231" t="e">
        <f ca="1">IF(SUM(DU$24:DU29)=DU$22,0,IF(AND($K30&gt;=DU$15,$K30&lt;(DU$16+1)),DU$22/(DU$16-DU$15+1),0))</f>
        <v>#REF!</v>
      </c>
      <c r="DV30" s="231">
        <f ca="1">IF(SUM(DV$24:DV29)=DV$22,0,IF(AND($K30&gt;=DV$15,$K30&lt;(DV$16+1)),DV$22/(DV$16-DV$15+1),0))</f>
        <v>0</v>
      </c>
      <c r="DW30" s="231">
        <f ca="1">IF(SUM(DW$24:DW29)=DW$22,0,IF(AND($K30&gt;=DW$15,$K30&lt;(DW$16+1)),DW$22/(DW$16-DW$15+1),0))</f>
        <v>0</v>
      </c>
      <c r="DX30" s="231">
        <f ca="1">IF(SUM(DX$24:DX29)=DX$22,0,IF(AND($K30&gt;=DX$15,$K30&lt;(DX$16+1)),DX$22/(DX$16-DX$15+1),0))</f>
        <v>0</v>
      </c>
      <c r="DY30" s="231">
        <f ca="1">IF(SUM(DY$24:DY29)=DY$22,0,IF(AND($K30&gt;=DY$15,$K30&lt;(DY$16+1)),DY$22/(DY$16-DY$15+1),0))</f>
        <v>0</v>
      </c>
      <c r="EA30" s="749">
        <f t="shared" si="16"/>
        <v>7</v>
      </c>
      <c r="EB30" s="749" t="e">
        <f t="shared" ca="1" si="17"/>
        <v>#REF!</v>
      </c>
      <c r="EC30" s="750" t="e">
        <f t="shared" ca="1" si="18"/>
        <v>#REF!</v>
      </c>
      <c r="ED30" s="749" t="e">
        <f ca="1">$EC28*ED$22</f>
        <v>#N/A</v>
      </c>
      <c r="EE30" s="749"/>
      <c r="EF30" s="749"/>
      <c r="EG30" s="749"/>
      <c r="EH30" s="749"/>
      <c r="EI30" s="714" t="e">
        <f t="shared" ca="1" si="19"/>
        <v>#REF!</v>
      </c>
      <c r="EJ30" s="231" t="e">
        <f ca="1">IF(SUM(EJ$24:EJ29)=EJ$22,0,IF(AND($K30&gt;=EJ$15,$K30&lt;(EJ$16+1)),EJ$22/(EJ$16-EJ$15+1),0))</f>
        <v>#REF!</v>
      </c>
      <c r="EK30" s="714" t="e">
        <f t="shared" ca="1" si="24"/>
        <v>#REF!</v>
      </c>
      <c r="EM30" s="60"/>
      <c r="EN30" s="60"/>
    </row>
    <row r="31" spans="1:174">
      <c r="A31" s="220"/>
      <c r="B31" s="236">
        <f t="shared" si="20"/>
        <v>8</v>
      </c>
      <c r="C31" s="221">
        <f t="shared" si="21"/>
        <v>43683.916900000011</v>
      </c>
      <c r="D31" s="746" t="e">
        <f t="shared" ca="1" si="22"/>
        <v>#DIV/0!</v>
      </c>
      <c r="E31" s="747" t="e">
        <f t="shared" ca="1" si="25"/>
        <v>#DIV/0!</v>
      </c>
      <c r="F31" s="748" t="e">
        <f ca="1">IF(F30=0,0,SUM($G$24:G31))</f>
        <v>#DIV/0!</v>
      </c>
      <c r="G31" s="225" t="e">
        <f t="shared" ca="1" si="5"/>
        <v>#DIV/0!</v>
      </c>
      <c r="H31" s="746">
        <f t="shared" ca="1" si="23"/>
        <v>0</v>
      </c>
      <c r="I31" s="60"/>
      <c r="J31" s="228"/>
      <c r="K31" s="228">
        <f t="shared" si="6"/>
        <v>8</v>
      </c>
      <c r="L31" s="221">
        <f t="shared" si="7"/>
        <v>43683.916900000011</v>
      </c>
      <c r="M31" s="229">
        <f t="shared" si="8"/>
        <v>0</v>
      </c>
      <c r="N31" s="229">
        <f t="shared" si="8"/>
        <v>0</v>
      </c>
      <c r="O31" s="229">
        <f t="shared" si="8"/>
        <v>0</v>
      </c>
      <c r="P31" s="229">
        <f t="shared" si="8"/>
        <v>0</v>
      </c>
      <c r="Q31" s="229">
        <f t="shared" si="8"/>
        <v>0</v>
      </c>
      <c r="R31" s="229">
        <f t="shared" si="9"/>
        <v>0</v>
      </c>
      <c r="S31" s="229">
        <f t="shared" si="9"/>
        <v>0</v>
      </c>
      <c r="T31" s="229">
        <f t="shared" si="9"/>
        <v>0</v>
      </c>
      <c r="U31" s="229">
        <f t="shared" si="8"/>
        <v>0</v>
      </c>
      <c r="V31" s="229">
        <f t="shared" si="8"/>
        <v>0</v>
      </c>
      <c r="W31" s="229">
        <f t="shared" si="8"/>
        <v>0</v>
      </c>
      <c r="X31" s="229">
        <f t="shared" si="8"/>
        <v>0</v>
      </c>
      <c r="Y31" s="229">
        <f t="shared" si="8"/>
        <v>0</v>
      </c>
      <c r="Z31" s="229">
        <f t="shared" si="8"/>
        <v>0</v>
      </c>
      <c r="AA31" s="229">
        <f t="shared" si="8"/>
        <v>0</v>
      </c>
      <c r="AB31" s="229">
        <f t="shared" si="8"/>
        <v>0</v>
      </c>
      <c r="AC31" s="229">
        <f t="shared" si="8"/>
        <v>0</v>
      </c>
      <c r="AD31" s="229">
        <f t="shared" ref="P31:AD41" si="27">IF($K31=AD$13,AD$22*AD$3,IF($K31=AD$14,AD$22*AD$4,IF($K31=AD$15,AD$22*AD$5,IF($K31=AD$16,AD$22*AD$6,IF($K31=AD$17,AD$22*AD$7,IF($K31=AD$18,AD$22*AD$8,IF($K31=AD$19,AD$22*AD$9,IF($K31=AD$20,AD$22*AD$10,0))))))))</f>
        <v>0</v>
      </c>
      <c r="AE31" s="229">
        <f t="shared" si="8"/>
        <v>0</v>
      </c>
      <c r="AF31" s="229">
        <f t="shared" si="8"/>
        <v>0</v>
      </c>
      <c r="AG31" s="229">
        <f t="shared" si="8"/>
        <v>0</v>
      </c>
      <c r="AH31" s="229">
        <f t="shared" si="8"/>
        <v>0</v>
      </c>
      <c r="AI31" s="229">
        <f t="shared" si="8"/>
        <v>0</v>
      </c>
      <c r="AJ31" s="229">
        <f t="shared" si="8"/>
        <v>0</v>
      </c>
      <c r="AK31" s="229">
        <f t="shared" si="8"/>
        <v>0</v>
      </c>
      <c r="AL31" s="229">
        <f t="shared" si="8"/>
        <v>0</v>
      </c>
      <c r="AM31" s="229">
        <f t="shared" si="8"/>
        <v>0</v>
      </c>
      <c r="AN31" s="229">
        <f t="shared" si="8"/>
        <v>0</v>
      </c>
      <c r="AO31" s="229">
        <f t="shared" si="8"/>
        <v>0</v>
      </c>
      <c r="AP31" s="229">
        <f t="shared" si="8"/>
        <v>0</v>
      </c>
      <c r="AQ31" s="229">
        <f t="shared" si="8"/>
        <v>0</v>
      </c>
      <c r="AR31" s="229">
        <f t="shared" si="10"/>
        <v>0</v>
      </c>
      <c r="AS31" s="229">
        <f t="shared" si="10"/>
        <v>0</v>
      </c>
      <c r="AT31" s="229">
        <f t="shared" si="10"/>
        <v>0</v>
      </c>
      <c r="AU31" s="229">
        <f t="shared" si="10"/>
        <v>0</v>
      </c>
      <c r="AV31" s="229">
        <f t="shared" si="10"/>
        <v>0</v>
      </c>
      <c r="AW31" s="229">
        <f t="shared" si="10"/>
        <v>0</v>
      </c>
      <c r="AX31" s="229">
        <f t="shared" si="10"/>
        <v>0</v>
      </c>
      <c r="AY31" s="229">
        <f t="shared" si="10"/>
        <v>0</v>
      </c>
      <c r="AZ31" s="229">
        <f t="shared" si="10"/>
        <v>0</v>
      </c>
      <c r="BA31" s="229">
        <f t="shared" si="10"/>
        <v>0</v>
      </c>
      <c r="BB31" s="229">
        <f t="shared" si="10"/>
        <v>0</v>
      </c>
      <c r="BC31" s="229">
        <f t="shared" si="11"/>
        <v>0</v>
      </c>
      <c r="BD31" s="229">
        <f t="shared" si="11"/>
        <v>0</v>
      </c>
      <c r="BE31" s="229">
        <f t="shared" si="11"/>
        <v>0</v>
      </c>
      <c r="BF31" s="229">
        <f t="shared" si="11"/>
        <v>0</v>
      </c>
      <c r="BG31" s="229">
        <f t="shared" si="11"/>
        <v>0</v>
      </c>
      <c r="BH31" s="229">
        <f t="shared" si="11"/>
        <v>0</v>
      </c>
      <c r="BI31" s="229">
        <f t="shared" si="11"/>
        <v>0</v>
      </c>
      <c r="BJ31" s="229">
        <f t="shared" si="11"/>
        <v>0</v>
      </c>
      <c r="BK31" s="229">
        <f t="shared" si="11"/>
        <v>0</v>
      </c>
      <c r="BL31" s="229">
        <f t="shared" si="11"/>
        <v>0</v>
      </c>
      <c r="BM31" s="229">
        <f t="shared" si="12"/>
        <v>0</v>
      </c>
      <c r="BN31" s="229">
        <f t="shared" si="12"/>
        <v>0</v>
      </c>
      <c r="BO31" s="229">
        <f t="shared" si="13"/>
        <v>0</v>
      </c>
      <c r="BP31" s="229">
        <f t="shared" si="13"/>
        <v>0</v>
      </c>
      <c r="BQ31" s="229">
        <f t="shared" si="13"/>
        <v>0</v>
      </c>
      <c r="BR31" s="229">
        <f t="shared" si="12"/>
        <v>0</v>
      </c>
      <c r="BS31" s="229">
        <f t="shared" si="12"/>
        <v>0</v>
      </c>
      <c r="BT31" s="229">
        <f t="shared" si="12"/>
        <v>0</v>
      </c>
      <c r="BU31" s="229">
        <f t="shared" si="12"/>
        <v>0</v>
      </c>
      <c r="BV31" s="229">
        <f t="shared" si="12"/>
        <v>0</v>
      </c>
      <c r="BW31" s="229">
        <f t="shared" si="12"/>
        <v>0</v>
      </c>
      <c r="BX31" s="229">
        <f t="shared" si="12"/>
        <v>0</v>
      </c>
      <c r="BY31" s="229">
        <f t="shared" si="12"/>
        <v>0</v>
      </c>
      <c r="BZ31" s="229">
        <f t="shared" si="12"/>
        <v>0</v>
      </c>
      <c r="CA31" s="229">
        <f t="shared" si="12"/>
        <v>0</v>
      </c>
      <c r="CB31" s="229">
        <f t="shared" si="14"/>
        <v>0</v>
      </c>
      <c r="CC31" s="229">
        <f t="shared" si="14"/>
        <v>0</v>
      </c>
      <c r="CD31" s="229">
        <f t="shared" si="14"/>
        <v>0</v>
      </c>
      <c r="CE31" s="229">
        <f t="shared" si="14"/>
        <v>0</v>
      </c>
      <c r="CF31" s="229">
        <f t="shared" si="14"/>
        <v>0</v>
      </c>
      <c r="CG31" s="229">
        <f t="shared" si="14"/>
        <v>0</v>
      </c>
      <c r="CH31" s="229">
        <f t="shared" si="14"/>
        <v>0</v>
      </c>
      <c r="CI31" s="229">
        <f t="shared" si="14"/>
        <v>0</v>
      </c>
      <c r="CJ31" s="229">
        <f t="shared" si="14"/>
        <v>0</v>
      </c>
      <c r="CK31" s="229">
        <f t="shared" si="14"/>
        <v>0</v>
      </c>
      <c r="CL31" s="229">
        <f t="shared" si="14"/>
        <v>0</v>
      </c>
      <c r="CM31" s="229">
        <f t="shared" si="14"/>
        <v>0</v>
      </c>
      <c r="CN31" s="229">
        <f t="shared" si="14"/>
        <v>0</v>
      </c>
      <c r="CO31" s="229">
        <f t="shared" si="14"/>
        <v>0</v>
      </c>
      <c r="CP31" s="229">
        <f t="shared" si="14"/>
        <v>0</v>
      </c>
      <c r="CQ31" s="229">
        <f t="shared" si="14"/>
        <v>0</v>
      </c>
      <c r="CR31" s="229">
        <f t="shared" si="14"/>
        <v>0</v>
      </c>
      <c r="CS31" s="230"/>
      <c r="CT31" s="231"/>
      <c r="CU31" s="231"/>
      <c r="CW31" s="231"/>
      <c r="CX31" s="231"/>
      <c r="CY31" s="231"/>
      <c r="CZ31" s="231"/>
      <c r="DA31" s="223"/>
      <c r="DB31" s="231">
        <f>IF(SUM(DB$24:DB30)=DB$22,0,IF(AND($K31&gt;=DB$15,$K31&lt;(DB$16+1)),DB$22/(DB$16-DB$15+1),0))</f>
        <v>0</v>
      </c>
      <c r="DC31" s="231">
        <f t="shared" si="26"/>
        <v>0</v>
      </c>
      <c r="DD31" s="231">
        <f t="shared" si="26"/>
        <v>0</v>
      </c>
      <c r="DE31" s="231">
        <f t="shared" si="26"/>
        <v>0</v>
      </c>
      <c r="DF31" s="231">
        <f t="shared" si="26"/>
        <v>0</v>
      </c>
      <c r="DG31" s="231">
        <f t="shared" si="26"/>
        <v>0</v>
      </c>
      <c r="DH31" s="231">
        <f t="shared" si="26"/>
        <v>0</v>
      </c>
      <c r="DI31" s="231">
        <f t="shared" si="26"/>
        <v>0</v>
      </c>
      <c r="DJ31" s="231">
        <f t="shared" si="26"/>
        <v>0</v>
      </c>
      <c r="DK31" s="231">
        <f t="shared" si="26"/>
        <v>0</v>
      </c>
      <c r="DL31" s="231">
        <f t="shared" si="26"/>
        <v>0</v>
      </c>
      <c r="DM31" s="231">
        <f t="shared" si="26"/>
        <v>0</v>
      </c>
      <c r="DN31" s="231">
        <f t="shared" si="26"/>
        <v>0</v>
      </c>
      <c r="DO31" s="231">
        <f t="shared" si="26"/>
        <v>0</v>
      </c>
      <c r="DP31" s="231">
        <f>'Offshore CF'!DR31</f>
        <v>0.24</v>
      </c>
      <c r="DQ31" s="231">
        <f>'Offshore CF'!DS31</f>
        <v>0.29866666666666669</v>
      </c>
      <c r="DR31" s="231">
        <f ca="1">IF(SUM(DR$24:DR30)=DR$22,0,IF(AND($K31&gt;=DR$15,$K31&lt;(DR$16+1)),DR$22/(DR$16-DR$15+1),0))</f>
        <v>0</v>
      </c>
      <c r="DS31" s="231" t="e">
        <f ca="1">IF(SUM(DS$24:DS30)=DS$22,0,IF(AND($K31&gt;=DS$15,$K31&lt;(DS$16+1)),DS$22/(DS$16-DS$15+1),0))</f>
        <v>#REF!</v>
      </c>
      <c r="DT31" s="231" t="e">
        <f ca="1">IF(SUM(DT$24:DT30)=DT$22,0,IF(AND(K31&gt;=DT$15,K31&lt;(DT$16+1)),DT$22/(DT$16-DT$15+1),0))</f>
        <v>#REF!</v>
      </c>
      <c r="DU31" s="231" t="e">
        <f ca="1">IF(SUM(DU$24:DU30)=DU$22,0,IF(AND($K31&gt;=DU$15,$K31&lt;(DU$16+1)),DU$22/(DU$16-DU$15+1),0))</f>
        <v>#REF!</v>
      </c>
      <c r="DV31" s="231">
        <f ca="1">IF(SUM(DV$24:DV30)=DV$22,0,IF(AND($K31&gt;=DV$15,$K31&lt;(DV$16+1)),DV$22/(DV$16-DV$15+1),0))</f>
        <v>0</v>
      </c>
      <c r="DW31" s="231">
        <f ca="1">IF(SUM(DW$24:DW30)=DW$22,0,IF(AND($K31&gt;=DW$15,$K31&lt;(DW$16+1)),DW$22/(DW$16-DW$15+1),0))</f>
        <v>0</v>
      </c>
      <c r="DX31" s="231">
        <f ca="1">IF(SUM(DX$24:DX30)=DX$22,0,IF(AND($K31&gt;=DX$15,$K31&lt;(DX$16+1)),DX$22/(DX$16-DX$15+1),0))</f>
        <v>0</v>
      </c>
      <c r="DY31" s="231">
        <f ca="1">IF(SUM(DY$24:DY30)=DY$22,0,IF(AND($K31&gt;=DY$15,$K31&lt;(DY$16+1)),DY$22/(DY$16-DY$15+1),0))</f>
        <v>0</v>
      </c>
      <c r="EA31" s="749">
        <f t="shared" si="16"/>
        <v>8</v>
      </c>
      <c r="EB31" s="749" t="e">
        <f t="shared" ca="1" si="17"/>
        <v>#REF!</v>
      </c>
      <c r="EC31" s="750" t="e">
        <f t="shared" ca="1" si="18"/>
        <v>#REF!</v>
      </c>
      <c r="ED31" s="749" t="e">
        <f t="shared" ref="ED31:ED94" ca="1" si="28">$EC29*ED$22</f>
        <v>#REF!</v>
      </c>
      <c r="EE31" s="749"/>
      <c r="EF31" s="749"/>
      <c r="EG31" s="749"/>
      <c r="EH31" s="749"/>
      <c r="EI31" s="714" t="e">
        <f t="shared" ca="1" si="19"/>
        <v>#REF!</v>
      </c>
      <c r="EJ31" s="231" t="e">
        <f ca="1">IF(SUM(EJ$24:EJ30)=EJ$22,0,IF(AND($K31&gt;=EJ$15,$K31&lt;(EJ$16+1)),EJ$22/(EJ$16-EJ$15+1),0))</f>
        <v>#REF!</v>
      </c>
      <c r="EK31" s="714" t="e">
        <f t="shared" ca="1" si="24"/>
        <v>#REF!</v>
      </c>
      <c r="EM31" s="60"/>
      <c r="EN31" s="60"/>
    </row>
    <row r="32" spans="1:174">
      <c r="A32" s="220"/>
      <c r="B32" s="236">
        <f t="shared" si="20"/>
        <v>9</v>
      </c>
      <c r="C32" s="221">
        <f t="shared" si="21"/>
        <v>43714.333600000013</v>
      </c>
      <c r="D32" s="746" t="e">
        <f t="shared" ca="1" si="22"/>
        <v>#DIV/0!</v>
      </c>
      <c r="E32" s="747" t="e">
        <f t="shared" ca="1" si="25"/>
        <v>#DIV/0!</v>
      </c>
      <c r="F32" s="748" t="e">
        <f ca="1">IF(F31=0,0,SUM($G$24:G32))</f>
        <v>#DIV/0!</v>
      </c>
      <c r="G32" s="225" t="e">
        <f t="shared" ca="1" si="5"/>
        <v>#DIV/0!</v>
      </c>
      <c r="H32" s="746">
        <f t="shared" ca="1" si="23"/>
        <v>0</v>
      </c>
      <c r="I32" s="60"/>
      <c r="J32" s="228"/>
      <c r="K32" s="228">
        <f t="shared" si="6"/>
        <v>9</v>
      </c>
      <c r="L32" s="221">
        <f t="shared" si="7"/>
        <v>43714.333600000013</v>
      </c>
      <c r="M32" s="229">
        <f t="shared" si="8"/>
        <v>0</v>
      </c>
      <c r="N32" s="229">
        <f t="shared" si="8"/>
        <v>0</v>
      </c>
      <c r="O32" s="229">
        <f t="shared" si="8"/>
        <v>0</v>
      </c>
      <c r="P32" s="229">
        <f t="shared" si="27"/>
        <v>0</v>
      </c>
      <c r="Q32" s="229">
        <f t="shared" si="27"/>
        <v>0</v>
      </c>
      <c r="R32" s="229">
        <f t="shared" si="27"/>
        <v>0</v>
      </c>
      <c r="S32" s="229">
        <f t="shared" si="27"/>
        <v>0</v>
      </c>
      <c r="T32" s="229">
        <f t="shared" si="27"/>
        <v>0</v>
      </c>
      <c r="U32" s="229">
        <f t="shared" si="27"/>
        <v>0</v>
      </c>
      <c r="V32" s="229">
        <f t="shared" si="27"/>
        <v>0</v>
      </c>
      <c r="W32" s="229">
        <f t="shared" si="27"/>
        <v>0</v>
      </c>
      <c r="X32" s="229">
        <f t="shared" si="27"/>
        <v>0</v>
      </c>
      <c r="Y32" s="229">
        <f t="shared" si="27"/>
        <v>0</v>
      </c>
      <c r="Z32" s="229">
        <f t="shared" si="27"/>
        <v>0</v>
      </c>
      <c r="AA32" s="229">
        <f t="shared" si="27"/>
        <v>0</v>
      </c>
      <c r="AB32" s="229">
        <f t="shared" si="27"/>
        <v>0</v>
      </c>
      <c r="AC32" s="229">
        <f t="shared" si="27"/>
        <v>0</v>
      </c>
      <c r="AD32" s="229">
        <f t="shared" si="27"/>
        <v>0</v>
      </c>
      <c r="AE32" s="229">
        <f t="shared" si="8"/>
        <v>0</v>
      </c>
      <c r="AF32" s="229">
        <f t="shared" si="8"/>
        <v>0</v>
      </c>
      <c r="AG32" s="229">
        <f t="shared" si="8"/>
        <v>0</v>
      </c>
      <c r="AH32" s="229">
        <f t="shared" si="8"/>
        <v>0</v>
      </c>
      <c r="AI32" s="229">
        <f t="shared" si="8"/>
        <v>0</v>
      </c>
      <c r="AJ32" s="229">
        <f t="shared" si="8"/>
        <v>0</v>
      </c>
      <c r="AK32" s="229">
        <f t="shared" si="8"/>
        <v>0</v>
      </c>
      <c r="AL32" s="229">
        <f t="shared" si="8"/>
        <v>0</v>
      </c>
      <c r="AM32" s="229">
        <f t="shared" si="8"/>
        <v>0</v>
      </c>
      <c r="AN32" s="229">
        <f t="shared" si="8"/>
        <v>0</v>
      </c>
      <c r="AO32" s="229">
        <f t="shared" si="8"/>
        <v>0</v>
      </c>
      <c r="AP32" s="229">
        <f t="shared" si="8"/>
        <v>0</v>
      </c>
      <c r="AQ32" s="229">
        <f t="shared" si="8"/>
        <v>0</v>
      </c>
      <c r="AR32" s="229">
        <f t="shared" si="10"/>
        <v>0</v>
      </c>
      <c r="AS32" s="229">
        <f t="shared" si="10"/>
        <v>0</v>
      </c>
      <c r="AT32" s="229">
        <f t="shared" si="10"/>
        <v>0</v>
      </c>
      <c r="AU32" s="229">
        <f t="shared" si="10"/>
        <v>0</v>
      </c>
      <c r="AV32" s="229">
        <f t="shared" si="10"/>
        <v>0</v>
      </c>
      <c r="AW32" s="229">
        <f t="shared" si="10"/>
        <v>0</v>
      </c>
      <c r="AX32" s="229">
        <f t="shared" si="10"/>
        <v>0</v>
      </c>
      <c r="AY32" s="229">
        <f t="shared" si="10"/>
        <v>0</v>
      </c>
      <c r="AZ32" s="229">
        <f t="shared" si="10"/>
        <v>0</v>
      </c>
      <c r="BA32" s="229">
        <f t="shared" si="10"/>
        <v>0</v>
      </c>
      <c r="BB32" s="229">
        <f t="shared" si="10"/>
        <v>0</v>
      </c>
      <c r="BC32" s="229">
        <f t="shared" si="11"/>
        <v>0</v>
      </c>
      <c r="BD32" s="229">
        <f t="shared" si="11"/>
        <v>0</v>
      </c>
      <c r="BE32" s="229">
        <f t="shared" si="11"/>
        <v>0</v>
      </c>
      <c r="BF32" s="229">
        <f t="shared" si="11"/>
        <v>0</v>
      </c>
      <c r="BG32" s="229">
        <f t="shared" si="11"/>
        <v>0</v>
      </c>
      <c r="BH32" s="229">
        <f t="shared" si="11"/>
        <v>0</v>
      </c>
      <c r="BI32" s="229">
        <f t="shared" si="11"/>
        <v>0</v>
      </c>
      <c r="BJ32" s="229">
        <f t="shared" si="11"/>
        <v>0</v>
      </c>
      <c r="BK32" s="229">
        <f t="shared" si="11"/>
        <v>0</v>
      </c>
      <c r="BL32" s="229">
        <f t="shared" si="11"/>
        <v>0</v>
      </c>
      <c r="BM32" s="229">
        <f t="shared" si="12"/>
        <v>0</v>
      </c>
      <c r="BN32" s="229">
        <f t="shared" si="12"/>
        <v>0</v>
      </c>
      <c r="BO32" s="229">
        <f t="shared" si="13"/>
        <v>0</v>
      </c>
      <c r="BP32" s="229">
        <f t="shared" si="13"/>
        <v>0</v>
      </c>
      <c r="BQ32" s="229">
        <f t="shared" si="13"/>
        <v>0</v>
      </c>
      <c r="BR32" s="229">
        <f t="shared" si="12"/>
        <v>0</v>
      </c>
      <c r="BS32" s="229">
        <f t="shared" si="12"/>
        <v>0</v>
      </c>
      <c r="BT32" s="229">
        <f t="shared" si="12"/>
        <v>0</v>
      </c>
      <c r="BU32" s="229">
        <f t="shared" si="12"/>
        <v>0</v>
      </c>
      <c r="BV32" s="229">
        <f t="shared" si="12"/>
        <v>0</v>
      </c>
      <c r="BW32" s="229">
        <f t="shared" si="12"/>
        <v>0</v>
      </c>
      <c r="BX32" s="229">
        <f t="shared" si="12"/>
        <v>0</v>
      </c>
      <c r="BY32" s="229">
        <f t="shared" si="12"/>
        <v>0</v>
      </c>
      <c r="BZ32" s="229">
        <f t="shared" si="12"/>
        <v>0</v>
      </c>
      <c r="CA32" s="229">
        <f t="shared" si="12"/>
        <v>0</v>
      </c>
      <c r="CB32" s="229">
        <f t="shared" si="14"/>
        <v>0</v>
      </c>
      <c r="CC32" s="229">
        <f t="shared" si="14"/>
        <v>0</v>
      </c>
      <c r="CD32" s="229">
        <f t="shared" si="14"/>
        <v>0</v>
      </c>
      <c r="CE32" s="229">
        <f t="shared" si="14"/>
        <v>0</v>
      </c>
      <c r="CF32" s="229">
        <f t="shared" si="14"/>
        <v>0</v>
      </c>
      <c r="CG32" s="229">
        <f t="shared" si="14"/>
        <v>0</v>
      </c>
      <c r="CH32" s="229">
        <f t="shared" si="14"/>
        <v>0</v>
      </c>
      <c r="CI32" s="229">
        <f t="shared" si="14"/>
        <v>0</v>
      </c>
      <c r="CJ32" s="229">
        <f t="shared" si="14"/>
        <v>0</v>
      </c>
      <c r="CK32" s="229">
        <f t="shared" si="14"/>
        <v>0</v>
      </c>
      <c r="CL32" s="229">
        <f t="shared" si="14"/>
        <v>0</v>
      </c>
      <c r="CM32" s="229">
        <f t="shared" si="14"/>
        <v>0</v>
      </c>
      <c r="CN32" s="229">
        <f t="shared" si="14"/>
        <v>0</v>
      </c>
      <c r="CO32" s="229">
        <f t="shared" si="14"/>
        <v>0</v>
      </c>
      <c r="CP32" s="229">
        <f t="shared" si="14"/>
        <v>19.599999999999998</v>
      </c>
      <c r="CQ32" s="229">
        <f t="shared" si="14"/>
        <v>0</v>
      </c>
      <c r="CR32" s="229">
        <f t="shared" si="14"/>
        <v>0</v>
      </c>
      <c r="CS32" s="230"/>
      <c r="CT32" s="231"/>
      <c r="CU32" s="231"/>
      <c r="CV32" s="243">
        <f>IF(SUM(CV$24:CV30)&gt;=CV$22,0,CV$22/CV$13)</f>
        <v>0</v>
      </c>
      <c r="CW32" s="231"/>
      <c r="CX32" s="231"/>
      <c r="CY32" s="231"/>
      <c r="CZ32" s="231"/>
      <c r="DA32" s="231" t="e">
        <f ca="1">IF(DA13=0,0,DA22/(DA13*1))</f>
        <v>#N/A</v>
      </c>
      <c r="DB32" s="231">
        <f>IF(SUM(DB$24:DB31)=DB$22,0,IF(AND($K32&gt;=DB$15,$K32&lt;(DB$16+1)),DB$22/(DB$16-DB$15+1),0))</f>
        <v>0</v>
      </c>
      <c r="DC32" s="231">
        <f t="shared" si="26"/>
        <v>0</v>
      </c>
      <c r="DD32" s="231">
        <f t="shared" si="26"/>
        <v>0</v>
      </c>
      <c r="DE32" s="231">
        <f t="shared" si="26"/>
        <v>0</v>
      </c>
      <c r="DF32" s="231">
        <f t="shared" si="26"/>
        <v>0</v>
      </c>
      <c r="DG32" s="231">
        <f t="shared" si="26"/>
        <v>0</v>
      </c>
      <c r="DH32" s="231">
        <f t="shared" si="26"/>
        <v>0</v>
      </c>
      <c r="DI32" s="231">
        <f t="shared" si="26"/>
        <v>0</v>
      </c>
      <c r="DJ32" s="231">
        <f t="shared" si="26"/>
        <v>0</v>
      </c>
      <c r="DK32" s="231">
        <f t="shared" si="26"/>
        <v>0</v>
      </c>
      <c r="DL32" s="231">
        <f t="shared" si="26"/>
        <v>0</v>
      </c>
      <c r="DM32" s="231">
        <f t="shared" si="26"/>
        <v>0</v>
      </c>
      <c r="DN32" s="231">
        <f t="shared" si="26"/>
        <v>0</v>
      </c>
      <c r="DO32" s="231">
        <f t="shared" si="26"/>
        <v>0</v>
      </c>
      <c r="DP32" s="231">
        <f>'Offshore CF'!DR32</f>
        <v>0.24</v>
      </c>
      <c r="DQ32" s="231">
        <f>'Offshore CF'!DS32</f>
        <v>0.29866666666666669</v>
      </c>
      <c r="DR32" s="231">
        <f ca="1">IF(SUM(DR$24:DR31)=DR$22,0,IF(AND($K32&gt;=DR$15,$K32&lt;(DR$16+1)),DR$22/(DR$16-DR$15+1),0))</f>
        <v>0</v>
      </c>
      <c r="DS32" s="231" t="e">
        <f ca="1">IF(SUM(DS$24:DS31)=DS$22,0,IF(AND($K32&gt;=DS$15,$K32&lt;(DS$16+1)),DS$22/(DS$16-DS$15+1),0))</f>
        <v>#REF!</v>
      </c>
      <c r="DT32" s="231" t="e">
        <f ca="1">IF(SUM(DT$24:DT31)=DT$22,0,IF(AND(K32&gt;=DT$15,K32&lt;(DT$16+1)),DT$22/(DT$16-DT$15+1),0))</f>
        <v>#REF!</v>
      </c>
      <c r="DU32" s="231" t="e">
        <f ca="1">IF(SUM(DU$24:DU31)=DU$22,0,IF(AND($K32&gt;=DU$15,$K32&lt;(DU$16+1)),DU$22/(DU$16-DU$15+1),0))</f>
        <v>#REF!</v>
      </c>
      <c r="DV32" s="231">
        <f ca="1">IF(SUM(DV$24:DV31)=DV$22,0,IF(AND($K32&gt;=DV$15,$K32&lt;(DV$16+1)),DV$22/(DV$16-DV$15+1),0))</f>
        <v>0</v>
      </c>
      <c r="DW32" s="231">
        <f ca="1">IF(SUM(DW$24:DW31)=DW$22,0,IF(AND($K32&gt;=DW$15,$K32&lt;(DW$16+1)),DW$22/(DW$16-DW$15+1),0))</f>
        <v>0</v>
      </c>
      <c r="DX32" s="231">
        <f ca="1">IF(SUM(DX$24:DX31)=DX$22,0,IF(AND($K32&gt;=DX$15,$K32&lt;(DX$16+1)),DX$22/(DX$16-DX$15+1),0))</f>
        <v>0</v>
      </c>
      <c r="DY32" s="231">
        <f ca="1">IF(SUM(DY$24:DY31)=DY$22,0,IF(AND($K32&gt;=DY$15,$K32&lt;(DY$16+1)),DY$22/(DY$16-DY$15+1),0))</f>
        <v>0</v>
      </c>
      <c r="EA32" s="749">
        <f t="shared" si="16"/>
        <v>9</v>
      </c>
      <c r="EB32" s="749" t="e">
        <f t="shared" ca="1" si="17"/>
        <v>#N/A</v>
      </c>
      <c r="EC32" s="750" t="e">
        <f t="shared" ca="1" si="18"/>
        <v>#N/A</v>
      </c>
      <c r="ED32" s="749" t="e">
        <f t="shared" ca="1" si="28"/>
        <v>#REF!</v>
      </c>
      <c r="EE32" s="749"/>
      <c r="EF32" s="749"/>
      <c r="EG32" s="749"/>
      <c r="EH32" s="749"/>
      <c r="EI32" s="714" t="e">
        <f t="shared" ca="1" si="19"/>
        <v>#N/A</v>
      </c>
      <c r="EJ32" s="231" t="e">
        <f ca="1">IF(SUM(EJ$24:EJ31)=EJ$22,0,IF(AND($K32&gt;=EJ$15,$K32&lt;(EJ$16+1)),EJ$22/(EJ$16-EJ$15+1),0))</f>
        <v>#REF!</v>
      </c>
      <c r="EK32" s="714" t="e">
        <f t="shared" ca="1" si="24"/>
        <v>#N/A</v>
      </c>
      <c r="EM32" s="60"/>
      <c r="EN32" s="60"/>
    </row>
    <row r="33" spans="1:144">
      <c r="A33" s="220"/>
      <c r="B33" s="236">
        <f t="shared" si="20"/>
        <v>10</v>
      </c>
      <c r="C33" s="221">
        <f t="shared" si="21"/>
        <v>43744.750300000014</v>
      </c>
      <c r="D33" s="746" t="e">
        <f t="shared" ca="1" si="22"/>
        <v>#DIV/0!</v>
      </c>
      <c r="E33" s="747" t="e">
        <f t="shared" ca="1" si="25"/>
        <v>#DIV/0!</v>
      </c>
      <c r="F33" s="748" t="e">
        <f ca="1">IF(F32=0,0,SUM($G$24:G33))</f>
        <v>#DIV/0!</v>
      </c>
      <c r="G33" s="225" t="e">
        <f t="shared" ca="1" si="5"/>
        <v>#DIV/0!</v>
      </c>
      <c r="H33" s="746">
        <f t="shared" ca="1" si="23"/>
        <v>0</v>
      </c>
      <c r="I33" s="60"/>
      <c r="J33" s="228"/>
      <c r="K33" s="228">
        <f t="shared" si="6"/>
        <v>10</v>
      </c>
      <c r="L33" s="221">
        <f t="shared" si="7"/>
        <v>43744.750300000014</v>
      </c>
      <c r="M33" s="229">
        <f t="shared" si="8"/>
        <v>0</v>
      </c>
      <c r="N33" s="229">
        <f t="shared" si="8"/>
        <v>0</v>
      </c>
      <c r="O33" s="229">
        <f t="shared" si="8"/>
        <v>0</v>
      </c>
      <c r="P33" s="229">
        <f t="shared" si="27"/>
        <v>0</v>
      </c>
      <c r="Q33" s="229">
        <f t="shared" si="27"/>
        <v>0</v>
      </c>
      <c r="R33" s="229">
        <f t="shared" si="27"/>
        <v>0</v>
      </c>
      <c r="S33" s="229">
        <f t="shared" si="27"/>
        <v>0</v>
      </c>
      <c r="T33" s="229">
        <f t="shared" si="27"/>
        <v>0</v>
      </c>
      <c r="U33" s="229">
        <f t="shared" si="27"/>
        <v>0</v>
      </c>
      <c r="V33" s="229">
        <f t="shared" si="27"/>
        <v>0</v>
      </c>
      <c r="W33" s="229">
        <f t="shared" si="27"/>
        <v>0</v>
      </c>
      <c r="X33" s="229">
        <f t="shared" si="27"/>
        <v>0</v>
      </c>
      <c r="Y33" s="229">
        <f t="shared" si="27"/>
        <v>0</v>
      </c>
      <c r="Z33" s="229">
        <f t="shared" si="27"/>
        <v>0</v>
      </c>
      <c r="AA33" s="229">
        <f t="shared" si="27"/>
        <v>0</v>
      </c>
      <c r="AB33" s="229">
        <f t="shared" si="27"/>
        <v>0</v>
      </c>
      <c r="AC33" s="229">
        <f t="shared" si="27"/>
        <v>0</v>
      </c>
      <c r="AD33" s="229">
        <f t="shared" si="27"/>
        <v>0</v>
      </c>
      <c r="AE33" s="229">
        <f t="shared" si="8"/>
        <v>0</v>
      </c>
      <c r="AF33" s="229">
        <f t="shared" si="8"/>
        <v>0</v>
      </c>
      <c r="AG33" s="229">
        <f t="shared" si="8"/>
        <v>0</v>
      </c>
      <c r="AH33" s="229">
        <f t="shared" si="8"/>
        <v>0</v>
      </c>
      <c r="AI33" s="229">
        <f t="shared" si="8"/>
        <v>0</v>
      </c>
      <c r="AJ33" s="229">
        <f t="shared" si="8"/>
        <v>0</v>
      </c>
      <c r="AK33" s="229">
        <f t="shared" si="8"/>
        <v>0</v>
      </c>
      <c r="AL33" s="229">
        <f t="shared" si="8"/>
        <v>0</v>
      </c>
      <c r="AM33" s="229">
        <f t="shared" si="8"/>
        <v>0</v>
      </c>
      <c r="AN33" s="229">
        <f t="shared" si="8"/>
        <v>0</v>
      </c>
      <c r="AO33" s="229">
        <f t="shared" si="8"/>
        <v>0</v>
      </c>
      <c r="AP33" s="229">
        <f t="shared" si="8"/>
        <v>0</v>
      </c>
      <c r="AQ33" s="229">
        <f t="shared" si="8"/>
        <v>0</v>
      </c>
      <c r="AR33" s="229">
        <f t="shared" si="10"/>
        <v>0</v>
      </c>
      <c r="AS33" s="229">
        <f t="shared" si="10"/>
        <v>0</v>
      </c>
      <c r="AT33" s="229">
        <f t="shared" si="10"/>
        <v>0</v>
      </c>
      <c r="AU33" s="229">
        <f t="shared" si="10"/>
        <v>0</v>
      </c>
      <c r="AV33" s="229">
        <f t="shared" si="10"/>
        <v>0</v>
      </c>
      <c r="AW33" s="229">
        <f t="shared" si="10"/>
        <v>0</v>
      </c>
      <c r="AX33" s="229">
        <f t="shared" si="10"/>
        <v>0</v>
      </c>
      <c r="AY33" s="229">
        <f t="shared" si="10"/>
        <v>0</v>
      </c>
      <c r="AZ33" s="229">
        <f t="shared" si="10"/>
        <v>0</v>
      </c>
      <c r="BA33" s="229">
        <f t="shared" si="10"/>
        <v>0</v>
      </c>
      <c r="BB33" s="229">
        <f t="shared" si="10"/>
        <v>0</v>
      </c>
      <c r="BC33" s="229">
        <f t="shared" si="11"/>
        <v>0</v>
      </c>
      <c r="BD33" s="229">
        <f t="shared" si="11"/>
        <v>0</v>
      </c>
      <c r="BE33" s="229">
        <f t="shared" si="11"/>
        <v>0</v>
      </c>
      <c r="BF33" s="229">
        <f t="shared" si="11"/>
        <v>0</v>
      </c>
      <c r="BG33" s="229">
        <f t="shared" si="11"/>
        <v>0</v>
      </c>
      <c r="BH33" s="229">
        <f t="shared" si="11"/>
        <v>0</v>
      </c>
      <c r="BI33" s="229">
        <f t="shared" si="11"/>
        <v>0</v>
      </c>
      <c r="BJ33" s="229">
        <f t="shared" si="11"/>
        <v>0</v>
      </c>
      <c r="BK33" s="229">
        <f t="shared" si="11"/>
        <v>0</v>
      </c>
      <c r="BL33" s="229">
        <f t="shared" si="11"/>
        <v>0</v>
      </c>
      <c r="BM33" s="229">
        <f t="shared" si="12"/>
        <v>0</v>
      </c>
      <c r="BN33" s="229">
        <f t="shared" si="12"/>
        <v>0</v>
      </c>
      <c r="BO33" s="229">
        <f t="shared" si="13"/>
        <v>0</v>
      </c>
      <c r="BP33" s="229">
        <f t="shared" si="13"/>
        <v>0</v>
      </c>
      <c r="BQ33" s="229">
        <f t="shared" si="13"/>
        <v>0</v>
      </c>
      <c r="BR33" s="229">
        <f t="shared" si="12"/>
        <v>0</v>
      </c>
      <c r="BS33" s="229">
        <f t="shared" si="12"/>
        <v>0</v>
      </c>
      <c r="BT33" s="229">
        <f t="shared" si="12"/>
        <v>0</v>
      </c>
      <c r="BU33" s="229">
        <f t="shared" si="12"/>
        <v>0</v>
      </c>
      <c r="BV33" s="229">
        <f t="shared" si="12"/>
        <v>0</v>
      </c>
      <c r="BW33" s="229">
        <f t="shared" si="12"/>
        <v>0</v>
      </c>
      <c r="BX33" s="229">
        <f t="shared" si="12"/>
        <v>0</v>
      </c>
      <c r="BY33" s="229">
        <f t="shared" si="12"/>
        <v>0</v>
      </c>
      <c r="BZ33" s="229">
        <f t="shared" si="12"/>
        <v>0</v>
      </c>
      <c r="CA33" s="229">
        <f t="shared" si="12"/>
        <v>0</v>
      </c>
      <c r="CB33" s="229">
        <f t="shared" si="14"/>
        <v>0</v>
      </c>
      <c r="CC33" s="229">
        <f t="shared" si="14"/>
        <v>0</v>
      </c>
      <c r="CD33" s="229">
        <f t="shared" si="14"/>
        <v>0</v>
      </c>
      <c r="CE33" s="229">
        <f t="shared" si="14"/>
        <v>0</v>
      </c>
      <c r="CF33" s="229">
        <f t="shared" si="14"/>
        <v>0</v>
      </c>
      <c r="CG33" s="229">
        <f t="shared" si="14"/>
        <v>0</v>
      </c>
      <c r="CH33" s="229">
        <f t="shared" si="14"/>
        <v>0</v>
      </c>
      <c r="CI33" s="229">
        <f t="shared" si="14"/>
        <v>0</v>
      </c>
      <c r="CJ33" s="229">
        <f t="shared" si="14"/>
        <v>0</v>
      </c>
      <c r="CK33" s="229">
        <f t="shared" si="14"/>
        <v>0</v>
      </c>
      <c r="CL33" s="229">
        <f t="shared" si="14"/>
        <v>0</v>
      </c>
      <c r="CM33" s="229">
        <f t="shared" si="14"/>
        <v>0</v>
      </c>
      <c r="CN33" s="229">
        <f t="shared" si="14"/>
        <v>0</v>
      </c>
      <c r="CO33" s="229">
        <f t="shared" si="14"/>
        <v>0</v>
      </c>
      <c r="CP33" s="229">
        <f t="shared" si="14"/>
        <v>0</v>
      </c>
      <c r="CQ33" s="229">
        <f t="shared" si="14"/>
        <v>0</v>
      </c>
      <c r="CR33" s="229">
        <f t="shared" si="14"/>
        <v>0</v>
      </c>
      <c r="CS33" s="230"/>
      <c r="CT33" s="231"/>
      <c r="CU33" s="231"/>
      <c r="CV33" s="231"/>
      <c r="CW33" s="231"/>
      <c r="CX33" s="231"/>
      <c r="CY33" s="231"/>
      <c r="CZ33" s="231"/>
      <c r="DA33" s="231"/>
      <c r="DB33" s="231">
        <f>IF(SUM(DB$24:DB32)=DB$22,0,IF(AND($K33&gt;=DB$15,$K33&lt;(DB$16+1)),DB$22/(DB$16-DB$15+1),0))</f>
        <v>0</v>
      </c>
      <c r="DC33" s="231">
        <f t="shared" si="26"/>
        <v>0</v>
      </c>
      <c r="DD33" s="231">
        <f t="shared" si="26"/>
        <v>0</v>
      </c>
      <c r="DE33" s="231">
        <f t="shared" si="26"/>
        <v>0</v>
      </c>
      <c r="DF33" s="231">
        <f t="shared" si="26"/>
        <v>0</v>
      </c>
      <c r="DG33" s="231">
        <f t="shared" si="26"/>
        <v>0</v>
      </c>
      <c r="DH33" s="231">
        <f t="shared" si="26"/>
        <v>0</v>
      </c>
      <c r="DI33" s="231">
        <f t="shared" si="26"/>
        <v>0</v>
      </c>
      <c r="DJ33" s="231">
        <f t="shared" si="26"/>
        <v>0</v>
      </c>
      <c r="DK33" s="231">
        <f t="shared" si="26"/>
        <v>0</v>
      </c>
      <c r="DL33" s="231">
        <f t="shared" si="26"/>
        <v>0</v>
      </c>
      <c r="DM33" s="231">
        <f t="shared" si="26"/>
        <v>0</v>
      </c>
      <c r="DN33" s="231">
        <f t="shared" si="26"/>
        <v>0</v>
      </c>
      <c r="DO33" s="231">
        <f t="shared" si="26"/>
        <v>1.0920000000000003E-2</v>
      </c>
      <c r="DP33" s="231">
        <f>'Offshore CF'!DR33</f>
        <v>0.24</v>
      </c>
      <c r="DQ33" s="231">
        <f>'Offshore CF'!DS33</f>
        <v>0.29866666666666669</v>
      </c>
      <c r="DR33" s="231">
        <f ca="1">IF(SUM(DR$24:DR32)=DR$22,0,IF(AND($K33&gt;=DR$15,$K33&lt;(DR$16+1)),DR$22/(DR$16-DR$15+1),0))</f>
        <v>0</v>
      </c>
      <c r="DS33" s="231" t="e">
        <f ca="1">IF(SUM(DS$24:DS32)=DS$22,0,IF(AND($K33&gt;=DS$15,$K33&lt;(DS$16+1)),DS$22/(DS$16-DS$15+1),0))</f>
        <v>#REF!</v>
      </c>
      <c r="DT33" s="231" t="e">
        <f ca="1">IF(SUM(DT$24:DT32)=DT$22,0,IF(AND(K33&gt;=DT$15,K33&lt;(DT$16+1)),DT$22/(DT$16-DT$15+1),0))</f>
        <v>#REF!</v>
      </c>
      <c r="DU33" s="231" t="e">
        <f ca="1">IF(SUM(DU$24:DU32)=DU$22,0,IF(AND($K33&gt;=DU$15,$K33&lt;(DU$16+1)),DU$22/(DU$16-DU$15+1),0))</f>
        <v>#REF!</v>
      </c>
      <c r="DV33" s="231">
        <f ca="1">IF(SUM(DV$24:DV32)=DV$22,0,IF(AND($K33&gt;=DV$15,$K33&lt;(DV$16+1)),DV$22/(DV$16-DV$15+1),0))</f>
        <v>0</v>
      </c>
      <c r="DW33" s="231">
        <f ca="1">IF(SUM(DW$24:DW32)=DW$22,0,IF(AND($K33&gt;=DW$15,$K33&lt;(DW$16+1)),DW$22/(DW$16-DW$15+1),0))</f>
        <v>0</v>
      </c>
      <c r="DX33" s="231">
        <f ca="1">IF(SUM(DX$24:DX32)=DX$22,0,IF(AND($K33&gt;=DX$15,$K33&lt;(DX$16+1)),DX$22/(DX$16-DX$15+1),0))</f>
        <v>0</v>
      </c>
      <c r="DY33" s="231">
        <f ca="1">IF(SUM(DY$24:DY32)=DY$22,0,IF(AND($K33&gt;=DY$15,$K33&lt;(DY$16+1)),DY$22/(DY$16-DY$15+1),0))</f>
        <v>0</v>
      </c>
      <c r="EA33" s="749">
        <f t="shared" si="16"/>
        <v>10</v>
      </c>
      <c r="EB33" s="749" t="e">
        <f t="shared" ca="1" si="17"/>
        <v>#REF!</v>
      </c>
      <c r="EC33" s="750" t="e">
        <f t="shared" ca="1" si="18"/>
        <v>#REF!</v>
      </c>
      <c r="ED33" s="749" t="e">
        <f t="shared" ca="1" si="28"/>
        <v>#REF!</v>
      </c>
      <c r="EE33" s="749"/>
      <c r="EF33" s="749"/>
      <c r="EG33" s="749"/>
      <c r="EH33" s="749"/>
      <c r="EI33" s="714" t="e">
        <f t="shared" ca="1" si="19"/>
        <v>#REF!</v>
      </c>
      <c r="EJ33" s="231" t="e">
        <f ca="1">IF(SUM(EJ$24:EJ32)=EJ$22,0,IF(AND($K33&gt;=EJ$15,$K33&lt;(EJ$16+1)),EJ$22/(EJ$16-EJ$15+1),0))</f>
        <v>#REF!</v>
      </c>
      <c r="EK33" s="714" t="e">
        <f t="shared" ca="1" si="24"/>
        <v>#REF!</v>
      </c>
      <c r="EM33" s="60"/>
      <c r="EN33" s="60"/>
    </row>
    <row r="34" spans="1:144">
      <c r="A34" s="220"/>
      <c r="B34" s="236">
        <f t="shared" si="20"/>
        <v>11</v>
      </c>
      <c r="C34" s="221">
        <f t="shared" si="21"/>
        <v>43775.167000000016</v>
      </c>
      <c r="D34" s="746" t="e">
        <f t="shared" ca="1" si="22"/>
        <v>#DIV/0!</v>
      </c>
      <c r="E34" s="747" t="e">
        <f t="shared" ca="1" si="25"/>
        <v>#DIV/0!</v>
      </c>
      <c r="F34" s="748" t="e">
        <f ca="1">IF(F33=0,0,SUM($G$24:G34))</f>
        <v>#DIV/0!</v>
      </c>
      <c r="G34" s="225" t="e">
        <f t="shared" ca="1" si="5"/>
        <v>#DIV/0!</v>
      </c>
      <c r="H34" s="746">
        <f t="shared" ca="1" si="23"/>
        <v>0</v>
      </c>
      <c r="I34" s="60"/>
      <c r="J34" s="228"/>
      <c r="K34" s="228">
        <f t="shared" si="6"/>
        <v>11</v>
      </c>
      <c r="L34" s="221">
        <f t="shared" si="7"/>
        <v>43775.167000000016</v>
      </c>
      <c r="M34" s="229">
        <f t="shared" ref="M34:AQ43" si="29">IF($K34=M$13,M$22*M$3,IF($K34=M$14,M$22*M$4,IF($K34=M$15,M$22*M$5,IF($K34=M$16,M$22*M$6,IF($K34=M$17,M$22*M$7,IF($K34=M$18,M$22*M$8,IF($K34=M$19,M$22*M$9,IF($K34=M$20,M$22*M$10,0))))))))</f>
        <v>0</v>
      </c>
      <c r="N34" s="229">
        <f t="shared" si="29"/>
        <v>0</v>
      </c>
      <c r="O34" s="229">
        <f t="shared" si="29"/>
        <v>0</v>
      </c>
      <c r="P34" s="229">
        <f t="shared" si="29"/>
        <v>0</v>
      </c>
      <c r="Q34" s="229">
        <f t="shared" si="29"/>
        <v>0</v>
      </c>
      <c r="R34" s="229">
        <f t="shared" si="27"/>
        <v>0</v>
      </c>
      <c r="S34" s="229">
        <f t="shared" si="27"/>
        <v>0</v>
      </c>
      <c r="T34" s="229">
        <f t="shared" si="27"/>
        <v>0</v>
      </c>
      <c r="U34" s="229">
        <f t="shared" si="29"/>
        <v>0</v>
      </c>
      <c r="V34" s="229">
        <f t="shared" si="29"/>
        <v>0</v>
      </c>
      <c r="W34" s="229">
        <f t="shared" si="29"/>
        <v>0</v>
      </c>
      <c r="X34" s="229">
        <f t="shared" si="29"/>
        <v>0</v>
      </c>
      <c r="Y34" s="229">
        <f t="shared" si="29"/>
        <v>0</v>
      </c>
      <c r="Z34" s="229">
        <f t="shared" si="29"/>
        <v>0</v>
      </c>
      <c r="AA34" s="229">
        <f t="shared" si="29"/>
        <v>0</v>
      </c>
      <c r="AB34" s="229">
        <f t="shared" si="29"/>
        <v>0</v>
      </c>
      <c r="AC34" s="229">
        <f t="shared" si="29"/>
        <v>0</v>
      </c>
      <c r="AD34" s="229">
        <f t="shared" si="29"/>
        <v>0</v>
      </c>
      <c r="AE34" s="229">
        <f t="shared" si="29"/>
        <v>0</v>
      </c>
      <c r="AF34" s="229">
        <f t="shared" si="29"/>
        <v>0</v>
      </c>
      <c r="AG34" s="229">
        <f t="shared" si="29"/>
        <v>0</v>
      </c>
      <c r="AH34" s="229">
        <f t="shared" si="29"/>
        <v>0</v>
      </c>
      <c r="AI34" s="229">
        <f t="shared" si="29"/>
        <v>0</v>
      </c>
      <c r="AJ34" s="229">
        <f t="shared" si="29"/>
        <v>0</v>
      </c>
      <c r="AK34" s="229">
        <f t="shared" si="29"/>
        <v>0</v>
      </c>
      <c r="AL34" s="229">
        <f t="shared" si="29"/>
        <v>0</v>
      </c>
      <c r="AM34" s="229">
        <f t="shared" si="29"/>
        <v>0</v>
      </c>
      <c r="AN34" s="229">
        <f t="shared" si="29"/>
        <v>0</v>
      </c>
      <c r="AO34" s="229">
        <f t="shared" si="29"/>
        <v>0</v>
      </c>
      <c r="AP34" s="229">
        <f t="shared" si="29"/>
        <v>0</v>
      </c>
      <c r="AQ34" s="229">
        <f t="shared" si="29"/>
        <v>0</v>
      </c>
      <c r="AR34" s="229">
        <f t="shared" ref="AR34:BB43" si="30">IF($K34=AR$13,AR$22*AR$3,IF($K34=AR$14,AR$22*AR$4,IF($K34=AR$15,AR$22*AR$5,IF($K34=AR$16,AR$22*AR$6,IF($K34=AR$17,AR$22*AR$7,IF($K34=AR$18,AR$22*AR$8,IF($K34=AR$19,AR$22*AR$9,IF($K34=AR$20,AR$22*AR$10,0))))))))</f>
        <v>0</v>
      </c>
      <c r="AS34" s="229">
        <f t="shared" si="30"/>
        <v>0</v>
      </c>
      <c r="AT34" s="229">
        <f t="shared" si="30"/>
        <v>0</v>
      </c>
      <c r="AU34" s="229">
        <f t="shared" si="30"/>
        <v>0</v>
      </c>
      <c r="AV34" s="229">
        <f t="shared" si="30"/>
        <v>0</v>
      </c>
      <c r="AW34" s="229">
        <f t="shared" si="30"/>
        <v>0</v>
      </c>
      <c r="AX34" s="229">
        <f t="shared" si="30"/>
        <v>0</v>
      </c>
      <c r="AY34" s="229">
        <f t="shared" si="30"/>
        <v>0</v>
      </c>
      <c r="AZ34" s="229">
        <f t="shared" si="30"/>
        <v>0</v>
      </c>
      <c r="BA34" s="229">
        <f t="shared" si="30"/>
        <v>0</v>
      </c>
      <c r="BB34" s="229">
        <f t="shared" si="30"/>
        <v>0</v>
      </c>
      <c r="BC34" s="229">
        <f t="shared" ref="BC34:BL43" si="31">IF($K34=BC$13,BC$22*BC$3,IF($K34=BC$14,BC$22*BC$4,IF($K34=BC$15,BC$22*BC$5,IF($K34=BC$16,BC$22*BC$6,IF($K34=BC$17,BC$22*BC$7,IF($K34=BC$18,BC$22*BC$8,IF($K34=BC$19,BC$22*BC$9,IF($K34=BC$20,BC$22*BC$10,0))))))))</f>
        <v>0</v>
      </c>
      <c r="BD34" s="229">
        <f t="shared" si="31"/>
        <v>0</v>
      </c>
      <c r="BE34" s="229">
        <f t="shared" si="31"/>
        <v>0</v>
      </c>
      <c r="BF34" s="229">
        <f t="shared" si="31"/>
        <v>0</v>
      </c>
      <c r="BG34" s="229">
        <f t="shared" si="31"/>
        <v>0</v>
      </c>
      <c r="BH34" s="229">
        <f t="shared" si="31"/>
        <v>0</v>
      </c>
      <c r="BI34" s="229">
        <f t="shared" si="31"/>
        <v>0</v>
      </c>
      <c r="BJ34" s="229">
        <f t="shared" si="31"/>
        <v>0</v>
      </c>
      <c r="BK34" s="229">
        <f t="shared" si="31"/>
        <v>0</v>
      </c>
      <c r="BL34" s="229">
        <f t="shared" si="31"/>
        <v>0</v>
      </c>
      <c r="BM34" s="229">
        <f t="shared" ref="BM34:CA43" si="32">IF($K34=BM$13,BM$22*BM$3,IF($K34=BM$14,BM$22*BM$4,IF($K34=BM$15,BM$22*BM$5,IF($K34=BM$16,BM$22*BM$6,IF($K34=BM$17,BM$22*BM$7,IF($K34=BM$18,BM$22*BM$8,IF($K34=BM$19,BM$22*BM$9,IF($K34=BM$20,BM$22*BM$10,0))))))))</f>
        <v>0</v>
      </c>
      <c r="BN34" s="229">
        <f t="shared" si="32"/>
        <v>0</v>
      </c>
      <c r="BO34" s="229">
        <f t="shared" si="13"/>
        <v>0</v>
      </c>
      <c r="BP34" s="229">
        <f t="shared" si="13"/>
        <v>0</v>
      </c>
      <c r="BQ34" s="229">
        <f t="shared" si="13"/>
        <v>0</v>
      </c>
      <c r="BR34" s="229">
        <f t="shared" si="32"/>
        <v>0</v>
      </c>
      <c r="BS34" s="229">
        <f t="shared" si="32"/>
        <v>0</v>
      </c>
      <c r="BT34" s="229">
        <f t="shared" si="32"/>
        <v>0</v>
      </c>
      <c r="BU34" s="229">
        <f t="shared" si="32"/>
        <v>0</v>
      </c>
      <c r="BV34" s="229">
        <f t="shared" si="32"/>
        <v>0</v>
      </c>
      <c r="BW34" s="229">
        <f t="shared" si="32"/>
        <v>0</v>
      </c>
      <c r="BX34" s="229">
        <f t="shared" si="32"/>
        <v>0</v>
      </c>
      <c r="BY34" s="229">
        <f t="shared" si="32"/>
        <v>0</v>
      </c>
      <c r="BZ34" s="229">
        <f t="shared" si="32"/>
        <v>0</v>
      </c>
      <c r="CA34" s="229">
        <f t="shared" si="32"/>
        <v>0</v>
      </c>
      <c r="CB34" s="229">
        <f t="shared" ref="CB34:CR43" si="33">IF($K34=CB$13,CB$22*CB$3,IF($K34=CB$14,CB$22*CB$4,IF($K34=CB$15,CB$22*CB$5,IF($K34=CB$16,CB$22*CB$6,IF($K34=CB$17,CB$22*CB$7,IF($K34=CB$18,CB$22*CB$8,IF($K34=CB$19,CB$22*CB$9,IF($K34=CB$20,CB$22*CB$10,0))))))))</f>
        <v>0</v>
      </c>
      <c r="CC34" s="229">
        <f t="shared" si="33"/>
        <v>0</v>
      </c>
      <c r="CD34" s="229">
        <f t="shared" si="33"/>
        <v>0</v>
      </c>
      <c r="CE34" s="229">
        <f t="shared" si="33"/>
        <v>0</v>
      </c>
      <c r="CF34" s="229">
        <f t="shared" si="33"/>
        <v>0</v>
      </c>
      <c r="CG34" s="229">
        <f t="shared" si="33"/>
        <v>0</v>
      </c>
      <c r="CH34" s="229">
        <f t="shared" si="33"/>
        <v>0</v>
      </c>
      <c r="CI34" s="229">
        <f t="shared" si="33"/>
        <v>0</v>
      </c>
      <c r="CJ34" s="229">
        <f t="shared" si="33"/>
        <v>0</v>
      </c>
      <c r="CK34" s="229">
        <f t="shared" si="33"/>
        <v>0</v>
      </c>
      <c r="CL34" s="229">
        <f t="shared" si="33"/>
        <v>0</v>
      </c>
      <c r="CM34" s="229">
        <f t="shared" si="33"/>
        <v>0</v>
      </c>
      <c r="CN34" s="229">
        <f t="shared" si="33"/>
        <v>0</v>
      </c>
      <c r="CO34" s="229">
        <f t="shared" si="33"/>
        <v>0</v>
      </c>
      <c r="CP34" s="229">
        <f t="shared" si="33"/>
        <v>0</v>
      </c>
      <c r="CQ34" s="229">
        <f t="shared" si="33"/>
        <v>0</v>
      </c>
      <c r="CR34" s="229">
        <f t="shared" si="33"/>
        <v>0</v>
      </c>
      <c r="CS34" s="230"/>
      <c r="CT34" s="231"/>
      <c r="CU34" s="231"/>
      <c r="CV34" s="231"/>
      <c r="CW34" s="231"/>
      <c r="CX34" s="231"/>
      <c r="CY34" s="231"/>
      <c r="CZ34" s="231"/>
      <c r="DA34" s="231"/>
      <c r="DB34" s="231">
        <f>IF(SUM(DB$24:DB33)=DB$22,0,IF(AND($K34&gt;=DB$15,$K34&lt;(DB$16+1)),DB$22/(DB$16-DB$15+1),0))</f>
        <v>0</v>
      </c>
      <c r="DC34" s="231">
        <f t="shared" si="26"/>
        <v>0</v>
      </c>
      <c r="DD34" s="231">
        <f t="shared" si="26"/>
        <v>0</v>
      </c>
      <c r="DE34" s="231">
        <f t="shared" si="26"/>
        <v>0</v>
      </c>
      <c r="DF34" s="231">
        <f t="shared" si="26"/>
        <v>0</v>
      </c>
      <c r="DG34" s="231">
        <f t="shared" si="26"/>
        <v>0</v>
      </c>
      <c r="DH34" s="231">
        <f t="shared" si="26"/>
        <v>0</v>
      </c>
      <c r="DI34" s="231">
        <f t="shared" si="26"/>
        <v>0</v>
      </c>
      <c r="DJ34" s="231">
        <f t="shared" si="26"/>
        <v>0</v>
      </c>
      <c r="DK34" s="231">
        <f t="shared" si="26"/>
        <v>0</v>
      </c>
      <c r="DL34" s="231">
        <f t="shared" si="26"/>
        <v>0</v>
      </c>
      <c r="DM34" s="231">
        <f t="shared" si="26"/>
        <v>0</v>
      </c>
      <c r="DN34" s="231">
        <f t="shared" si="26"/>
        <v>0</v>
      </c>
      <c r="DO34" s="231">
        <f t="shared" si="26"/>
        <v>1.0920000000000003E-2</v>
      </c>
      <c r="DP34" s="231">
        <f>'Offshore CF'!DR34</f>
        <v>0.24</v>
      </c>
      <c r="DQ34" s="231">
        <f>'Offshore CF'!DS34</f>
        <v>0.29866666666666669</v>
      </c>
      <c r="DR34" s="231">
        <f ca="1">IF(SUM(DR$24:DR33)=DR$22,0,IF(AND($K34&gt;=DR$15,$K34&lt;(DR$16+1)),DR$22/(DR$16-DR$15+1),0))</f>
        <v>0</v>
      </c>
      <c r="DS34" s="231" t="e">
        <f ca="1">IF(SUM(DS$24:DS33)=DS$22,0,IF(AND($K34&gt;=DS$15,$K34&lt;(DS$16+1)),DS$22/(DS$16-DS$15+1),0))</f>
        <v>#REF!</v>
      </c>
      <c r="DT34" s="231" t="e">
        <f ca="1">IF(SUM(DT$24:DT33)=DT$22,0,IF(AND(K34&gt;=DT$15,K34&lt;(DT$16+1)),DT$22/(DT$16-DT$15+1),0))</f>
        <v>#REF!</v>
      </c>
      <c r="DU34" s="231" t="e">
        <f ca="1">IF(SUM(DU$24:DU33)=DU$22,0,IF(AND($K34&gt;=DU$15,$K34&lt;(DU$16+1)),DU$22/(DU$16-DU$15+1),0))</f>
        <v>#REF!</v>
      </c>
      <c r="DV34" s="231">
        <f ca="1">IF(SUM(DV$24:DV33)=DV$22,0,IF(AND($K34&gt;=DV$15,$K34&lt;(DV$16+1)),DV$22/(DV$16-DV$15+1),0))</f>
        <v>0</v>
      </c>
      <c r="DW34" s="231">
        <f ca="1">IF(SUM(DW$24:DW33)=DW$22,0,IF(AND($K34&gt;=DW$15,$K34&lt;(DW$16+1)),DW$22/(DW$16-DW$15+1),0))</f>
        <v>0</v>
      </c>
      <c r="DX34" s="231">
        <f ca="1">IF(SUM(DX$24:DX33)=DX$22,0,IF(AND($K34&gt;=DX$15,$K34&lt;(DX$16+1)),DX$22/(DX$16-DX$15+1),0))</f>
        <v>0</v>
      </c>
      <c r="DY34" s="231">
        <f ca="1">IF(SUM(DY$24:DY33)=DY$22,0,IF(AND($K34&gt;=DY$15,$K34&lt;(DY$16+1)),DY$22/(DY$16-DY$15+1),0))</f>
        <v>0</v>
      </c>
      <c r="EA34" s="749">
        <f t="shared" si="16"/>
        <v>11</v>
      </c>
      <c r="EB34" s="749" t="e">
        <f t="shared" ca="1" si="17"/>
        <v>#REF!</v>
      </c>
      <c r="EC34" s="750" t="e">
        <f t="shared" ca="1" si="18"/>
        <v>#REF!</v>
      </c>
      <c r="ED34" s="749" t="e">
        <f t="shared" ca="1" si="28"/>
        <v>#N/A</v>
      </c>
      <c r="EE34" s="749"/>
      <c r="EF34" s="749"/>
      <c r="EG34" s="749"/>
      <c r="EH34" s="749"/>
      <c r="EI34" s="714" t="e">
        <f t="shared" ca="1" si="19"/>
        <v>#REF!</v>
      </c>
      <c r="EJ34" s="231" t="e">
        <f ca="1">IF(SUM(EJ$24:EJ33)=EJ$22,0,IF(AND($K34&gt;=EJ$15,$K34&lt;(EJ$16+1)),EJ$22/(EJ$16-EJ$15+1),0))</f>
        <v>#REF!</v>
      </c>
      <c r="EK34" s="714" t="e">
        <f t="shared" ca="1" si="24"/>
        <v>#REF!</v>
      </c>
      <c r="EM34" s="60"/>
      <c r="EN34" s="60"/>
    </row>
    <row r="35" spans="1:144">
      <c r="A35" s="237"/>
      <c r="B35" s="238">
        <f t="shared" si="20"/>
        <v>12</v>
      </c>
      <c r="C35" s="239">
        <f t="shared" si="21"/>
        <v>43805.583700000017</v>
      </c>
      <c r="D35" s="746" t="e">
        <f t="shared" ca="1" si="22"/>
        <v>#DIV/0!</v>
      </c>
      <c r="E35" s="747" t="e">
        <f t="shared" ca="1" si="25"/>
        <v>#DIV/0!</v>
      </c>
      <c r="F35" s="748" t="e">
        <f ca="1">IF(F34=0,0,SUM($G$24:G35))</f>
        <v>#DIV/0!</v>
      </c>
      <c r="G35" s="225" t="e">
        <f t="shared" ca="1" si="5"/>
        <v>#DIV/0!</v>
      </c>
      <c r="H35" s="746">
        <f t="shared" ca="1" si="23"/>
        <v>0</v>
      </c>
      <c r="I35" s="60"/>
      <c r="J35" s="241"/>
      <c r="K35" s="241">
        <f t="shared" si="6"/>
        <v>12</v>
      </c>
      <c r="L35" s="239">
        <f t="shared" si="7"/>
        <v>43805.583700000017</v>
      </c>
      <c r="M35" s="229">
        <f t="shared" si="29"/>
        <v>0</v>
      </c>
      <c r="N35" s="229">
        <f t="shared" si="29"/>
        <v>0</v>
      </c>
      <c r="O35" s="229">
        <f t="shared" si="29"/>
        <v>0</v>
      </c>
      <c r="P35" s="229">
        <f t="shared" si="29"/>
        <v>0</v>
      </c>
      <c r="Q35" s="229">
        <f t="shared" si="29"/>
        <v>0</v>
      </c>
      <c r="R35" s="229">
        <f t="shared" si="27"/>
        <v>0</v>
      </c>
      <c r="S35" s="229">
        <f t="shared" si="27"/>
        <v>0</v>
      </c>
      <c r="T35" s="229">
        <f t="shared" si="27"/>
        <v>0</v>
      </c>
      <c r="U35" s="229">
        <f t="shared" si="29"/>
        <v>0</v>
      </c>
      <c r="V35" s="229">
        <f t="shared" si="29"/>
        <v>0</v>
      </c>
      <c r="W35" s="229">
        <f t="shared" si="29"/>
        <v>0</v>
      </c>
      <c r="X35" s="229">
        <f t="shared" si="29"/>
        <v>0</v>
      </c>
      <c r="Y35" s="229">
        <f t="shared" si="29"/>
        <v>0</v>
      </c>
      <c r="Z35" s="229">
        <f t="shared" si="29"/>
        <v>0</v>
      </c>
      <c r="AA35" s="229">
        <f t="shared" si="29"/>
        <v>0</v>
      </c>
      <c r="AB35" s="229">
        <f t="shared" si="29"/>
        <v>0</v>
      </c>
      <c r="AC35" s="229">
        <f t="shared" si="29"/>
        <v>0</v>
      </c>
      <c r="AD35" s="229">
        <f t="shared" si="29"/>
        <v>0</v>
      </c>
      <c r="AE35" s="229">
        <f t="shared" si="29"/>
        <v>0</v>
      </c>
      <c r="AF35" s="229">
        <f t="shared" si="29"/>
        <v>0</v>
      </c>
      <c r="AG35" s="229">
        <f t="shared" si="29"/>
        <v>0</v>
      </c>
      <c r="AH35" s="229">
        <f t="shared" si="29"/>
        <v>0</v>
      </c>
      <c r="AI35" s="229">
        <f t="shared" si="29"/>
        <v>0</v>
      </c>
      <c r="AJ35" s="229">
        <f t="shared" si="29"/>
        <v>0</v>
      </c>
      <c r="AK35" s="229">
        <f t="shared" si="29"/>
        <v>0</v>
      </c>
      <c r="AL35" s="229">
        <f t="shared" si="29"/>
        <v>0</v>
      </c>
      <c r="AM35" s="229">
        <f t="shared" si="29"/>
        <v>0</v>
      </c>
      <c r="AN35" s="229">
        <f t="shared" si="29"/>
        <v>0</v>
      </c>
      <c r="AO35" s="229">
        <f t="shared" si="29"/>
        <v>0</v>
      </c>
      <c r="AP35" s="229">
        <f t="shared" si="29"/>
        <v>0</v>
      </c>
      <c r="AQ35" s="229">
        <f t="shared" si="29"/>
        <v>0</v>
      </c>
      <c r="AR35" s="229">
        <f t="shared" si="30"/>
        <v>0</v>
      </c>
      <c r="AS35" s="229">
        <f t="shared" si="30"/>
        <v>0</v>
      </c>
      <c r="AT35" s="229">
        <f t="shared" si="30"/>
        <v>0</v>
      </c>
      <c r="AU35" s="229">
        <f t="shared" si="30"/>
        <v>0</v>
      </c>
      <c r="AV35" s="229">
        <f t="shared" si="30"/>
        <v>0</v>
      </c>
      <c r="AW35" s="229">
        <f t="shared" si="30"/>
        <v>0</v>
      </c>
      <c r="AX35" s="229">
        <f t="shared" si="30"/>
        <v>0</v>
      </c>
      <c r="AY35" s="229">
        <f t="shared" si="30"/>
        <v>0</v>
      </c>
      <c r="AZ35" s="229">
        <f t="shared" si="30"/>
        <v>0</v>
      </c>
      <c r="BA35" s="229">
        <f t="shared" si="30"/>
        <v>0</v>
      </c>
      <c r="BB35" s="229">
        <f t="shared" si="30"/>
        <v>0</v>
      </c>
      <c r="BC35" s="229">
        <f t="shared" si="31"/>
        <v>0</v>
      </c>
      <c r="BD35" s="229">
        <f t="shared" si="31"/>
        <v>0</v>
      </c>
      <c r="BE35" s="229">
        <f t="shared" si="31"/>
        <v>0</v>
      </c>
      <c r="BF35" s="229">
        <f t="shared" si="31"/>
        <v>0</v>
      </c>
      <c r="BG35" s="229">
        <f t="shared" si="31"/>
        <v>0</v>
      </c>
      <c r="BH35" s="229">
        <f t="shared" si="31"/>
        <v>0</v>
      </c>
      <c r="BI35" s="229">
        <f t="shared" si="31"/>
        <v>0</v>
      </c>
      <c r="BJ35" s="229">
        <f t="shared" si="31"/>
        <v>0</v>
      </c>
      <c r="BK35" s="229">
        <f t="shared" si="31"/>
        <v>0</v>
      </c>
      <c r="BL35" s="229">
        <f t="shared" si="31"/>
        <v>0</v>
      </c>
      <c r="BM35" s="229">
        <f t="shared" si="32"/>
        <v>0</v>
      </c>
      <c r="BN35" s="229">
        <f t="shared" si="32"/>
        <v>0</v>
      </c>
      <c r="BO35" s="229">
        <f t="shared" si="13"/>
        <v>0</v>
      </c>
      <c r="BP35" s="229">
        <f t="shared" si="13"/>
        <v>0</v>
      </c>
      <c r="BQ35" s="229">
        <f t="shared" si="13"/>
        <v>0</v>
      </c>
      <c r="BR35" s="229">
        <f t="shared" si="32"/>
        <v>0</v>
      </c>
      <c r="BS35" s="229">
        <f t="shared" si="32"/>
        <v>0</v>
      </c>
      <c r="BT35" s="229">
        <f t="shared" si="32"/>
        <v>0</v>
      </c>
      <c r="BU35" s="229">
        <f t="shared" si="32"/>
        <v>0</v>
      </c>
      <c r="BV35" s="229">
        <f t="shared" si="32"/>
        <v>0</v>
      </c>
      <c r="BW35" s="229">
        <f t="shared" si="32"/>
        <v>0</v>
      </c>
      <c r="BX35" s="229">
        <f t="shared" si="32"/>
        <v>0</v>
      </c>
      <c r="BY35" s="229">
        <f t="shared" si="32"/>
        <v>0</v>
      </c>
      <c r="BZ35" s="229">
        <f t="shared" si="32"/>
        <v>0</v>
      </c>
      <c r="CA35" s="229">
        <f t="shared" si="32"/>
        <v>0</v>
      </c>
      <c r="CB35" s="229">
        <f t="shared" si="33"/>
        <v>0</v>
      </c>
      <c r="CC35" s="229">
        <f t="shared" si="33"/>
        <v>0</v>
      </c>
      <c r="CD35" s="229">
        <f t="shared" si="33"/>
        <v>0</v>
      </c>
      <c r="CE35" s="229">
        <f t="shared" si="33"/>
        <v>0</v>
      </c>
      <c r="CF35" s="229">
        <f t="shared" si="33"/>
        <v>0</v>
      </c>
      <c r="CG35" s="229">
        <f t="shared" si="33"/>
        <v>0</v>
      </c>
      <c r="CH35" s="229">
        <f t="shared" si="33"/>
        <v>0</v>
      </c>
      <c r="CI35" s="229">
        <f t="shared" si="33"/>
        <v>0</v>
      </c>
      <c r="CJ35" s="229">
        <f t="shared" si="33"/>
        <v>0</v>
      </c>
      <c r="CK35" s="229">
        <f t="shared" si="33"/>
        <v>0</v>
      </c>
      <c r="CL35" s="229">
        <f t="shared" si="33"/>
        <v>0</v>
      </c>
      <c r="CM35" s="229">
        <f t="shared" si="33"/>
        <v>0</v>
      </c>
      <c r="CN35" s="229">
        <f t="shared" si="33"/>
        <v>0</v>
      </c>
      <c r="CO35" s="229">
        <f t="shared" si="33"/>
        <v>0</v>
      </c>
      <c r="CP35" s="229">
        <f t="shared" si="33"/>
        <v>0</v>
      </c>
      <c r="CQ35" s="229">
        <f t="shared" si="33"/>
        <v>0</v>
      </c>
      <c r="CR35" s="229">
        <f t="shared" si="33"/>
        <v>0</v>
      </c>
      <c r="CS35" s="230"/>
      <c r="CT35" s="231"/>
      <c r="CU35" s="231"/>
      <c r="CV35" s="231"/>
      <c r="CW35" s="231"/>
      <c r="CX35" s="231"/>
      <c r="CY35" s="231"/>
      <c r="CZ35" s="231"/>
      <c r="DA35" s="231" t="e">
        <f ca="1">IF(SUM(DA$32:DA34)&gt;=DA$22,0,DA$22/(DA$13*1))</f>
        <v>#N/A</v>
      </c>
      <c r="DB35" s="231">
        <f>IF(SUM(DB$24:DB34)=DB$22,0,IF(AND($K35&gt;=DB$15,$K35&lt;(DB$16+1)),DB$22/(DB$16-DB$15+1),0))</f>
        <v>0</v>
      </c>
      <c r="DC35" s="231">
        <f t="shared" si="26"/>
        <v>0</v>
      </c>
      <c r="DD35" s="231">
        <f t="shared" si="26"/>
        <v>0</v>
      </c>
      <c r="DE35" s="231">
        <f t="shared" si="26"/>
        <v>0</v>
      </c>
      <c r="DF35" s="231">
        <f t="shared" si="26"/>
        <v>0</v>
      </c>
      <c r="DG35" s="231">
        <f t="shared" si="26"/>
        <v>0</v>
      </c>
      <c r="DH35" s="231">
        <f t="shared" si="26"/>
        <v>0</v>
      </c>
      <c r="DI35" s="231">
        <f t="shared" si="26"/>
        <v>0</v>
      </c>
      <c r="DJ35" s="231">
        <f t="shared" si="26"/>
        <v>0</v>
      </c>
      <c r="DK35" s="231">
        <f t="shared" si="26"/>
        <v>0.28599999999999998</v>
      </c>
      <c r="DL35" s="231">
        <f t="shared" si="26"/>
        <v>0</v>
      </c>
      <c r="DM35" s="231">
        <f t="shared" si="26"/>
        <v>0</v>
      </c>
      <c r="DN35" s="231">
        <f t="shared" si="26"/>
        <v>0</v>
      </c>
      <c r="DO35" s="231">
        <f t="shared" si="26"/>
        <v>1.0920000000000003E-2</v>
      </c>
      <c r="DP35" s="231">
        <f>'Offshore CF'!DR35</f>
        <v>0.24</v>
      </c>
      <c r="DQ35" s="231">
        <f>'Offshore CF'!DS35</f>
        <v>0.29866666666666669</v>
      </c>
      <c r="DR35" s="231">
        <f ca="1">IF(SUM(DR$24:DR34)=DR$22,0,IF(AND($K35&gt;=DR$15,$K35&lt;(DR$16+1)),DR$22/(DR$16-DR$15+1),0))</f>
        <v>0</v>
      </c>
      <c r="DS35" s="231" t="e">
        <f ca="1">IF(SUM(DS$24:DS34)=DS$22,0,IF(AND($K35&gt;=DS$15,$K35&lt;(DS$16+1)),DS$22/(DS$16-DS$15+1),0))</f>
        <v>#REF!</v>
      </c>
      <c r="DT35" s="231" t="e">
        <f ca="1">IF(SUM(DT$24:DT34)=DT$22,0,IF(AND(K35&gt;=DT$15,K35&lt;(DT$16+1)),DT$22/(DT$16-DT$15+1),0))</f>
        <v>#REF!</v>
      </c>
      <c r="DU35" s="231" t="e">
        <f ca="1">IF(SUM(DU$24:DU34)=DU$22,0,IF(AND($K35&gt;=DU$15,$K35&lt;(DU$16+1)),DU$22/(DU$16-DU$15+1),0))</f>
        <v>#REF!</v>
      </c>
      <c r="DV35" s="231">
        <f ca="1">IF(SUM(DV$24:DV34)=DV$22,0,IF(AND($K35&gt;=DV$15,$K35&lt;(DV$16+1)),DV$22/(DV$16-DV$15+1),0))</f>
        <v>0</v>
      </c>
      <c r="DW35" s="231">
        <f ca="1">IF(SUM(DW$24:DW34)=DW$22,0,IF(AND($K35&gt;=DW$15,$K35&lt;(DW$16+1)),DW$22/(DW$16-DW$15+1),0))</f>
        <v>0</v>
      </c>
      <c r="DX35" s="231">
        <f ca="1">IF(SUM(DX$24:DX34)=DX$22,0,IF(AND($K35&gt;=DX$15,$K35&lt;(DX$16+1)),DX$22/(DX$16-DX$15+1),0))</f>
        <v>0</v>
      </c>
      <c r="DY35" s="231">
        <f ca="1">IF(SUM(DY$24:DY34)=DY$22,0,IF(AND($K35&gt;=DY$15,$K35&lt;(DY$16+1)),DY$22/(DY$16-DY$15+1),0))</f>
        <v>0</v>
      </c>
      <c r="EA35" s="749">
        <f t="shared" si="16"/>
        <v>12</v>
      </c>
      <c r="EB35" s="749" t="e">
        <f t="shared" ca="1" si="17"/>
        <v>#N/A</v>
      </c>
      <c r="EC35" s="750" t="e">
        <f t="shared" ca="1" si="18"/>
        <v>#N/A</v>
      </c>
      <c r="ED35" s="749" t="e">
        <f t="shared" ca="1" si="28"/>
        <v>#REF!</v>
      </c>
      <c r="EE35" s="749"/>
      <c r="EF35" s="749"/>
      <c r="EG35" s="749"/>
      <c r="EH35" s="749"/>
      <c r="EI35" s="714" t="e">
        <f t="shared" ca="1" si="19"/>
        <v>#N/A</v>
      </c>
      <c r="EJ35" s="231" t="e">
        <f ca="1">IF(SUM(EJ$24:EJ34)=EJ$22,0,IF(AND($K35&gt;=EJ$15,$K35&lt;(EJ$16+1)),EJ$22/(EJ$16-EJ$15+1),0))</f>
        <v>#REF!</v>
      </c>
      <c r="EK35" s="714" t="e">
        <f t="shared" ca="1" si="24"/>
        <v>#N/A</v>
      </c>
      <c r="EM35" s="60"/>
      <c r="EN35" s="60"/>
    </row>
    <row r="36" spans="1:144">
      <c r="A36" s="220" t="s">
        <v>113</v>
      </c>
      <c r="B36" s="236">
        <f t="shared" si="20"/>
        <v>13</v>
      </c>
      <c r="C36" s="221">
        <f t="shared" si="21"/>
        <v>43836.000400000019</v>
      </c>
      <c r="D36" s="746" t="e">
        <f t="shared" ca="1" si="22"/>
        <v>#DIV/0!</v>
      </c>
      <c r="E36" s="747" t="e">
        <f t="shared" ca="1" si="25"/>
        <v>#DIV/0!</v>
      </c>
      <c r="F36" s="748" t="e">
        <f ca="1">IF(F35=0,0,SUM($G$24:G36))</f>
        <v>#DIV/0!</v>
      </c>
      <c r="G36" s="225" t="e">
        <f t="shared" ca="1" si="5"/>
        <v>#DIV/0!</v>
      </c>
      <c r="H36" s="746">
        <f t="shared" ca="1" si="23"/>
        <v>0</v>
      </c>
      <c r="I36" s="60"/>
      <c r="J36" s="242" t="str">
        <f>A36</f>
        <v>Yr 2</v>
      </c>
      <c r="K36" s="228">
        <f t="shared" si="6"/>
        <v>13</v>
      </c>
      <c r="L36" s="221">
        <f t="shared" si="7"/>
        <v>43836.000400000019</v>
      </c>
      <c r="M36" s="229">
        <f t="shared" si="29"/>
        <v>0</v>
      </c>
      <c r="N36" s="229">
        <f t="shared" si="29"/>
        <v>0</v>
      </c>
      <c r="O36" s="229">
        <f t="shared" si="29"/>
        <v>0</v>
      </c>
      <c r="P36" s="229">
        <f t="shared" si="29"/>
        <v>0</v>
      </c>
      <c r="Q36" s="229">
        <f t="shared" si="29"/>
        <v>0</v>
      </c>
      <c r="R36" s="229">
        <f t="shared" si="27"/>
        <v>0</v>
      </c>
      <c r="S36" s="229">
        <f t="shared" si="27"/>
        <v>0</v>
      </c>
      <c r="T36" s="229">
        <f t="shared" si="27"/>
        <v>0</v>
      </c>
      <c r="U36" s="229">
        <f t="shared" si="29"/>
        <v>0</v>
      </c>
      <c r="V36" s="229">
        <f t="shared" si="29"/>
        <v>0</v>
      </c>
      <c r="W36" s="229">
        <f t="shared" si="29"/>
        <v>0</v>
      </c>
      <c r="X36" s="229">
        <f t="shared" si="29"/>
        <v>0</v>
      </c>
      <c r="Y36" s="229">
        <f t="shared" si="29"/>
        <v>0</v>
      </c>
      <c r="Z36" s="229">
        <f t="shared" si="29"/>
        <v>0</v>
      </c>
      <c r="AA36" s="229">
        <f t="shared" si="29"/>
        <v>0</v>
      </c>
      <c r="AB36" s="229">
        <f t="shared" si="29"/>
        <v>0</v>
      </c>
      <c r="AC36" s="229">
        <f t="shared" si="29"/>
        <v>0</v>
      </c>
      <c r="AD36" s="229">
        <f t="shared" si="29"/>
        <v>0</v>
      </c>
      <c r="AE36" s="229">
        <f t="shared" si="29"/>
        <v>0</v>
      </c>
      <c r="AF36" s="229">
        <f t="shared" si="29"/>
        <v>0</v>
      </c>
      <c r="AG36" s="229">
        <f t="shared" si="29"/>
        <v>0</v>
      </c>
      <c r="AH36" s="229">
        <f t="shared" si="29"/>
        <v>0</v>
      </c>
      <c r="AI36" s="229">
        <f t="shared" si="29"/>
        <v>0</v>
      </c>
      <c r="AJ36" s="229">
        <f t="shared" si="29"/>
        <v>0</v>
      </c>
      <c r="AK36" s="229">
        <f t="shared" si="29"/>
        <v>0</v>
      </c>
      <c r="AL36" s="229">
        <f t="shared" si="29"/>
        <v>0</v>
      </c>
      <c r="AM36" s="229">
        <f t="shared" si="29"/>
        <v>0</v>
      </c>
      <c r="AN36" s="229">
        <f t="shared" si="29"/>
        <v>0</v>
      </c>
      <c r="AO36" s="229">
        <f t="shared" si="29"/>
        <v>0</v>
      </c>
      <c r="AP36" s="229">
        <f t="shared" si="29"/>
        <v>0</v>
      </c>
      <c r="AQ36" s="229">
        <f t="shared" si="29"/>
        <v>0</v>
      </c>
      <c r="AR36" s="229">
        <f t="shared" si="30"/>
        <v>0</v>
      </c>
      <c r="AS36" s="229">
        <f t="shared" si="30"/>
        <v>0</v>
      </c>
      <c r="AT36" s="229">
        <f t="shared" si="30"/>
        <v>0</v>
      </c>
      <c r="AU36" s="229">
        <f t="shared" si="30"/>
        <v>0</v>
      </c>
      <c r="AV36" s="229">
        <f t="shared" si="30"/>
        <v>0</v>
      </c>
      <c r="AW36" s="229">
        <f t="shared" si="30"/>
        <v>0</v>
      </c>
      <c r="AX36" s="229">
        <f t="shared" si="30"/>
        <v>0</v>
      </c>
      <c r="AY36" s="229">
        <f t="shared" si="30"/>
        <v>0</v>
      </c>
      <c r="AZ36" s="229">
        <f t="shared" si="30"/>
        <v>0</v>
      </c>
      <c r="BA36" s="229">
        <f t="shared" si="30"/>
        <v>0</v>
      </c>
      <c r="BB36" s="229">
        <f t="shared" si="30"/>
        <v>0</v>
      </c>
      <c r="BC36" s="229">
        <f t="shared" si="31"/>
        <v>0</v>
      </c>
      <c r="BD36" s="229">
        <f t="shared" si="31"/>
        <v>0</v>
      </c>
      <c r="BE36" s="229">
        <f t="shared" si="31"/>
        <v>0</v>
      </c>
      <c r="BF36" s="229">
        <f t="shared" si="31"/>
        <v>0</v>
      </c>
      <c r="BG36" s="229">
        <f t="shared" si="31"/>
        <v>0</v>
      </c>
      <c r="BH36" s="229">
        <f t="shared" si="31"/>
        <v>0</v>
      </c>
      <c r="BI36" s="229">
        <f t="shared" si="31"/>
        <v>0</v>
      </c>
      <c r="BJ36" s="229">
        <f t="shared" si="31"/>
        <v>0</v>
      </c>
      <c r="BK36" s="229">
        <f t="shared" si="31"/>
        <v>0</v>
      </c>
      <c r="BL36" s="229">
        <f t="shared" si="31"/>
        <v>0</v>
      </c>
      <c r="BM36" s="229">
        <f t="shared" si="32"/>
        <v>0</v>
      </c>
      <c r="BN36" s="229">
        <f t="shared" si="32"/>
        <v>0</v>
      </c>
      <c r="BO36" s="229">
        <f t="shared" si="13"/>
        <v>0</v>
      </c>
      <c r="BP36" s="229">
        <f t="shared" si="13"/>
        <v>0</v>
      </c>
      <c r="BQ36" s="229">
        <f t="shared" si="13"/>
        <v>0</v>
      </c>
      <c r="BR36" s="229">
        <f t="shared" si="32"/>
        <v>0</v>
      </c>
      <c r="BS36" s="229">
        <f t="shared" si="32"/>
        <v>0</v>
      </c>
      <c r="BT36" s="229">
        <f t="shared" si="32"/>
        <v>0</v>
      </c>
      <c r="BU36" s="229">
        <f t="shared" si="32"/>
        <v>0</v>
      </c>
      <c r="BV36" s="229">
        <f t="shared" si="32"/>
        <v>0</v>
      </c>
      <c r="BW36" s="229">
        <f t="shared" si="32"/>
        <v>0</v>
      </c>
      <c r="BX36" s="229">
        <f t="shared" si="32"/>
        <v>0</v>
      </c>
      <c r="BY36" s="229">
        <f t="shared" si="32"/>
        <v>0</v>
      </c>
      <c r="BZ36" s="229">
        <f t="shared" si="32"/>
        <v>0</v>
      </c>
      <c r="CA36" s="229">
        <f t="shared" si="32"/>
        <v>0</v>
      </c>
      <c r="CB36" s="229">
        <f t="shared" si="33"/>
        <v>0</v>
      </c>
      <c r="CC36" s="229">
        <f t="shared" si="33"/>
        <v>0</v>
      </c>
      <c r="CD36" s="229">
        <f t="shared" si="33"/>
        <v>0</v>
      </c>
      <c r="CE36" s="229">
        <f t="shared" si="33"/>
        <v>0</v>
      </c>
      <c r="CF36" s="229">
        <f t="shared" si="33"/>
        <v>0</v>
      </c>
      <c r="CG36" s="229">
        <f t="shared" si="33"/>
        <v>0</v>
      </c>
      <c r="CH36" s="229">
        <f t="shared" si="33"/>
        <v>0</v>
      </c>
      <c r="CI36" s="229">
        <f t="shared" si="33"/>
        <v>0</v>
      </c>
      <c r="CJ36" s="229">
        <f t="shared" si="33"/>
        <v>0</v>
      </c>
      <c r="CK36" s="229">
        <f t="shared" si="33"/>
        <v>0</v>
      </c>
      <c r="CL36" s="229">
        <f t="shared" si="33"/>
        <v>0</v>
      </c>
      <c r="CM36" s="229">
        <f t="shared" si="33"/>
        <v>0</v>
      </c>
      <c r="CN36" s="229">
        <f t="shared" si="33"/>
        <v>0</v>
      </c>
      <c r="CO36" s="229">
        <f t="shared" si="33"/>
        <v>0</v>
      </c>
      <c r="CP36" s="229">
        <f t="shared" si="33"/>
        <v>0</v>
      </c>
      <c r="CQ36" s="229">
        <f t="shared" si="33"/>
        <v>0</v>
      </c>
      <c r="CR36" s="229">
        <f t="shared" si="33"/>
        <v>0</v>
      </c>
      <c r="CS36" s="230"/>
      <c r="CT36" s="243">
        <f>IF(SUM(CT$24:CT35)&gt;=CT$22,0,CT$22/CT$13)</f>
        <v>0</v>
      </c>
      <c r="CU36" s="243">
        <f>IF(SUM(CU$24:CU35)&gt;=CU$22,0,CU$22/CU$13)</f>
        <v>0</v>
      </c>
      <c r="CV36" s="231"/>
      <c r="CW36" s="243" t="e">
        <f ca="1">IF(SUM(CW$24:CW35)&gt;=CW$22,0,CW$22/CW$13)</f>
        <v>#N/A</v>
      </c>
      <c r="CX36" s="243"/>
      <c r="CY36" s="231"/>
      <c r="CZ36" s="231"/>
      <c r="DA36" s="231"/>
      <c r="DB36" s="231">
        <f>IF(SUM(DB$24:DB35)=DB$22,0,IF(AND($K36&gt;=DB$15,$K36&lt;(DB$16+1)),DB$22/(DB$16-DB$15+1),0))</f>
        <v>0</v>
      </c>
      <c r="DC36" s="231">
        <f t="shared" si="26"/>
        <v>0</v>
      </c>
      <c r="DD36" s="231">
        <f t="shared" si="26"/>
        <v>0</v>
      </c>
      <c r="DE36" s="231">
        <f t="shared" si="26"/>
        <v>0</v>
      </c>
      <c r="DF36" s="231">
        <f t="shared" si="26"/>
        <v>0</v>
      </c>
      <c r="DG36" s="231">
        <f t="shared" si="26"/>
        <v>0</v>
      </c>
      <c r="DH36" s="231">
        <f t="shared" si="26"/>
        <v>0</v>
      </c>
      <c r="DI36" s="231">
        <f t="shared" si="26"/>
        <v>0</v>
      </c>
      <c r="DJ36" s="231">
        <f t="shared" si="26"/>
        <v>0</v>
      </c>
      <c r="DK36" s="231">
        <f t="shared" si="26"/>
        <v>0.28599999999999998</v>
      </c>
      <c r="DL36" s="231">
        <f t="shared" si="26"/>
        <v>0</v>
      </c>
      <c r="DM36" s="231">
        <f t="shared" si="26"/>
        <v>0</v>
      </c>
      <c r="DN36" s="231">
        <f t="shared" si="26"/>
        <v>0</v>
      </c>
      <c r="DO36" s="231">
        <f t="shared" si="26"/>
        <v>1.0920000000000003E-2</v>
      </c>
      <c r="DP36" s="231">
        <f>'Offshore CF'!DR36</f>
        <v>0.24</v>
      </c>
      <c r="DQ36" s="231">
        <f>'Offshore CF'!DS36</f>
        <v>0.29866666666666669</v>
      </c>
      <c r="DR36" s="231">
        <f ca="1">IF(SUM(DR$24:DR35)=DR$22,0,IF(AND($K36&gt;=DR$15,$K36&lt;(DR$16+1)),DR$22/(DR$16-DR$15+1),0))</f>
        <v>0</v>
      </c>
      <c r="DS36" s="231" t="e">
        <f ca="1">IF(SUM(DS$24:DS35)=DS$22,0,IF(AND($K36&gt;=DS$15,$K36&lt;(DS$16+1)),DS$22/(DS$16-DS$15+1),0))</f>
        <v>#REF!</v>
      </c>
      <c r="DT36" s="231" t="e">
        <f ca="1">IF(SUM(DT$24:DT35)=DT$22,0,IF(AND(K36&gt;=DT$15,K36&lt;(DT$16+1)),DT$22/(DT$16-DT$15+1),0))</f>
        <v>#REF!</v>
      </c>
      <c r="DU36" s="231" t="e">
        <f ca="1">IF(SUM(DU$24:DU35)=DU$22,0,IF(AND($K36&gt;=DU$15,$K36&lt;(DU$16+1)),DU$22/(DU$16-DU$15+1),0))</f>
        <v>#REF!</v>
      </c>
      <c r="DV36" s="231">
        <f ca="1">IF(SUM(DV$24:DV35)=DV$22,0,IF(AND($K36&gt;=DV$15,$K36&lt;(DV$16+1)),DV$22/(DV$16-DV$15+1),0))</f>
        <v>0</v>
      </c>
      <c r="DW36" s="231">
        <f ca="1">IF(SUM(DW$24:DW35)=DW$22,0,IF(AND($K36&gt;=DW$15,$K36&lt;(DW$16+1)),DW$22/(DW$16-DW$15+1),0))</f>
        <v>0</v>
      </c>
      <c r="DX36" s="231">
        <f ca="1">IF(SUM(DX$24:DX35)=DX$22,0,IF(AND($K36&gt;=DX$15,$K36&lt;(DX$16+1)),DX$22/(DX$16-DX$15+1),0))</f>
        <v>0</v>
      </c>
      <c r="DY36" s="231">
        <f ca="1">IF(SUM(DY$24:DY35)=DY$22,0,IF(AND($K36&gt;=DY$15,$K36&lt;(DY$16+1)),DY$22/(DY$16-DY$15+1),0))</f>
        <v>0</v>
      </c>
      <c r="EA36" s="749">
        <f t="shared" si="16"/>
        <v>13</v>
      </c>
      <c r="EB36" s="749" t="e">
        <f t="shared" ca="1" si="17"/>
        <v>#N/A</v>
      </c>
      <c r="EC36" s="750" t="e">
        <f t="shared" ca="1" si="18"/>
        <v>#N/A</v>
      </c>
      <c r="ED36" s="749" t="e">
        <f t="shared" ca="1" si="28"/>
        <v>#REF!</v>
      </c>
      <c r="EE36" s="749"/>
      <c r="EF36" s="749"/>
      <c r="EG36" s="749"/>
      <c r="EH36" s="749"/>
      <c r="EI36" s="714" t="e">
        <f t="shared" ca="1" si="19"/>
        <v>#N/A</v>
      </c>
      <c r="EJ36" s="231" t="e">
        <f ca="1">IF(SUM(EJ$24:EJ35)=EJ$22,0,IF(AND($K36&gt;=EJ$15,$K36&lt;(EJ$16+1)),EJ$22/(EJ$16-EJ$15+1),0))</f>
        <v>#REF!</v>
      </c>
      <c r="EK36" s="714" t="e">
        <f t="shared" ca="1" si="24"/>
        <v>#N/A</v>
      </c>
      <c r="EM36" s="60"/>
      <c r="EN36" s="60"/>
    </row>
    <row r="37" spans="1:144">
      <c r="A37" s="220"/>
      <c r="B37" s="236">
        <f t="shared" si="20"/>
        <v>14</v>
      </c>
      <c r="C37" s="221">
        <f t="shared" si="21"/>
        <v>43866.417100000021</v>
      </c>
      <c r="D37" s="746" t="e">
        <f t="shared" ca="1" si="22"/>
        <v>#DIV/0!</v>
      </c>
      <c r="E37" s="747" t="e">
        <f t="shared" ca="1" si="25"/>
        <v>#DIV/0!</v>
      </c>
      <c r="F37" s="748" t="e">
        <f ca="1">IF(F36=0,0,SUM($G$24:G37))</f>
        <v>#DIV/0!</v>
      </c>
      <c r="G37" s="225" t="e">
        <f t="shared" ca="1" si="5"/>
        <v>#DIV/0!</v>
      </c>
      <c r="H37" s="746">
        <f t="shared" ca="1" si="23"/>
        <v>0</v>
      </c>
      <c r="I37" s="60"/>
      <c r="J37" s="228"/>
      <c r="K37" s="228">
        <f t="shared" si="6"/>
        <v>14</v>
      </c>
      <c r="L37" s="221">
        <f t="shared" si="7"/>
        <v>43866.417100000021</v>
      </c>
      <c r="M37" s="229">
        <f t="shared" si="29"/>
        <v>0</v>
      </c>
      <c r="N37" s="229">
        <f t="shared" si="29"/>
        <v>0</v>
      </c>
      <c r="O37" s="229">
        <f t="shared" si="29"/>
        <v>0</v>
      </c>
      <c r="P37" s="229">
        <f t="shared" si="29"/>
        <v>0</v>
      </c>
      <c r="Q37" s="229">
        <f t="shared" si="29"/>
        <v>0</v>
      </c>
      <c r="R37" s="229">
        <f t="shared" si="27"/>
        <v>0</v>
      </c>
      <c r="S37" s="229">
        <f t="shared" si="27"/>
        <v>0</v>
      </c>
      <c r="T37" s="229">
        <f t="shared" si="27"/>
        <v>0</v>
      </c>
      <c r="U37" s="229">
        <f t="shared" si="29"/>
        <v>0</v>
      </c>
      <c r="V37" s="229">
        <f t="shared" si="29"/>
        <v>0</v>
      </c>
      <c r="W37" s="229">
        <f t="shared" si="29"/>
        <v>0</v>
      </c>
      <c r="X37" s="229">
        <f t="shared" si="29"/>
        <v>0</v>
      </c>
      <c r="Y37" s="229">
        <f t="shared" si="29"/>
        <v>0</v>
      </c>
      <c r="Z37" s="229">
        <f t="shared" si="29"/>
        <v>0</v>
      </c>
      <c r="AA37" s="229">
        <f t="shared" si="29"/>
        <v>0</v>
      </c>
      <c r="AB37" s="229">
        <f t="shared" si="29"/>
        <v>0</v>
      </c>
      <c r="AC37" s="229">
        <f t="shared" si="29"/>
        <v>0</v>
      </c>
      <c r="AD37" s="229">
        <f t="shared" si="29"/>
        <v>0</v>
      </c>
      <c r="AE37" s="229">
        <f t="shared" si="29"/>
        <v>0</v>
      </c>
      <c r="AF37" s="229">
        <f t="shared" si="29"/>
        <v>0</v>
      </c>
      <c r="AG37" s="229">
        <f t="shared" si="29"/>
        <v>0</v>
      </c>
      <c r="AH37" s="229">
        <f t="shared" si="29"/>
        <v>0</v>
      </c>
      <c r="AI37" s="229">
        <f t="shared" si="29"/>
        <v>0</v>
      </c>
      <c r="AJ37" s="229">
        <f t="shared" si="29"/>
        <v>0</v>
      </c>
      <c r="AK37" s="229">
        <f t="shared" si="29"/>
        <v>0</v>
      </c>
      <c r="AL37" s="229">
        <f t="shared" si="29"/>
        <v>0</v>
      </c>
      <c r="AM37" s="229">
        <f t="shared" si="29"/>
        <v>0</v>
      </c>
      <c r="AN37" s="229">
        <f t="shared" si="29"/>
        <v>0</v>
      </c>
      <c r="AO37" s="229">
        <f t="shared" si="29"/>
        <v>0</v>
      </c>
      <c r="AP37" s="229">
        <f t="shared" si="29"/>
        <v>0</v>
      </c>
      <c r="AQ37" s="229">
        <f t="shared" si="29"/>
        <v>0</v>
      </c>
      <c r="AR37" s="229">
        <f t="shared" si="30"/>
        <v>0</v>
      </c>
      <c r="AS37" s="229">
        <f t="shared" si="30"/>
        <v>0</v>
      </c>
      <c r="AT37" s="229">
        <f t="shared" si="30"/>
        <v>0</v>
      </c>
      <c r="AU37" s="229">
        <f t="shared" si="30"/>
        <v>0</v>
      </c>
      <c r="AV37" s="229">
        <f t="shared" si="30"/>
        <v>0</v>
      </c>
      <c r="AW37" s="229">
        <f t="shared" si="30"/>
        <v>0</v>
      </c>
      <c r="AX37" s="229">
        <f t="shared" si="30"/>
        <v>0</v>
      </c>
      <c r="AY37" s="229">
        <f t="shared" si="30"/>
        <v>0</v>
      </c>
      <c r="AZ37" s="229">
        <f t="shared" si="30"/>
        <v>0</v>
      </c>
      <c r="BA37" s="229">
        <f t="shared" si="30"/>
        <v>0</v>
      </c>
      <c r="BB37" s="229">
        <f t="shared" si="30"/>
        <v>0</v>
      </c>
      <c r="BC37" s="229">
        <f t="shared" si="31"/>
        <v>0</v>
      </c>
      <c r="BD37" s="229">
        <f t="shared" si="31"/>
        <v>0</v>
      </c>
      <c r="BE37" s="229">
        <f t="shared" si="31"/>
        <v>0</v>
      </c>
      <c r="BF37" s="229">
        <f t="shared" si="31"/>
        <v>0</v>
      </c>
      <c r="BG37" s="229">
        <f t="shared" si="31"/>
        <v>0</v>
      </c>
      <c r="BH37" s="229">
        <f t="shared" si="31"/>
        <v>0</v>
      </c>
      <c r="BI37" s="229">
        <f t="shared" si="31"/>
        <v>0</v>
      </c>
      <c r="BJ37" s="229">
        <f t="shared" si="31"/>
        <v>0</v>
      </c>
      <c r="BK37" s="229">
        <f t="shared" si="31"/>
        <v>0</v>
      </c>
      <c r="BL37" s="229">
        <f t="shared" si="31"/>
        <v>0</v>
      </c>
      <c r="BM37" s="229">
        <f t="shared" si="32"/>
        <v>0</v>
      </c>
      <c r="BN37" s="229">
        <f t="shared" si="32"/>
        <v>0</v>
      </c>
      <c r="BO37" s="229">
        <f t="shared" si="13"/>
        <v>0</v>
      </c>
      <c r="BP37" s="229">
        <f t="shared" si="13"/>
        <v>0</v>
      </c>
      <c r="BQ37" s="229">
        <f t="shared" si="13"/>
        <v>0</v>
      </c>
      <c r="BR37" s="229">
        <f t="shared" si="32"/>
        <v>0</v>
      </c>
      <c r="BS37" s="229">
        <f t="shared" si="32"/>
        <v>0</v>
      </c>
      <c r="BT37" s="229">
        <f t="shared" si="32"/>
        <v>0</v>
      </c>
      <c r="BU37" s="229">
        <f t="shared" si="32"/>
        <v>0</v>
      </c>
      <c r="BV37" s="229">
        <f t="shared" si="32"/>
        <v>0</v>
      </c>
      <c r="BW37" s="229">
        <f t="shared" si="32"/>
        <v>0</v>
      </c>
      <c r="BX37" s="229">
        <f t="shared" si="32"/>
        <v>0</v>
      </c>
      <c r="BY37" s="229">
        <f t="shared" si="32"/>
        <v>0</v>
      </c>
      <c r="BZ37" s="229">
        <f t="shared" si="32"/>
        <v>0</v>
      </c>
      <c r="CA37" s="229">
        <f t="shared" si="32"/>
        <v>0</v>
      </c>
      <c r="CB37" s="229">
        <f t="shared" si="33"/>
        <v>0</v>
      </c>
      <c r="CC37" s="229">
        <f t="shared" si="33"/>
        <v>0</v>
      </c>
      <c r="CD37" s="229">
        <f t="shared" si="33"/>
        <v>0</v>
      </c>
      <c r="CE37" s="229">
        <f t="shared" si="33"/>
        <v>0</v>
      </c>
      <c r="CF37" s="229">
        <f t="shared" si="33"/>
        <v>0</v>
      </c>
      <c r="CG37" s="229">
        <f t="shared" si="33"/>
        <v>0</v>
      </c>
      <c r="CH37" s="229">
        <f t="shared" si="33"/>
        <v>0</v>
      </c>
      <c r="CI37" s="229">
        <f t="shared" si="33"/>
        <v>0</v>
      </c>
      <c r="CJ37" s="229">
        <f t="shared" si="33"/>
        <v>0</v>
      </c>
      <c r="CK37" s="229">
        <f t="shared" si="33"/>
        <v>0</v>
      </c>
      <c r="CL37" s="229">
        <f t="shared" si="33"/>
        <v>0</v>
      </c>
      <c r="CM37" s="229">
        <f t="shared" si="33"/>
        <v>0</v>
      </c>
      <c r="CN37" s="229">
        <f t="shared" si="33"/>
        <v>0</v>
      </c>
      <c r="CO37" s="229">
        <f t="shared" si="33"/>
        <v>0</v>
      </c>
      <c r="CP37" s="229">
        <f t="shared" si="33"/>
        <v>0</v>
      </c>
      <c r="CQ37" s="229">
        <f t="shared" si="33"/>
        <v>0</v>
      </c>
      <c r="CR37" s="229">
        <f t="shared" si="33"/>
        <v>0</v>
      </c>
      <c r="CS37" s="230"/>
      <c r="CT37" s="231"/>
      <c r="CU37" s="231"/>
      <c r="CV37" s="231"/>
      <c r="CW37" s="231"/>
      <c r="CX37" s="231"/>
      <c r="CY37" s="231"/>
      <c r="CZ37" s="231"/>
      <c r="DA37" s="231"/>
      <c r="DB37" s="231">
        <f>IF(SUM(DB$24:DB36)=DB$22,0,IF(AND($K37&gt;=DB$15,$K37&lt;(DB$16+1)),DB$22/(DB$16-DB$15+1),0))</f>
        <v>0</v>
      </c>
      <c r="DC37" s="231">
        <f t="shared" si="26"/>
        <v>0</v>
      </c>
      <c r="DD37" s="231">
        <f t="shared" si="26"/>
        <v>0</v>
      </c>
      <c r="DE37" s="231">
        <f t="shared" si="26"/>
        <v>0</v>
      </c>
      <c r="DF37" s="231">
        <f t="shared" si="26"/>
        <v>0</v>
      </c>
      <c r="DG37" s="231">
        <f t="shared" si="26"/>
        <v>0</v>
      </c>
      <c r="DH37" s="231">
        <f t="shared" si="26"/>
        <v>0</v>
      </c>
      <c r="DI37" s="231">
        <f t="shared" si="26"/>
        <v>0</v>
      </c>
      <c r="DJ37" s="231">
        <f t="shared" si="26"/>
        <v>0</v>
      </c>
      <c r="DK37" s="231">
        <f t="shared" si="26"/>
        <v>0.28599999999999998</v>
      </c>
      <c r="DL37" s="231">
        <f t="shared" si="26"/>
        <v>0</v>
      </c>
      <c r="DM37" s="231">
        <f t="shared" si="26"/>
        <v>0</v>
      </c>
      <c r="DN37" s="231">
        <f t="shared" si="26"/>
        <v>0</v>
      </c>
      <c r="DO37" s="231">
        <f t="shared" si="26"/>
        <v>1.0920000000000003E-2</v>
      </c>
      <c r="DP37" s="231">
        <f>'Offshore CF'!DR37</f>
        <v>0.24</v>
      </c>
      <c r="DQ37" s="231">
        <f>'Offshore CF'!DS37</f>
        <v>0.29866666666666669</v>
      </c>
      <c r="DR37" s="231">
        <f ca="1">IF(SUM(DR$24:DR36)=DR$22,0,IF(AND($K37&gt;=DR$15,$K37&lt;(DR$16+1)),DR$22/(DR$16-DR$15+1),0))</f>
        <v>0</v>
      </c>
      <c r="DS37" s="231" t="e">
        <f ca="1">IF(SUM(DS$24:DS36)=DS$22,0,IF(AND($K37&gt;=DS$15,$K37&lt;(DS$16+1)),DS$22/(DS$16-DS$15+1),0))</f>
        <v>#REF!</v>
      </c>
      <c r="DT37" s="231" t="e">
        <f ca="1">IF(SUM(DT$24:DT36)=DT$22,0,IF(AND(K37&gt;=DT$15,K37&lt;(DT$16+1)),DT$22/(DT$16-DT$15+1),0))</f>
        <v>#REF!</v>
      </c>
      <c r="DU37" s="231" t="e">
        <f ca="1">IF(SUM(DU$24:DU36)=DU$22,0,IF(AND($K37&gt;=DU$15,$K37&lt;(DU$16+1)),DU$22/(DU$16-DU$15+1),0))</f>
        <v>#REF!</v>
      </c>
      <c r="DV37" s="231">
        <f ca="1">IF(SUM(DV$24:DV36)=DV$22,0,IF(AND($K37&gt;=DV$15,$K37&lt;(DV$16+1)),DV$22/(DV$16-DV$15+1),0))</f>
        <v>0</v>
      </c>
      <c r="DW37" s="231">
        <f ca="1">IF(SUM(DW$24:DW36)=DW$22,0,IF(AND($K37&gt;=DW$15,$K37&lt;(DW$16+1)),DW$22/(DW$16-DW$15+1),0))</f>
        <v>0</v>
      </c>
      <c r="DX37" s="231">
        <f ca="1">IF(SUM(DX$24:DX36)=DX$22,0,IF(AND($K37&gt;=DX$15,$K37&lt;(DX$16+1)),DX$22/(DX$16-DX$15+1),0))</f>
        <v>0</v>
      </c>
      <c r="DY37" s="231">
        <f ca="1">IF(SUM(DY$24:DY36)=DY$22,0,IF(AND($K37&gt;=DY$15,$K37&lt;(DY$16+1)),DY$22/(DY$16-DY$15+1),0))</f>
        <v>0</v>
      </c>
      <c r="EA37" s="749">
        <f t="shared" si="16"/>
        <v>14</v>
      </c>
      <c r="EB37" s="749" t="e">
        <f t="shared" ca="1" si="17"/>
        <v>#REF!</v>
      </c>
      <c r="EC37" s="750" t="e">
        <f t="shared" ca="1" si="18"/>
        <v>#REF!</v>
      </c>
      <c r="ED37" s="749" t="e">
        <f t="shared" ca="1" si="28"/>
        <v>#N/A</v>
      </c>
      <c r="EE37" s="749"/>
      <c r="EF37" s="749"/>
      <c r="EG37" s="749"/>
      <c r="EH37" s="749"/>
      <c r="EI37" s="714" t="e">
        <f t="shared" ca="1" si="19"/>
        <v>#REF!</v>
      </c>
      <c r="EJ37" s="231" t="e">
        <f ca="1">IF(SUM(EJ$24:EJ36)=EJ$22,0,IF(AND($K37&gt;=EJ$15,$K37&lt;(EJ$16+1)),EJ$22/(EJ$16-EJ$15+1),0))</f>
        <v>#REF!</v>
      </c>
      <c r="EK37" s="714" t="e">
        <f t="shared" ca="1" si="24"/>
        <v>#REF!</v>
      </c>
      <c r="EM37" s="60"/>
      <c r="EN37" s="60"/>
    </row>
    <row r="38" spans="1:144">
      <c r="A38" s="220"/>
      <c r="B38" s="236">
        <f t="shared" si="20"/>
        <v>15</v>
      </c>
      <c r="C38" s="221">
        <f t="shared" si="21"/>
        <v>43896.833800000022</v>
      </c>
      <c r="D38" s="746" t="e">
        <f t="shared" ca="1" si="22"/>
        <v>#DIV/0!</v>
      </c>
      <c r="E38" s="747" t="e">
        <f t="shared" ca="1" si="25"/>
        <v>#DIV/0!</v>
      </c>
      <c r="F38" s="748" t="e">
        <f ca="1">IF(F37=0,0,SUM($G$24:G38))</f>
        <v>#DIV/0!</v>
      </c>
      <c r="G38" s="225" t="e">
        <f t="shared" ca="1" si="5"/>
        <v>#DIV/0!</v>
      </c>
      <c r="H38" s="746">
        <f t="shared" ca="1" si="23"/>
        <v>0</v>
      </c>
      <c r="I38" s="60"/>
      <c r="J38" s="228"/>
      <c r="K38" s="228">
        <f t="shared" si="6"/>
        <v>15</v>
      </c>
      <c r="L38" s="221">
        <f t="shared" si="7"/>
        <v>43896.833800000022</v>
      </c>
      <c r="M38" s="229">
        <f t="shared" si="29"/>
        <v>0</v>
      </c>
      <c r="N38" s="229">
        <f t="shared" si="29"/>
        <v>0</v>
      </c>
      <c r="O38" s="229">
        <f t="shared" si="29"/>
        <v>0</v>
      </c>
      <c r="P38" s="229">
        <f t="shared" si="29"/>
        <v>0</v>
      </c>
      <c r="Q38" s="229">
        <f t="shared" si="29"/>
        <v>0</v>
      </c>
      <c r="R38" s="229">
        <f t="shared" si="27"/>
        <v>0</v>
      </c>
      <c r="S38" s="229">
        <f t="shared" si="27"/>
        <v>0</v>
      </c>
      <c r="T38" s="229">
        <f t="shared" si="27"/>
        <v>0</v>
      </c>
      <c r="U38" s="229">
        <f t="shared" si="29"/>
        <v>0</v>
      </c>
      <c r="V38" s="229">
        <f t="shared" si="29"/>
        <v>0</v>
      </c>
      <c r="W38" s="229">
        <f t="shared" si="29"/>
        <v>0</v>
      </c>
      <c r="X38" s="229">
        <f t="shared" si="29"/>
        <v>0</v>
      </c>
      <c r="Y38" s="229">
        <f t="shared" si="29"/>
        <v>0</v>
      </c>
      <c r="Z38" s="229">
        <f t="shared" si="29"/>
        <v>0</v>
      </c>
      <c r="AA38" s="229">
        <f t="shared" si="29"/>
        <v>0</v>
      </c>
      <c r="AB38" s="229">
        <f t="shared" si="29"/>
        <v>0</v>
      </c>
      <c r="AC38" s="229">
        <f t="shared" si="29"/>
        <v>0</v>
      </c>
      <c r="AD38" s="229">
        <f t="shared" si="29"/>
        <v>0</v>
      </c>
      <c r="AE38" s="229">
        <f t="shared" si="29"/>
        <v>0</v>
      </c>
      <c r="AF38" s="229">
        <f t="shared" si="29"/>
        <v>0</v>
      </c>
      <c r="AG38" s="229">
        <f t="shared" si="29"/>
        <v>0</v>
      </c>
      <c r="AH38" s="229">
        <f t="shared" si="29"/>
        <v>0</v>
      </c>
      <c r="AI38" s="229">
        <f t="shared" si="29"/>
        <v>0</v>
      </c>
      <c r="AJ38" s="229">
        <f t="shared" si="29"/>
        <v>0</v>
      </c>
      <c r="AK38" s="229">
        <f t="shared" si="29"/>
        <v>0</v>
      </c>
      <c r="AL38" s="229">
        <f t="shared" si="29"/>
        <v>0</v>
      </c>
      <c r="AM38" s="229">
        <f t="shared" si="29"/>
        <v>0</v>
      </c>
      <c r="AN38" s="229">
        <f t="shared" si="29"/>
        <v>0</v>
      </c>
      <c r="AO38" s="229">
        <f t="shared" si="29"/>
        <v>0</v>
      </c>
      <c r="AP38" s="229">
        <f t="shared" si="29"/>
        <v>0</v>
      </c>
      <c r="AQ38" s="229">
        <f t="shared" si="29"/>
        <v>0</v>
      </c>
      <c r="AR38" s="229">
        <f t="shared" si="30"/>
        <v>0</v>
      </c>
      <c r="AS38" s="229">
        <f t="shared" si="30"/>
        <v>0</v>
      </c>
      <c r="AT38" s="229">
        <f t="shared" si="30"/>
        <v>0</v>
      </c>
      <c r="AU38" s="229">
        <f t="shared" si="30"/>
        <v>0</v>
      </c>
      <c r="AV38" s="229">
        <f t="shared" si="30"/>
        <v>0</v>
      </c>
      <c r="AW38" s="229">
        <f t="shared" si="30"/>
        <v>0</v>
      </c>
      <c r="AX38" s="229">
        <f t="shared" si="30"/>
        <v>0</v>
      </c>
      <c r="AY38" s="229">
        <f t="shared" si="30"/>
        <v>0</v>
      </c>
      <c r="AZ38" s="229">
        <f t="shared" si="30"/>
        <v>0</v>
      </c>
      <c r="BA38" s="229">
        <f t="shared" si="30"/>
        <v>0</v>
      </c>
      <c r="BB38" s="229">
        <f t="shared" si="30"/>
        <v>0</v>
      </c>
      <c r="BC38" s="229">
        <f t="shared" si="31"/>
        <v>0</v>
      </c>
      <c r="BD38" s="229">
        <f t="shared" si="31"/>
        <v>0</v>
      </c>
      <c r="BE38" s="229">
        <f t="shared" si="31"/>
        <v>0</v>
      </c>
      <c r="BF38" s="229">
        <f t="shared" si="31"/>
        <v>0</v>
      </c>
      <c r="BG38" s="229">
        <f t="shared" si="31"/>
        <v>0</v>
      </c>
      <c r="BH38" s="229">
        <f t="shared" si="31"/>
        <v>0</v>
      </c>
      <c r="BI38" s="229">
        <f t="shared" si="31"/>
        <v>0</v>
      </c>
      <c r="BJ38" s="229">
        <f t="shared" si="31"/>
        <v>0</v>
      </c>
      <c r="BK38" s="229">
        <f t="shared" si="31"/>
        <v>0</v>
      </c>
      <c r="BL38" s="229">
        <f t="shared" si="31"/>
        <v>0</v>
      </c>
      <c r="BM38" s="229">
        <f t="shared" si="32"/>
        <v>0</v>
      </c>
      <c r="BN38" s="229">
        <f t="shared" si="32"/>
        <v>0</v>
      </c>
      <c r="BO38" s="229">
        <f t="shared" si="13"/>
        <v>0</v>
      </c>
      <c r="BP38" s="229">
        <f t="shared" si="13"/>
        <v>0</v>
      </c>
      <c r="BQ38" s="229">
        <f t="shared" si="13"/>
        <v>0</v>
      </c>
      <c r="BR38" s="229">
        <f t="shared" si="32"/>
        <v>0</v>
      </c>
      <c r="BS38" s="229">
        <f t="shared" si="32"/>
        <v>0</v>
      </c>
      <c r="BT38" s="229">
        <f t="shared" si="32"/>
        <v>0</v>
      </c>
      <c r="BU38" s="229">
        <f t="shared" si="32"/>
        <v>0</v>
      </c>
      <c r="BV38" s="229">
        <f t="shared" si="32"/>
        <v>0</v>
      </c>
      <c r="BW38" s="229">
        <f t="shared" si="32"/>
        <v>0</v>
      </c>
      <c r="BX38" s="229">
        <f t="shared" si="32"/>
        <v>0</v>
      </c>
      <c r="BY38" s="229">
        <f t="shared" si="32"/>
        <v>0</v>
      </c>
      <c r="BZ38" s="229">
        <f t="shared" si="32"/>
        <v>0</v>
      </c>
      <c r="CA38" s="229">
        <f t="shared" si="32"/>
        <v>0</v>
      </c>
      <c r="CB38" s="229">
        <f t="shared" si="33"/>
        <v>0</v>
      </c>
      <c r="CC38" s="229">
        <f t="shared" si="33"/>
        <v>0</v>
      </c>
      <c r="CD38" s="229">
        <f t="shared" si="33"/>
        <v>0</v>
      </c>
      <c r="CE38" s="229">
        <f t="shared" si="33"/>
        <v>0</v>
      </c>
      <c r="CF38" s="229">
        <f t="shared" si="33"/>
        <v>0</v>
      </c>
      <c r="CG38" s="229">
        <f t="shared" si="33"/>
        <v>0</v>
      </c>
      <c r="CH38" s="229">
        <f t="shared" si="33"/>
        <v>0</v>
      </c>
      <c r="CI38" s="229">
        <f t="shared" si="33"/>
        <v>0</v>
      </c>
      <c r="CJ38" s="229">
        <f t="shared" si="33"/>
        <v>0</v>
      </c>
      <c r="CK38" s="229">
        <f t="shared" si="33"/>
        <v>0</v>
      </c>
      <c r="CL38" s="229">
        <f t="shared" si="33"/>
        <v>0</v>
      </c>
      <c r="CM38" s="229">
        <f t="shared" si="33"/>
        <v>0</v>
      </c>
      <c r="CN38" s="229">
        <f t="shared" si="33"/>
        <v>0</v>
      </c>
      <c r="CO38" s="229">
        <f t="shared" si="33"/>
        <v>0</v>
      </c>
      <c r="CP38" s="229">
        <f t="shared" si="33"/>
        <v>0</v>
      </c>
      <c r="CQ38" s="229">
        <f t="shared" si="33"/>
        <v>0</v>
      </c>
      <c r="CR38" s="229">
        <f t="shared" si="33"/>
        <v>0</v>
      </c>
      <c r="CS38" s="230"/>
      <c r="CT38" s="231"/>
      <c r="CU38" s="231"/>
      <c r="CV38" s="231"/>
      <c r="CW38" s="231"/>
      <c r="CX38" s="231"/>
      <c r="CY38" s="231"/>
      <c r="CZ38" s="231"/>
      <c r="DA38" s="231" t="e">
        <f ca="1">IF(SUM(DA$32:DA37)&gt;=DA$22,0,DA$22/(DA$13*1))</f>
        <v>#N/A</v>
      </c>
      <c r="DB38" s="231">
        <f>IF(SUM(DB$24:DB37)=DB$22,0,IF(AND($K38&gt;=DB$15,$K38&lt;(DB$16+1)),DB$22/(DB$16-DB$15+1),0))</f>
        <v>0</v>
      </c>
      <c r="DC38" s="231">
        <f t="shared" si="26"/>
        <v>0</v>
      </c>
      <c r="DD38" s="231">
        <f t="shared" si="26"/>
        <v>0</v>
      </c>
      <c r="DE38" s="231">
        <f t="shared" si="26"/>
        <v>0</v>
      </c>
      <c r="DF38" s="231">
        <f t="shared" si="26"/>
        <v>0</v>
      </c>
      <c r="DG38" s="231">
        <f t="shared" si="26"/>
        <v>0</v>
      </c>
      <c r="DH38" s="231">
        <f t="shared" si="26"/>
        <v>0</v>
      </c>
      <c r="DI38" s="231">
        <f t="shared" si="26"/>
        <v>0</v>
      </c>
      <c r="DJ38" s="231">
        <f t="shared" si="26"/>
        <v>0</v>
      </c>
      <c r="DK38" s="231">
        <f t="shared" si="26"/>
        <v>0.28599999999999998</v>
      </c>
      <c r="DL38" s="231">
        <f t="shared" si="26"/>
        <v>0</v>
      </c>
      <c r="DM38" s="231">
        <f t="shared" si="26"/>
        <v>0</v>
      </c>
      <c r="DN38" s="231">
        <f t="shared" si="26"/>
        <v>0</v>
      </c>
      <c r="DO38" s="231">
        <f t="shared" si="26"/>
        <v>1.0920000000000003E-2</v>
      </c>
      <c r="DP38" s="231">
        <f>'Offshore CF'!DR38</f>
        <v>0</v>
      </c>
      <c r="DQ38" s="231">
        <f>'Offshore CF'!DS38</f>
        <v>0.29866666666666669</v>
      </c>
      <c r="DR38" s="231">
        <f ca="1">IF(SUM(DR$24:DR37)=DR$22,0,IF(AND($K38&gt;=DR$15,$K38&lt;(DR$16+1)),DR$22/(DR$16-DR$15+1),0))</f>
        <v>0</v>
      </c>
      <c r="DS38" s="231" t="e">
        <f ca="1">IF(SUM(DS$24:DS37)=DS$22,0,IF(AND($K38&gt;=DS$15,$K38&lt;(DS$16+1)),DS$22/(DS$16-DS$15+1),0))</f>
        <v>#REF!</v>
      </c>
      <c r="DT38" s="231" t="e">
        <f ca="1">IF(SUM(DT$24:DT37)=DT$22,0,IF(AND(K38&gt;=DT$15,K38&lt;(DT$16+1)),DT$22/(DT$16-DT$15+1),0))</f>
        <v>#REF!</v>
      </c>
      <c r="DU38" s="231" t="e">
        <f ca="1">IF(SUM(DU$24:DU37)=DU$22,0,IF(AND($K38&gt;=DU$15,$K38&lt;(DU$16+1)),DU$22/(DU$16-DU$15+1),0))</f>
        <v>#REF!</v>
      </c>
      <c r="DV38" s="231">
        <f ca="1">IF(SUM(DV$24:DV37)=DV$22,0,IF(AND($K38&gt;=DV$15,$K38&lt;(DV$16+1)),DV$22/(DV$16-DV$15+1),0))</f>
        <v>0</v>
      </c>
      <c r="DW38" s="231">
        <f ca="1">IF(SUM(DW$24:DW37)=DW$22,0,IF(AND($K38&gt;=DW$15,$K38&lt;(DW$16+1)),DW$22/(DW$16-DW$15+1),0))</f>
        <v>0</v>
      </c>
      <c r="DX38" s="231">
        <f ca="1">IF(SUM(DX$24:DX37)=DX$22,0,IF(AND($K38&gt;=DX$15,$K38&lt;(DX$16+1)),DX$22/(DX$16-DX$15+1),0))</f>
        <v>0</v>
      </c>
      <c r="DY38" s="231">
        <f ca="1">IF(SUM(DY$24:DY37)=DY$22,0,IF(AND($K38&gt;=DY$15,$K38&lt;(DY$16+1)),DY$22/(DY$16-DY$15+1),0))</f>
        <v>0</v>
      </c>
      <c r="EA38" s="749">
        <f t="shared" si="16"/>
        <v>15</v>
      </c>
      <c r="EB38" s="749" t="e">
        <f t="shared" ca="1" si="17"/>
        <v>#N/A</v>
      </c>
      <c r="EC38" s="750" t="e">
        <f t="shared" ca="1" si="18"/>
        <v>#N/A</v>
      </c>
      <c r="ED38" s="749" t="e">
        <f t="shared" ca="1" si="28"/>
        <v>#N/A</v>
      </c>
      <c r="EE38" s="749"/>
      <c r="EF38" s="749"/>
      <c r="EG38" s="749"/>
      <c r="EH38" s="749"/>
      <c r="EI38" s="714" t="e">
        <f t="shared" ca="1" si="19"/>
        <v>#N/A</v>
      </c>
      <c r="EJ38" s="231" t="e">
        <f ca="1">IF(SUM(EJ$24:EJ37)=EJ$22,0,IF(AND($K38&gt;=EJ$15,$K38&lt;(EJ$16+1)),EJ$22/(EJ$16-EJ$15+1),0))</f>
        <v>#REF!</v>
      </c>
      <c r="EK38" s="714" t="e">
        <f t="shared" ca="1" si="24"/>
        <v>#N/A</v>
      </c>
      <c r="EM38" s="60"/>
      <c r="EN38" s="60"/>
    </row>
    <row r="39" spans="1:144">
      <c r="A39" s="220"/>
      <c r="B39" s="236">
        <f t="shared" si="20"/>
        <v>16</v>
      </c>
      <c r="C39" s="221">
        <f t="shared" si="21"/>
        <v>43927.250500000024</v>
      </c>
      <c r="D39" s="746" t="e">
        <f t="shared" ca="1" si="22"/>
        <v>#DIV/0!</v>
      </c>
      <c r="E39" s="747" t="e">
        <f t="shared" ca="1" si="25"/>
        <v>#DIV/0!</v>
      </c>
      <c r="F39" s="748" t="e">
        <f ca="1">IF(F38=0,0,SUM($G$24:G39))</f>
        <v>#DIV/0!</v>
      </c>
      <c r="G39" s="225" t="e">
        <f t="shared" ca="1" si="5"/>
        <v>#DIV/0!</v>
      </c>
      <c r="H39" s="746">
        <f t="shared" ca="1" si="23"/>
        <v>0</v>
      </c>
      <c r="I39" s="60"/>
      <c r="J39" s="228"/>
      <c r="K39" s="228">
        <f t="shared" si="6"/>
        <v>16</v>
      </c>
      <c r="L39" s="221">
        <f t="shared" si="7"/>
        <v>43927.250500000024</v>
      </c>
      <c r="M39" s="229">
        <f t="shared" si="29"/>
        <v>0</v>
      </c>
      <c r="N39" s="229">
        <f t="shared" si="29"/>
        <v>0</v>
      </c>
      <c r="O39" s="229">
        <f t="shared" si="29"/>
        <v>0</v>
      </c>
      <c r="P39" s="229">
        <f t="shared" si="29"/>
        <v>0</v>
      </c>
      <c r="Q39" s="229">
        <f t="shared" si="29"/>
        <v>0</v>
      </c>
      <c r="R39" s="229">
        <f t="shared" si="27"/>
        <v>0</v>
      </c>
      <c r="S39" s="229">
        <f t="shared" si="27"/>
        <v>0</v>
      </c>
      <c r="T39" s="229">
        <f t="shared" si="27"/>
        <v>0</v>
      </c>
      <c r="U39" s="229">
        <f t="shared" si="29"/>
        <v>0</v>
      </c>
      <c r="V39" s="229">
        <f t="shared" si="29"/>
        <v>0</v>
      </c>
      <c r="W39" s="229">
        <f t="shared" si="29"/>
        <v>0</v>
      </c>
      <c r="X39" s="229">
        <f t="shared" si="29"/>
        <v>0</v>
      </c>
      <c r="Y39" s="229">
        <f t="shared" si="29"/>
        <v>0</v>
      </c>
      <c r="Z39" s="229">
        <f t="shared" si="29"/>
        <v>0</v>
      </c>
      <c r="AA39" s="229">
        <f t="shared" si="29"/>
        <v>0</v>
      </c>
      <c r="AB39" s="229">
        <f t="shared" si="29"/>
        <v>0</v>
      </c>
      <c r="AC39" s="229">
        <f t="shared" si="29"/>
        <v>0</v>
      </c>
      <c r="AD39" s="229">
        <f t="shared" si="29"/>
        <v>0</v>
      </c>
      <c r="AE39" s="229">
        <f t="shared" si="29"/>
        <v>0</v>
      </c>
      <c r="AF39" s="229">
        <f t="shared" si="29"/>
        <v>0</v>
      </c>
      <c r="AG39" s="229">
        <f t="shared" si="29"/>
        <v>0</v>
      </c>
      <c r="AH39" s="229">
        <f t="shared" si="29"/>
        <v>0</v>
      </c>
      <c r="AI39" s="229">
        <f t="shared" si="29"/>
        <v>0</v>
      </c>
      <c r="AJ39" s="229">
        <f t="shared" si="29"/>
        <v>0</v>
      </c>
      <c r="AK39" s="229">
        <f t="shared" si="29"/>
        <v>0</v>
      </c>
      <c r="AL39" s="229">
        <f t="shared" si="29"/>
        <v>0</v>
      </c>
      <c r="AM39" s="229">
        <f t="shared" si="29"/>
        <v>0</v>
      </c>
      <c r="AN39" s="229">
        <f t="shared" si="29"/>
        <v>28.088052025507171</v>
      </c>
      <c r="AO39" s="229">
        <f t="shared" si="29"/>
        <v>0</v>
      </c>
      <c r="AP39" s="229">
        <f t="shared" si="29"/>
        <v>0</v>
      </c>
      <c r="AQ39" s="229">
        <f t="shared" si="29"/>
        <v>0</v>
      </c>
      <c r="AR39" s="229">
        <f t="shared" si="30"/>
        <v>0</v>
      </c>
      <c r="AS39" s="229">
        <f t="shared" si="30"/>
        <v>0</v>
      </c>
      <c r="AT39" s="229">
        <f t="shared" si="30"/>
        <v>0</v>
      </c>
      <c r="AU39" s="229">
        <f t="shared" si="30"/>
        <v>0</v>
      </c>
      <c r="AV39" s="229">
        <f t="shared" si="30"/>
        <v>0</v>
      </c>
      <c r="AW39" s="229">
        <f t="shared" si="30"/>
        <v>0</v>
      </c>
      <c r="AX39" s="229">
        <f t="shared" si="30"/>
        <v>0</v>
      </c>
      <c r="AY39" s="229">
        <f t="shared" si="30"/>
        <v>1.0768403506803783</v>
      </c>
      <c r="AZ39" s="229">
        <f t="shared" si="30"/>
        <v>0</v>
      </c>
      <c r="BA39" s="229">
        <f t="shared" si="30"/>
        <v>0</v>
      </c>
      <c r="BB39" s="229">
        <f t="shared" si="30"/>
        <v>0</v>
      </c>
      <c r="BC39" s="229">
        <f t="shared" si="31"/>
        <v>0</v>
      </c>
      <c r="BD39" s="229">
        <f t="shared" si="31"/>
        <v>0</v>
      </c>
      <c r="BE39" s="229">
        <f t="shared" si="31"/>
        <v>0</v>
      </c>
      <c r="BF39" s="229">
        <f t="shared" si="31"/>
        <v>0</v>
      </c>
      <c r="BG39" s="229">
        <f t="shared" si="31"/>
        <v>0</v>
      </c>
      <c r="BH39" s="229">
        <f t="shared" si="31"/>
        <v>0</v>
      </c>
      <c r="BI39" s="229">
        <f t="shared" si="31"/>
        <v>0</v>
      </c>
      <c r="BJ39" s="229">
        <f t="shared" si="31"/>
        <v>0</v>
      </c>
      <c r="BK39" s="229">
        <f t="shared" si="31"/>
        <v>0</v>
      </c>
      <c r="BL39" s="229">
        <f t="shared" si="31"/>
        <v>0</v>
      </c>
      <c r="BM39" s="229">
        <f t="shared" si="32"/>
        <v>0</v>
      </c>
      <c r="BN39" s="229">
        <f t="shared" si="32"/>
        <v>0</v>
      </c>
      <c r="BO39" s="229">
        <f t="shared" si="13"/>
        <v>0</v>
      </c>
      <c r="BP39" s="229">
        <f t="shared" si="13"/>
        <v>0</v>
      </c>
      <c r="BQ39" s="229">
        <f t="shared" si="13"/>
        <v>0</v>
      </c>
      <c r="BR39" s="229">
        <f t="shared" si="32"/>
        <v>0</v>
      </c>
      <c r="BS39" s="229">
        <f t="shared" si="32"/>
        <v>0</v>
      </c>
      <c r="BT39" s="229">
        <f t="shared" si="32"/>
        <v>0</v>
      </c>
      <c r="BU39" s="229">
        <f t="shared" si="32"/>
        <v>0</v>
      </c>
      <c r="BV39" s="229">
        <f t="shared" si="32"/>
        <v>0</v>
      </c>
      <c r="BW39" s="229">
        <f t="shared" si="32"/>
        <v>0</v>
      </c>
      <c r="BX39" s="229">
        <f t="shared" si="32"/>
        <v>0</v>
      </c>
      <c r="BY39" s="229">
        <f t="shared" si="32"/>
        <v>0</v>
      </c>
      <c r="BZ39" s="229">
        <f t="shared" si="32"/>
        <v>0</v>
      </c>
      <c r="CA39" s="229">
        <f t="shared" si="32"/>
        <v>0</v>
      </c>
      <c r="CB39" s="229">
        <f t="shared" si="33"/>
        <v>0</v>
      </c>
      <c r="CC39" s="229">
        <f t="shared" si="33"/>
        <v>0</v>
      </c>
      <c r="CD39" s="229">
        <f t="shared" si="33"/>
        <v>0</v>
      </c>
      <c r="CE39" s="229">
        <f t="shared" si="33"/>
        <v>0</v>
      </c>
      <c r="CF39" s="229">
        <f t="shared" si="33"/>
        <v>0</v>
      </c>
      <c r="CG39" s="229">
        <f t="shared" si="33"/>
        <v>0</v>
      </c>
      <c r="CH39" s="229">
        <f t="shared" si="33"/>
        <v>0</v>
      </c>
      <c r="CI39" s="229">
        <f t="shared" si="33"/>
        <v>0</v>
      </c>
      <c r="CJ39" s="229">
        <f t="shared" si="33"/>
        <v>0</v>
      </c>
      <c r="CK39" s="229">
        <f t="shared" si="33"/>
        <v>0</v>
      </c>
      <c r="CL39" s="229">
        <f t="shared" si="33"/>
        <v>0</v>
      </c>
      <c r="CM39" s="229">
        <f t="shared" si="33"/>
        <v>0</v>
      </c>
      <c r="CN39" s="229">
        <f t="shared" si="33"/>
        <v>0</v>
      </c>
      <c r="CO39" s="229">
        <f t="shared" si="33"/>
        <v>0</v>
      </c>
      <c r="CP39" s="229">
        <f t="shared" si="33"/>
        <v>0</v>
      </c>
      <c r="CQ39" s="229">
        <f t="shared" si="33"/>
        <v>0</v>
      </c>
      <c r="CR39" s="229">
        <f t="shared" si="33"/>
        <v>0</v>
      </c>
      <c r="CS39" s="230"/>
      <c r="CT39" s="231"/>
      <c r="CU39" s="231"/>
      <c r="CV39" s="231"/>
      <c r="CW39" s="231"/>
      <c r="CX39" s="231"/>
      <c r="CY39" s="231"/>
      <c r="CZ39" s="231"/>
      <c r="DA39" s="231"/>
      <c r="DB39" s="231">
        <f>IF(SUM(DB$24:DB38)=DB$22,0,IF(AND($K39&gt;=DB$15,$K39&lt;(DB$16+1)),DB$22/(DB$16-DB$15+1),0))</f>
        <v>0</v>
      </c>
      <c r="DC39" s="231">
        <f t="shared" si="26"/>
        <v>0</v>
      </c>
      <c r="DD39" s="231">
        <f t="shared" si="26"/>
        <v>0</v>
      </c>
      <c r="DE39" s="231">
        <f t="shared" si="26"/>
        <v>0</v>
      </c>
      <c r="DF39" s="231">
        <f t="shared" si="26"/>
        <v>0</v>
      </c>
      <c r="DG39" s="231">
        <f t="shared" si="26"/>
        <v>0</v>
      </c>
      <c r="DH39" s="231">
        <f t="shared" si="26"/>
        <v>0</v>
      </c>
      <c r="DI39" s="231">
        <f t="shared" si="26"/>
        <v>0</v>
      </c>
      <c r="DJ39" s="231">
        <f t="shared" si="26"/>
        <v>0</v>
      </c>
      <c r="DK39" s="231">
        <f t="shared" si="26"/>
        <v>0.28599999999999998</v>
      </c>
      <c r="DL39" s="231">
        <f t="shared" si="26"/>
        <v>0</v>
      </c>
      <c r="DM39" s="231">
        <f t="shared" si="26"/>
        <v>0</v>
      </c>
      <c r="DN39" s="231">
        <f t="shared" si="26"/>
        <v>0</v>
      </c>
      <c r="DO39" s="231">
        <f t="shared" si="26"/>
        <v>1.0920000000000003E-2</v>
      </c>
      <c r="DP39" s="231">
        <f>'Offshore CF'!DR39</f>
        <v>0</v>
      </c>
      <c r="DQ39" s="231">
        <f>'Offshore CF'!DS39</f>
        <v>0.29866666666666669</v>
      </c>
      <c r="DR39" s="231">
        <f ca="1">IF(SUM(DR$24:DR38)=DR$22,0,IF(AND($K39&gt;=DR$15,$K39&lt;(DR$16+1)),DR$22/(DR$16-DR$15+1),0))</f>
        <v>0</v>
      </c>
      <c r="DS39" s="231" t="e">
        <f ca="1">IF(SUM(DS$24:DS38)=DS$22,0,IF(AND($K39&gt;=DS$15,$K39&lt;(DS$16+1)),DS$22/(DS$16-DS$15+1),0))</f>
        <v>#REF!</v>
      </c>
      <c r="DT39" s="231" t="e">
        <f ca="1">IF(SUM(DT$24:DT38)=DT$22,0,IF(AND(K39&gt;=DT$15,K39&lt;(DT$16+1)),DT$22/(DT$16-DT$15+1),0))</f>
        <v>#REF!</v>
      </c>
      <c r="DU39" s="231" t="e">
        <f ca="1">IF(SUM(DU$24:DU38)=DU$22,0,IF(AND($K39&gt;=DU$15,$K39&lt;(DU$16+1)),DU$22/(DU$16-DU$15+1),0))</f>
        <v>#REF!</v>
      </c>
      <c r="DV39" s="231">
        <f ca="1">IF(SUM(DV$24:DV38)=DV$22,0,IF(AND($K39&gt;=DV$15,$K39&lt;(DV$16+1)),DV$22/(DV$16-DV$15+1),0))</f>
        <v>0</v>
      </c>
      <c r="DW39" s="231">
        <f ca="1">IF(SUM(DW$24:DW38)=DW$22,0,IF(AND($K39&gt;=DW$15,$K39&lt;(DW$16+1)),DW$22/(DW$16-DW$15+1),0))</f>
        <v>0</v>
      </c>
      <c r="DX39" s="231">
        <f ca="1">IF(SUM(DX$24:DX38)=DX$22,0,IF(AND($K39&gt;=DX$15,$K39&lt;(DX$16+1)),DX$22/(DX$16-DX$15+1),0))</f>
        <v>0</v>
      </c>
      <c r="DY39" s="231">
        <f ca="1">IF(SUM(DY$24:DY38)=DY$22,0,IF(AND($K39&gt;=DY$15,$K39&lt;(DY$16+1)),DY$22/(DY$16-DY$15+1),0))</f>
        <v>0</v>
      </c>
      <c r="EA39" s="749">
        <f t="shared" si="16"/>
        <v>16</v>
      </c>
      <c r="EB39" s="749" t="e">
        <f t="shared" ca="1" si="17"/>
        <v>#REF!</v>
      </c>
      <c r="EC39" s="750" t="e">
        <f t="shared" ca="1" si="18"/>
        <v>#REF!</v>
      </c>
      <c r="ED39" s="749" t="e">
        <f t="shared" ca="1" si="28"/>
        <v>#REF!</v>
      </c>
      <c r="EE39" s="749"/>
      <c r="EF39" s="749"/>
      <c r="EG39" s="749"/>
      <c r="EH39" s="749"/>
      <c r="EI39" s="714" t="e">
        <f t="shared" ca="1" si="19"/>
        <v>#REF!</v>
      </c>
      <c r="EJ39" s="231" t="e">
        <f ca="1">IF(SUM(EJ$24:EJ38)=EJ$22,0,IF(AND($K39&gt;=EJ$15,$K39&lt;(EJ$16+1)),EJ$22/(EJ$16-EJ$15+1),0))</f>
        <v>#REF!</v>
      </c>
      <c r="EK39" s="714" t="e">
        <f t="shared" ca="1" si="24"/>
        <v>#REF!</v>
      </c>
      <c r="EM39" s="60"/>
      <c r="EN39" s="60"/>
    </row>
    <row r="40" spans="1:144">
      <c r="A40" s="220"/>
      <c r="B40" s="236">
        <f t="shared" si="20"/>
        <v>17</v>
      </c>
      <c r="C40" s="221">
        <f t="shared" si="21"/>
        <v>43957.667200000025</v>
      </c>
      <c r="D40" s="746" t="e">
        <f t="shared" ca="1" si="22"/>
        <v>#DIV/0!</v>
      </c>
      <c r="E40" s="747" t="e">
        <f t="shared" ca="1" si="25"/>
        <v>#DIV/0!</v>
      </c>
      <c r="F40" s="748" t="e">
        <f ca="1">IF(F39=0,0,SUM($G$24:G40))</f>
        <v>#DIV/0!</v>
      </c>
      <c r="G40" s="225" t="e">
        <f t="shared" ca="1" si="5"/>
        <v>#DIV/0!</v>
      </c>
      <c r="H40" s="746">
        <f t="shared" ca="1" si="23"/>
        <v>0</v>
      </c>
      <c r="I40" s="60"/>
      <c r="J40" s="228"/>
      <c r="K40" s="228">
        <f t="shared" si="6"/>
        <v>17</v>
      </c>
      <c r="L40" s="221">
        <f t="shared" si="7"/>
        <v>43957.667200000025</v>
      </c>
      <c r="M40" s="229">
        <f t="shared" si="29"/>
        <v>0</v>
      </c>
      <c r="N40" s="229">
        <f t="shared" si="29"/>
        <v>0</v>
      </c>
      <c r="O40" s="229">
        <f t="shared" si="29"/>
        <v>0</v>
      </c>
      <c r="P40" s="229">
        <f t="shared" si="29"/>
        <v>0</v>
      </c>
      <c r="Q40" s="229">
        <f t="shared" si="29"/>
        <v>0</v>
      </c>
      <c r="R40" s="229">
        <f t="shared" si="27"/>
        <v>0</v>
      </c>
      <c r="S40" s="229">
        <f t="shared" si="27"/>
        <v>0</v>
      </c>
      <c r="T40" s="229">
        <f t="shared" si="27"/>
        <v>0</v>
      </c>
      <c r="U40" s="229">
        <f t="shared" si="29"/>
        <v>0</v>
      </c>
      <c r="V40" s="229">
        <f t="shared" si="29"/>
        <v>0</v>
      </c>
      <c r="W40" s="229">
        <f t="shared" si="29"/>
        <v>0</v>
      </c>
      <c r="X40" s="229">
        <f t="shared" si="29"/>
        <v>0</v>
      </c>
      <c r="Y40" s="229">
        <f t="shared" si="29"/>
        <v>0</v>
      </c>
      <c r="Z40" s="229">
        <f t="shared" si="29"/>
        <v>0</v>
      </c>
      <c r="AA40" s="229">
        <f t="shared" si="29"/>
        <v>0</v>
      </c>
      <c r="AB40" s="229">
        <f t="shared" si="29"/>
        <v>0</v>
      </c>
      <c r="AC40" s="229">
        <f t="shared" si="29"/>
        <v>0</v>
      </c>
      <c r="AD40" s="229">
        <f t="shared" si="29"/>
        <v>0</v>
      </c>
      <c r="AE40" s="229">
        <f t="shared" si="29"/>
        <v>0</v>
      </c>
      <c r="AF40" s="229">
        <f t="shared" si="29"/>
        <v>0</v>
      </c>
      <c r="AG40" s="229">
        <f t="shared" si="29"/>
        <v>0</v>
      </c>
      <c r="AH40" s="229">
        <f t="shared" si="29"/>
        <v>0</v>
      </c>
      <c r="AI40" s="229">
        <f t="shared" si="29"/>
        <v>0</v>
      </c>
      <c r="AJ40" s="229">
        <f t="shared" si="29"/>
        <v>0</v>
      </c>
      <c r="AK40" s="229">
        <f t="shared" si="29"/>
        <v>0</v>
      </c>
      <c r="AL40" s="229">
        <f t="shared" si="29"/>
        <v>0</v>
      </c>
      <c r="AM40" s="229">
        <f t="shared" si="29"/>
        <v>0</v>
      </c>
      <c r="AN40" s="229">
        <f t="shared" si="29"/>
        <v>0</v>
      </c>
      <c r="AO40" s="229">
        <f t="shared" si="29"/>
        <v>0</v>
      </c>
      <c r="AP40" s="229">
        <f t="shared" si="29"/>
        <v>0</v>
      </c>
      <c r="AQ40" s="229">
        <f t="shared" si="29"/>
        <v>0</v>
      </c>
      <c r="AR40" s="229">
        <f t="shared" si="30"/>
        <v>0</v>
      </c>
      <c r="AS40" s="229">
        <f t="shared" si="30"/>
        <v>0</v>
      </c>
      <c r="AT40" s="229">
        <f t="shared" si="30"/>
        <v>0</v>
      </c>
      <c r="AU40" s="229">
        <f t="shared" si="30"/>
        <v>0</v>
      </c>
      <c r="AV40" s="229">
        <f t="shared" si="30"/>
        <v>0</v>
      </c>
      <c r="AW40" s="229">
        <f t="shared" si="30"/>
        <v>0</v>
      </c>
      <c r="AX40" s="229">
        <f t="shared" si="30"/>
        <v>0</v>
      </c>
      <c r="AY40" s="229">
        <f t="shared" si="30"/>
        <v>0</v>
      </c>
      <c r="AZ40" s="229">
        <f t="shared" si="30"/>
        <v>0</v>
      </c>
      <c r="BA40" s="229">
        <f t="shared" si="30"/>
        <v>0</v>
      </c>
      <c r="BB40" s="229">
        <f t="shared" si="30"/>
        <v>0</v>
      </c>
      <c r="BC40" s="229">
        <f t="shared" si="31"/>
        <v>0</v>
      </c>
      <c r="BD40" s="229">
        <f t="shared" si="31"/>
        <v>0</v>
      </c>
      <c r="BE40" s="229">
        <f t="shared" si="31"/>
        <v>0</v>
      </c>
      <c r="BF40" s="229">
        <f t="shared" si="31"/>
        <v>0</v>
      </c>
      <c r="BG40" s="229">
        <f t="shared" si="31"/>
        <v>0</v>
      </c>
      <c r="BH40" s="229">
        <f t="shared" si="31"/>
        <v>0</v>
      </c>
      <c r="BI40" s="229">
        <f t="shared" si="31"/>
        <v>0</v>
      </c>
      <c r="BJ40" s="229">
        <f t="shared" si="31"/>
        <v>0</v>
      </c>
      <c r="BK40" s="229">
        <f t="shared" si="31"/>
        <v>0</v>
      </c>
      <c r="BL40" s="229">
        <f t="shared" si="31"/>
        <v>0</v>
      </c>
      <c r="BM40" s="229">
        <f t="shared" si="32"/>
        <v>0</v>
      </c>
      <c r="BN40" s="229">
        <f t="shared" si="32"/>
        <v>0</v>
      </c>
      <c r="BO40" s="229">
        <f t="shared" si="13"/>
        <v>0</v>
      </c>
      <c r="BP40" s="229">
        <f t="shared" si="13"/>
        <v>0</v>
      </c>
      <c r="BQ40" s="229">
        <f t="shared" si="13"/>
        <v>0</v>
      </c>
      <c r="BR40" s="229">
        <f t="shared" si="32"/>
        <v>0</v>
      </c>
      <c r="BS40" s="229">
        <f t="shared" si="32"/>
        <v>0</v>
      </c>
      <c r="BT40" s="229">
        <f t="shared" si="32"/>
        <v>0</v>
      </c>
      <c r="BU40" s="229">
        <f t="shared" si="32"/>
        <v>0</v>
      </c>
      <c r="BV40" s="229">
        <f t="shared" si="32"/>
        <v>0</v>
      </c>
      <c r="BW40" s="229">
        <f t="shared" si="32"/>
        <v>0</v>
      </c>
      <c r="BX40" s="229">
        <f t="shared" si="32"/>
        <v>0</v>
      </c>
      <c r="BY40" s="229">
        <f t="shared" si="32"/>
        <v>0</v>
      </c>
      <c r="BZ40" s="229">
        <f t="shared" si="32"/>
        <v>0</v>
      </c>
      <c r="CA40" s="229">
        <f t="shared" si="32"/>
        <v>0</v>
      </c>
      <c r="CB40" s="229">
        <f t="shared" si="33"/>
        <v>0</v>
      </c>
      <c r="CC40" s="229">
        <f t="shared" si="33"/>
        <v>0</v>
      </c>
      <c r="CD40" s="229">
        <f t="shared" si="33"/>
        <v>0</v>
      </c>
      <c r="CE40" s="229">
        <f t="shared" si="33"/>
        <v>0</v>
      </c>
      <c r="CF40" s="229">
        <f t="shared" si="33"/>
        <v>0</v>
      </c>
      <c r="CG40" s="229">
        <f t="shared" si="33"/>
        <v>0</v>
      </c>
      <c r="CH40" s="229">
        <f t="shared" si="33"/>
        <v>0</v>
      </c>
      <c r="CI40" s="229">
        <f t="shared" si="33"/>
        <v>0</v>
      </c>
      <c r="CJ40" s="229">
        <f t="shared" si="33"/>
        <v>0</v>
      </c>
      <c r="CK40" s="229">
        <f t="shared" si="33"/>
        <v>0</v>
      </c>
      <c r="CL40" s="229">
        <f t="shared" si="33"/>
        <v>0</v>
      </c>
      <c r="CM40" s="229">
        <f t="shared" si="33"/>
        <v>0</v>
      </c>
      <c r="CN40" s="229">
        <f t="shared" si="33"/>
        <v>0</v>
      </c>
      <c r="CO40" s="229">
        <f t="shared" si="33"/>
        <v>0</v>
      </c>
      <c r="CP40" s="229">
        <f t="shared" si="33"/>
        <v>8.4</v>
      </c>
      <c r="CQ40" s="229">
        <f t="shared" si="33"/>
        <v>0</v>
      </c>
      <c r="CR40" s="229">
        <f t="shared" si="33"/>
        <v>0</v>
      </c>
      <c r="CS40" s="230"/>
      <c r="CT40" s="231"/>
      <c r="CU40" s="231"/>
      <c r="CV40" s="231"/>
      <c r="CW40" s="231"/>
      <c r="CY40" s="231"/>
      <c r="CZ40" s="231"/>
      <c r="DA40" s="231"/>
      <c r="DB40" s="231">
        <f>IF(SUM(DB$24:DB39)=DB$22,0,IF(AND($K40&gt;=DB$15,$K40&lt;(DB$16+1)),DB$22/(DB$16-DB$15+1),0))</f>
        <v>0</v>
      </c>
      <c r="DC40" s="231">
        <f t="shared" ref="DC40:DO49" si="34">IF(AND($K40&gt;=DC$15,$K40&lt;(DC$16+1)),DC$22/(DC$16-DC$15+1),0)</f>
        <v>0</v>
      </c>
      <c r="DD40" s="231">
        <f t="shared" si="34"/>
        <v>0</v>
      </c>
      <c r="DE40" s="231">
        <f t="shared" si="34"/>
        <v>0</v>
      </c>
      <c r="DF40" s="231">
        <f t="shared" si="34"/>
        <v>0</v>
      </c>
      <c r="DG40" s="231">
        <f t="shared" si="34"/>
        <v>0</v>
      </c>
      <c r="DH40" s="231">
        <f t="shared" si="34"/>
        <v>0</v>
      </c>
      <c r="DI40" s="231">
        <f t="shared" si="34"/>
        <v>0</v>
      </c>
      <c r="DJ40" s="231">
        <f t="shared" si="34"/>
        <v>0</v>
      </c>
      <c r="DK40" s="231">
        <f t="shared" si="34"/>
        <v>0.28599999999999998</v>
      </c>
      <c r="DL40" s="231">
        <f t="shared" si="34"/>
        <v>0</v>
      </c>
      <c r="DM40" s="231">
        <f t="shared" si="34"/>
        <v>0</v>
      </c>
      <c r="DN40" s="231">
        <f t="shared" si="34"/>
        <v>0</v>
      </c>
      <c r="DO40" s="231">
        <f t="shared" si="34"/>
        <v>1.0920000000000003E-2</v>
      </c>
      <c r="DP40" s="231">
        <f>'Offshore CF'!DR40</f>
        <v>0</v>
      </c>
      <c r="DQ40" s="231">
        <f>'Offshore CF'!DS40</f>
        <v>0.29866666666666669</v>
      </c>
      <c r="DR40" s="231">
        <f ca="1">IF(SUM(DR$24:DR39)=DR$22,0,IF(AND($K40&gt;=DR$15,$K40&lt;(DR$16+1)),DR$22/(DR$16-DR$15+1),0))</f>
        <v>0</v>
      </c>
      <c r="DS40" s="231" t="e">
        <f ca="1">IF(SUM(DS$24:DS39)=DS$22,0,IF(AND($K40&gt;=DS$15,$K40&lt;(DS$16+1)),DS$22/(DS$16-DS$15+1),0))</f>
        <v>#REF!</v>
      </c>
      <c r="DT40" s="231" t="e">
        <f ca="1">IF(SUM(DT$24:DT39)=DT$22,0,IF(AND(K40&gt;=DT$15,K40&lt;(DT$16+1)),DT$22/(DT$16-DT$15+1),0))</f>
        <v>#REF!</v>
      </c>
      <c r="DU40" s="231" t="e">
        <f ca="1">IF(SUM(DU$24:DU39)=DU$22,0,IF(AND($K40&gt;=DU$15,$K40&lt;(DU$16+1)),DU$22/(DU$16-DU$15+1),0))</f>
        <v>#REF!</v>
      </c>
      <c r="DV40" s="231">
        <f ca="1">IF(SUM(DV$24:DV39)=DV$22,0,IF(AND($K40&gt;=DV$15,$K40&lt;(DV$16+1)),DV$22/(DV$16-DV$15+1),0))</f>
        <v>0</v>
      </c>
      <c r="DW40" s="231">
        <f ca="1">IF(SUM(DW$24:DW39)=DW$22,0,IF(AND($K40&gt;=DW$15,$K40&lt;(DW$16+1)),DW$22/(DW$16-DW$15+1),0))</f>
        <v>0</v>
      </c>
      <c r="DX40" s="231">
        <f ca="1">IF(SUM(DX$24:DX39)=DX$22,0,IF(AND($K40&gt;=DX$15,$K40&lt;(DX$16+1)),DX$22/(DX$16-DX$15+1),0))</f>
        <v>0</v>
      </c>
      <c r="DY40" s="231">
        <f ca="1">IF(SUM(DY$24:DY39)=DY$22,0,IF(AND($K40&gt;=DY$15,$K40&lt;(DY$16+1)),DY$22/(DY$16-DY$15+1),0))</f>
        <v>0</v>
      </c>
      <c r="DZ40" s="749"/>
      <c r="EA40" s="749">
        <f t="shared" si="16"/>
        <v>17</v>
      </c>
      <c r="EB40" s="749" t="e">
        <f t="shared" ca="1" si="17"/>
        <v>#REF!</v>
      </c>
      <c r="EC40" s="750" t="e">
        <f t="shared" ca="1" si="18"/>
        <v>#REF!</v>
      </c>
      <c r="ED40" s="749" t="e">
        <f t="shared" ca="1" si="28"/>
        <v>#N/A</v>
      </c>
      <c r="EE40" s="749"/>
      <c r="EF40" s="749"/>
      <c r="EG40" s="749"/>
      <c r="EH40" s="749"/>
      <c r="EI40" s="714" t="e">
        <f t="shared" ca="1" si="19"/>
        <v>#REF!</v>
      </c>
      <c r="EJ40" s="231" t="e">
        <f ca="1">IF(SUM(EJ$24:EJ39)=EJ$22,0,IF(AND($K40&gt;=EJ$15,$K40&lt;(EJ$16+1)),EJ$22/(EJ$16-EJ$15+1),0))</f>
        <v>#REF!</v>
      </c>
      <c r="EK40" s="714" t="e">
        <f t="shared" ca="1" si="24"/>
        <v>#REF!</v>
      </c>
      <c r="EM40" s="60"/>
      <c r="EN40" s="60"/>
    </row>
    <row r="41" spans="1:144">
      <c r="A41" s="220"/>
      <c r="B41" s="236">
        <f t="shared" si="20"/>
        <v>18</v>
      </c>
      <c r="C41" s="221">
        <f t="shared" si="21"/>
        <v>43988.083900000027</v>
      </c>
      <c r="D41" s="746" t="e">
        <f t="shared" ca="1" si="22"/>
        <v>#DIV/0!</v>
      </c>
      <c r="E41" s="747" t="e">
        <f t="shared" ca="1" si="25"/>
        <v>#DIV/0!</v>
      </c>
      <c r="F41" s="748" t="e">
        <f ca="1">IF(F40=0,0,SUM($G$24:G41))</f>
        <v>#DIV/0!</v>
      </c>
      <c r="G41" s="225" t="e">
        <f t="shared" ca="1" si="5"/>
        <v>#DIV/0!</v>
      </c>
      <c r="H41" s="746">
        <f t="shared" ca="1" si="23"/>
        <v>0</v>
      </c>
      <c r="I41" s="60"/>
      <c r="J41" s="228"/>
      <c r="K41" s="228">
        <f t="shared" si="6"/>
        <v>18</v>
      </c>
      <c r="L41" s="221">
        <f t="shared" si="7"/>
        <v>43988.083900000027</v>
      </c>
      <c r="M41" s="229">
        <f t="shared" si="29"/>
        <v>0</v>
      </c>
      <c r="N41" s="229">
        <f t="shared" si="29"/>
        <v>0</v>
      </c>
      <c r="O41" s="229">
        <f t="shared" si="29"/>
        <v>0</v>
      </c>
      <c r="P41" s="229">
        <f t="shared" si="29"/>
        <v>0</v>
      </c>
      <c r="Q41" s="229">
        <f t="shared" si="29"/>
        <v>0</v>
      </c>
      <c r="R41" s="229">
        <f t="shared" si="27"/>
        <v>0</v>
      </c>
      <c r="S41" s="229">
        <f t="shared" si="27"/>
        <v>0</v>
      </c>
      <c r="T41" s="229">
        <f t="shared" si="27"/>
        <v>0</v>
      </c>
      <c r="U41" s="229">
        <f t="shared" si="29"/>
        <v>0</v>
      </c>
      <c r="V41" s="229">
        <f t="shared" si="29"/>
        <v>0</v>
      </c>
      <c r="W41" s="229">
        <f t="shared" si="29"/>
        <v>0</v>
      </c>
      <c r="X41" s="229">
        <f t="shared" si="29"/>
        <v>0</v>
      </c>
      <c r="Y41" s="229">
        <f t="shared" si="29"/>
        <v>0</v>
      </c>
      <c r="Z41" s="229">
        <f t="shared" si="29"/>
        <v>0</v>
      </c>
      <c r="AA41" s="229">
        <f t="shared" si="29"/>
        <v>0</v>
      </c>
      <c r="AB41" s="229">
        <f t="shared" si="29"/>
        <v>0</v>
      </c>
      <c r="AC41" s="229">
        <f t="shared" si="29"/>
        <v>0</v>
      </c>
      <c r="AD41" s="229">
        <f t="shared" ref="P41:AD51" si="35">IF($K41=AD$13,AD$22*AD$3,IF($K41=AD$14,AD$22*AD$4,IF($K41=AD$15,AD$22*AD$5,IF($K41=AD$16,AD$22*AD$6,IF($K41=AD$17,AD$22*AD$7,IF($K41=AD$18,AD$22*AD$8,IF($K41=AD$19,AD$22*AD$9,IF($K41=AD$20,AD$22*AD$10,0))))))))</f>
        <v>0</v>
      </c>
      <c r="AE41" s="229">
        <f t="shared" si="29"/>
        <v>0</v>
      </c>
      <c r="AF41" s="229">
        <f t="shared" si="29"/>
        <v>0</v>
      </c>
      <c r="AG41" s="229">
        <f t="shared" si="29"/>
        <v>0</v>
      </c>
      <c r="AH41" s="229">
        <f t="shared" si="29"/>
        <v>0</v>
      </c>
      <c r="AI41" s="229">
        <f t="shared" si="29"/>
        <v>0</v>
      </c>
      <c r="AJ41" s="229">
        <f t="shared" si="29"/>
        <v>0</v>
      </c>
      <c r="AK41" s="229">
        <f t="shared" si="29"/>
        <v>0</v>
      </c>
      <c r="AL41" s="229">
        <f t="shared" si="29"/>
        <v>0</v>
      </c>
      <c r="AM41" s="229">
        <f t="shared" si="29"/>
        <v>0</v>
      </c>
      <c r="AN41" s="229">
        <f t="shared" si="29"/>
        <v>0</v>
      </c>
      <c r="AO41" s="229">
        <f t="shared" si="29"/>
        <v>0</v>
      </c>
      <c r="AP41" s="229">
        <f t="shared" si="29"/>
        <v>0</v>
      </c>
      <c r="AQ41" s="229">
        <f t="shared" si="29"/>
        <v>0</v>
      </c>
      <c r="AR41" s="229">
        <f t="shared" si="30"/>
        <v>0</v>
      </c>
      <c r="AS41" s="229">
        <f t="shared" si="30"/>
        <v>0</v>
      </c>
      <c r="AT41" s="229">
        <f t="shared" si="30"/>
        <v>0</v>
      </c>
      <c r="AU41" s="229">
        <f t="shared" si="30"/>
        <v>0</v>
      </c>
      <c r="AV41" s="229">
        <f t="shared" si="30"/>
        <v>0</v>
      </c>
      <c r="AW41" s="229">
        <f t="shared" si="30"/>
        <v>0</v>
      </c>
      <c r="AX41" s="229">
        <f t="shared" si="30"/>
        <v>0</v>
      </c>
      <c r="AY41" s="229">
        <f t="shared" si="30"/>
        <v>0</v>
      </c>
      <c r="AZ41" s="229">
        <f t="shared" si="30"/>
        <v>0</v>
      </c>
      <c r="BA41" s="229">
        <f t="shared" si="30"/>
        <v>0</v>
      </c>
      <c r="BB41" s="229">
        <f t="shared" si="30"/>
        <v>0</v>
      </c>
      <c r="BC41" s="229">
        <f t="shared" si="31"/>
        <v>0</v>
      </c>
      <c r="BD41" s="229">
        <f t="shared" si="31"/>
        <v>0</v>
      </c>
      <c r="BE41" s="229">
        <f t="shared" si="31"/>
        <v>0</v>
      </c>
      <c r="BF41" s="229">
        <f t="shared" si="31"/>
        <v>0</v>
      </c>
      <c r="BG41" s="229">
        <f t="shared" si="31"/>
        <v>0</v>
      </c>
      <c r="BH41" s="229">
        <f t="shared" si="31"/>
        <v>0</v>
      </c>
      <c r="BI41" s="229">
        <f t="shared" si="31"/>
        <v>0</v>
      </c>
      <c r="BJ41" s="229">
        <f t="shared" si="31"/>
        <v>0</v>
      </c>
      <c r="BK41" s="229">
        <f t="shared" si="31"/>
        <v>0</v>
      </c>
      <c r="BL41" s="229">
        <f t="shared" si="31"/>
        <v>0</v>
      </c>
      <c r="BM41" s="229">
        <f t="shared" si="32"/>
        <v>0</v>
      </c>
      <c r="BN41" s="229">
        <f t="shared" si="32"/>
        <v>0</v>
      </c>
      <c r="BO41" s="229">
        <f t="shared" si="13"/>
        <v>0</v>
      </c>
      <c r="BP41" s="229">
        <f t="shared" si="13"/>
        <v>0</v>
      </c>
      <c r="BQ41" s="229">
        <f t="shared" si="13"/>
        <v>0</v>
      </c>
      <c r="BR41" s="229">
        <f t="shared" si="32"/>
        <v>0</v>
      </c>
      <c r="BS41" s="229">
        <f t="shared" si="32"/>
        <v>0</v>
      </c>
      <c r="BT41" s="229">
        <f t="shared" si="32"/>
        <v>0</v>
      </c>
      <c r="BU41" s="229">
        <f t="shared" si="32"/>
        <v>0</v>
      </c>
      <c r="BV41" s="229">
        <f t="shared" si="32"/>
        <v>0</v>
      </c>
      <c r="BW41" s="229">
        <f t="shared" si="32"/>
        <v>0</v>
      </c>
      <c r="BX41" s="229">
        <f t="shared" si="32"/>
        <v>0</v>
      </c>
      <c r="BY41" s="229">
        <f t="shared" si="32"/>
        <v>0</v>
      </c>
      <c r="BZ41" s="229">
        <f t="shared" si="32"/>
        <v>0</v>
      </c>
      <c r="CA41" s="229">
        <f t="shared" si="32"/>
        <v>0</v>
      </c>
      <c r="CB41" s="229">
        <f t="shared" si="33"/>
        <v>0</v>
      </c>
      <c r="CC41" s="229">
        <f t="shared" si="33"/>
        <v>0</v>
      </c>
      <c r="CD41" s="229">
        <f t="shared" si="33"/>
        <v>0</v>
      </c>
      <c r="CE41" s="229">
        <f t="shared" si="33"/>
        <v>0</v>
      </c>
      <c r="CF41" s="229">
        <f t="shared" si="33"/>
        <v>0</v>
      </c>
      <c r="CG41" s="229">
        <f t="shared" si="33"/>
        <v>0</v>
      </c>
      <c r="CH41" s="229">
        <f t="shared" si="33"/>
        <v>0</v>
      </c>
      <c r="CI41" s="229">
        <f t="shared" si="33"/>
        <v>0</v>
      </c>
      <c r="CJ41" s="229">
        <f t="shared" si="33"/>
        <v>0</v>
      </c>
      <c r="CK41" s="229">
        <f t="shared" si="33"/>
        <v>0</v>
      </c>
      <c r="CL41" s="229">
        <f t="shared" si="33"/>
        <v>0</v>
      </c>
      <c r="CM41" s="229">
        <f t="shared" si="33"/>
        <v>0</v>
      </c>
      <c r="CN41" s="229">
        <f t="shared" si="33"/>
        <v>0</v>
      </c>
      <c r="CO41" s="229">
        <f t="shared" si="33"/>
        <v>0</v>
      </c>
      <c r="CP41" s="229">
        <f t="shared" si="33"/>
        <v>0</v>
      </c>
      <c r="CQ41" s="229">
        <f t="shared" si="33"/>
        <v>0</v>
      </c>
      <c r="CR41" s="229">
        <f t="shared" si="33"/>
        <v>0</v>
      </c>
      <c r="CS41" s="230"/>
      <c r="CT41" s="231"/>
      <c r="CU41" s="231"/>
      <c r="CV41" s="231"/>
      <c r="CW41" s="231"/>
      <c r="CX41" s="231"/>
      <c r="CY41" s="231"/>
      <c r="CZ41" s="231"/>
      <c r="DA41" s="231" t="e">
        <f ca="1">IF(SUM(DA$32:DA40)&gt;=DA$22,0,DA$22/(DA$13*1))</f>
        <v>#N/A</v>
      </c>
      <c r="DB41" s="231">
        <f>IF(SUM(DB$24:DB40)=DB$22,0,IF(AND($K41&gt;=DB$15,$K41&lt;(DB$16+1)),DB$22/(DB$16-DB$15+1),0))</f>
        <v>0</v>
      </c>
      <c r="DC41" s="231">
        <f t="shared" si="34"/>
        <v>0</v>
      </c>
      <c r="DD41" s="231">
        <f t="shared" si="34"/>
        <v>0</v>
      </c>
      <c r="DE41" s="231">
        <f t="shared" si="34"/>
        <v>0</v>
      </c>
      <c r="DF41" s="231">
        <f t="shared" si="34"/>
        <v>0</v>
      </c>
      <c r="DG41" s="231">
        <f t="shared" si="34"/>
        <v>0</v>
      </c>
      <c r="DH41" s="231">
        <f t="shared" si="34"/>
        <v>0</v>
      </c>
      <c r="DI41" s="231">
        <f t="shared" si="34"/>
        <v>0</v>
      </c>
      <c r="DJ41" s="231">
        <f t="shared" si="34"/>
        <v>0</v>
      </c>
      <c r="DK41" s="231">
        <f t="shared" si="34"/>
        <v>0</v>
      </c>
      <c r="DL41" s="231">
        <f t="shared" si="34"/>
        <v>0</v>
      </c>
      <c r="DM41" s="231">
        <f t="shared" si="34"/>
        <v>0</v>
      </c>
      <c r="DN41" s="231">
        <f t="shared" si="34"/>
        <v>0</v>
      </c>
      <c r="DO41" s="231">
        <f t="shared" si="34"/>
        <v>1.0920000000000003E-2</v>
      </c>
      <c r="DP41" s="231">
        <f>'Offshore CF'!DR41</f>
        <v>0</v>
      </c>
      <c r="DQ41" s="231">
        <f>'Offshore CF'!DS41</f>
        <v>0.29866666666666669</v>
      </c>
      <c r="DR41" s="231">
        <f ca="1">IF(SUM(DR$24:DR40)=DR$22,0,IF(AND($K41&gt;=DR$15,$K41&lt;(DR$16+1)),DR$22/(DR$16-DR$15+1),0))</f>
        <v>0</v>
      </c>
      <c r="DS41" s="231" t="e">
        <f ca="1">IF(SUM(DS$24:DS40)=DS$22,0,IF(AND($K41&gt;=DS$15,$K41&lt;(DS$16+1)),DS$22/(DS$16-DS$15+1),0))</f>
        <v>#REF!</v>
      </c>
      <c r="DT41" s="231" t="e">
        <f ca="1">IF(SUM(DT$24:DT40)=DT$22,0,IF(AND(K41&gt;=DT$15,K41&lt;(DT$16+1)),DT$22/(DT$16-DT$15+1),0))</f>
        <v>#REF!</v>
      </c>
      <c r="DU41" s="231" t="e">
        <f ca="1">IF(SUM(DU$24:DU40)=DU$22,0,IF(AND($K41&gt;=DU$15,$K41&lt;(DU$16+1)),DU$22/(DU$16-DU$15+1),0))</f>
        <v>#REF!</v>
      </c>
      <c r="DV41" s="231">
        <f ca="1">IF(SUM(DV$24:DV40)=DV$22,0,IF(AND($K41&gt;=DV$15,$K41&lt;(DV$16+1)),DV$22/(DV$16-DV$15+1),0))</f>
        <v>0</v>
      </c>
      <c r="DW41" s="231">
        <f ca="1">IF(SUM(DW$24:DW40)=DW$22,0,IF(AND($K41&gt;=DW$15,$K41&lt;(DW$16+1)),DW$22/(DW$16-DW$15+1),0))</f>
        <v>0</v>
      </c>
      <c r="DX41" s="231">
        <f ca="1">IF(SUM(DX$24:DX40)=DX$22,0,IF(AND($K41&gt;=DX$15,$K41&lt;(DX$16+1)),DX$22/(DX$16-DX$15+1),0))</f>
        <v>0</v>
      </c>
      <c r="DY41" s="231">
        <f ca="1">IF(SUM(DY$24:DY40)=DY$22,0,IF(AND($K41&gt;=DY$15,$K41&lt;(DY$16+1)),DY$22/(DY$16-DY$15+1),0))</f>
        <v>0</v>
      </c>
      <c r="EA41" s="749">
        <f t="shared" si="16"/>
        <v>18</v>
      </c>
      <c r="EB41" s="749" t="e">
        <f t="shared" ca="1" si="17"/>
        <v>#N/A</v>
      </c>
      <c r="EC41" s="750" t="e">
        <f t="shared" ca="1" si="18"/>
        <v>#N/A</v>
      </c>
      <c r="ED41" s="749" t="e">
        <f t="shared" ca="1" si="28"/>
        <v>#REF!</v>
      </c>
      <c r="EE41" s="749"/>
      <c r="EF41" s="749"/>
      <c r="EG41" s="749"/>
      <c r="EH41" s="749"/>
      <c r="EI41" s="714" t="e">
        <f t="shared" ca="1" si="19"/>
        <v>#N/A</v>
      </c>
      <c r="EJ41" s="231" t="e">
        <f ca="1">IF(SUM(EJ$24:EJ40)=EJ$22,0,IF(AND($K41&gt;=EJ$15,$K41&lt;(EJ$16+1)),EJ$22/(EJ$16-EJ$15+1),0))</f>
        <v>#REF!</v>
      </c>
      <c r="EK41" s="714" t="e">
        <f t="shared" ca="1" si="24"/>
        <v>#N/A</v>
      </c>
      <c r="EM41" s="60"/>
      <c r="EN41" s="60"/>
    </row>
    <row r="42" spans="1:144">
      <c r="A42" s="220"/>
      <c r="B42" s="236">
        <f t="shared" si="20"/>
        <v>19</v>
      </c>
      <c r="C42" s="221">
        <f t="shared" si="21"/>
        <v>44018.500600000028</v>
      </c>
      <c r="D42" s="746" t="e">
        <f t="shared" ca="1" si="22"/>
        <v>#DIV/0!</v>
      </c>
      <c r="E42" s="747" t="e">
        <f t="shared" ca="1" si="25"/>
        <v>#DIV/0!</v>
      </c>
      <c r="F42" s="748" t="e">
        <f ca="1">IF(F41=0,0,SUM($G$24:G42))</f>
        <v>#DIV/0!</v>
      </c>
      <c r="G42" s="225" t="e">
        <f t="shared" ca="1" si="5"/>
        <v>#DIV/0!</v>
      </c>
      <c r="H42" s="746">
        <f t="shared" ca="1" si="23"/>
        <v>0</v>
      </c>
      <c r="I42" s="60"/>
      <c r="J42" s="228"/>
      <c r="K42" s="228">
        <f t="shared" si="6"/>
        <v>19</v>
      </c>
      <c r="L42" s="221">
        <f t="shared" si="7"/>
        <v>44018.500600000028</v>
      </c>
      <c r="M42" s="229">
        <f t="shared" si="29"/>
        <v>0</v>
      </c>
      <c r="N42" s="229">
        <f t="shared" si="29"/>
        <v>0</v>
      </c>
      <c r="O42" s="229">
        <f t="shared" si="29"/>
        <v>0</v>
      </c>
      <c r="P42" s="229">
        <f t="shared" si="35"/>
        <v>0</v>
      </c>
      <c r="Q42" s="229">
        <f t="shared" si="35"/>
        <v>0</v>
      </c>
      <c r="R42" s="229">
        <f t="shared" si="35"/>
        <v>0</v>
      </c>
      <c r="S42" s="229">
        <f t="shared" si="35"/>
        <v>0</v>
      </c>
      <c r="T42" s="229">
        <f t="shared" si="35"/>
        <v>0</v>
      </c>
      <c r="U42" s="229">
        <f t="shared" si="35"/>
        <v>0</v>
      </c>
      <c r="V42" s="229">
        <f t="shared" si="35"/>
        <v>0</v>
      </c>
      <c r="W42" s="229">
        <f t="shared" si="35"/>
        <v>0</v>
      </c>
      <c r="X42" s="229">
        <f t="shared" si="35"/>
        <v>0</v>
      </c>
      <c r="Y42" s="229">
        <f t="shared" si="35"/>
        <v>0</v>
      </c>
      <c r="Z42" s="229">
        <f t="shared" si="35"/>
        <v>0</v>
      </c>
      <c r="AA42" s="229">
        <f t="shared" si="35"/>
        <v>0</v>
      </c>
      <c r="AB42" s="229">
        <f t="shared" si="35"/>
        <v>0</v>
      </c>
      <c r="AC42" s="229">
        <f t="shared" si="35"/>
        <v>0</v>
      </c>
      <c r="AD42" s="229">
        <f t="shared" si="35"/>
        <v>0</v>
      </c>
      <c r="AE42" s="229">
        <f t="shared" si="29"/>
        <v>0</v>
      </c>
      <c r="AF42" s="229">
        <f t="shared" si="29"/>
        <v>0</v>
      </c>
      <c r="AG42" s="229">
        <f t="shared" si="29"/>
        <v>0</v>
      </c>
      <c r="AH42" s="229">
        <f t="shared" si="29"/>
        <v>0</v>
      </c>
      <c r="AI42" s="229">
        <f t="shared" si="29"/>
        <v>0</v>
      </c>
      <c r="AJ42" s="229">
        <f t="shared" si="29"/>
        <v>0</v>
      </c>
      <c r="AK42" s="229">
        <f t="shared" si="29"/>
        <v>0</v>
      </c>
      <c r="AL42" s="229">
        <f t="shared" si="29"/>
        <v>0</v>
      </c>
      <c r="AM42" s="229">
        <f t="shared" si="29"/>
        <v>0</v>
      </c>
      <c r="AN42" s="229">
        <f t="shared" si="29"/>
        <v>0</v>
      </c>
      <c r="AO42" s="229">
        <f t="shared" si="29"/>
        <v>0</v>
      </c>
      <c r="AP42" s="229">
        <f t="shared" si="29"/>
        <v>0</v>
      </c>
      <c r="AQ42" s="229">
        <f t="shared" si="29"/>
        <v>0</v>
      </c>
      <c r="AR42" s="229">
        <f t="shared" si="30"/>
        <v>0</v>
      </c>
      <c r="AS42" s="229">
        <f t="shared" si="30"/>
        <v>0</v>
      </c>
      <c r="AT42" s="229">
        <f t="shared" si="30"/>
        <v>0</v>
      </c>
      <c r="AU42" s="229">
        <f t="shared" si="30"/>
        <v>0</v>
      </c>
      <c r="AV42" s="229">
        <f t="shared" si="30"/>
        <v>0</v>
      </c>
      <c r="AW42" s="229">
        <f t="shared" si="30"/>
        <v>0</v>
      </c>
      <c r="AX42" s="229">
        <f t="shared" si="30"/>
        <v>0</v>
      </c>
      <c r="AY42" s="229">
        <f t="shared" si="30"/>
        <v>0</v>
      </c>
      <c r="AZ42" s="229">
        <f t="shared" si="30"/>
        <v>0</v>
      </c>
      <c r="BA42" s="229">
        <f t="shared" si="30"/>
        <v>0</v>
      </c>
      <c r="BB42" s="229">
        <f t="shared" si="30"/>
        <v>0</v>
      </c>
      <c r="BC42" s="229">
        <f t="shared" si="31"/>
        <v>0</v>
      </c>
      <c r="BD42" s="229">
        <f t="shared" si="31"/>
        <v>0</v>
      </c>
      <c r="BE42" s="229">
        <f t="shared" si="31"/>
        <v>0</v>
      </c>
      <c r="BF42" s="229">
        <f t="shared" si="31"/>
        <v>0</v>
      </c>
      <c r="BG42" s="229">
        <f t="shared" si="31"/>
        <v>0</v>
      </c>
      <c r="BH42" s="229">
        <f t="shared" si="31"/>
        <v>0</v>
      </c>
      <c r="BI42" s="229">
        <f t="shared" si="31"/>
        <v>0</v>
      </c>
      <c r="BJ42" s="229">
        <f t="shared" si="31"/>
        <v>0</v>
      </c>
      <c r="BK42" s="229">
        <f t="shared" si="31"/>
        <v>0</v>
      </c>
      <c r="BL42" s="229">
        <f t="shared" si="31"/>
        <v>0</v>
      </c>
      <c r="BM42" s="229">
        <f t="shared" si="32"/>
        <v>0</v>
      </c>
      <c r="BN42" s="229">
        <f t="shared" si="32"/>
        <v>0</v>
      </c>
      <c r="BO42" s="229">
        <f t="shared" si="13"/>
        <v>0</v>
      </c>
      <c r="BP42" s="229">
        <f t="shared" si="13"/>
        <v>0</v>
      </c>
      <c r="BQ42" s="229">
        <f t="shared" si="13"/>
        <v>0</v>
      </c>
      <c r="BR42" s="229">
        <f t="shared" si="32"/>
        <v>0</v>
      </c>
      <c r="BS42" s="229">
        <f t="shared" si="32"/>
        <v>0</v>
      </c>
      <c r="BT42" s="229">
        <f t="shared" si="32"/>
        <v>0</v>
      </c>
      <c r="BU42" s="229">
        <f t="shared" si="32"/>
        <v>0</v>
      </c>
      <c r="BV42" s="229">
        <f t="shared" si="32"/>
        <v>0</v>
      </c>
      <c r="BW42" s="229">
        <f t="shared" si="32"/>
        <v>0</v>
      </c>
      <c r="BX42" s="229">
        <f t="shared" si="32"/>
        <v>0</v>
      </c>
      <c r="BY42" s="229">
        <f t="shared" si="32"/>
        <v>0</v>
      </c>
      <c r="BZ42" s="229">
        <f t="shared" si="32"/>
        <v>0</v>
      </c>
      <c r="CA42" s="229">
        <f t="shared" si="32"/>
        <v>0</v>
      </c>
      <c r="CB42" s="229">
        <f t="shared" si="33"/>
        <v>0</v>
      </c>
      <c r="CC42" s="229">
        <f t="shared" si="33"/>
        <v>0</v>
      </c>
      <c r="CD42" s="229">
        <f t="shared" si="33"/>
        <v>0</v>
      </c>
      <c r="CE42" s="229">
        <f t="shared" si="33"/>
        <v>0</v>
      </c>
      <c r="CF42" s="229">
        <f t="shared" si="33"/>
        <v>0</v>
      </c>
      <c r="CG42" s="229">
        <f t="shared" si="33"/>
        <v>0</v>
      </c>
      <c r="CH42" s="229">
        <f t="shared" si="33"/>
        <v>0</v>
      </c>
      <c r="CI42" s="229">
        <f t="shared" si="33"/>
        <v>0</v>
      </c>
      <c r="CJ42" s="229">
        <f t="shared" si="33"/>
        <v>0</v>
      </c>
      <c r="CK42" s="229">
        <f t="shared" si="33"/>
        <v>0</v>
      </c>
      <c r="CL42" s="229">
        <f t="shared" si="33"/>
        <v>0</v>
      </c>
      <c r="CM42" s="229">
        <f t="shared" si="33"/>
        <v>0</v>
      </c>
      <c r="CN42" s="229">
        <f t="shared" si="33"/>
        <v>0</v>
      </c>
      <c r="CO42" s="229">
        <f t="shared" si="33"/>
        <v>0</v>
      </c>
      <c r="CP42" s="229">
        <f t="shared" si="33"/>
        <v>0</v>
      </c>
      <c r="CQ42" s="229">
        <f t="shared" si="33"/>
        <v>0</v>
      </c>
      <c r="CR42" s="229">
        <f t="shared" si="33"/>
        <v>0</v>
      </c>
      <c r="CS42" s="230"/>
      <c r="CT42" s="231"/>
      <c r="CU42" s="231"/>
      <c r="CV42" s="231"/>
      <c r="CW42" s="231"/>
      <c r="CX42" s="231"/>
      <c r="CY42" s="231"/>
      <c r="CZ42" s="231"/>
      <c r="DA42" s="231" t="e">
        <f ca="1">IF(SUM(DA$32:DA41)&gt;=DA$22,0,DA$22/(DA$13*4))</f>
        <v>#N/A</v>
      </c>
      <c r="DB42" s="231">
        <f>IF(SUM(DB$24:DB41)=DB$22,0,IF(AND($K42&gt;=DB$15,$K42&lt;(DB$16+1)),DB$22/(DB$16-DB$15+1),0))</f>
        <v>0</v>
      </c>
      <c r="DC42" s="231">
        <f t="shared" si="34"/>
        <v>0</v>
      </c>
      <c r="DD42" s="231">
        <f t="shared" si="34"/>
        <v>0</v>
      </c>
      <c r="DE42" s="231">
        <f t="shared" si="34"/>
        <v>0</v>
      </c>
      <c r="DF42" s="231">
        <f t="shared" si="34"/>
        <v>0</v>
      </c>
      <c r="DG42" s="231">
        <f t="shared" si="34"/>
        <v>0</v>
      </c>
      <c r="DH42" s="231">
        <f t="shared" si="34"/>
        <v>0</v>
      </c>
      <c r="DI42" s="231">
        <f t="shared" si="34"/>
        <v>0</v>
      </c>
      <c r="DJ42" s="231">
        <f t="shared" si="34"/>
        <v>0</v>
      </c>
      <c r="DK42" s="231">
        <f t="shared" si="34"/>
        <v>0</v>
      </c>
      <c r="DL42" s="231">
        <f t="shared" si="34"/>
        <v>0</v>
      </c>
      <c r="DM42" s="231">
        <f t="shared" si="34"/>
        <v>0</v>
      </c>
      <c r="DN42" s="231">
        <f t="shared" si="34"/>
        <v>0</v>
      </c>
      <c r="DO42" s="231">
        <f t="shared" si="34"/>
        <v>0</v>
      </c>
      <c r="DP42" s="231">
        <f>'Offshore CF'!DR42</f>
        <v>0</v>
      </c>
      <c r="DQ42" s="231">
        <f>'Offshore CF'!DS42</f>
        <v>0.29866666666666669</v>
      </c>
      <c r="DR42" s="231">
        <f ca="1">IF(SUM(DR$24:DR41)=DR$22,0,IF(AND($K42&gt;=DR$15,$K42&lt;(DR$16+1)),DR$22/(DR$16-DR$15+1),0))</f>
        <v>0</v>
      </c>
      <c r="DS42" s="231" t="e">
        <f ca="1">IF(SUM(DS$24:DS41)=DS$22,0,IF(AND($K42&gt;=DS$15,$K42&lt;(DS$16+1)),DS$22/(DS$16-DS$15+1),0))</f>
        <v>#REF!</v>
      </c>
      <c r="DT42" s="231" t="e">
        <f ca="1">IF(SUM(DT$24:DT41)=DT$22,0,IF(AND(K42&gt;=DT$15,K42&lt;(DT$16+1)),DT$22/(DT$16-DT$15+1),0))</f>
        <v>#REF!</v>
      </c>
      <c r="DU42" s="231" t="e">
        <f ca="1">IF(SUM(DU$24:DU41)=DU$22,0,IF(AND($K42&gt;=DU$15,$K42&lt;(DU$16+1)),DU$22/(DU$16-DU$15+1),0))</f>
        <v>#REF!</v>
      </c>
      <c r="DV42" s="231">
        <f ca="1">IF(SUM(DV$24:DV41)=DV$22,0,IF(AND($K42&gt;=DV$15,$K42&lt;(DV$16+1)),DV$22/(DV$16-DV$15+1),0))</f>
        <v>0</v>
      </c>
      <c r="DW42" s="231">
        <f ca="1">IF(SUM(DW$24:DW41)=DW$22,0,IF(AND($K42&gt;=DW$15,$K42&lt;(DW$16+1)),DW$22/(DW$16-DW$15+1),0))</f>
        <v>0</v>
      </c>
      <c r="DX42" s="231">
        <f ca="1">IF(SUM(DX$24:DX41)=DX$22,0,IF(AND($K42&gt;=DX$15,$K42&lt;(DX$16+1)),DX$22/(DX$16-DX$15+1),0))</f>
        <v>0</v>
      </c>
      <c r="DY42" s="231">
        <f ca="1">IF(SUM(DY$24:DY41)=DY$22,0,IF(AND($K42&gt;=DY$15,$K42&lt;(DY$16+1)),DY$22/(DY$16-DY$15+1),0))</f>
        <v>0</v>
      </c>
      <c r="EA42" s="749">
        <f t="shared" si="16"/>
        <v>19</v>
      </c>
      <c r="EB42" s="749" t="e">
        <f t="shared" ca="1" si="17"/>
        <v>#N/A</v>
      </c>
      <c r="EC42" s="750" t="e">
        <f t="shared" ca="1" si="18"/>
        <v>#N/A</v>
      </c>
      <c r="ED42" s="749" t="e">
        <f t="shared" ca="1" si="28"/>
        <v>#REF!</v>
      </c>
      <c r="EE42" s="749"/>
      <c r="EF42" s="749"/>
      <c r="EG42" s="749"/>
      <c r="EH42" s="749"/>
      <c r="EI42" s="714" t="e">
        <f t="shared" ca="1" si="19"/>
        <v>#N/A</v>
      </c>
      <c r="EJ42" s="231" t="e">
        <f ca="1">IF(SUM(EJ$24:EJ41)=EJ$22,0,IF(AND($K42&gt;=EJ$15,$K42&lt;(EJ$16+1)),EJ$22/(EJ$16-EJ$15+1),0))</f>
        <v>#REF!</v>
      </c>
      <c r="EK42" s="714" t="e">
        <f t="shared" ca="1" si="24"/>
        <v>#N/A</v>
      </c>
      <c r="EM42" s="60"/>
      <c r="EN42" s="60"/>
    </row>
    <row r="43" spans="1:144">
      <c r="A43" s="220"/>
      <c r="B43" s="236">
        <f t="shared" si="20"/>
        <v>20</v>
      </c>
      <c r="C43" s="221">
        <f t="shared" si="21"/>
        <v>44048.91730000003</v>
      </c>
      <c r="D43" s="746" t="e">
        <f t="shared" ca="1" si="22"/>
        <v>#DIV/0!</v>
      </c>
      <c r="E43" s="747" t="e">
        <f t="shared" ca="1" si="25"/>
        <v>#DIV/0!</v>
      </c>
      <c r="F43" s="748" t="e">
        <f ca="1">IF(F42=0,0,SUM($G$24:G43))</f>
        <v>#DIV/0!</v>
      </c>
      <c r="G43" s="225" t="e">
        <f t="shared" ca="1" si="5"/>
        <v>#DIV/0!</v>
      </c>
      <c r="H43" s="746">
        <f t="shared" ca="1" si="23"/>
        <v>0</v>
      </c>
      <c r="I43" s="60"/>
      <c r="J43" s="228"/>
      <c r="K43" s="228">
        <f t="shared" si="6"/>
        <v>20</v>
      </c>
      <c r="L43" s="221">
        <f t="shared" si="7"/>
        <v>44048.91730000003</v>
      </c>
      <c r="M43" s="229">
        <f t="shared" si="29"/>
        <v>0</v>
      </c>
      <c r="N43" s="229">
        <f t="shared" si="29"/>
        <v>0</v>
      </c>
      <c r="O43" s="229">
        <f t="shared" si="29"/>
        <v>0</v>
      </c>
      <c r="P43" s="229">
        <f t="shared" si="35"/>
        <v>0</v>
      </c>
      <c r="Q43" s="229">
        <f t="shared" si="35"/>
        <v>0</v>
      </c>
      <c r="R43" s="229">
        <f t="shared" si="35"/>
        <v>0</v>
      </c>
      <c r="S43" s="229">
        <f t="shared" si="35"/>
        <v>0</v>
      </c>
      <c r="T43" s="229">
        <f t="shared" si="35"/>
        <v>0</v>
      </c>
      <c r="U43" s="229">
        <f t="shared" si="35"/>
        <v>0</v>
      </c>
      <c r="V43" s="229">
        <f t="shared" si="35"/>
        <v>0</v>
      </c>
      <c r="W43" s="229">
        <f t="shared" si="35"/>
        <v>0</v>
      </c>
      <c r="X43" s="229">
        <f t="shared" si="35"/>
        <v>0</v>
      </c>
      <c r="Y43" s="229">
        <f t="shared" si="35"/>
        <v>0</v>
      </c>
      <c r="Z43" s="229">
        <f t="shared" si="35"/>
        <v>0</v>
      </c>
      <c r="AA43" s="229">
        <f t="shared" si="35"/>
        <v>0</v>
      </c>
      <c r="AB43" s="229">
        <f t="shared" si="35"/>
        <v>0</v>
      </c>
      <c r="AC43" s="229">
        <f t="shared" si="35"/>
        <v>0</v>
      </c>
      <c r="AD43" s="229">
        <f t="shared" si="35"/>
        <v>0</v>
      </c>
      <c r="AE43" s="229">
        <f t="shared" si="29"/>
        <v>0</v>
      </c>
      <c r="AF43" s="229">
        <f t="shared" si="29"/>
        <v>0</v>
      </c>
      <c r="AG43" s="229">
        <f t="shared" si="29"/>
        <v>0</v>
      </c>
      <c r="AH43" s="229">
        <f t="shared" si="29"/>
        <v>0</v>
      </c>
      <c r="AI43" s="229">
        <f t="shared" si="29"/>
        <v>0</v>
      </c>
      <c r="AJ43" s="229">
        <f t="shared" si="29"/>
        <v>0</v>
      </c>
      <c r="AK43" s="229">
        <f t="shared" si="29"/>
        <v>0</v>
      </c>
      <c r="AL43" s="229">
        <f t="shared" si="29"/>
        <v>0</v>
      </c>
      <c r="AM43" s="229">
        <f t="shared" si="29"/>
        <v>0</v>
      </c>
      <c r="AN43" s="229">
        <f t="shared" si="29"/>
        <v>0</v>
      </c>
      <c r="AO43" s="229">
        <f t="shared" si="29"/>
        <v>0</v>
      </c>
      <c r="AP43" s="229">
        <f t="shared" si="29"/>
        <v>0</v>
      </c>
      <c r="AQ43" s="229">
        <f t="shared" si="29"/>
        <v>0</v>
      </c>
      <c r="AR43" s="229">
        <f t="shared" si="30"/>
        <v>0</v>
      </c>
      <c r="AS43" s="229">
        <f t="shared" si="30"/>
        <v>0</v>
      </c>
      <c r="AT43" s="229">
        <f t="shared" si="30"/>
        <v>0</v>
      </c>
      <c r="AU43" s="229">
        <f t="shared" si="30"/>
        <v>0</v>
      </c>
      <c r="AV43" s="229">
        <f t="shared" si="30"/>
        <v>0</v>
      </c>
      <c r="AW43" s="229">
        <f t="shared" si="30"/>
        <v>0</v>
      </c>
      <c r="AX43" s="229">
        <f t="shared" si="30"/>
        <v>0</v>
      </c>
      <c r="AY43" s="229">
        <f t="shared" si="30"/>
        <v>0</v>
      </c>
      <c r="AZ43" s="229">
        <f t="shared" si="30"/>
        <v>0</v>
      </c>
      <c r="BA43" s="229">
        <f t="shared" si="30"/>
        <v>0</v>
      </c>
      <c r="BB43" s="229">
        <f t="shared" si="30"/>
        <v>0</v>
      </c>
      <c r="BC43" s="229">
        <f t="shared" si="31"/>
        <v>0</v>
      </c>
      <c r="BD43" s="229">
        <f t="shared" si="31"/>
        <v>0</v>
      </c>
      <c r="BE43" s="229">
        <f t="shared" si="31"/>
        <v>0</v>
      </c>
      <c r="BF43" s="229">
        <f t="shared" si="31"/>
        <v>0</v>
      </c>
      <c r="BG43" s="229">
        <f t="shared" si="31"/>
        <v>0</v>
      </c>
      <c r="BH43" s="229">
        <f t="shared" si="31"/>
        <v>0</v>
      </c>
      <c r="BI43" s="229">
        <f t="shared" si="31"/>
        <v>0</v>
      </c>
      <c r="BJ43" s="229">
        <f t="shared" si="31"/>
        <v>0</v>
      </c>
      <c r="BK43" s="229">
        <f t="shared" si="31"/>
        <v>0</v>
      </c>
      <c r="BL43" s="229">
        <f t="shared" si="31"/>
        <v>0</v>
      </c>
      <c r="BM43" s="229">
        <f t="shared" si="32"/>
        <v>0</v>
      </c>
      <c r="BN43" s="229">
        <f t="shared" si="32"/>
        <v>0</v>
      </c>
      <c r="BO43" s="229">
        <f t="shared" si="13"/>
        <v>0</v>
      </c>
      <c r="BP43" s="229">
        <f t="shared" si="13"/>
        <v>0</v>
      </c>
      <c r="BQ43" s="229">
        <f t="shared" si="13"/>
        <v>0</v>
      </c>
      <c r="BR43" s="229">
        <f t="shared" si="32"/>
        <v>0</v>
      </c>
      <c r="BS43" s="229">
        <f t="shared" si="32"/>
        <v>0</v>
      </c>
      <c r="BT43" s="229">
        <f t="shared" si="32"/>
        <v>0</v>
      </c>
      <c r="BU43" s="229">
        <f t="shared" si="32"/>
        <v>0</v>
      </c>
      <c r="BV43" s="229">
        <f t="shared" si="32"/>
        <v>0</v>
      </c>
      <c r="BW43" s="229">
        <f t="shared" si="32"/>
        <v>0</v>
      </c>
      <c r="BX43" s="229">
        <f t="shared" si="32"/>
        <v>0</v>
      </c>
      <c r="BY43" s="229">
        <f t="shared" si="32"/>
        <v>0</v>
      </c>
      <c r="BZ43" s="229">
        <f t="shared" si="32"/>
        <v>0</v>
      </c>
      <c r="CA43" s="229">
        <f t="shared" si="32"/>
        <v>0</v>
      </c>
      <c r="CB43" s="229">
        <f t="shared" si="33"/>
        <v>0</v>
      </c>
      <c r="CC43" s="229">
        <f t="shared" si="33"/>
        <v>0</v>
      </c>
      <c r="CD43" s="229">
        <f t="shared" si="33"/>
        <v>0</v>
      </c>
      <c r="CE43" s="229">
        <f t="shared" si="33"/>
        <v>0</v>
      </c>
      <c r="CF43" s="229">
        <f t="shared" si="33"/>
        <v>0</v>
      </c>
      <c r="CG43" s="229">
        <f t="shared" si="33"/>
        <v>0</v>
      </c>
      <c r="CH43" s="229">
        <f t="shared" si="33"/>
        <v>0</v>
      </c>
      <c r="CI43" s="229">
        <f t="shared" si="33"/>
        <v>0</v>
      </c>
      <c r="CJ43" s="229">
        <f t="shared" si="33"/>
        <v>0</v>
      </c>
      <c r="CK43" s="229">
        <f t="shared" si="33"/>
        <v>0</v>
      </c>
      <c r="CL43" s="229">
        <f t="shared" si="33"/>
        <v>0</v>
      </c>
      <c r="CM43" s="229">
        <f t="shared" si="33"/>
        <v>0</v>
      </c>
      <c r="CN43" s="229">
        <f t="shared" si="33"/>
        <v>0</v>
      </c>
      <c r="CO43" s="229">
        <f t="shared" si="33"/>
        <v>0</v>
      </c>
      <c r="CP43" s="229">
        <f t="shared" si="33"/>
        <v>0</v>
      </c>
      <c r="CQ43" s="229">
        <f t="shared" si="33"/>
        <v>0</v>
      </c>
      <c r="CR43" s="229">
        <f t="shared" si="33"/>
        <v>0</v>
      </c>
      <c r="CS43" s="230"/>
      <c r="CT43" s="231"/>
      <c r="CU43" s="231"/>
      <c r="CV43" s="231"/>
      <c r="CW43" s="231"/>
      <c r="CX43" s="231"/>
      <c r="CY43" s="231"/>
      <c r="CZ43" s="231"/>
      <c r="DA43" s="231"/>
      <c r="DB43" s="231">
        <f>IF(SUM(DB$24:DB42)=DB$22,0,IF(AND($K43&gt;=DB$15,$K43&lt;(DB$16+1)),DB$22/(DB$16-DB$15+1),0))</f>
        <v>0</v>
      </c>
      <c r="DC43" s="231">
        <f t="shared" si="34"/>
        <v>0</v>
      </c>
      <c r="DD43" s="231">
        <f t="shared" si="34"/>
        <v>0</v>
      </c>
      <c r="DE43" s="231">
        <f t="shared" si="34"/>
        <v>0</v>
      </c>
      <c r="DF43" s="231">
        <f t="shared" si="34"/>
        <v>0</v>
      </c>
      <c r="DG43" s="231">
        <f t="shared" si="34"/>
        <v>0</v>
      </c>
      <c r="DH43" s="231">
        <f t="shared" si="34"/>
        <v>0</v>
      </c>
      <c r="DI43" s="231">
        <f t="shared" si="34"/>
        <v>0</v>
      </c>
      <c r="DJ43" s="231">
        <f t="shared" si="34"/>
        <v>0</v>
      </c>
      <c r="DK43" s="231">
        <f t="shared" si="34"/>
        <v>0</v>
      </c>
      <c r="DL43" s="231">
        <f t="shared" si="34"/>
        <v>0</v>
      </c>
      <c r="DM43" s="231">
        <f t="shared" si="34"/>
        <v>0</v>
      </c>
      <c r="DN43" s="231">
        <f t="shared" si="34"/>
        <v>0</v>
      </c>
      <c r="DO43" s="231">
        <f t="shared" si="34"/>
        <v>0</v>
      </c>
      <c r="DP43" s="231">
        <f>'Offshore CF'!DR43</f>
        <v>0</v>
      </c>
      <c r="DQ43" s="231">
        <f>'Offshore CF'!DS43</f>
        <v>0.29866666666666669</v>
      </c>
      <c r="DR43" s="231">
        <f ca="1">IF(SUM(DR$24:DR42)=DR$22,0,IF(AND($K43&gt;=DR$15,$K43&lt;(DR$16+1)),DR$22/(DR$16-DR$15+1),0))</f>
        <v>0</v>
      </c>
      <c r="DS43" s="231" t="e">
        <f ca="1">IF(SUM(DS$24:DS42)=DS$22,0,IF(AND($K43&gt;=DS$15,$K43&lt;(DS$16+1)),DS$22/(DS$16-DS$15+1),0))</f>
        <v>#REF!</v>
      </c>
      <c r="DT43" s="231" t="e">
        <f ca="1">IF(SUM(DT$24:DT42)=DT$22,0,IF(AND(K43&gt;=DT$15,K43&lt;(DT$16+1)),DT$22/(DT$16-DT$15+1),0))</f>
        <v>#REF!</v>
      </c>
      <c r="DU43" s="231" t="e">
        <f ca="1">IF(SUM(DU$24:DU42)=DU$22,0,IF(AND($K43&gt;=DU$15,$K43&lt;(DU$16+1)),DU$22/(DU$16-DU$15+1),0))</f>
        <v>#REF!</v>
      </c>
      <c r="DV43" s="231">
        <f ca="1">IF(SUM(DV$24:DV42)=DV$22,0,IF(AND($K43&gt;=DV$15,$K43&lt;(DV$16+1)),DV$22/(DV$16-DV$15+1),0))</f>
        <v>0</v>
      </c>
      <c r="DW43" s="231">
        <f ca="1">IF(SUM(DW$24:DW42)=DW$22,0,IF(AND($K43&gt;=DW$15,$K43&lt;(DW$16+1)),DW$22/(DW$16-DW$15+1),0))</f>
        <v>0</v>
      </c>
      <c r="DX43" s="231">
        <f ca="1">IF(SUM(DX$24:DX42)=DX$22,0,IF(AND($K43&gt;=DX$15,$K43&lt;(DX$16+1)),DX$22/(DX$16-DX$15+1),0))</f>
        <v>0</v>
      </c>
      <c r="DY43" s="231">
        <f ca="1">IF(SUM(DY$24:DY42)=DY$22,0,IF(AND($K43&gt;=DY$15,$K43&lt;(DY$16+1)),DY$22/(DY$16-DY$15+1),0))</f>
        <v>0</v>
      </c>
      <c r="EA43" s="749">
        <f t="shared" si="16"/>
        <v>20</v>
      </c>
      <c r="EB43" s="749" t="e">
        <f t="shared" ca="1" si="17"/>
        <v>#REF!</v>
      </c>
      <c r="EC43" s="750" t="e">
        <f t="shared" ca="1" si="18"/>
        <v>#REF!</v>
      </c>
      <c r="ED43" s="749" t="e">
        <f t="shared" ca="1" si="28"/>
        <v>#N/A</v>
      </c>
      <c r="EE43" s="749"/>
      <c r="EF43" s="749"/>
      <c r="EG43" s="749"/>
      <c r="EH43" s="749"/>
      <c r="EI43" s="714" t="e">
        <f t="shared" ca="1" si="19"/>
        <v>#REF!</v>
      </c>
      <c r="EJ43" s="231" t="e">
        <f ca="1">IF(SUM(EJ$24:EJ42)=EJ$22,0,IF(AND($K43&gt;=EJ$15,$K43&lt;(EJ$16+1)),EJ$22/(EJ$16-EJ$15+1),0))</f>
        <v>#REF!</v>
      </c>
      <c r="EK43" s="714" t="e">
        <f t="shared" ca="1" si="24"/>
        <v>#REF!</v>
      </c>
      <c r="EM43" s="60"/>
      <c r="EN43" s="60"/>
    </row>
    <row r="44" spans="1:144">
      <c r="A44" s="220"/>
      <c r="B44" s="236">
        <f t="shared" si="20"/>
        <v>21</v>
      </c>
      <c r="C44" s="221">
        <f t="shared" si="21"/>
        <v>44079.334000000032</v>
      </c>
      <c r="D44" s="746" t="e">
        <f t="shared" ca="1" si="22"/>
        <v>#DIV/0!</v>
      </c>
      <c r="E44" s="747" t="e">
        <f t="shared" ca="1" si="25"/>
        <v>#DIV/0!</v>
      </c>
      <c r="F44" s="748" t="e">
        <f ca="1">IF(F43=0,0,SUM($G$24:G44))</f>
        <v>#DIV/0!</v>
      </c>
      <c r="G44" s="225" t="e">
        <f t="shared" ca="1" si="5"/>
        <v>#DIV/0!</v>
      </c>
      <c r="H44" s="746">
        <f t="shared" ca="1" si="23"/>
        <v>0</v>
      </c>
      <c r="I44" s="60"/>
      <c r="J44" s="228"/>
      <c r="K44" s="228">
        <f t="shared" si="6"/>
        <v>21</v>
      </c>
      <c r="L44" s="221">
        <f t="shared" si="7"/>
        <v>44079.334000000032</v>
      </c>
      <c r="M44" s="229">
        <f t="shared" ref="M44:AQ53" si="36">IF($K44=M$13,M$22*M$3,IF($K44=M$14,M$22*M$4,IF($K44=M$15,M$22*M$5,IF($K44=M$16,M$22*M$6,IF($K44=M$17,M$22*M$7,IF($K44=M$18,M$22*M$8,IF($K44=M$19,M$22*M$9,IF($K44=M$20,M$22*M$10,0))))))))</f>
        <v>0</v>
      </c>
      <c r="N44" s="229">
        <f t="shared" si="36"/>
        <v>0</v>
      </c>
      <c r="O44" s="229">
        <f t="shared" si="36"/>
        <v>0</v>
      </c>
      <c r="P44" s="229">
        <f t="shared" si="36"/>
        <v>0</v>
      </c>
      <c r="Q44" s="229">
        <f t="shared" si="36"/>
        <v>0</v>
      </c>
      <c r="R44" s="229">
        <f t="shared" si="35"/>
        <v>0</v>
      </c>
      <c r="S44" s="229">
        <f t="shared" si="35"/>
        <v>0</v>
      </c>
      <c r="T44" s="229">
        <f t="shared" si="35"/>
        <v>0</v>
      </c>
      <c r="U44" s="229">
        <f t="shared" si="36"/>
        <v>0</v>
      </c>
      <c r="V44" s="229">
        <f t="shared" si="36"/>
        <v>0</v>
      </c>
      <c r="W44" s="229">
        <f t="shared" si="36"/>
        <v>0</v>
      </c>
      <c r="X44" s="229">
        <f t="shared" si="36"/>
        <v>0</v>
      </c>
      <c r="Y44" s="229">
        <f t="shared" si="36"/>
        <v>0</v>
      </c>
      <c r="Z44" s="229">
        <f t="shared" si="36"/>
        <v>0</v>
      </c>
      <c r="AA44" s="229">
        <f t="shared" si="36"/>
        <v>0</v>
      </c>
      <c r="AB44" s="229">
        <f t="shared" si="36"/>
        <v>0</v>
      </c>
      <c r="AC44" s="229">
        <f t="shared" si="36"/>
        <v>0</v>
      </c>
      <c r="AD44" s="229">
        <f t="shared" si="36"/>
        <v>0</v>
      </c>
      <c r="AE44" s="229">
        <f t="shared" si="36"/>
        <v>0</v>
      </c>
      <c r="AF44" s="229">
        <f t="shared" si="36"/>
        <v>0</v>
      </c>
      <c r="AG44" s="229">
        <f t="shared" si="36"/>
        <v>0</v>
      </c>
      <c r="AH44" s="229">
        <f t="shared" si="36"/>
        <v>0</v>
      </c>
      <c r="AI44" s="229">
        <f t="shared" si="36"/>
        <v>0</v>
      </c>
      <c r="AJ44" s="229">
        <f t="shared" si="36"/>
        <v>0</v>
      </c>
      <c r="AK44" s="229">
        <f t="shared" si="36"/>
        <v>0</v>
      </c>
      <c r="AL44" s="229">
        <f t="shared" si="36"/>
        <v>0</v>
      </c>
      <c r="AM44" s="229">
        <f t="shared" si="36"/>
        <v>0</v>
      </c>
      <c r="AN44" s="229">
        <f t="shared" si="36"/>
        <v>0</v>
      </c>
      <c r="AO44" s="229">
        <f t="shared" si="36"/>
        <v>0</v>
      </c>
      <c r="AP44" s="229">
        <f t="shared" si="36"/>
        <v>0</v>
      </c>
      <c r="AQ44" s="229">
        <f t="shared" si="36"/>
        <v>0</v>
      </c>
      <c r="AR44" s="229">
        <f t="shared" ref="AR44:BB53" si="37">IF($K44=AR$13,AR$22*AR$3,IF($K44=AR$14,AR$22*AR$4,IF($K44=AR$15,AR$22*AR$5,IF($K44=AR$16,AR$22*AR$6,IF($K44=AR$17,AR$22*AR$7,IF($K44=AR$18,AR$22*AR$8,IF($K44=AR$19,AR$22*AR$9,IF($K44=AR$20,AR$22*AR$10,0))))))))</f>
        <v>0</v>
      </c>
      <c r="AS44" s="229">
        <f t="shared" si="37"/>
        <v>0</v>
      </c>
      <c r="AT44" s="229">
        <f t="shared" si="37"/>
        <v>0</v>
      </c>
      <c r="AU44" s="229">
        <f t="shared" si="37"/>
        <v>0</v>
      </c>
      <c r="AV44" s="229">
        <f t="shared" si="37"/>
        <v>0</v>
      </c>
      <c r="AW44" s="229">
        <f t="shared" si="37"/>
        <v>0</v>
      </c>
      <c r="AX44" s="229">
        <f t="shared" si="37"/>
        <v>0</v>
      </c>
      <c r="AY44" s="229">
        <f t="shared" si="37"/>
        <v>0</v>
      </c>
      <c r="AZ44" s="229">
        <f t="shared" si="37"/>
        <v>0</v>
      </c>
      <c r="BA44" s="229">
        <f t="shared" si="37"/>
        <v>0</v>
      </c>
      <c r="BB44" s="229">
        <f t="shared" si="37"/>
        <v>0</v>
      </c>
      <c r="BC44" s="229">
        <f t="shared" ref="BC44:BL53" si="38">IF($K44=BC$13,BC$22*BC$3,IF($K44=BC$14,BC$22*BC$4,IF($K44=BC$15,BC$22*BC$5,IF($K44=BC$16,BC$22*BC$6,IF($K44=BC$17,BC$22*BC$7,IF($K44=BC$18,BC$22*BC$8,IF($K44=BC$19,BC$22*BC$9,IF($K44=BC$20,BC$22*BC$10,0))))))))</f>
        <v>0</v>
      </c>
      <c r="BD44" s="229">
        <f t="shared" si="38"/>
        <v>0</v>
      </c>
      <c r="BE44" s="229">
        <f t="shared" si="38"/>
        <v>0</v>
      </c>
      <c r="BF44" s="229">
        <f t="shared" si="38"/>
        <v>0</v>
      </c>
      <c r="BG44" s="229">
        <f t="shared" si="38"/>
        <v>0</v>
      </c>
      <c r="BH44" s="229">
        <f t="shared" si="38"/>
        <v>0</v>
      </c>
      <c r="BI44" s="229">
        <f t="shared" si="38"/>
        <v>0</v>
      </c>
      <c r="BJ44" s="229">
        <f t="shared" si="38"/>
        <v>0</v>
      </c>
      <c r="BK44" s="229">
        <f t="shared" si="38"/>
        <v>0</v>
      </c>
      <c r="BL44" s="229">
        <f t="shared" si="38"/>
        <v>0</v>
      </c>
      <c r="BM44" s="229">
        <f t="shared" ref="BM44:CA53" si="39">IF($K44=BM$13,BM$22*BM$3,IF($K44=BM$14,BM$22*BM$4,IF($K44=BM$15,BM$22*BM$5,IF($K44=BM$16,BM$22*BM$6,IF($K44=BM$17,BM$22*BM$7,IF($K44=BM$18,BM$22*BM$8,IF($K44=BM$19,BM$22*BM$9,IF($K44=BM$20,BM$22*BM$10,0))))))))</f>
        <v>0</v>
      </c>
      <c r="BN44" s="229">
        <f t="shared" si="39"/>
        <v>0</v>
      </c>
      <c r="BO44" s="229">
        <f t="shared" si="39"/>
        <v>0</v>
      </c>
      <c r="BP44" s="229">
        <f t="shared" si="39"/>
        <v>0</v>
      </c>
      <c r="BQ44" s="229">
        <f t="shared" si="39"/>
        <v>0</v>
      </c>
      <c r="BR44" s="229">
        <f t="shared" si="39"/>
        <v>0</v>
      </c>
      <c r="BS44" s="229">
        <f t="shared" si="39"/>
        <v>0</v>
      </c>
      <c r="BT44" s="229">
        <f t="shared" si="39"/>
        <v>0</v>
      </c>
      <c r="BU44" s="229">
        <f t="shared" si="39"/>
        <v>0</v>
      </c>
      <c r="BV44" s="229">
        <f t="shared" si="39"/>
        <v>0</v>
      </c>
      <c r="BW44" s="229">
        <f t="shared" si="39"/>
        <v>0</v>
      </c>
      <c r="BX44" s="229">
        <f t="shared" si="39"/>
        <v>0</v>
      </c>
      <c r="BY44" s="229">
        <f t="shared" si="39"/>
        <v>0</v>
      </c>
      <c r="BZ44" s="229">
        <f t="shared" si="39"/>
        <v>0</v>
      </c>
      <c r="CA44" s="229">
        <f t="shared" si="39"/>
        <v>0</v>
      </c>
      <c r="CB44" s="229">
        <f t="shared" ref="CB44:CR53" si="40">IF($K44=CB$13,CB$22*CB$3,IF($K44=CB$14,CB$22*CB$4,IF($K44=CB$15,CB$22*CB$5,IF($K44=CB$16,CB$22*CB$6,IF($K44=CB$17,CB$22*CB$7,IF($K44=CB$18,CB$22*CB$8,IF($K44=CB$19,CB$22*CB$9,IF($K44=CB$20,CB$22*CB$10,0))))))))</f>
        <v>0</v>
      </c>
      <c r="CC44" s="229">
        <f t="shared" si="40"/>
        <v>0</v>
      </c>
      <c r="CD44" s="229">
        <f t="shared" si="40"/>
        <v>0</v>
      </c>
      <c r="CE44" s="229">
        <f t="shared" si="40"/>
        <v>0</v>
      </c>
      <c r="CF44" s="229">
        <f t="shared" si="40"/>
        <v>0</v>
      </c>
      <c r="CG44" s="229">
        <f t="shared" si="40"/>
        <v>0</v>
      </c>
      <c r="CH44" s="229">
        <f t="shared" si="40"/>
        <v>0</v>
      </c>
      <c r="CI44" s="229">
        <f t="shared" si="40"/>
        <v>0</v>
      </c>
      <c r="CJ44" s="229">
        <f t="shared" si="40"/>
        <v>0</v>
      </c>
      <c r="CK44" s="229">
        <f t="shared" si="40"/>
        <v>0</v>
      </c>
      <c r="CL44" s="229">
        <f t="shared" si="40"/>
        <v>0</v>
      </c>
      <c r="CM44" s="229">
        <f t="shared" si="40"/>
        <v>0</v>
      </c>
      <c r="CN44" s="229">
        <f t="shared" si="40"/>
        <v>0</v>
      </c>
      <c r="CO44" s="229">
        <f t="shared" si="40"/>
        <v>0</v>
      </c>
      <c r="CP44" s="229">
        <f t="shared" si="40"/>
        <v>0</v>
      </c>
      <c r="CQ44" s="229">
        <f t="shared" si="40"/>
        <v>0</v>
      </c>
      <c r="CR44" s="229">
        <f t="shared" si="40"/>
        <v>0</v>
      </c>
      <c r="CS44" s="230"/>
      <c r="CT44" s="231"/>
      <c r="CU44" s="231"/>
      <c r="CV44" s="243">
        <f>IF(SUM(CV$24:CV43)&gt;=CV$22,0,CV$22/CV$13)</f>
        <v>0</v>
      </c>
      <c r="CW44" s="231"/>
      <c r="CX44" s="231"/>
      <c r="CY44" s="231"/>
      <c r="CZ44" s="231"/>
      <c r="DA44" s="231"/>
      <c r="DB44" s="231">
        <f>IF(SUM(DB$24:DB43)=DB$22,0,IF(AND($K44&gt;=DB$15,$K44&lt;(DB$16+1)),DB$22/(DB$16-DB$15+1),0))</f>
        <v>0</v>
      </c>
      <c r="DC44" s="231">
        <f t="shared" si="34"/>
        <v>0</v>
      </c>
      <c r="DD44" s="231">
        <f t="shared" si="34"/>
        <v>0</v>
      </c>
      <c r="DE44" s="231">
        <f t="shared" si="34"/>
        <v>0</v>
      </c>
      <c r="DF44" s="231">
        <f t="shared" si="34"/>
        <v>0</v>
      </c>
      <c r="DG44" s="231">
        <f t="shared" si="34"/>
        <v>0</v>
      </c>
      <c r="DH44" s="231">
        <f t="shared" si="34"/>
        <v>0</v>
      </c>
      <c r="DI44" s="231">
        <f t="shared" si="34"/>
        <v>0</v>
      </c>
      <c r="DJ44" s="231">
        <f t="shared" si="34"/>
        <v>0</v>
      </c>
      <c r="DK44" s="231">
        <f t="shared" si="34"/>
        <v>0</v>
      </c>
      <c r="DL44" s="231">
        <f t="shared" si="34"/>
        <v>0</v>
      </c>
      <c r="DM44" s="231">
        <f t="shared" si="34"/>
        <v>0</v>
      </c>
      <c r="DN44" s="231">
        <f t="shared" si="34"/>
        <v>0</v>
      </c>
      <c r="DO44" s="231">
        <f t="shared" si="34"/>
        <v>0</v>
      </c>
      <c r="DP44" s="231">
        <f>'Offshore CF'!DR44</f>
        <v>0</v>
      </c>
      <c r="DQ44" s="231">
        <f>'Offshore CF'!DS44</f>
        <v>0.29866666666666669</v>
      </c>
      <c r="DR44" s="231">
        <f ca="1">IF(SUM(DR$24:DR43)=DR$22,0,IF(AND($K44&gt;=DR$15,$K44&lt;(DR$16+1)),DR$22/(DR$16-DR$15+1),0))</f>
        <v>0</v>
      </c>
      <c r="DS44" s="231" t="e">
        <f ca="1">IF(SUM(DS$24:DS43)=DS$22,0,IF(AND($K44&gt;=DS$15,$K44&lt;(DS$16+1)),DS$22/(DS$16-DS$15+1),0))</f>
        <v>#REF!</v>
      </c>
      <c r="DT44" s="231" t="e">
        <f ca="1">IF(SUM(DT$24:DT43)=DT$22,0,IF(AND(K44&gt;=DT$15,K44&lt;(DT$16+1)),DT$22/(DT$16-DT$15+1),0))</f>
        <v>#REF!</v>
      </c>
      <c r="DU44" s="231" t="e">
        <f ca="1">IF(SUM(DU$24:DU43)=DU$22,0,IF(AND($K44&gt;=DU$15,$K44&lt;(DU$16+1)),DU$22/(DU$16-DU$15+1),0))</f>
        <v>#REF!</v>
      </c>
      <c r="DV44" s="231">
        <f ca="1">IF(SUM(DV$24:DV43)=DV$22,0,IF(AND($K44&gt;=DV$15,$K44&lt;(DV$16+1)),DV$22/(DV$16-DV$15+1),0))</f>
        <v>0</v>
      </c>
      <c r="DW44" s="231">
        <f ca="1">IF(SUM(DW$24:DW43)=DW$22,0,IF(AND($K44&gt;=DW$15,$K44&lt;(DW$16+1)),DW$22/(DW$16-DW$15+1),0))</f>
        <v>0</v>
      </c>
      <c r="DX44" s="231">
        <f ca="1">IF(SUM(DX$24:DX43)=DX$22,0,IF(AND($K44&gt;=DX$15,$K44&lt;(DX$16+1)),DX$22/(DX$16-DX$15+1),0))</f>
        <v>0</v>
      </c>
      <c r="DY44" s="231">
        <f ca="1">IF(SUM(DY$24:DY43)=DY$22,0,IF(AND($K44&gt;=DY$15,$K44&lt;(DY$16+1)),DY$22/(DY$16-DY$15+1),0))</f>
        <v>0</v>
      </c>
      <c r="EA44" s="749">
        <f t="shared" si="16"/>
        <v>21</v>
      </c>
      <c r="EB44" s="749" t="e">
        <f t="shared" ca="1" si="17"/>
        <v>#REF!</v>
      </c>
      <c r="EC44" s="750" t="e">
        <f t="shared" ca="1" si="18"/>
        <v>#REF!</v>
      </c>
      <c r="ED44" s="749" t="e">
        <f t="shared" ca="1" si="28"/>
        <v>#N/A</v>
      </c>
      <c r="EE44" s="749"/>
      <c r="EF44" s="749"/>
      <c r="EG44" s="749"/>
      <c r="EH44" s="749"/>
      <c r="EI44" s="714" t="e">
        <f t="shared" ca="1" si="19"/>
        <v>#REF!</v>
      </c>
      <c r="EJ44" s="231" t="e">
        <f ca="1">IF(SUM(EJ$24:EJ43)=EJ$22,0,IF(AND($K44&gt;=EJ$15,$K44&lt;(EJ$16+1)),EJ$22/(EJ$16-EJ$15+1),0))</f>
        <v>#REF!</v>
      </c>
      <c r="EK44" s="714" t="e">
        <f t="shared" ca="1" si="24"/>
        <v>#REF!</v>
      </c>
      <c r="EM44" s="60"/>
      <c r="EN44" s="60"/>
    </row>
    <row r="45" spans="1:144">
      <c r="A45" s="220"/>
      <c r="B45" s="236">
        <f t="shared" si="20"/>
        <v>22</v>
      </c>
      <c r="C45" s="221">
        <f t="shared" si="21"/>
        <v>44109.750700000033</v>
      </c>
      <c r="D45" s="746" t="e">
        <f t="shared" ca="1" si="22"/>
        <v>#DIV/0!</v>
      </c>
      <c r="E45" s="747" t="e">
        <f t="shared" ca="1" si="25"/>
        <v>#DIV/0!</v>
      </c>
      <c r="F45" s="748" t="e">
        <f ca="1">IF(F44=0,0,SUM($G$24:G45))</f>
        <v>#DIV/0!</v>
      </c>
      <c r="G45" s="225" t="e">
        <f t="shared" ca="1" si="5"/>
        <v>#DIV/0!</v>
      </c>
      <c r="H45" s="746">
        <f t="shared" ca="1" si="23"/>
        <v>0</v>
      </c>
      <c r="I45" s="60"/>
      <c r="J45" s="228"/>
      <c r="K45" s="228">
        <f t="shared" si="6"/>
        <v>22</v>
      </c>
      <c r="L45" s="221">
        <f t="shared" si="7"/>
        <v>44109.750700000033</v>
      </c>
      <c r="M45" s="229">
        <f t="shared" si="36"/>
        <v>0</v>
      </c>
      <c r="N45" s="229">
        <f t="shared" si="36"/>
        <v>0</v>
      </c>
      <c r="O45" s="229">
        <f t="shared" si="36"/>
        <v>0</v>
      </c>
      <c r="P45" s="229">
        <f t="shared" si="36"/>
        <v>0</v>
      </c>
      <c r="Q45" s="229">
        <f t="shared" si="36"/>
        <v>0</v>
      </c>
      <c r="R45" s="229">
        <f t="shared" si="35"/>
        <v>0</v>
      </c>
      <c r="S45" s="229">
        <f t="shared" si="35"/>
        <v>0</v>
      </c>
      <c r="T45" s="229">
        <f t="shared" si="35"/>
        <v>0</v>
      </c>
      <c r="U45" s="229">
        <f t="shared" si="36"/>
        <v>0</v>
      </c>
      <c r="V45" s="229">
        <f t="shared" si="36"/>
        <v>0</v>
      </c>
      <c r="W45" s="229">
        <f t="shared" si="36"/>
        <v>0</v>
      </c>
      <c r="X45" s="229">
        <f t="shared" si="36"/>
        <v>0</v>
      </c>
      <c r="Y45" s="229">
        <f t="shared" si="36"/>
        <v>0</v>
      </c>
      <c r="Z45" s="229">
        <f t="shared" si="36"/>
        <v>0</v>
      </c>
      <c r="AA45" s="229">
        <f t="shared" si="36"/>
        <v>0</v>
      </c>
      <c r="AB45" s="229">
        <f t="shared" si="36"/>
        <v>0</v>
      </c>
      <c r="AC45" s="229">
        <f t="shared" si="36"/>
        <v>0</v>
      </c>
      <c r="AD45" s="229">
        <f t="shared" si="36"/>
        <v>0</v>
      </c>
      <c r="AE45" s="229">
        <f t="shared" si="36"/>
        <v>0</v>
      </c>
      <c r="AF45" s="229">
        <f t="shared" si="36"/>
        <v>0</v>
      </c>
      <c r="AG45" s="229">
        <f t="shared" si="36"/>
        <v>0</v>
      </c>
      <c r="AH45" s="229">
        <f t="shared" si="36"/>
        <v>0</v>
      </c>
      <c r="AI45" s="229">
        <f t="shared" si="36"/>
        <v>0</v>
      </c>
      <c r="AJ45" s="229">
        <f t="shared" si="36"/>
        <v>0</v>
      </c>
      <c r="AK45" s="229">
        <f t="shared" si="36"/>
        <v>0</v>
      </c>
      <c r="AL45" s="229">
        <f t="shared" si="36"/>
        <v>0</v>
      </c>
      <c r="AM45" s="229">
        <f t="shared" si="36"/>
        <v>0</v>
      </c>
      <c r="AN45" s="229">
        <f t="shared" si="36"/>
        <v>0</v>
      </c>
      <c r="AO45" s="229">
        <f t="shared" si="36"/>
        <v>0</v>
      </c>
      <c r="AP45" s="229">
        <f t="shared" si="36"/>
        <v>0</v>
      </c>
      <c r="AQ45" s="229">
        <f t="shared" si="36"/>
        <v>0</v>
      </c>
      <c r="AR45" s="229">
        <f t="shared" si="37"/>
        <v>0</v>
      </c>
      <c r="AS45" s="229">
        <f t="shared" si="37"/>
        <v>0</v>
      </c>
      <c r="AT45" s="229">
        <f t="shared" si="37"/>
        <v>0</v>
      </c>
      <c r="AU45" s="229">
        <f t="shared" si="37"/>
        <v>0</v>
      </c>
      <c r="AV45" s="229">
        <f t="shared" si="37"/>
        <v>0</v>
      </c>
      <c r="AW45" s="229">
        <f t="shared" si="37"/>
        <v>0</v>
      </c>
      <c r="AX45" s="229">
        <f t="shared" si="37"/>
        <v>0</v>
      </c>
      <c r="AY45" s="229">
        <f t="shared" si="37"/>
        <v>0</v>
      </c>
      <c r="AZ45" s="229">
        <f t="shared" si="37"/>
        <v>0</v>
      </c>
      <c r="BA45" s="229">
        <f t="shared" si="37"/>
        <v>0</v>
      </c>
      <c r="BB45" s="229">
        <f t="shared" si="37"/>
        <v>0</v>
      </c>
      <c r="BC45" s="229">
        <f t="shared" si="38"/>
        <v>0</v>
      </c>
      <c r="BD45" s="229">
        <f t="shared" si="38"/>
        <v>0</v>
      </c>
      <c r="BE45" s="229">
        <f t="shared" si="38"/>
        <v>0</v>
      </c>
      <c r="BF45" s="229">
        <f t="shared" si="38"/>
        <v>0</v>
      </c>
      <c r="BG45" s="229">
        <f t="shared" si="38"/>
        <v>0</v>
      </c>
      <c r="BH45" s="229">
        <f t="shared" si="38"/>
        <v>0</v>
      </c>
      <c r="BI45" s="229">
        <f t="shared" si="38"/>
        <v>0</v>
      </c>
      <c r="BJ45" s="229">
        <f t="shared" si="38"/>
        <v>0</v>
      </c>
      <c r="BK45" s="229">
        <f t="shared" si="38"/>
        <v>0</v>
      </c>
      <c r="BL45" s="229">
        <f t="shared" si="38"/>
        <v>0</v>
      </c>
      <c r="BM45" s="229">
        <f t="shared" si="39"/>
        <v>0</v>
      </c>
      <c r="BN45" s="229">
        <f t="shared" si="39"/>
        <v>0</v>
      </c>
      <c r="BO45" s="229">
        <f t="shared" si="39"/>
        <v>0</v>
      </c>
      <c r="BP45" s="229">
        <f t="shared" si="39"/>
        <v>0</v>
      </c>
      <c r="BQ45" s="229">
        <f t="shared" si="39"/>
        <v>0</v>
      </c>
      <c r="BR45" s="229">
        <f t="shared" si="39"/>
        <v>0</v>
      </c>
      <c r="BS45" s="229">
        <f t="shared" si="39"/>
        <v>0</v>
      </c>
      <c r="BT45" s="229">
        <f t="shared" si="39"/>
        <v>0</v>
      </c>
      <c r="BU45" s="229">
        <f t="shared" si="39"/>
        <v>0</v>
      </c>
      <c r="BV45" s="229">
        <f t="shared" si="39"/>
        <v>0</v>
      </c>
      <c r="BW45" s="229">
        <f t="shared" si="39"/>
        <v>0</v>
      </c>
      <c r="BX45" s="229">
        <f t="shared" si="39"/>
        <v>0</v>
      </c>
      <c r="BY45" s="229">
        <f t="shared" si="39"/>
        <v>0</v>
      </c>
      <c r="BZ45" s="229">
        <f t="shared" si="39"/>
        <v>0</v>
      </c>
      <c r="CA45" s="229">
        <f t="shared" si="39"/>
        <v>0</v>
      </c>
      <c r="CB45" s="229">
        <f t="shared" si="40"/>
        <v>0</v>
      </c>
      <c r="CC45" s="229">
        <f t="shared" si="40"/>
        <v>0</v>
      </c>
      <c r="CD45" s="229">
        <f t="shared" si="40"/>
        <v>0</v>
      </c>
      <c r="CE45" s="229">
        <f t="shared" si="40"/>
        <v>0</v>
      </c>
      <c r="CF45" s="229">
        <f t="shared" si="40"/>
        <v>0</v>
      </c>
      <c r="CG45" s="229">
        <f t="shared" si="40"/>
        <v>0</v>
      </c>
      <c r="CH45" s="229">
        <f t="shared" si="40"/>
        <v>0</v>
      </c>
      <c r="CI45" s="229">
        <f t="shared" si="40"/>
        <v>0</v>
      </c>
      <c r="CJ45" s="229">
        <f t="shared" si="40"/>
        <v>0</v>
      </c>
      <c r="CK45" s="229">
        <f t="shared" si="40"/>
        <v>0</v>
      </c>
      <c r="CL45" s="229">
        <f t="shared" si="40"/>
        <v>0</v>
      </c>
      <c r="CM45" s="229">
        <f t="shared" si="40"/>
        <v>0</v>
      </c>
      <c r="CN45" s="229">
        <f t="shared" si="40"/>
        <v>0</v>
      </c>
      <c r="CO45" s="229">
        <f t="shared" si="40"/>
        <v>0</v>
      </c>
      <c r="CP45" s="229">
        <f t="shared" si="40"/>
        <v>0</v>
      </c>
      <c r="CQ45" s="229">
        <f t="shared" si="40"/>
        <v>0</v>
      </c>
      <c r="CR45" s="229">
        <f t="shared" si="40"/>
        <v>0</v>
      </c>
      <c r="CS45" s="230"/>
      <c r="CT45" s="231"/>
      <c r="CU45" s="231"/>
      <c r="CW45" s="231"/>
      <c r="CY45" s="231"/>
      <c r="CZ45" s="231"/>
      <c r="DA45" s="231" t="e">
        <f ca="1">IF(SUM(DA$32:DA44)&gt;=DA$22,0,DA$22/(DA$13*4))</f>
        <v>#N/A</v>
      </c>
      <c r="DB45" s="231">
        <f>IF(SUM(DB$24:DB44)=DB$22,0,IF(AND($K45&gt;=DB$15,$K45&lt;(DB$16+1)),DB$22/(DB$16-DB$15+1),0))</f>
        <v>0</v>
      </c>
      <c r="DC45" s="231">
        <f t="shared" si="34"/>
        <v>0</v>
      </c>
      <c r="DD45" s="231">
        <f t="shared" si="34"/>
        <v>0</v>
      </c>
      <c r="DE45" s="231">
        <f t="shared" si="34"/>
        <v>0</v>
      </c>
      <c r="DF45" s="231">
        <f t="shared" si="34"/>
        <v>0</v>
      </c>
      <c r="DG45" s="231">
        <f t="shared" si="34"/>
        <v>0</v>
      </c>
      <c r="DH45" s="231">
        <f t="shared" si="34"/>
        <v>0</v>
      </c>
      <c r="DI45" s="231">
        <f t="shared" si="34"/>
        <v>0</v>
      </c>
      <c r="DJ45" s="231">
        <f t="shared" si="34"/>
        <v>0</v>
      </c>
      <c r="DK45" s="231">
        <f t="shared" si="34"/>
        <v>0</v>
      </c>
      <c r="DL45" s="231">
        <f t="shared" si="34"/>
        <v>0</v>
      </c>
      <c r="DM45" s="231">
        <f t="shared" si="34"/>
        <v>0</v>
      </c>
      <c r="DN45" s="231">
        <f t="shared" si="34"/>
        <v>0</v>
      </c>
      <c r="DO45" s="231">
        <f t="shared" si="34"/>
        <v>0</v>
      </c>
      <c r="DP45" s="231">
        <f>'Offshore CF'!DR45</f>
        <v>0</v>
      </c>
      <c r="DQ45" s="231">
        <f>'Offshore CF'!DS45</f>
        <v>0.29866666666666669</v>
      </c>
      <c r="DR45" s="231">
        <f ca="1">IF(SUM(DR$24:DR44)=DR$22,0,IF(AND($K45&gt;=DR$15,$K45&lt;(DR$16+1)),DR$22/(DR$16-DR$15+1),0))</f>
        <v>0</v>
      </c>
      <c r="DS45" s="231" t="e">
        <f ca="1">IF(SUM(DS$24:DS44)=DS$22,0,IF(AND($K45&gt;=DS$15,$K45&lt;(DS$16+1)),DS$22/(DS$16-DS$15+1),0))</f>
        <v>#REF!</v>
      </c>
      <c r="DT45" s="231" t="e">
        <f ca="1">IF(SUM(DT$24:DT44)=DT$22,0,IF(AND(K45&gt;=DT$15,K45&lt;(DT$16+1)),DT$22/(DT$16-DT$15+1),0))</f>
        <v>#REF!</v>
      </c>
      <c r="DU45" s="231" t="e">
        <f ca="1">IF(SUM(DU$24:DU44)=DU$22,0,IF(AND($K45&gt;=DU$15,$K45&lt;(DU$16+1)),DU$22/(DU$16-DU$15+1),0))</f>
        <v>#REF!</v>
      </c>
      <c r="DV45" s="231">
        <f ca="1">IF(SUM(DV$24:DV44)=DV$22,0,IF(AND($K45&gt;=DV$15,$K45&lt;(DV$16+1)),DV$22/(DV$16-DV$15+1),0))</f>
        <v>0</v>
      </c>
      <c r="DW45" s="231">
        <f ca="1">IF(SUM(DW$24:DW44)=DW$22,0,IF(AND($K45&gt;=DW$15,$K45&lt;(DW$16+1)),DW$22/(DW$16-DW$15+1),0))</f>
        <v>0</v>
      </c>
      <c r="DX45" s="231">
        <f ca="1">IF(SUM(DX$24:DX44)=DX$22,0,IF(AND($K45&gt;=DX$15,$K45&lt;(DX$16+1)),DX$22/(DX$16-DX$15+1),0))</f>
        <v>0</v>
      </c>
      <c r="DY45" s="231">
        <f ca="1">IF(SUM(DY$24:DY44)=DY$22,0,IF(AND($K45&gt;=DY$15,$K45&lt;(DY$16+1)),DY$22/(DY$16-DY$15+1),0))</f>
        <v>0</v>
      </c>
      <c r="EA45" s="749">
        <f t="shared" si="16"/>
        <v>22</v>
      </c>
      <c r="EB45" s="749" t="e">
        <f t="shared" ca="1" si="17"/>
        <v>#N/A</v>
      </c>
      <c r="EC45" s="750" t="e">
        <f t="shared" ca="1" si="18"/>
        <v>#N/A</v>
      </c>
      <c r="ED45" s="749" t="e">
        <f t="shared" ca="1" si="28"/>
        <v>#REF!</v>
      </c>
      <c r="EE45" s="749"/>
      <c r="EF45" s="749"/>
      <c r="EG45" s="749"/>
      <c r="EH45" s="749"/>
      <c r="EI45" s="714" t="e">
        <f t="shared" ca="1" si="19"/>
        <v>#N/A</v>
      </c>
      <c r="EJ45" s="231" t="e">
        <f ca="1">IF(SUM(EJ$24:EJ44)=EJ$22,0,IF(AND($K45&gt;=EJ$15,$K45&lt;(EJ$16+1)),EJ$22/(EJ$16-EJ$15+1),0))</f>
        <v>#REF!</v>
      </c>
      <c r="EK45" s="714" t="e">
        <f t="shared" ca="1" si="24"/>
        <v>#N/A</v>
      </c>
      <c r="EM45" s="60"/>
      <c r="EN45" s="60"/>
    </row>
    <row r="46" spans="1:144">
      <c r="A46" s="220"/>
      <c r="B46" s="236">
        <f t="shared" si="20"/>
        <v>23</v>
      </c>
      <c r="C46" s="221">
        <f t="shared" si="21"/>
        <v>44140.167400000035</v>
      </c>
      <c r="D46" s="746" t="e">
        <f t="shared" ca="1" si="22"/>
        <v>#DIV/0!</v>
      </c>
      <c r="E46" s="747" t="e">
        <f t="shared" ca="1" si="25"/>
        <v>#DIV/0!</v>
      </c>
      <c r="F46" s="748" t="e">
        <f ca="1">IF(F45=0,0,SUM($G$24:G46))</f>
        <v>#DIV/0!</v>
      </c>
      <c r="G46" s="225" t="e">
        <f t="shared" ca="1" si="5"/>
        <v>#DIV/0!</v>
      </c>
      <c r="H46" s="746">
        <f t="shared" ca="1" si="23"/>
        <v>0</v>
      </c>
      <c r="I46" s="60"/>
      <c r="J46" s="228"/>
      <c r="K46" s="228">
        <f t="shared" si="6"/>
        <v>23</v>
      </c>
      <c r="L46" s="221">
        <f t="shared" si="7"/>
        <v>44140.167400000035</v>
      </c>
      <c r="M46" s="229">
        <f t="shared" si="36"/>
        <v>0</v>
      </c>
      <c r="N46" s="229">
        <f t="shared" si="36"/>
        <v>0</v>
      </c>
      <c r="O46" s="229">
        <f t="shared" si="36"/>
        <v>0</v>
      </c>
      <c r="P46" s="229">
        <f t="shared" si="36"/>
        <v>0</v>
      </c>
      <c r="Q46" s="229">
        <f t="shared" si="36"/>
        <v>0</v>
      </c>
      <c r="R46" s="229">
        <f t="shared" si="35"/>
        <v>0</v>
      </c>
      <c r="S46" s="229">
        <f t="shared" si="35"/>
        <v>0</v>
      </c>
      <c r="T46" s="229">
        <f t="shared" si="35"/>
        <v>0</v>
      </c>
      <c r="U46" s="229">
        <f t="shared" si="36"/>
        <v>0</v>
      </c>
      <c r="V46" s="229">
        <f t="shared" si="36"/>
        <v>0</v>
      </c>
      <c r="W46" s="229">
        <f t="shared" si="36"/>
        <v>0</v>
      </c>
      <c r="X46" s="229">
        <f t="shared" si="36"/>
        <v>0</v>
      </c>
      <c r="Y46" s="229">
        <f t="shared" si="36"/>
        <v>0</v>
      </c>
      <c r="Z46" s="229">
        <f t="shared" si="36"/>
        <v>0</v>
      </c>
      <c r="AA46" s="229">
        <f t="shared" si="36"/>
        <v>0</v>
      </c>
      <c r="AB46" s="229">
        <f t="shared" si="36"/>
        <v>0</v>
      </c>
      <c r="AC46" s="229">
        <f t="shared" si="36"/>
        <v>0</v>
      </c>
      <c r="AD46" s="229">
        <f t="shared" si="36"/>
        <v>0</v>
      </c>
      <c r="AE46" s="229">
        <f t="shared" si="36"/>
        <v>0</v>
      </c>
      <c r="AF46" s="229">
        <f t="shared" si="36"/>
        <v>0</v>
      </c>
      <c r="AG46" s="229">
        <f t="shared" si="36"/>
        <v>0</v>
      </c>
      <c r="AH46" s="229">
        <f t="shared" si="36"/>
        <v>0</v>
      </c>
      <c r="AI46" s="229">
        <f t="shared" si="36"/>
        <v>0</v>
      </c>
      <c r="AJ46" s="229">
        <f t="shared" si="36"/>
        <v>0</v>
      </c>
      <c r="AK46" s="229">
        <f t="shared" si="36"/>
        <v>0</v>
      </c>
      <c r="AL46" s="229">
        <f t="shared" si="36"/>
        <v>0</v>
      </c>
      <c r="AM46" s="229">
        <f t="shared" si="36"/>
        <v>0</v>
      </c>
      <c r="AN46" s="229">
        <f t="shared" si="36"/>
        <v>0</v>
      </c>
      <c r="AO46" s="229">
        <f t="shared" si="36"/>
        <v>0</v>
      </c>
      <c r="AP46" s="229">
        <f t="shared" si="36"/>
        <v>0</v>
      </c>
      <c r="AQ46" s="229">
        <f t="shared" si="36"/>
        <v>0</v>
      </c>
      <c r="AR46" s="229">
        <f t="shared" si="37"/>
        <v>0</v>
      </c>
      <c r="AS46" s="229">
        <f t="shared" si="37"/>
        <v>0</v>
      </c>
      <c r="AT46" s="229">
        <f t="shared" si="37"/>
        <v>0</v>
      </c>
      <c r="AU46" s="229">
        <f t="shared" si="37"/>
        <v>0</v>
      </c>
      <c r="AV46" s="229">
        <f t="shared" si="37"/>
        <v>0</v>
      </c>
      <c r="AW46" s="229">
        <f t="shared" si="37"/>
        <v>0</v>
      </c>
      <c r="AX46" s="229">
        <f t="shared" si="37"/>
        <v>0</v>
      </c>
      <c r="AY46" s="229">
        <f t="shared" si="37"/>
        <v>0</v>
      </c>
      <c r="AZ46" s="229">
        <f t="shared" si="37"/>
        <v>0</v>
      </c>
      <c r="BA46" s="229">
        <f t="shared" si="37"/>
        <v>0</v>
      </c>
      <c r="BB46" s="229">
        <f t="shared" si="37"/>
        <v>0</v>
      </c>
      <c r="BC46" s="229">
        <f t="shared" si="38"/>
        <v>0</v>
      </c>
      <c r="BD46" s="229">
        <f t="shared" si="38"/>
        <v>0</v>
      </c>
      <c r="BE46" s="229">
        <f t="shared" si="38"/>
        <v>0</v>
      </c>
      <c r="BF46" s="229">
        <f t="shared" si="38"/>
        <v>0</v>
      </c>
      <c r="BG46" s="229">
        <f t="shared" si="38"/>
        <v>0</v>
      </c>
      <c r="BH46" s="229">
        <f t="shared" si="38"/>
        <v>0</v>
      </c>
      <c r="BI46" s="229">
        <f t="shared" si="38"/>
        <v>0</v>
      </c>
      <c r="BJ46" s="229">
        <f t="shared" si="38"/>
        <v>0</v>
      </c>
      <c r="BK46" s="229">
        <f t="shared" si="38"/>
        <v>0</v>
      </c>
      <c r="BL46" s="229">
        <f t="shared" si="38"/>
        <v>0</v>
      </c>
      <c r="BM46" s="229">
        <f t="shared" si="39"/>
        <v>0</v>
      </c>
      <c r="BN46" s="229">
        <f t="shared" si="39"/>
        <v>0</v>
      </c>
      <c r="BO46" s="229">
        <f t="shared" si="39"/>
        <v>0</v>
      </c>
      <c r="BP46" s="229">
        <f t="shared" si="39"/>
        <v>0</v>
      </c>
      <c r="BQ46" s="229">
        <f t="shared" si="39"/>
        <v>0</v>
      </c>
      <c r="BR46" s="229">
        <f t="shared" si="39"/>
        <v>0</v>
      </c>
      <c r="BS46" s="229">
        <f t="shared" si="39"/>
        <v>0</v>
      </c>
      <c r="BT46" s="229">
        <f t="shared" si="39"/>
        <v>0</v>
      </c>
      <c r="BU46" s="229">
        <f t="shared" si="39"/>
        <v>0</v>
      </c>
      <c r="BV46" s="229">
        <f t="shared" si="39"/>
        <v>0</v>
      </c>
      <c r="BW46" s="229">
        <f t="shared" si="39"/>
        <v>0</v>
      </c>
      <c r="BX46" s="229">
        <f t="shared" si="39"/>
        <v>0</v>
      </c>
      <c r="BY46" s="229">
        <f t="shared" si="39"/>
        <v>0</v>
      </c>
      <c r="BZ46" s="229">
        <f t="shared" si="39"/>
        <v>0</v>
      </c>
      <c r="CA46" s="229">
        <f t="shared" si="39"/>
        <v>0</v>
      </c>
      <c r="CB46" s="229">
        <f t="shared" si="40"/>
        <v>0</v>
      </c>
      <c r="CC46" s="229">
        <f t="shared" si="40"/>
        <v>0</v>
      </c>
      <c r="CD46" s="229">
        <f t="shared" si="40"/>
        <v>0</v>
      </c>
      <c r="CE46" s="229">
        <f t="shared" si="40"/>
        <v>0</v>
      </c>
      <c r="CF46" s="229">
        <f t="shared" si="40"/>
        <v>0</v>
      </c>
      <c r="CG46" s="229">
        <f t="shared" si="40"/>
        <v>0</v>
      </c>
      <c r="CH46" s="229">
        <f t="shared" si="40"/>
        <v>0</v>
      </c>
      <c r="CI46" s="229">
        <f t="shared" si="40"/>
        <v>0</v>
      </c>
      <c r="CJ46" s="229">
        <f t="shared" si="40"/>
        <v>0</v>
      </c>
      <c r="CK46" s="229">
        <f t="shared" si="40"/>
        <v>0</v>
      </c>
      <c r="CL46" s="229">
        <f t="shared" si="40"/>
        <v>0</v>
      </c>
      <c r="CM46" s="229">
        <f t="shared" si="40"/>
        <v>0</v>
      </c>
      <c r="CN46" s="229">
        <f t="shared" si="40"/>
        <v>0</v>
      </c>
      <c r="CO46" s="229">
        <f t="shared" si="40"/>
        <v>0</v>
      </c>
      <c r="CP46" s="229">
        <f t="shared" si="40"/>
        <v>0</v>
      </c>
      <c r="CQ46" s="229">
        <f t="shared" si="40"/>
        <v>0</v>
      </c>
      <c r="CR46" s="229">
        <f t="shared" si="40"/>
        <v>0</v>
      </c>
      <c r="CS46" s="230"/>
      <c r="CT46" s="231"/>
      <c r="CU46" s="231"/>
      <c r="CW46" s="231"/>
      <c r="CY46" s="231"/>
      <c r="CZ46" s="231"/>
      <c r="DA46" s="231"/>
      <c r="DB46" s="231">
        <f>IF(SUM(DB$24:DB45)=DB$22,0,IF(AND($K46&gt;=DB$15,$K46&lt;(DB$16+1)),DB$22/(DB$16-DB$15+1),0))</f>
        <v>0</v>
      </c>
      <c r="DC46" s="231">
        <f t="shared" si="34"/>
        <v>0</v>
      </c>
      <c r="DD46" s="231">
        <f t="shared" si="34"/>
        <v>0</v>
      </c>
      <c r="DE46" s="231">
        <f t="shared" si="34"/>
        <v>0</v>
      </c>
      <c r="DF46" s="231">
        <f t="shared" si="34"/>
        <v>0</v>
      </c>
      <c r="DG46" s="231">
        <f t="shared" si="34"/>
        <v>0</v>
      </c>
      <c r="DH46" s="231">
        <f t="shared" si="34"/>
        <v>0</v>
      </c>
      <c r="DI46" s="231">
        <f t="shared" si="34"/>
        <v>0</v>
      </c>
      <c r="DJ46" s="231">
        <f t="shared" si="34"/>
        <v>0</v>
      </c>
      <c r="DK46" s="231">
        <f t="shared" si="34"/>
        <v>0</v>
      </c>
      <c r="DL46" s="231">
        <f t="shared" si="34"/>
        <v>0</v>
      </c>
      <c r="DM46" s="231">
        <f t="shared" si="34"/>
        <v>0</v>
      </c>
      <c r="DN46" s="231">
        <f t="shared" si="34"/>
        <v>0</v>
      </c>
      <c r="DO46" s="231">
        <f t="shared" si="34"/>
        <v>0</v>
      </c>
      <c r="DP46" s="231">
        <f>'Offshore CF'!DR46</f>
        <v>0</v>
      </c>
      <c r="DQ46" s="231">
        <f>'Offshore CF'!DS46</f>
        <v>0.29866666666666669</v>
      </c>
      <c r="DR46" s="231">
        <f ca="1">IF(SUM(DR$24:DR45)=DR$22,0,IF(AND($K46&gt;=DR$15,$K46&lt;(DR$16+1)),DR$22/(DR$16-DR$15+1),0))</f>
        <v>0</v>
      </c>
      <c r="DS46" s="231" t="e">
        <f ca="1">IF(SUM(DS$24:DS45)=DS$22,0,IF(AND($K46&gt;=DS$15,$K46&lt;(DS$16+1)),DS$22/(DS$16-DS$15+1),0))</f>
        <v>#REF!</v>
      </c>
      <c r="DT46" s="231" t="e">
        <f ca="1">IF(SUM(DT$24:DT45)=DT$22,0,IF(AND(K46&gt;=DT$15,K46&lt;(DT$16+1)),DT$22/(DT$16-DT$15+1),0))</f>
        <v>#REF!</v>
      </c>
      <c r="DU46" s="231" t="e">
        <f ca="1">IF(SUM(DU$24:DU45)=DU$22,0,IF(AND($K46&gt;=DU$15,$K46&lt;(DU$16+1)),DU$22/(DU$16-DU$15+1),0))</f>
        <v>#REF!</v>
      </c>
      <c r="DV46" s="231">
        <f ca="1">IF(SUM(DV$24:DV45)=DV$22,0,IF(AND($K46&gt;=DV$15,$K46&lt;(DV$16+1)),DV$22/(DV$16-DV$15+1),0))</f>
        <v>0</v>
      </c>
      <c r="DW46" s="231">
        <f ca="1">IF(SUM(DW$24:DW45)=DW$22,0,IF(AND($K46&gt;=DW$15,$K46&lt;(DW$16+1)),DW$22/(DW$16-DW$15+1),0))</f>
        <v>0</v>
      </c>
      <c r="DX46" s="231">
        <f ca="1">IF(SUM(DX$24:DX45)=DX$22,0,IF(AND($K46&gt;=DX$15,$K46&lt;(DX$16+1)),DX$22/(DX$16-DX$15+1),0))</f>
        <v>0</v>
      </c>
      <c r="DY46" s="231">
        <f ca="1">IF(SUM(DY$24:DY45)=DY$22,0,IF(AND($K46&gt;=DY$15,$K46&lt;(DY$16+1)),DY$22/(DY$16-DY$15+1),0))</f>
        <v>0</v>
      </c>
      <c r="EA46" s="749">
        <f t="shared" si="16"/>
        <v>23</v>
      </c>
      <c r="EB46" s="749" t="e">
        <f t="shared" ca="1" si="17"/>
        <v>#REF!</v>
      </c>
      <c r="EC46" s="750" t="e">
        <f t="shared" ca="1" si="18"/>
        <v>#REF!</v>
      </c>
      <c r="ED46" s="749" t="e">
        <f t="shared" ca="1" si="28"/>
        <v>#REF!</v>
      </c>
      <c r="EE46" s="749"/>
      <c r="EF46" s="749"/>
      <c r="EG46" s="749"/>
      <c r="EH46" s="749"/>
      <c r="EI46" s="714" t="e">
        <f t="shared" ca="1" si="19"/>
        <v>#REF!</v>
      </c>
      <c r="EJ46" s="231" t="e">
        <f ca="1">IF(SUM(EJ$24:EJ45)=EJ$22,0,IF(AND($K46&gt;=EJ$15,$K46&lt;(EJ$16+1)),EJ$22/(EJ$16-EJ$15+1),0))</f>
        <v>#REF!</v>
      </c>
      <c r="EK46" s="714" t="e">
        <f t="shared" ca="1" si="24"/>
        <v>#REF!</v>
      </c>
      <c r="EM46" s="60"/>
      <c r="EN46" s="60"/>
    </row>
    <row r="47" spans="1:144">
      <c r="A47" s="237"/>
      <c r="B47" s="238">
        <f t="shared" si="20"/>
        <v>24</v>
      </c>
      <c r="C47" s="239">
        <f t="shared" si="21"/>
        <v>44170.584100000036</v>
      </c>
      <c r="D47" s="746" t="e">
        <f t="shared" ca="1" si="22"/>
        <v>#DIV/0!</v>
      </c>
      <c r="E47" s="747" t="e">
        <f t="shared" ca="1" si="25"/>
        <v>#DIV/0!</v>
      </c>
      <c r="F47" s="748" t="e">
        <f ca="1">IF(F46=0,0,SUM($G$24:G47))</f>
        <v>#DIV/0!</v>
      </c>
      <c r="G47" s="225" t="e">
        <f t="shared" ca="1" si="5"/>
        <v>#DIV/0!</v>
      </c>
      <c r="H47" s="746">
        <f t="shared" ca="1" si="23"/>
        <v>0</v>
      </c>
      <c r="I47" s="60"/>
      <c r="J47" s="241"/>
      <c r="K47" s="241">
        <f t="shared" si="6"/>
        <v>24</v>
      </c>
      <c r="L47" s="239">
        <f t="shared" si="7"/>
        <v>44170.584100000036</v>
      </c>
      <c r="M47" s="229">
        <f t="shared" si="36"/>
        <v>0</v>
      </c>
      <c r="N47" s="229">
        <f t="shared" si="36"/>
        <v>0</v>
      </c>
      <c r="O47" s="229">
        <f t="shared" si="36"/>
        <v>0</v>
      </c>
      <c r="P47" s="229">
        <f t="shared" si="36"/>
        <v>0</v>
      </c>
      <c r="Q47" s="229">
        <f t="shared" si="36"/>
        <v>0</v>
      </c>
      <c r="R47" s="229">
        <f t="shared" si="35"/>
        <v>0</v>
      </c>
      <c r="S47" s="229">
        <f t="shared" si="35"/>
        <v>0</v>
      </c>
      <c r="T47" s="229">
        <f t="shared" si="35"/>
        <v>0</v>
      </c>
      <c r="U47" s="229">
        <f t="shared" si="36"/>
        <v>0</v>
      </c>
      <c r="V47" s="229">
        <f t="shared" si="36"/>
        <v>0</v>
      </c>
      <c r="W47" s="229">
        <f t="shared" si="36"/>
        <v>0</v>
      </c>
      <c r="X47" s="229">
        <f t="shared" si="36"/>
        <v>0</v>
      </c>
      <c r="Y47" s="229">
        <f t="shared" si="36"/>
        <v>0</v>
      </c>
      <c r="Z47" s="229">
        <f t="shared" si="36"/>
        <v>0</v>
      </c>
      <c r="AA47" s="229">
        <f t="shared" si="36"/>
        <v>0</v>
      </c>
      <c r="AB47" s="229">
        <f t="shared" si="36"/>
        <v>0</v>
      </c>
      <c r="AC47" s="229">
        <f t="shared" si="36"/>
        <v>0</v>
      </c>
      <c r="AD47" s="229">
        <f t="shared" si="36"/>
        <v>0</v>
      </c>
      <c r="AE47" s="229">
        <f t="shared" si="36"/>
        <v>0</v>
      </c>
      <c r="AF47" s="229">
        <f t="shared" si="36"/>
        <v>0</v>
      </c>
      <c r="AG47" s="229">
        <f t="shared" si="36"/>
        <v>0</v>
      </c>
      <c r="AH47" s="229">
        <f t="shared" si="36"/>
        <v>0</v>
      </c>
      <c r="AI47" s="229">
        <f t="shared" si="36"/>
        <v>0</v>
      </c>
      <c r="AJ47" s="229">
        <f t="shared" si="36"/>
        <v>0</v>
      </c>
      <c r="AK47" s="229">
        <f t="shared" si="36"/>
        <v>0</v>
      </c>
      <c r="AL47" s="229">
        <f t="shared" si="36"/>
        <v>0</v>
      </c>
      <c r="AM47" s="229">
        <f t="shared" si="36"/>
        <v>0</v>
      </c>
      <c r="AN47" s="229">
        <f t="shared" si="36"/>
        <v>0</v>
      </c>
      <c r="AO47" s="229">
        <f t="shared" si="36"/>
        <v>0</v>
      </c>
      <c r="AP47" s="229">
        <f t="shared" si="36"/>
        <v>0</v>
      </c>
      <c r="AQ47" s="229">
        <f t="shared" si="36"/>
        <v>0</v>
      </c>
      <c r="AR47" s="229">
        <f t="shared" si="37"/>
        <v>0</v>
      </c>
      <c r="AS47" s="229">
        <f t="shared" si="37"/>
        <v>0</v>
      </c>
      <c r="AT47" s="229">
        <f t="shared" si="37"/>
        <v>0</v>
      </c>
      <c r="AU47" s="229">
        <f t="shared" si="37"/>
        <v>0</v>
      </c>
      <c r="AV47" s="229">
        <f t="shared" si="37"/>
        <v>0</v>
      </c>
      <c r="AW47" s="229">
        <f t="shared" si="37"/>
        <v>0</v>
      </c>
      <c r="AX47" s="229">
        <f t="shared" si="37"/>
        <v>0</v>
      </c>
      <c r="AY47" s="229">
        <f t="shared" si="37"/>
        <v>0</v>
      </c>
      <c r="AZ47" s="229">
        <f t="shared" si="37"/>
        <v>0</v>
      </c>
      <c r="BA47" s="229">
        <f t="shared" si="37"/>
        <v>0</v>
      </c>
      <c r="BB47" s="229">
        <f t="shared" si="37"/>
        <v>0</v>
      </c>
      <c r="BC47" s="229">
        <f t="shared" si="38"/>
        <v>0</v>
      </c>
      <c r="BD47" s="229">
        <f t="shared" si="38"/>
        <v>0</v>
      </c>
      <c r="BE47" s="229">
        <f t="shared" si="38"/>
        <v>0</v>
      </c>
      <c r="BF47" s="229">
        <f t="shared" si="38"/>
        <v>0</v>
      </c>
      <c r="BG47" s="229">
        <f t="shared" si="38"/>
        <v>0</v>
      </c>
      <c r="BH47" s="229">
        <f t="shared" si="38"/>
        <v>0</v>
      </c>
      <c r="BI47" s="229">
        <f t="shared" si="38"/>
        <v>0</v>
      </c>
      <c r="BJ47" s="229">
        <f t="shared" si="38"/>
        <v>0</v>
      </c>
      <c r="BK47" s="229">
        <f t="shared" si="38"/>
        <v>0</v>
      </c>
      <c r="BL47" s="229">
        <f t="shared" si="38"/>
        <v>0</v>
      </c>
      <c r="BM47" s="229">
        <f t="shared" si="39"/>
        <v>0</v>
      </c>
      <c r="BN47" s="229">
        <f t="shared" si="39"/>
        <v>0</v>
      </c>
      <c r="BO47" s="229">
        <f t="shared" si="39"/>
        <v>0</v>
      </c>
      <c r="BP47" s="229">
        <f t="shared" si="39"/>
        <v>0</v>
      </c>
      <c r="BQ47" s="229">
        <f t="shared" si="39"/>
        <v>0</v>
      </c>
      <c r="BR47" s="229">
        <f t="shared" si="39"/>
        <v>0</v>
      </c>
      <c r="BS47" s="229">
        <f t="shared" si="39"/>
        <v>0</v>
      </c>
      <c r="BT47" s="229">
        <f t="shared" si="39"/>
        <v>0</v>
      </c>
      <c r="BU47" s="229">
        <f t="shared" si="39"/>
        <v>0</v>
      </c>
      <c r="BV47" s="229">
        <f t="shared" si="39"/>
        <v>0</v>
      </c>
      <c r="BW47" s="229">
        <f t="shared" si="39"/>
        <v>0</v>
      </c>
      <c r="BX47" s="229">
        <f t="shared" si="39"/>
        <v>0</v>
      </c>
      <c r="BY47" s="229">
        <f t="shared" si="39"/>
        <v>0</v>
      </c>
      <c r="BZ47" s="229">
        <f t="shared" si="39"/>
        <v>0</v>
      </c>
      <c r="CA47" s="229">
        <f t="shared" si="39"/>
        <v>0</v>
      </c>
      <c r="CB47" s="229">
        <f t="shared" si="40"/>
        <v>0</v>
      </c>
      <c r="CC47" s="229">
        <f t="shared" si="40"/>
        <v>0</v>
      </c>
      <c r="CD47" s="229">
        <f t="shared" si="40"/>
        <v>0</v>
      </c>
      <c r="CE47" s="229">
        <f t="shared" si="40"/>
        <v>0</v>
      </c>
      <c r="CF47" s="229">
        <f t="shared" si="40"/>
        <v>0</v>
      </c>
      <c r="CG47" s="229">
        <f t="shared" si="40"/>
        <v>0</v>
      </c>
      <c r="CH47" s="229">
        <f t="shared" si="40"/>
        <v>0</v>
      </c>
      <c r="CI47" s="229">
        <f t="shared" si="40"/>
        <v>0</v>
      </c>
      <c r="CJ47" s="229">
        <f t="shared" si="40"/>
        <v>0</v>
      </c>
      <c r="CK47" s="229">
        <f t="shared" si="40"/>
        <v>0</v>
      </c>
      <c r="CL47" s="229">
        <f t="shared" si="40"/>
        <v>0</v>
      </c>
      <c r="CM47" s="229">
        <f t="shared" si="40"/>
        <v>0</v>
      </c>
      <c r="CN47" s="229">
        <f t="shared" si="40"/>
        <v>0</v>
      </c>
      <c r="CO47" s="229">
        <f t="shared" si="40"/>
        <v>0</v>
      </c>
      <c r="CP47" s="229">
        <f t="shared" si="40"/>
        <v>0</v>
      </c>
      <c r="CQ47" s="229">
        <f t="shared" si="40"/>
        <v>0</v>
      </c>
      <c r="CR47" s="229">
        <f t="shared" si="40"/>
        <v>0</v>
      </c>
      <c r="CS47" s="230"/>
      <c r="CT47" s="231"/>
      <c r="CU47" s="231"/>
      <c r="CW47" s="231"/>
      <c r="CY47" s="231"/>
      <c r="CZ47" s="231"/>
      <c r="DA47" s="231"/>
      <c r="DB47" s="231">
        <f>IF(SUM(DB$24:DB46)=DB$22,0,IF(AND($K47&gt;=DB$15,$K47&lt;(DB$16+1)),DB$22/(DB$16-DB$15+1),0))</f>
        <v>0</v>
      </c>
      <c r="DC47" s="231">
        <f t="shared" si="34"/>
        <v>0</v>
      </c>
      <c r="DD47" s="231">
        <f t="shared" si="34"/>
        <v>0</v>
      </c>
      <c r="DE47" s="231">
        <f t="shared" si="34"/>
        <v>0</v>
      </c>
      <c r="DF47" s="231">
        <f t="shared" si="34"/>
        <v>0</v>
      </c>
      <c r="DG47" s="231">
        <f t="shared" si="34"/>
        <v>0</v>
      </c>
      <c r="DH47" s="231">
        <f t="shared" si="34"/>
        <v>0</v>
      </c>
      <c r="DI47" s="231">
        <f t="shared" si="34"/>
        <v>0</v>
      </c>
      <c r="DJ47" s="231">
        <f t="shared" si="34"/>
        <v>0</v>
      </c>
      <c r="DK47" s="231">
        <f t="shared" si="34"/>
        <v>0</v>
      </c>
      <c r="DL47" s="231">
        <f t="shared" si="34"/>
        <v>0</v>
      </c>
      <c r="DM47" s="231">
        <f t="shared" si="34"/>
        <v>0</v>
      </c>
      <c r="DN47" s="231">
        <f t="shared" si="34"/>
        <v>0</v>
      </c>
      <c r="DO47" s="231">
        <f t="shared" si="34"/>
        <v>0</v>
      </c>
      <c r="DP47" s="231">
        <f>'Offshore CF'!DR47</f>
        <v>0</v>
      </c>
      <c r="DQ47" s="231">
        <f>'Offshore CF'!DS47</f>
        <v>0.29866666666666669</v>
      </c>
      <c r="DR47" s="231">
        <f ca="1">IF(SUM(DR$24:DR46)=DR$22,0,IF(AND($K47&gt;=DR$15,$K47&lt;(DR$16+1)),DR$22/(DR$16-DR$15+1),0))</f>
        <v>0</v>
      </c>
      <c r="DS47" s="231" t="e">
        <f ca="1">IF(SUM(DS$24:DS46)=DS$22,0,IF(AND($K47&gt;=DS$15,$K47&lt;(DS$16+1)),DS$22/(DS$16-DS$15+1),0))</f>
        <v>#REF!</v>
      </c>
      <c r="DT47" s="231" t="e">
        <f ca="1">IF(SUM(DT$24:DT46)=DT$22,0,IF(AND(K47&gt;=DT$15,K47&lt;(DT$16+1)),DT$22/(DT$16-DT$15+1),0))</f>
        <v>#REF!</v>
      </c>
      <c r="DU47" s="231" t="e">
        <f ca="1">IF(SUM(DU$24:DU46)=DU$22,0,IF(AND($K47&gt;=DU$15,$K47&lt;(DU$16+1)),DU$22/(DU$16-DU$15+1),0))</f>
        <v>#REF!</v>
      </c>
      <c r="DV47" s="231">
        <f ca="1">IF(SUM(DV$24:DV46)=DV$22,0,IF(AND($K47&gt;=DV$15,$K47&lt;(DV$16+1)),DV$22/(DV$16-DV$15+1),0))</f>
        <v>0</v>
      </c>
      <c r="DW47" s="231">
        <f ca="1">IF(SUM(DW$24:DW46)=DW$22,0,IF(AND($K47&gt;=DW$15,$K47&lt;(DW$16+1)),DW$22/(DW$16-DW$15+1),0))</f>
        <v>0</v>
      </c>
      <c r="DX47" s="231">
        <f ca="1">IF(SUM(DX$24:DX46)=DX$22,0,IF(AND($K47&gt;=DX$15,$K47&lt;(DX$16+1)),DX$22/(DX$16-DX$15+1),0))</f>
        <v>0</v>
      </c>
      <c r="DY47" s="231">
        <f ca="1">IF(SUM(DY$24:DY46)=DY$22,0,IF(AND($K47&gt;=DY$15,$K47&lt;(DY$16+1)),DY$22/(DY$16-DY$15+1),0))</f>
        <v>0</v>
      </c>
      <c r="EA47" s="749">
        <f t="shared" si="16"/>
        <v>24</v>
      </c>
      <c r="EB47" s="749" t="e">
        <f t="shared" ca="1" si="17"/>
        <v>#REF!</v>
      </c>
      <c r="EC47" s="750" t="e">
        <f t="shared" ca="1" si="18"/>
        <v>#REF!</v>
      </c>
      <c r="ED47" s="749" t="e">
        <f t="shared" ca="1" si="28"/>
        <v>#N/A</v>
      </c>
      <c r="EE47" s="749"/>
      <c r="EF47" s="749"/>
      <c r="EG47" s="749"/>
      <c r="EH47" s="749"/>
      <c r="EI47" s="714" t="e">
        <f t="shared" ca="1" si="19"/>
        <v>#REF!</v>
      </c>
      <c r="EJ47" s="231" t="e">
        <f ca="1">IF(SUM(EJ$24:EJ46)=EJ$22,0,IF(AND($K47&gt;=EJ$15,$K47&lt;(EJ$16+1)),EJ$22/(EJ$16-EJ$15+1),0))</f>
        <v>#REF!</v>
      </c>
      <c r="EK47" s="714" t="e">
        <f t="shared" ca="1" si="24"/>
        <v>#REF!</v>
      </c>
      <c r="EM47" s="60"/>
      <c r="EN47" s="60"/>
    </row>
    <row r="48" spans="1:144">
      <c r="A48" s="220" t="s">
        <v>114</v>
      </c>
      <c r="B48" s="236">
        <f t="shared" si="20"/>
        <v>25</v>
      </c>
      <c r="C48" s="221">
        <f t="shared" si="21"/>
        <v>44201.000800000038</v>
      </c>
      <c r="D48" s="746" t="e">
        <f t="shared" ca="1" si="22"/>
        <v>#DIV/0!</v>
      </c>
      <c r="E48" s="747" t="e">
        <f t="shared" ca="1" si="25"/>
        <v>#DIV/0!</v>
      </c>
      <c r="F48" s="748" t="e">
        <f ca="1">IF(F47=0,0,SUM($G$24:G48))</f>
        <v>#DIV/0!</v>
      </c>
      <c r="G48" s="225" t="e">
        <f t="shared" ca="1" si="5"/>
        <v>#DIV/0!</v>
      </c>
      <c r="H48" s="746">
        <f t="shared" ca="1" si="23"/>
        <v>0</v>
      </c>
      <c r="I48" s="2"/>
      <c r="J48" s="220" t="str">
        <f>A48</f>
        <v>Yr 3</v>
      </c>
      <c r="K48" s="236">
        <f t="shared" si="6"/>
        <v>25</v>
      </c>
      <c r="L48" s="221">
        <f t="shared" si="7"/>
        <v>44201.000800000038</v>
      </c>
      <c r="M48" s="229">
        <f t="shared" si="36"/>
        <v>0</v>
      </c>
      <c r="N48" s="229">
        <f t="shared" si="36"/>
        <v>0</v>
      </c>
      <c r="O48" s="229">
        <f t="shared" si="36"/>
        <v>0</v>
      </c>
      <c r="P48" s="229">
        <f t="shared" si="36"/>
        <v>0</v>
      </c>
      <c r="Q48" s="229">
        <f t="shared" si="36"/>
        <v>0</v>
      </c>
      <c r="R48" s="229">
        <f t="shared" si="35"/>
        <v>0</v>
      </c>
      <c r="S48" s="229">
        <f t="shared" si="35"/>
        <v>0</v>
      </c>
      <c r="T48" s="229">
        <f t="shared" si="35"/>
        <v>0</v>
      </c>
      <c r="U48" s="229">
        <f t="shared" si="36"/>
        <v>0</v>
      </c>
      <c r="V48" s="229">
        <f t="shared" si="36"/>
        <v>0</v>
      </c>
      <c r="W48" s="229">
        <f t="shared" si="36"/>
        <v>0</v>
      </c>
      <c r="X48" s="229">
        <f t="shared" si="36"/>
        <v>0</v>
      </c>
      <c r="Y48" s="229">
        <f t="shared" si="36"/>
        <v>0</v>
      </c>
      <c r="Z48" s="229">
        <f t="shared" si="36"/>
        <v>0</v>
      </c>
      <c r="AA48" s="229">
        <f t="shared" si="36"/>
        <v>0</v>
      </c>
      <c r="AB48" s="229">
        <f t="shared" si="36"/>
        <v>0</v>
      </c>
      <c r="AC48" s="229">
        <f t="shared" si="36"/>
        <v>0</v>
      </c>
      <c r="AD48" s="229">
        <f t="shared" si="36"/>
        <v>0</v>
      </c>
      <c r="AE48" s="229">
        <f t="shared" si="36"/>
        <v>0</v>
      </c>
      <c r="AF48" s="229">
        <f t="shared" si="36"/>
        <v>0</v>
      </c>
      <c r="AG48" s="229">
        <f t="shared" si="36"/>
        <v>0</v>
      </c>
      <c r="AH48" s="229">
        <f t="shared" si="36"/>
        <v>0</v>
      </c>
      <c r="AI48" s="229">
        <f t="shared" si="36"/>
        <v>0</v>
      </c>
      <c r="AJ48" s="229">
        <f t="shared" si="36"/>
        <v>0</v>
      </c>
      <c r="AK48" s="229">
        <f t="shared" si="36"/>
        <v>0</v>
      </c>
      <c r="AL48" s="229">
        <f t="shared" si="36"/>
        <v>0</v>
      </c>
      <c r="AM48" s="229">
        <f t="shared" si="36"/>
        <v>0</v>
      </c>
      <c r="AN48" s="229">
        <f t="shared" si="36"/>
        <v>0</v>
      </c>
      <c r="AO48" s="229">
        <f t="shared" si="36"/>
        <v>0</v>
      </c>
      <c r="AP48" s="229">
        <f t="shared" si="36"/>
        <v>0</v>
      </c>
      <c r="AQ48" s="229">
        <f t="shared" si="36"/>
        <v>0</v>
      </c>
      <c r="AR48" s="229">
        <f t="shared" si="37"/>
        <v>0</v>
      </c>
      <c r="AS48" s="229">
        <f t="shared" si="37"/>
        <v>0</v>
      </c>
      <c r="AT48" s="229">
        <f t="shared" si="37"/>
        <v>0</v>
      </c>
      <c r="AU48" s="229">
        <f t="shared" si="37"/>
        <v>0</v>
      </c>
      <c r="AV48" s="229">
        <f t="shared" si="37"/>
        <v>0</v>
      </c>
      <c r="AW48" s="229">
        <f t="shared" si="37"/>
        <v>0</v>
      </c>
      <c r="AX48" s="229">
        <f t="shared" si="37"/>
        <v>0</v>
      </c>
      <c r="AY48" s="229">
        <f t="shared" si="37"/>
        <v>0</v>
      </c>
      <c r="AZ48" s="229">
        <f t="shared" si="37"/>
        <v>0</v>
      </c>
      <c r="BA48" s="229">
        <f t="shared" si="37"/>
        <v>0</v>
      </c>
      <c r="BB48" s="229">
        <f t="shared" si="37"/>
        <v>0</v>
      </c>
      <c r="BC48" s="229">
        <f t="shared" si="38"/>
        <v>0</v>
      </c>
      <c r="BD48" s="229">
        <f t="shared" si="38"/>
        <v>0</v>
      </c>
      <c r="BE48" s="229">
        <f t="shared" si="38"/>
        <v>0</v>
      </c>
      <c r="BF48" s="229">
        <f t="shared" si="38"/>
        <v>0</v>
      </c>
      <c r="BG48" s="229">
        <f t="shared" si="38"/>
        <v>0</v>
      </c>
      <c r="BH48" s="229">
        <f t="shared" si="38"/>
        <v>0</v>
      </c>
      <c r="BI48" s="229">
        <f t="shared" si="38"/>
        <v>0</v>
      </c>
      <c r="BJ48" s="229">
        <f t="shared" si="38"/>
        <v>0</v>
      </c>
      <c r="BK48" s="229">
        <f t="shared" si="38"/>
        <v>0</v>
      </c>
      <c r="BL48" s="229">
        <f t="shared" si="38"/>
        <v>0</v>
      </c>
      <c r="BM48" s="229">
        <f t="shared" si="39"/>
        <v>0</v>
      </c>
      <c r="BN48" s="229">
        <f t="shared" si="39"/>
        <v>0</v>
      </c>
      <c r="BO48" s="229">
        <f t="shared" si="39"/>
        <v>0</v>
      </c>
      <c r="BP48" s="229">
        <f t="shared" si="39"/>
        <v>0</v>
      </c>
      <c r="BQ48" s="229">
        <f t="shared" si="39"/>
        <v>0</v>
      </c>
      <c r="BR48" s="229">
        <f t="shared" si="39"/>
        <v>0</v>
      </c>
      <c r="BS48" s="229">
        <f t="shared" si="39"/>
        <v>0</v>
      </c>
      <c r="BT48" s="229">
        <f t="shared" si="39"/>
        <v>0</v>
      </c>
      <c r="BU48" s="229">
        <f t="shared" si="39"/>
        <v>0</v>
      </c>
      <c r="BV48" s="229">
        <f t="shared" si="39"/>
        <v>0</v>
      </c>
      <c r="BW48" s="229">
        <f t="shared" si="39"/>
        <v>0</v>
      </c>
      <c r="BX48" s="229">
        <f t="shared" si="39"/>
        <v>0</v>
      </c>
      <c r="BY48" s="229">
        <f t="shared" si="39"/>
        <v>0</v>
      </c>
      <c r="BZ48" s="229">
        <f t="shared" si="39"/>
        <v>0</v>
      </c>
      <c r="CA48" s="229">
        <f t="shared" si="39"/>
        <v>0</v>
      </c>
      <c r="CB48" s="229">
        <f t="shared" si="40"/>
        <v>0</v>
      </c>
      <c r="CC48" s="229">
        <f t="shared" si="40"/>
        <v>0</v>
      </c>
      <c r="CD48" s="229">
        <f t="shared" si="40"/>
        <v>0</v>
      </c>
      <c r="CE48" s="229">
        <f t="shared" si="40"/>
        <v>0</v>
      </c>
      <c r="CF48" s="229">
        <f t="shared" si="40"/>
        <v>0</v>
      </c>
      <c r="CG48" s="229">
        <f t="shared" si="40"/>
        <v>0</v>
      </c>
      <c r="CH48" s="229">
        <f t="shared" si="40"/>
        <v>0</v>
      </c>
      <c r="CI48" s="229">
        <f t="shared" si="40"/>
        <v>0</v>
      </c>
      <c r="CJ48" s="229">
        <f t="shared" si="40"/>
        <v>0</v>
      </c>
      <c r="CK48" s="229">
        <f t="shared" si="40"/>
        <v>0</v>
      </c>
      <c r="CL48" s="229">
        <f t="shared" si="40"/>
        <v>0</v>
      </c>
      <c r="CM48" s="229">
        <f t="shared" si="40"/>
        <v>0</v>
      </c>
      <c r="CN48" s="229">
        <f t="shared" si="40"/>
        <v>0</v>
      </c>
      <c r="CO48" s="229">
        <f t="shared" si="40"/>
        <v>0</v>
      </c>
      <c r="CP48" s="229">
        <f t="shared" si="40"/>
        <v>0</v>
      </c>
      <c r="CQ48" s="229">
        <f t="shared" si="40"/>
        <v>0</v>
      </c>
      <c r="CR48" s="229">
        <f t="shared" si="40"/>
        <v>0</v>
      </c>
      <c r="CS48" s="230"/>
      <c r="CT48" s="243">
        <f>IF(SUM(CT$24:CT47)&gt;=CT$22,0,CT$22/CT$13)</f>
        <v>0</v>
      </c>
      <c r="CU48" s="243">
        <f>IF(SUM(CU$24:CU47)&gt;=CU$22,0,CU$22/CU$13)</f>
        <v>0</v>
      </c>
      <c r="CW48" s="243" t="e">
        <f ca="1">IF(SUM(CW$24:CW47)&gt;=CW$22,0,CW$22/CW$13)</f>
        <v>#N/A</v>
      </c>
      <c r="CY48" s="231"/>
      <c r="CZ48" s="231"/>
      <c r="DA48" s="231" t="e">
        <f ca="1">IF(SUM(DA$32:DA47)&gt;=DA$22,0,DA$22/(DA$13*4))</f>
        <v>#N/A</v>
      </c>
      <c r="DB48" s="231">
        <f>IF(SUM(DB$24:DB47)=DB$22,0,IF(AND($K48&gt;=DB$15,$K48&lt;(DB$16+1)),DB$22/(DB$16-DB$15+1),0))</f>
        <v>0</v>
      </c>
      <c r="DC48" s="231">
        <f t="shared" si="34"/>
        <v>0</v>
      </c>
      <c r="DD48" s="231">
        <f t="shared" si="34"/>
        <v>0</v>
      </c>
      <c r="DE48" s="231">
        <f t="shared" si="34"/>
        <v>0</v>
      </c>
      <c r="DF48" s="231">
        <f t="shared" si="34"/>
        <v>0</v>
      </c>
      <c r="DG48" s="231">
        <f t="shared" si="34"/>
        <v>0</v>
      </c>
      <c r="DH48" s="231">
        <f t="shared" si="34"/>
        <v>0</v>
      </c>
      <c r="DI48" s="231">
        <f t="shared" si="34"/>
        <v>0</v>
      </c>
      <c r="DJ48" s="231">
        <f t="shared" si="34"/>
        <v>0</v>
      </c>
      <c r="DK48" s="231">
        <f t="shared" si="34"/>
        <v>0</v>
      </c>
      <c r="DL48" s="231">
        <f t="shared" si="34"/>
        <v>0</v>
      </c>
      <c r="DM48" s="231">
        <f t="shared" si="34"/>
        <v>0</v>
      </c>
      <c r="DN48" s="231">
        <f t="shared" si="34"/>
        <v>0</v>
      </c>
      <c r="DO48" s="231">
        <f t="shared" si="34"/>
        <v>0</v>
      </c>
      <c r="DP48" s="231">
        <f>'Offshore CF'!DR48</f>
        <v>0</v>
      </c>
      <c r="DQ48" s="231">
        <f>'Offshore CF'!DS48</f>
        <v>0.29866666666666669</v>
      </c>
      <c r="DR48" s="231">
        <f ca="1">IF(SUM(DR$24:DR47)=DR$22,0,IF(AND($K48&gt;=DR$15,$K48&lt;(DR$16+1)),DR$22/(DR$16-DR$15+1),0))</f>
        <v>0</v>
      </c>
      <c r="DS48" s="231" t="e">
        <f ca="1">IF(SUM(DS$24:DS47)=DS$22,0,IF(AND($K48&gt;=DS$15,$K48&lt;(DS$16+1)),DS$22/(DS$16-DS$15+1),0))</f>
        <v>#REF!</v>
      </c>
      <c r="DT48" s="231" t="e">
        <f ca="1">IF(SUM(DT$24:DT47)=DT$22,0,IF(AND(K48&gt;=DT$15,K48&lt;(DT$16+1)),DT$22/(DT$16-DT$15+1),0))</f>
        <v>#REF!</v>
      </c>
      <c r="DU48" s="231" t="e">
        <f ca="1">IF(SUM(DU$24:DU47)=DU$22,0,IF(AND($K48&gt;=DU$15,$K48&lt;(DU$16+1)),DU$22/(DU$16-DU$15+1),0))</f>
        <v>#REF!</v>
      </c>
      <c r="DV48" s="231">
        <f ca="1">IF(SUM(DV$24:DV47)=DV$22,0,IF(AND($K48&gt;=DV$15,$K48&lt;(DV$16+1)),DV$22/(DV$16-DV$15+1),0))</f>
        <v>0</v>
      </c>
      <c r="DW48" s="231">
        <f ca="1">IF(SUM(DW$24:DW47)=DW$22,0,IF(AND($K48&gt;=DW$15,$K48&lt;(DW$16+1)),DW$22/(DW$16-DW$15+1),0))</f>
        <v>0</v>
      </c>
      <c r="DX48" s="231">
        <f ca="1">IF(SUM(DX$24:DX47)=DX$22,0,IF(AND($K48&gt;=DX$15,$K48&lt;(DX$16+1)),DX$22/(DX$16-DX$15+1),0))</f>
        <v>0</v>
      </c>
      <c r="DY48" s="231">
        <f ca="1">IF(SUM(DY$24:DY47)=DY$22,0,IF(AND($K48&gt;=DY$15,$K48&lt;(DY$16+1)),DY$22/(DY$16-DY$15+1),0))</f>
        <v>0</v>
      </c>
      <c r="EA48" s="751">
        <f t="shared" si="16"/>
        <v>25</v>
      </c>
      <c r="EB48" s="751" t="e">
        <f t="shared" ca="1" si="17"/>
        <v>#N/A</v>
      </c>
      <c r="EC48" s="752" t="e">
        <f t="shared" ca="1" si="18"/>
        <v>#N/A</v>
      </c>
      <c r="ED48" s="749" t="e">
        <f t="shared" ca="1" si="28"/>
        <v>#REF!</v>
      </c>
      <c r="EE48" s="749"/>
      <c r="EF48" s="749"/>
      <c r="EG48" s="749"/>
      <c r="EH48" s="749"/>
      <c r="EI48" s="699" t="e">
        <f t="shared" ca="1" si="19"/>
        <v>#N/A</v>
      </c>
      <c r="EJ48" s="231" t="e">
        <f ca="1">IF(SUM(EJ$24:EJ47)=EJ$22,0,IF(AND($K48&gt;=EJ$15,$K48&lt;(EJ$16+1)),EJ$22/(EJ$16-EJ$15+1),0))</f>
        <v>#REF!</v>
      </c>
      <c r="EK48" s="699" t="e">
        <f t="shared" ca="1" si="24"/>
        <v>#N/A</v>
      </c>
      <c r="EM48" s="2"/>
      <c r="EN48" s="2"/>
    </row>
    <row r="49" spans="1:144">
      <c r="A49" s="220"/>
      <c r="B49" s="236">
        <f t="shared" si="20"/>
        <v>26</v>
      </c>
      <c r="C49" s="221">
        <f t="shared" si="21"/>
        <v>44231.41750000004</v>
      </c>
      <c r="D49" s="746" t="e">
        <f t="shared" ca="1" si="22"/>
        <v>#DIV/0!</v>
      </c>
      <c r="E49" s="747" t="e">
        <f t="shared" ca="1" si="25"/>
        <v>#DIV/0!</v>
      </c>
      <c r="F49" s="748" t="e">
        <f ca="1">IF(F48=0,0,SUM($G$24:G49))</f>
        <v>#DIV/0!</v>
      </c>
      <c r="G49" s="225" t="e">
        <f t="shared" ca="1" si="5"/>
        <v>#DIV/0!</v>
      </c>
      <c r="H49" s="746">
        <f t="shared" ca="1" si="23"/>
        <v>0</v>
      </c>
      <c r="I49" s="60"/>
      <c r="J49" s="228"/>
      <c r="K49" s="228">
        <f t="shared" si="6"/>
        <v>26</v>
      </c>
      <c r="L49" s="221">
        <f t="shared" si="7"/>
        <v>44231.41750000004</v>
      </c>
      <c r="M49" s="229">
        <f t="shared" si="36"/>
        <v>0</v>
      </c>
      <c r="N49" s="229">
        <f t="shared" si="36"/>
        <v>0</v>
      </c>
      <c r="O49" s="229">
        <f t="shared" si="36"/>
        <v>0</v>
      </c>
      <c r="P49" s="229">
        <f t="shared" si="36"/>
        <v>0</v>
      </c>
      <c r="Q49" s="229">
        <f t="shared" si="36"/>
        <v>0</v>
      </c>
      <c r="R49" s="229">
        <f t="shared" si="35"/>
        <v>0</v>
      </c>
      <c r="S49" s="229">
        <f t="shared" si="35"/>
        <v>0</v>
      </c>
      <c r="T49" s="229">
        <f t="shared" si="35"/>
        <v>0</v>
      </c>
      <c r="U49" s="229">
        <f t="shared" si="36"/>
        <v>0</v>
      </c>
      <c r="V49" s="229">
        <f t="shared" si="36"/>
        <v>0</v>
      </c>
      <c r="W49" s="229">
        <f t="shared" si="36"/>
        <v>0</v>
      </c>
      <c r="X49" s="229">
        <f t="shared" si="36"/>
        <v>0</v>
      </c>
      <c r="Y49" s="229">
        <f t="shared" si="36"/>
        <v>0</v>
      </c>
      <c r="Z49" s="229">
        <f t="shared" si="36"/>
        <v>0</v>
      </c>
      <c r="AA49" s="229">
        <f t="shared" si="36"/>
        <v>0</v>
      </c>
      <c r="AB49" s="229">
        <f t="shared" si="36"/>
        <v>0</v>
      </c>
      <c r="AC49" s="229">
        <f t="shared" si="36"/>
        <v>0</v>
      </c>
      <c r="AD49" s="229">
        <f t="shared" si="36"/>
        <v>0</v>
      </c>
      <c r="AE49" s="229">
        <f t="shared" si="36"/>
        <v>0</v>
      </c>
      <c r="AF49" s="229">
        <f t="shared" si="36"/>
        <v>0</v>
      </c>
      <c r="AG49" s="229">
        <f t="shared" si="36"/>
        <v>0</v>
      </c>
      <c r="AH49" s="229">
        <f t="shared" si="36"/>
        <v>0</v>
      </c>
      <c r="AI49" s="229">
        <f t="shared" si="36"/>
        <v>0</v>
      </c>
      <c r="AJ49" s="229">
        <f t="shared" si="36"/>
        <v>0</v>
      </c>
      <c r="AK49" s="229">
        <f t="shared" si="36"/>
        <v>0</v>
      </c>
      <c r="AL49" s="229">
        <f t="shared" si="36"/>
        <v>0</v>
      </c>
      <c r="AM49" s="229">
        <f t="shared" si="36"/>
        <v>0</v>
      </c>
      <c r="AN49" s="229">
        <f t="shared" si="36"/>
        <v>0</v>
      </c>
      <c r="AO49" s="229">
        <f t="shared" si="36"/>
        <v>0</v>
      </c>
      <c r="AP49" s="229">
        <f t="shared" si="36"/>
        <v>0</v>
      </c>
      <c r="AQ49" s="229">
        <f t="shared" si="36"/>
        <v>0</v>
      </c>
      <c r="AR49" s="229">
        <f t="shared" si="37"/>
        <v>0</v>
      </c>
      <c r="AS49" s="229">
        <f t="shared" si="37"/>
        <v>0</v>
      </c>
      <c r="AT49" s="229">
        <f t="shared" si="37"/>
        <v>0</v>
      </c>
      <c r="AU49" s="229">
        <f t="shared" si="37"/>
        <v>0</v>
      </c>
      <c r="AV49" s="229">
        <f t="shared" si="37"/>
        <v>0</v>
      </c>
      <c r="AW49" s="229">
        <f t="shared" si="37"/>
        <v>0</v>
      </c>
      <c r="AX49" s="229">
        <f t="shared" si="37"/>
        <v>0</v>
      </c>
      <c r="AY49" s="229">
        <f t="shared" si="37"/>
        <v>0</v>
      </c>
      <c r="AZ49" s="229">
        <f t="shared" si="37"/>
        <v>0</v>
      </c>
      <c r="BA49" s="229">
        <f t="shared" si="37"/>
        <v>0</v>
      </c>
      <c r="BB49" s="229">
        <f t="shared" si="37"/>
        <v>0</v>
      </c>
      <c r="BC49" s="229">
        <f t="shared" si="38"/>
        <v>0</v>
      </c>
      <c r="BD49" s="229">
        <f t="shared" si="38"/>
        <v>0</v>
      </c>
      <c r="BE49" s="229">
        <f t="shared" si="38"/>
        <v>0</v>
      </c>
      <c r="BF49" s="229">
        <f t="shared" si="38"/>
        <v>0</v>
      </c>
      <c r="BG49" s="229">
        <f t="shared" si="38"/>
        <v>0</v>
      </c>
      <c r="BH49" s="229">
        <f t="shared" si="38"/>
        <v>0</v>
      </c>
      <c r="BI49" s="229">
        <f t="shared" si="38"/>
        <v>0</v>
      </c>
      <c r="BJ49" s="229">
        <f t="shared" si="38"/>
        <v>0</v>
      </c>
      <c r="BK49" s="229">
        <f t="shared" si="38"/>
        <v>0</v>
      </c>
      <c r="BL49" s="229">
        <f t="shared" si="38"/>
        <v>0</v>
      </c>
      <c r="BM49" s="229">
        <f t="shared" si="39"/>
        <v>0</v>
      </c>
      <c r="BN49" s="229">
        <f t="shared" si="39"/>
        <v>0</v>
      </c>
      <c r="BO49" s="229">
        <f t="shared" si="39"/>
        <v>0</v>
      </c>
      <c r="BP49" s="229">
        <f t="shared" si="39"/>
        <v>0</v>
      </c>
      <c r="BQ49" s="229">
        <f t="shared" si="39"/>
        <v>0</v>
      </c>
      <c r="BR49" s="229">
        <f t="shared" si="39"/>
        <v>0</v>
      </c>
      <c r="BS49" s="229">
        <f t="shared" si="39"/>
        <v>0</v>
      </c>
      <c r="BT49" s="229">
        <f t="shared" si="39"/>
        <v>0</v>
      </c>
      <c r="BU49" s="229">
        <f t="shared" si="39"/>
        <v>0</v>
      </c>
      <c r="BV49" s="229">
        <f t="shared" si="39"/>
        <v>0</v>
      </c>
      <c r="BW49" s="229">
        <f t="shared" si="39"/>
        <v>0</v>
      </c>
      <c r="BX49" s="229">
        <f t="shared" si="39"/>
        <v>0</v>
      </c>
      <c r="BY49" s="229">
        <f t="shared" si="39"/>
        <v>0</v>
      </c>
      <c r="BZ49" s="229">
        <f t="shared" si="39"/>
        <v>0</v>
      </c>
      <c r="CA49" s="229">
        <f t="shared" si="39"/>
        <v>0</v>
      </c>
      <c r="CB49" s="229">
        <f t="shared" si="40"/>
        <v>0</v>
      </c>
      <c r="CC49" s="229">
        <f t="shared" si="40"/>
        <v>0</v>
      </c>
      <c r="CD49" s="229">
        <f t="shared" si="40"/>
        <v>0</v>
      </c>
      <c r="CE49" s="229">
        <f t="shared" si="40"/>
        <v>0</v>
      </c>
      <c r="CF49" s="229">
        <f t="shared" si="40"/>
        <v>0</v>
      </c>
      <c r="CG49" s="229">
        <f t="shared" si="40"/>
        <v>0</v>
      </c>
      <c r="CH49" s="229">
        <f t="shared" si="40"/>
        <v>0</v>
      </c>
      <c r="CI49" s="229">
        <f t="shared" si="40"/>
        <v>0</v>
      </c>
      <c r="CJ49" s="229">
        <f t="shared" si="40"/>
        <v>0</v>
      </c>
      <c r="CK49" s="229">
        <f t="shared" si="40"/>
        <v>0</v>
      </c>
      <c r="CL49" s="229">
        <f t="shared" si="40"/>
        <v>0</v>
      </c>
      <c r="CM49" s="229">
        <f t="shared" si="40"/>
        <v>0</v>
      </c>
      <c r="CN49" s="229">
        <f t="shared" si="40"/>
        <v>0</v>
      </c>
      <c r="CO49" s="229">
        <f t="shared" si="40"/>
        <v>0</v>
      </c>
      <c r="CP49" s="229">
        <f t="shared" si="40"/>
        <v>0</v>
      </c>
      <c r="CQ49" s="229">
        <f t="shared" si="40"/>
        <v>0</v>
      </c>
      <c r="CR49" s="229">
        <f t="shared" si="40"/>
        <v>0</v>
      </c>
      <c r="CS49" s="230"/>
      <c r="CT49" s="231"/>
      <c r="CU49" s="231"/>
      <c r="CV49" s="231"/>
      <c r="CW49" s="231"/>
      <c r="CY49" s="231"/>
      <c r="CZ49" s="231"/>
      <c r="DA49" s="231"/>
      <c r="DB49" s="231">
        <f>IF(SUM(DB$24:DB48)=DB$22,0,IF(AND($K49&gt;=DB$15,$K49&lt;(DB$16+1)),DB$22/(DB$16-DB$15+1),0))</f>
        <v>0</v>
      </c>
      <c r="DC49" s="231">
        <f t="shared" si="34"/>
        <v>0</v>
      </c>
      <c r="DD49" s="231">
        <f t="shared" si="34"/>
        <v>0</v>
      </c>
      <c r="DE49" s="231">
        <f t="shared" si="34"/>
        <v>0</v>
      </c>
      <c r="DF49" s="231">
        <f t="shared" si="34"/>
        <v>0</v>
      </c>
      <c r="DG49" s="231">
        <f t="shared" si="34"/>
        <v>0</v>
      </c>
      <c r="DH49" s="231">
        <f t="shared" si="34"/>
        <v>0</v>
      </c>
      <c r="DI49" s="231">
        <f t="shared" si="34"/>
        <v>0</v>
      </c>
      <c r="DJ49" s="231">
        <f t="shared" si="34"/>
        <v>0</v>
      </c>
      <c r="DK49" s="231">
        <f t="shared" si="34"/>
        <v>0</v>
      </c>
      <c r="DL49" s="231">
        <f t="shared" si="34"/>
        <v>0</v>
      </c>
      <c r="DM49" s="231">
        <f t="shared" si="34"/>
        <v>0</v>
      </c>
      <c r="DN49" s="231">
        <f t="shared" si="34"/>
        <v>0</v>
      </c>
      <c r="DO49" s="231">
        <f t="shared" si="34"/>
        <v>0</v>
      </c>
      <c r="DP49" s="231">
        <f>'Offshore CF'!DR49</f>
        <v>0</v>
      </c>
      <c r="DQ49" s="231">
        <f>'Offshore CF'!DS49</f>
        <v>0.29866666666666669</v>
      </c>
      <c r="DR49" s="231">
        <f ca="1">IF(SUM(DR$24:DR48)=DR$22,0,IF(AND($K49&gt;=DR$15,$K49&lt;(DR$16+1)),DR$22/(DR$16-DR$15+1),0))</f>
        <v>0</v>
      </c>
      <c r="DS49" s="231" t="e">
        <f ca="1">IF(SUM(DS$24:DS48)=DS$22,0,IF(AND($K49&gt;=DS$15,$K49&lt;(DS$16+1)),DS$22/(DS$16-DS$15+1),0))</f>
        <v>#REF!</v>
      </c>
      <c r="DT49" s="231" t="e">
        <f ca="1">IF(SUM(DT$24:DT48)=DT$22,0,IF(AND(K49&gt;=DT$15,K49&lt;(DT$16+1)),DT$22/(DT$16-DT$15+1),0))</f>
        <v>#REF!</v>
      </c>
      <c r="DU49" s="231" t="e">
        <f ca="1">IF(SUM(DU$24:DU48)=DU$22,0,IF(AND($K49&gt;=DU$15,$K49&lt;(DU$16+1)),DU$22/(DU$16-DU$15+1),0))</f>
        <v>#REF!</v>
      </c>
      <c r="DV49" s="231">
        <f ca="1">IF(SUM(DV$24:DV48)=DV$22,0,IF(AND($K49&gt;=DV$15,$K49&lt;(DV$16+1)),DV$22/(DV$16-DV$15+1),0))</f>
        <v>0</v>
      </c>
      <c r="DW49" s="231">
        <f ca="1">IF(SUM(DW$24:DW48)=DW$22,0,IF(AND($K49&gt;=DW$15,$K49&lt;(DW$16+1)),DW$22/(DW$16-DW$15+1),0))</f>
        <v>0</v>
      </c>
      <c r="DX49" s="231">
        <f ca="1">IF(SUM(DX$24:DX48)=DX$22,0,IF(AND($K49&gt;=DX$15,$K49&lt;(DX$16+1)),DX$22/(DX$16-DX$15+1),0))</f>
        <v>0</v>
      </c>
      <c r="DY49" s="231">
        <f ca="1">IF(SUM(DY$24:DY48)=DY$22,0,IF(AND($K49&gt;=DY$15,$K49&lt;(DY$16+1)),DY$22/(DY$16-DY$15+1),0))</f>
        <v>0</v>
      </c>
      <c r="EA49" s="749">
        <f t="shared" si="16"/>
        <v>26</v>
      </c>
      <c r="EB49" s="749" t="e">
        <f t="shared" ca="1" si="17"/>
        <v>#REF!</v>
      </c>
      <c r="EC49" s="750" t="e">
        <f t="shared" ca="1" si="18"/>
        <v>#REF!</v>
      </c>
      <c r="ED49" s="749" t="e">
        <f t="shared" ca="1" si="28"/>
        <v>#REF!</v>
      </c>
      <c r="EE49" s="749"/>
      <c r="EF49" s="749"/>
      <c r="EG49" s="749"/>
      <c r="EH49" s="749"/>
      <c r="EI49" s="714" t="e">
        <f t="shared" ca="1" si="19"/>
        <v>#REF!</v>
      </c>
      <c r="EJ49" s="231" t="e">
        <f ca="1">IF(SUM(EJ$24:EJ48)=EJ$22,0,IF(AND($K49&gt;=EJ$15,$K49&lt;(EJ$16+1)),EJ$22/(EJ$16-EJ$15+1),0))</f>
        <v>#REF!</v>
      </c>
      <c r="EK49" s="714" t="e">
        <f t="shared" ca="1" si="24"/>
        <v>#REF!</v>
      </c>
      <c r="EM49" s="60"/>
      <c r="EN49" s="60"/>
    </row>
    <row r="50" spans="1:144">
      <c r="A50" s="220"/>
      <c r="B50" s="236">
        <f t="shared" si="20"/>
        <v>27</v>
      </c>
      <c r="C50" s="221">
        <f t="shared" si="21"/>
        <v>44261.834200000041</v>
      </c>
      <c r="D50" s="746" t="e">
        <f t="shared" ca="1" si="22"/>
        <v>#DIV/0!</v>
      </c>
      <c r="E50" s="747" t="e">
        <f t="shared" ca="1" si="25"/>
        <v>#DIV/0!</v>
      </c>
      <c r="F50" s="748" t="e">
        <f ca="1">IF(F49=0,0,SUM($G$24:G50))</f>
        <v>#DIV/0!</v>
      </c>
      <c r="G50" s="225" t="e">
        <f t="shared" ca="1" si="5"/>
        <v>#DIV/0!</v>
      </c>
      <c r="H50" s="746">
        <f t="shared" ca="1" si="23"/>
        <v>0</v>
      </c>
      <c r="I50" s="60"/>
      <c r="J50" s="228"/>
      <c r="K50" s="228">
        <f t="shared" si="6"/>
        <v>27</v>
      </c>
      <c r="L50" s="221">
        <f t="shared" si="7"/>
        <v>44261.834200000041</v>
      </c>
      <c r="M50" s="229">
        <f t="shared" si="36"/>
        <v>0</v>
      </c>
      <c r="N50" s="229">
        <f t="shared" si="36"/>
        <v>0</v>
      </c>
      <c r="O50" s="229">
        <f t="shared" si="36"/>
        <v>0</v>
      </c>
      <c r="P50" s="229">
        <f t="shared" si="36"/>
        <v>0</v>
      </c>
      <c r="Q50" s="229">
        <f t="shared" si="36"/>
        <v>0</v>
      </c>
      <c r="R50" s="229">
        <f t="shared" si="35"/>
        <v>0</v>
      </c>
      <c r="S50" s="229">
        <f t="shared" si="35"/>
        <v>0</v>
      </c>
      <c r="T50" s="229">
        <f t="shared" si="35"/>
        <v>0</v>
      </c>
      <c r="U50" s="229">
        <f t="shared" si="36"/>
        <v>0</v>
      </c>
      <c r="V50" s="229">
        <f t="shared" si="36"/>
        <v>0</v>
      </c>
      <c r="W50" s="229">
        <f t="shared" si="36"/>
        <v>0</v>
      </c>
      <c r="X50" s="229">
        <f t="shared" si="36"/>
        <v>0</v>
      </c>
      <c r="Y50" s="229">
        <f t="shared" si="36"/>
        <v>0</v>
      </c>
      <c r="Z50" s="229">
        <f t="shared" si="36"/>
        <v>0</v>
      </c>
      <c r="AA50" s="229">
        <f t="shared" si="36"/>
        <v>0</v>
      </c>
      <c r="AB50" s="229">
        <f t="shared" si="36"/>
        <v>0</v>
      </c>
      <c r="AC50" s="229">
        <f t="shared" si="36"/>
        <v>0</v>
      </c>
      <c r="AD50" s="229">
        <f t="shared" si="36"/>
        <v>0</v>
      </c>
      <c r="AE50" s="229">
        <f t="shared" si="36"/>
        <v>0</v>
      </c>
      <c r="AF50" s="229">
        <f t="shared" si="36"/>
        <v>0</v>
      </c>
      <c r="AG50" s="229">
        <f t="shared" si="36"/>
        <v>0</v>
      </c>
      <c r="AH50" s="229">
        <f t="shared" si="36"/>
        <v>0</v>
      </c>
      <c r="AI50" s="229">
        <f t="shared" si="36"/>
        <v>0</v>
      </c>
      <c r="AJ50" s="229">
        <f t="shared" si="36"/>
        <v>0</v>
      </c>
      <c r="AK50" s="229">
        <f t="shared" si="36"/>
        <v>0</v>
      </c>
      <c r="AL50" s="229">
        <f t="shared" si="36"/>
        <v>0</v>
      </c>
      <c r="AM50" s="229">
        <f t="shared" si="36"/>
        <v>0</v>
      </c>
      <c r="AN50" s="229">
        <f t="shared" si="36"/>
        <v>0</v>
      </c>
      <c r="AO50" s="229">
        <f t="shared" si="36"/>
        <v>0</v>
      </c>
      <c r="AP50" s="229">
        <f t="shared" si="36"/>
        <v>0</v>
      </c>
      <c r="AQ50" s="229">
        <f t="shared" si="36"/>
        <v>0</v>
      </c>
      <c r="AR50" s="229">
        <f t="shared" si="37"/>
        <v>0</v>
      </c>
      <c r="AS50" s="229">
        <f t="shared" si="37"/>
        <v>0</v>
      </c>
      <c r="AT50" s="229">
        <f t="shared" si="37"/>
        <v>0</v>
      </c>
      <c r="AU50" s="229">
        <f t="shared" si="37"/>
        <v>0</v>
      </c>
      <c r="AV50" s="229">
        <f t="shared" si="37"/>
        <v>0</v>
      </c>
      <c r="AW50" s="229">
        <f t="shared" si="37"/>
        <v>0</v>
      </c>
      <c r="AX50" s="229">
        <f t="shared" si="37"/>
        <v>0</v>
      </c>
      <c r="AY50" s="229">
        <f t="shared" si="37"/>
        <v>0</v>
      </c>
      <c r="AZ50" s="229">
        <f t="shared" si="37"/>
        <v>0</v>
      </c>
      <c r="BA50" s="229">
        <f t="shared" si="37"/>
        <v>0</v>
      </c>
      <c r="BB50" s="229">
        <f t="shared" si="37"/>
        <v>0</v>
      </c>
      <c r="BC50" s="229">
        <f t="shared" si="38"/>
        <v>0</v>
      </c>
      <c r="BD50" s="229">
        <f t="shared" si="38"/>
        <v>0</v>
      </c>
      <c r="BE50" s="229">
        <f t="shared" si="38"/>
        <v>0</v>
      </c>
      <c r="BF50" s="229">
        <f t="shared" si="38"/>
        <v>0</v>
      </c>
      <c r="BG50" s="229">
        <f t="shared" si="38"/>
        <v>0</v>
      </c>
      <c r="BH50" s="229">
        <f t="shared" si="38"/>
        <v>0</v>
      </c>
      <c r="BI50" s="229">
        <f t="shared" si="38"/>
        <v>0</v>
      </c>
      <c r="BJ50" s="229">
        <f t="shared" si="38"/>
        <v>0</v>
      </c>
      <c r="BK50" s="229">
        <f t="shared" si="38"/>
        <v>0</v>
      </c>
      <c r="BL50" s="229">
        <f t="shared" si="38"/>
        <v>0</v>
      </c>
      <c r="BM50" s="229">
        <f t="shared" si="39"/>
        <v>0</v>
      </c>
      <c r="BN50" s="229">
        <f t="shared" si="39"/>
        <v>0</v>
      </c>
      <c r="BO50" s="229">
        <f t="shared" si="39"/>
        <v>0</v>
      </c>
      <c r="BP50" s="229">
        <f t="shared" si="39"/>
        <v>0</v>
      </c>
      <c r="BQ50" s="229">
        <f t="shared" si="39"/>
        <v>0</v>
      </c>
      <c r="BR50" s="229">
        <f t="shared" si="39"/>
        <v>0</v>
      </c>
      <c r="BS50" s="229">
        <f t="shared" si="39"/>
        <v>0</v>
      </c>
      <c r="BT50" s="229">
        <f t="shared" si="39"/>
        <v>0</v>
      </c>
      <c r="BU50" s="229">
        <f t="shared" si="39"/>
        <v>0</v>
      </c>
      <c r="BV50" s="229">
        <f t="shared" si="39"/>
        <v>0</v>
      </c>
      <c r="BW50" s="229">
        <f t="shared" si="39"/>
        <v>0</v>
      </c>
      <c r="BX50" s="229">
        <f t="shared" si="39"/>
        <v>0</v>
      </c>
      <c r="BY50" s="229">
        <f t="shared" si="39"/>
        <v>0</v>
      </c>
      <c r="BZ50" s="229">
        <f t="shared" si="39"/>
        <v>0</v>
      </c>
      <c r="CA50" s="229">
        <f t="shared" si="39"/>
        <v>0</v>
      </c>
      <c r="CB50" s="229">
        <f t="shared" si="40"/>
        <v>0</v>
      </c>
      <c r="CC50" s="229">
        <f t="shared" si="40"/>
        <v>0</v>
      </c>
      <c r="CD50" s="229">
        <f t="shared" si="40"/>
        <v>0</v>
      </c>
      <c r="CE50" s="229">
        <f t="shared" si="40"/>
        <v>0</v>
      </c>
      <c r="CF50" s="229">
        <f t="shared" si="40"/>
        <v>0</v>
      </c>
      <c r="CG50" s="229">
        <f t="shared" si="40"/>
        <v>0</v>
      </c>
      <c r="CH50" s="229">
        <f t="shared" si="40"/>
        <v>0</v>
      </c>
      <c r="CI50" s="229">
        <f t="shared" si="40"/>
        <v>0</v>
      </c>
      <c r="CJ50" s="229">
        <f t="shared" si="40"/>
        <v>0</v>
      </c>
      <c r="CK50" s="229">
        <f t="shared" si="40"/>
        <v>0</v>
      </c>
      <c r="CL50" s="229">
        <f t="shared" si="40"/>
        <v>0</v>
      </c>
      <c r="CM50" s="229">
        <f t="shared" si="40"/>
        <v>0</v>
      </c>
      <c r="CN50" s="229">
        <f t="shared" si="40"/>
        <v>0</v>
      </c>
      <c r="CO50" s="229">
        <f t="shared" si="40"/>
        <v>0</v>
      </c>
      <c r="CP50" s="229">
        <f t="shared" si="40"/>
        <v>0</v>
      </c>
      <c r="CQ50" s="229">
        <f t="shared" si="40"/>
        <v>0</v>
      </c>
      <c r="CR50" s="229">
        <f t="shared" si="40"/>
        <v>0</v>
      </c>
      <c r="CS50" s="230"/>
      <c r="CT50" s="231"/>
      <c r="CU50" s="231"/>
      <c r="CV50" s="231"/>
      <c r="CW50" s="231"/>
      <c r="CY50" s="231"/>
      <c r="CZ50" s="231"/>
      <c r="DA50" s="231"/>
      <c r="DB50" s="231">
        <f>IF(SUM(DB$24:DB49)=DB$22,0,IF(AND($K50&gt;=DB$15,$K50&lt;(DB$16+1)),DB$22/(DB$16-DB$15+1),0))</f>
        <v>0</v>
      </c>
      <c r="DC50" s="231">
        <f t="shared" ref="DC50:DO59" si="41">IF(AND($K50&gt;=DC$15,$K50&lt;(DC$16+1)),DC$22/(DC$16-DC$15+1),0)</f>
        <v>0</v>
      </c>
      <c r="DD50" s="231">
        <f t="shared" si="41"/>
        <v>0</v>
      </c>
      <c r="DE50" s="231">
        <f t="shared" si="41"/>
        <v>0</v>
      </c>
      <c r="DF50" s="231">
        <f t="shared" si="41"/>
        <v>0</v>
      </c>
      <c r="DG50" s="231">
        <f t="shared" si="41"/>
        <v>0</v>
      </c>
      <c r="DH50" s="231">
        <f t="shared" si="41"/>
        <v>0</v>
      </c>
      <c r="DI50" s="231">
        <f t="shared" si="41"/>
        <v>0</v>
      </c>
      <c r="DJ50" s="231">
        <f t="shared" si="41"/>
        <v>0</v>
      </c>
      <c r="DK50" s="231">
        <f t="shared" si="41"/>
        <v>0</v>
      </c>
      <c r="DL50" s="231">
        <f t="shared" si="41"/>
        <v>0</v>
      </c>
      <c r="DM50" s="231">
        <f t="shared" si="41"/>
        <v>0</v>
      </c>
      <c r="DN50" s="231">
        <f t="shared" si="41"/>
        <v>0</v>
      </c>
      <c r="DO50" s="231">
        <f t="shared" si="41"/>
        <v>0</v>
      </c>
      <c r="DP50" s="231">
        <f>'Offshore CF'!DR50</f>
        <v>0</v>
      </c>
      <c r="DQ50" s="231">
        <f>'Offshore CF'!DS50</f>
        <v>0.29866666666666669</v>
      </c>
      <c r="DR50" s="231">
        <f ca="1">IF(SUM(DR$24:DR49)=DR$22,0,IF(AND($K50&gt;=DR$15,$K50&lt;(DR$16+1)),DR$22/(DR$16-DR$15+1),0))</f>
        <v>0</v>
      </c>
      <c r="DS50" s="231" t="e">
        <f ca="1">IF(SUM(DS$24:DS49)=DS$22,0,IF(AND($K50&gt;=DS$15,$K50&lt;(DS$16+1)),DS$22/(DS$16-DS$15+1),0))</f>
        <v>#REF!</v>
      </c>
      <c r="DT50" s="231" t="e">
        <f ca="1">IF(SUM(DT$24:DT49)=DT$22,0,IF(AND(K50&gt;=DT$15,K50&lt;(DT$16+1)),DT$22/(DT$16-DT$15+1),0))</f>
        <v>#REF!</v>
      </c>
      <c r="DU50" s="231" t="e">
        <f ca="1">IF(SUM(DU$24:DU49)=DU$22,0,IF(AND($K50&gt;=DU$15,$K50&lt;(DU$16+1)),DU$22/(DU$16-DU$15+1),0))</f>
        <v>#REF!</v>
      </c>
      <c r="DV50" s="231">
        <f ca="1">IF(SUM(DV$24:DV49)=DV$22,0,IF(AND($K50&gt;=DV$15,$K50&lt;(DV$16+1)),DV$22/(DV$16-DV$15+1),0))</f>
        <v>0</v>
      </c>
      <c r="DW50" s="231">
        <f ca="1">IF(SUM(DW$24:DW49)=DW$22,0,IF(AND($K50&gt;=DW$15,$K50&lt;(DW$16+1)),DW$22/(DW$16-DW$15+1),0))</f>
        <v>0</v>
      </c>
      <c r="DX50" s="231">
        <f ca="1">IF(SUM(DX$24:DX49)=DX$22,0,IF(AND($K50&gt;=DX$15,$K50&lt;(DX$16+1)),DX$22/(DX$16-DX$15+1),0))</f>
        <v>0</v>
      </c>
      <c r="DY50" s="231">
        <f ca="1">IF(SUM(DY$24:DY49)=DY$22,0,IF(AND($K50&gt;=DY$15,$K50&lt;(DY$16+1)),DY$22/(DY$16-DY$15+1),0))</f>
        <v>0</v>
      </c>
      <c r="EA50" s="749">
        <f t="shared" si="16"/>
        <v>27</v>
      </c>
      <c r="EB50" s="749" t="e">
        <f t="shared" ca="1" si="17"/>
        <v>#REF!</v>
      </c>
      <c r="EC50" s="750" t="e">
        <f t="shared" ca="1" si="18"/>
        <v>#REF!</v>
      </c>
      <c r="ED50" s="749" t="e">
        <f t="shared" ca="1" si="28"/>
        <v>#N/A</v>
      </c>
      <c r="EE50" s="749"/>
      <c r="EF50" s="749"/>
      <c r="EG50" s="749"/>
      <c r="EH50" s="749"/>
      <c r="EI50" s="714" t="e">
        <f t="shared" ca="1" si="19"/>
        <v>#REF!</v>
      </c>
      <c r="EJ50" s="231" t="e">
        <f ca="1">IF(SUM(EJ$24:EJ49)=EJ$22,0,IF(AND($K50&gt;=EJ$15,$K50&lt;(EJ$16+1)),EJ$22/(EJ$16-EJ$15+1),0))</f>
        <v>#REF!</v>
      </c>
      <c r="EK50" s="714" t="e">
        <f t="shared" ca="1" si="24"/>
        <v>#REF!</v>
      </c>
      <c r="EM50" s="60"/>
      <c r="EN50" s="60"/>
    </row>
    <row r="51" spans="1:144">
      <c r="A51" s="220"/>
      <c r="B51" s="236">
        <f t="shared" si="20"/>
        <v>28</v>
      </c>
      <c r="C51" s="221">
        <f t="shared" si="21"/>
        <v>44292.250900000043</v>
      </c>
      <c r="D51" s="746" t="e">
        <f t="shared" ca="1" si="22"/>
        <v>#DIV/0!</v>
      </c>
      <c r="E51" s="747" t="e">
        <f t="shared" ca="1" si="25"/>
        <v>#DIV/0!</v>
      </c>
      <c r="F51" s="748" t="e">
        <f ca="1">IF(F50=0,0,SUM($G$24:G51))</f>
        <v>#DIV/0!</v>
      </c>
      <c r="G51" s="225" t="e">
        <f t="shared" ca="1" si="5"/>
        <v>#DIV/0!</v>
      </c>
      <c r="H51" s="746">
        <f t="shared" ca="1" si="23"/>
        <v>0</v>
      </c>
      <c r="I51" s="2"/>
      <c r="J51" s="236"/>
      <c r="K51" s="236">
        <f t="shared" si="6"/>
        <v>28</v>
      </c>
      <c r="L51" s="221">
        <f t="shared" si="7"/>
        <v>44292.250900000043</v>
      </c>
      <c r="M51" s="229">
        <f t="shared" si="36"/>
        <v>0</v>
      </c>
      <c r="N51" s="229">
        <f t="shared" si="36"/>
        <v>0</v>
      </c>
      <c r="O51" s="229">
        <f t="shared" si="36"/>
        <v>0</v>
      </c>
      <c r="P51" s="229">
        <f t="shared" si="36"/>
        <v>0</v>
      </c>
      <c r="Q51" s="229">
        <f t="shared" si="36"/>
        <v>0</v>
      </c>
      <c r="R51" s="229">
        <f t="shared" si="35"/>
        <v>0</v>
      </c>
      <c r="S51" s="229">
        <f t="shared" si="35"/>
        <v>0</v>
      </c>
      <c r="T51" s="229">
        <f t="shared" si="35"/>
        <v>0</v>
      </c>
      <c r="U51" s="229">
        <f t="shared" si="36"/>
        <v>0</v>
      </c>
      <c r="V51" s="229">
        <f t="shared" si="36"/>
        <v>0</v>
      </c>
      <c r="W51" s="229">
        <f t="shared" si="36"/>
        <v>0</v>
      </c>
      <c r="X51" s="229">
        <f t="shared" si="36"/>
        <v>0</v>
      </c>
      <c r="Y51" s="229">
        <f t="shared" si="36"/>
        <v>0</v>
      </c>
      <c r="Z51" s="229">
        <f t="shared" si="36"/>
        <v>0</v>
      </c>
      <c r="AA51" s="229">
        <f t="shared" si="36"/>
        <v>0</v>
      </c>
      <c r="AB51" s="229">
        <f t="shared" si="36"/>
        <v>0</v>
      </c>
      <c r="AC51" s="229">
        <f t="shared" si="36"/>
        <v>0</v>
      </c>
      <c r="AD51" s="229">
        <f t="shared" ref="P51:AD61" si="42">IF($K51=AD$13,AD$22*AD$3,IF($K51=AD$14,AD$22*AD$4,IF($K51=AD$15,AD$22*AD$5,IF($K51=AD$16,AD$22*AD$6,IF($K51=AD$17,AD$22*AD$7,IF($K51=AD$18,AD$22*AD$8,IF($K51=AD$19,AD$22*AD$9,IF($K51=AD$20,AD$22*AD$10,0))))))))</f>
        <v>0</v>
      </c>
      <c r="AE51" s="229">
        <f t="shared" si="36"/>
        <v>0</v>
      </c>
      <c r="AF51" s="229">
        <f t="shared" si="36"/>
        <v>0</v>
      </c>
      <c r="AG51" s="229">
        <f t="shared" si="36"/>
        <v>0</v>
      </c>
      <c r="AH51" s="229">
        <f t="shared" si="36"/>
        <v>0</v>
      </c>
      <c r="AI51" s="229">
        <f t="shared" si="36"/>
        <v>0</v>
      </c>
      <c r="AJ51" s="229">
        <f t="shared" si="36"/>
        <v>0</v>
      </c>
      <c r="AK51" s="229">
        <f t="shared" si="36"/>
        <v>0</v>
      </c>
      <c r="AL51" s="229">
        <f t="shared" si="36"/>
        <v>0</v>
      </c>
      <c r="AM51" s="229">
        <f t="shared" si="36"/>
        <v>0</v>
      </c>
      <c r="AN51" s="229">
        <f t="shared" si="36"/>
        <v>0</v>
      </c>
      <c r="AO51" s="229">
        <f t="shared" si="36"/>
        <v>0</v>
      </c>
      <c r="AP51" s="229">
        <f t="shared" si="36"/>
        <v>0</v>
      </c>
      <c r="AQ51" s="229">
        <f t="shared" si="36"/>
        <v>0</v>
      </c>
      <c r="AR51" s="229">
        <f t="shared" si="37"/>
        <v>0</v>
      </c>
      <c r="AS51" s="229">
        <f t="shared" si="37"/>
        <v>0</v>
      </c>
      <c r="AT51" s="229">
        <f t="shared" si="37"/>
        <v>0</v>
      </c>
      <c r="AU51" s="229">
        <f t="shared" si="37"/>
        <v>0</v>
      </c>
      <c r="AV51" s="229">
        <f t="shared" si="37"/>
        <v>0</v>
      </c>
      <c r="AW51" s="229">
        <f t="shared" si="37"/>
        <v>0</v>
      </c>
      <c r="AX51" s="229">
        <f t="shared" si="37"/>
        <v>0</v>
      </c>
      <c r="AY51" s="229">
        <f t="shared" si="37"/>
        <v>0</v>
      </c>
      <c r="AZ51" s="229">
        <f t="shared" si="37"/>
        <v>0</v>
      </c>
      <c r="BA51" s="229">
        <f t="shared" si="37"/>
        <v>0</v>
      </c>
      <c r="BB51" s="229">
        <f t="shared" si="37"/>
        <v>0</v>
      </c>
      <c r="BC51" s="229">
        <f t="shared" si="38"/>
        <v>0</v>
      </c>
      <c r="BD51" s="229">
        <f t="shared" si="38"/>
        <v>0</v>
      </c>
      <c r="BE51" s="229">
        <f t="shared" si="38"/>
        <v>0</v>
      </c>
      <c r="BF51" s="229">
        <f t="shared" si="38"/>
        <v>0</v>
      </c>
      <c r="BG51" s="229">
        <f t="shared" si="38"/>
        <v>0</v>
      </c>
      <c r="BH51" s="229">
        <f t="shared" si="38"/>
        <v>0</v>
      </c>
      <c r="BI51" s="229">
        <f t="shared" si="38"/>
        <v>0</v>
      </c>
      <c r="BJ51" s="229">
        <f t="shared" si="38"/>
        <v>0</v>
      </c>
      <c r="BK51" s="229">
        <f t="shared" si="38"/>
        <v>0</v>
      </c>
      <c r="BL51" s="229">
        <f t="shared" si="38"/>
        <v>0</v>
      </c>
      <c r="BM51" s="229">
        <f t="shared" si="39"/>
        <v>0</v>
      </c>
      <c r="BN51" s="229">
        <f t="shared" si="39"/>
        <v>0</v>
      </c>
      <c r="BO51" s="229">
        <f t="shared" si="39"/>
        <v>0</v>
      </c>
      <c r="BP51" s="229">
        <f t="shared" si="39"/>
        <v>0</v>
      </c>
      <c r="BQ51" s="229">
        <f t="shared" si="39"/>
        <v>0</v>
      </c>
      <c r="BR51" s="229">
        <f t="shared" si="39"/>
        <v>0</v>
      </c>
      <c r="BS51" s="229">
        <f t="shared" si="39"/>
        <v>0</v>
      </c>
      <c r="BT51" s="229">
        <f t="shared" si="39"/>
        <v>0</v>
      </c>
      <c r="BU51" s="229">
        <f t="shared" si="39"/>
        <v>0</v>
      </c>
      <c r="BV51" s="229">
        <f t="shared" si="39"/>
        <v>0</v>
      </c>
      <c r="BW51" s="229">
        <f t="shared" si="39"/>
        <v>0</v>
      </c>
      <c r="BX51" s="229">
        <f t="shared" si="39"/>
        <v>0</v>
      </c>
      <c r="BY51" s="229">
        <f t="shared" si="39"/>
        <v>0</v>
      </c>
      <c r="BZ51" s="229">
        <f t="shared" si="39"/>
        <v>0</v>
      </c>
      <c r="CA51" s="229">
        <f t="shared" si="39"/>
        <v>0</v>
      </c>
      <c r="CB51" s="229">
        <f t="shared" si="40"/>
        <v>0</v>
      </c>
      <c r="CC51" s="229">
        <f t="shared" si="40"/>
        <v>0</v>
      </c>
      <c r="CD51" s="229">
        <f t="shared" si="40"/>
        <v>0</v>
      </c>
      <c r="CE51" s="229">
        <f t="shared" si="40"/>
        <v>0</v>
      </c>
      <c r="CF51" s="229">
        <f t="shared" si="40"/>
        <v>0</v>
      </c>
      <c r="CG51" s="229">
        <f t="shared" si="40"/>
        <v>0</v>
      </c>
      <c r="CH51" s="229">
        <f t="shared" si="40"/>
        <v>0</v>
      </c>
      <c r="CI51" s="229">
        <f t="shared" si="40"/>
        <v>0</v>
      </c>
      <c r="CJ51" s="229">
        <f t="shared" si="40"/>
        <v>0</v>
      </c>
      <c r="CK51" s="229">
        <f t="shared" si="40"/>
        <v>0</v>
      </c>
      <c r="CL51" s="229">
        <f t="shared" si="40"/>
        <v>0</v>
      </c>
      <c r="CM51" s="229">
        <f t="shared" si="40"/>
        <v>0</v>
      </c>
      <c r="CN51" s="229">
        <f t="shared" si="40"/>
        <v>0</v>
      </c>
      <c r="CO51" s="229">
        <f t="shared" si="40"/>
        <v>0</v>
      </c>
      <c r="CP51" s="229">
        <f t="shared" si="40"/>
        <v>0</v>
      </c>
      <c r="CQ51" s="229">
        <f t="shared" si="40"/>
        <v>0</v>
      </c>
      <c r="CR51" s="229">
        <f t="shared" si="40"/>
        <v>0</v>
      </c>
      <c r="CS51" s="230"/>
      <c r="CT51" s="231"/>
      <c r="CU51" s="231"/>
      <c r="CV51" s="231"/>
      <c r="CW51" s="231"/>
      <c r="CY51" s="231"/>
      <c r="CZ51" s="231"/>
      <c r="DA51" s="231" t="e">
        <f ca="1">IF(SUM(DA$32:DA50)&gt;=DA$22,0,DA$22/(DA$13*4))</f>
        <v>#N/A</v>
      </c>
      <c r="DB51" s="231">
        <f>IF(SUM(DB$24:DB50)=DB$22,0,IF(AND($K51&gt;=DB$15,$K51&lt;(DB$16+1)),DB$22/(DB$16-DB$15+1),0))</f>
        <v>0</v>
      </c>
      <c r="DC51" s="231">
        <f t="shared" si="41"/>
        <v>0</v>
      </c>
      <c r="DD51" s="231">
        <f t="shared" si="41"/>
        <v>0</v>
      </c>
      <c r="DE51" s="231">
        <f t="shared" si="41"/>
        <v>0</v>
      </c>
      <c r="DF51" s="231">
        <f t="shared" si="41"/>
        <v>0</v>
      </c>
      <c r="DG51" s="231">
        <f t="shared" si="41"/>
        <v>0</v>
      </c>
      <c r="DH51" s="231">
        <f t="shared" si="41"/>
        <v>0</v>
      </c>
      <c r="DI51" s="231">
        <f t="shared" si="41"/>
        <v>0</v>
      </c>
      <c r="DJ51" s="231">
        <f t="shared" si="41"/>
        <v>0</v>
      </c>
      <c r="DK51" s="231">
        <f t="shared" si="41"/>
        <v>0</v>
      </c>
      <c r="DL51" s="231">
        <f t="shared" si="41"/>
        <v>0</v>
      </c>
      <c r="DM51" s="231">
        <f t="shared" si="41"/>
        <v>0</v>
      </c>
      <c r="DN51" s="231">
        <f t="shared" si="41"/>
        <v>0</v>
      </c>
      <c r="DO51" s="231">
        <f t="shared" si="41"/>
        <v>0</v>
      </c>
      <c r="DP51" s="231">
        <f>'Offshore CF'!DR51</f>
        <v>0</v>
      </c>
      <c r="DQ51" s="231">
        <f>'Offshore CF'!DS51</f>
        <v>0.29866666666666669</v>
      </c>
      <c r="DR51" s="231">
        <f ca="1">IF(SUM(DR$24:DR50)=DR$22,0,IF(AND($K51&gt;=DR$15,$K51&lt;(DR$16+1)),DR$22/(DR$16-DR$15+1),0))</f>
        <v>0</v>
      </c>
      <c r="DS51" s="231" t="e">
        <f ca="1">IF(SUM(DS$24:DS50)=DS$22,0,IF(AND($K51&gt;=DS$15,$K51&lt;(DS$16+1)),DS$22/(DS$16-DS$15+1),0))</f>
        <v>#REF!</v>
      </c>
      <c r="DT51" s="231" t="e">
        <f ca="1">IF(SUM(DT$24:DT50)=DT$22,0,IF(AND(K51&gt;=DT$15,K51&lt;(DT$16+1)),DT$22/(DT$16-DT$15+1),0))</f>
        <v>#REF!</v>
      </c>
      <c r="DU51" s="231" t="e">
        <f ca="1">IF(SUM(DU$24:DU50)=DU$22,0,IF(AND($K51&gt;=DU$15,$K51&lt;(DU$16+1)),DU$22/(DU$16-DU$15+1),0))</f>
        <v>#REF!</v>
      </c>
      <c r="DV51" s="231">
        <f ca="1">IF(SUM(DV$24:DV50)=DV$22,0,IF(AND($K51&gt;=DV$15,$K51&lt;(DV$16+1)),DV$22/(DV$16-DV$15+1),0))</f>
        <v>0</v>
      </c>
      <c r="DW51" s="231">
        <f ca="1">IF(SUM(DW$24:DW50)=DW$22,0,IF(AND($K51&gt;=DW$15,$K51&lt;(DW$16+1)),DW$22/(DW$16-DW$15+1),0))</f>
        <v>0</v>
      </c>
      <c r="DX51" s="231">
        <f ca="1">IF(SUM(DX$24:DX50)=DX$22,0,IF(AND($K51&gt;=DX$15,$K51&lt;(DX$16+1)),DX$22/(DX$16-DX$15+1),0))</f>
        <v>0</v>
      </c>
      <c r="DY51" s="231">
        <f ca="1">IF(SUM(DY$24:DY50)=DY$22,0,IF(AND($K51&gt;=DY$15,$K51&lt;(DY$16+1)),DY$22/(DY$16-DY$15+1),0))</f>
        <v>0</v>
      </c>
      <c r="EA51" s="751">
        <f t="shared" si="16"/>
        <v>28</v>
      </c>
      <c r="EB51" s="751" t="e">
        <f t="shared" ca="1" si="17"/>
        <v>#N/A</v>
      </c>
      <c r="EC51" s="752" t="e">
        <f t="shared" ca="1" si="18"/>
        <v>#N/A</v>
      </c>
      <c r="ED51" s="749" t="e">
        <f t="shared" ca="1" si="28"/>
        <v>#REF!</v>
      </c>
      <c r="EE51" s="749"/>
      <c r="EF51" s="749"/>
      <c r="EG51" s="749"/>
      <c r="EH51" s="749"/>
      <c r="EI51" s="699" t="e">
        <f t="shared" ca="1" si="19"/>
        <v>#N/A</v>
      </c>
      <c r="EJ51" s="231" t="e">
        <f ca="1">IF(SUM(EJ$24:EJ50)=EJ$22,0,IF(AND($K51&gt;=EJ$15,$K51&lt;(EJ$16+1)),EJ$22/(EJ$16-EJ$15+1),0))</f>
        <v>#REF!</v>
      </c>
      <c r="EK51" s="699" t="e">
        <f t="shared" ca="1" si="24"/>
        <v>#N/A</v>
      </c>
      <c r="EM51" s="2"/>
      <c r="EN51" s="2"/>
    </row>
    <row r="52" spans="1:144">
      <c r="A52" s="220"/>
      <c r="B52" s="236">
        <f t="shared" si="20"/>
        <v>29</v>
      </c>
      <c r="C52" s="221">
        <f t="shared" si="21"/>
        <v>44322.667600000044</v>
      </c>
      <c r="D52" s="746" t="e">
        <f t="shared" ca="1" si="22"/>
        <v>#DIV/0!</v>
      </c>
      <c r="E52" s="747" t="e">
        <f t="shared" ca="1" si="25"/>
        <v>#DIV/0!</v>
      </c>
      <c r="F52" s="748" t="e">
        <f ca="1">IF(F51=0,0,SUM($G$24:G52))</f>
        <v>#DIV/0!</v>
      </c>
      <c r="G52" s="225" t="e">
        <f t="shared" ca="1" si="5"/>
        <v>#DIV/0!</v>
      </c>
      <c r="H52" s="746">
        <f t="shared" ca="1" si="23"/>
        <v>0</v>
      </c>
      <c r="I52" s="60"/>
      <c r="J52" s="228"/>
      <c r="K52" s="228">
        <f t="shared" si="6"/>
        <v>29</v>
      </c>
      <c r="L52" s="221">
        <f t="shared" si="7"/>
        <v>44322.667600000044</v>
      </c>
      <c r="M52" s="229">
        <f t="shared" si="36"/>
        <v>0</v>
      </c>
      <c r="N52" s="229">
        <f t="shared" si="36"/>
        <v>0</v>
      </c>
      <c r="O52" s="229">
        <f t="shared" si="36"/>
        <v>0</v>
      </c>
      <c r="P52" s="229">
        <f t="shared" si="42"/>
        <v>0</v>
      </c>
      <c r="Q52" s="229">
        <f t="shared" si="42"/>
        <v>0</v>
      </c>
      <c r="R52" s="229">
        <f t="shared" si="42"/>
        <v>0</v>
      </c>
      <c r="S52" s="229">
        <f t="shared" si="42"/>
        <v>0</v>
      </c>
      <c r="T52" s="229">
        <f t="shared" si="42"/>
        <v>0</v>
      </c>
      <c r="U52" s="229">
        <f t="shared" si="42"/>
        <v>0</v>
      </c>
      <c r="V52" s="229">
        <f t="shared" si="42"/>
        <v>0</v>
      </c>
      <c r="W52" s="229">
        <f t="shared" si="42"/>
        <v>0</v>
      </c>
      <c r="X52" s="229">
        <f t="shared" si="42"/>
        <v>0</v>
      </c>
      <c r="Y52" s="229">
        <f t="shared" si="42"/>
        <v>0</v>
      </c>
      <c r="Z52" s="229">
        <f t="shared" si="42"/>
        <v>0</v>
      </c>
      <c r="AA52" s="229">
        <f t="shared" si="42"/>
        <v>0</v>
      </c>
      <c r="AB52" s="229">
        <f t="shared" si="42"/>
        <v>0</v>
      </c>
      <c r="AC52" s="229">
        <f t="shared" si="42"/>
        <v>0</v>
      </c>
      <c r="AD52" s="229">
        <f t="shared" si="42"/>
        <v>0</v>
      </c>
      <c r="AE52" s="229">
        <f t="shared" si="36"/>
        <v>0</v>
      </c>
      <c r="AF52" s="229">
        <f t="shared" si="36"/>
        <v>0</v>
      </c>
      <c r="AG52" s="229">
        <f t="shared" si="36"/>
        <v>0</v>
      </c>
      <c r="AH52" s="229">
        <f t="shared" si="36"/>
        <v>0</v>
      </c>
      <c r="AI52" s="229">
        <f t="shared" si="36"/>
        <v>0</v>
      </c>
      <c r="AJ52" s="229">
        <f t="shared" si="36"/>
        <v>0</v>
      </c>
      <c r="AK52" s="229">
        <f t="shared" si="36"/>
        <v>0</v>
      </c>
      <c r="AL52" s="229">
        <f t="shared" si="36"/>
        <v>0</v>
      </c>
      <c r="AM52" s="229">
        <f t="shared" si="36"/>
        <v>0</v>
      </c>
      <c r="AN52" s="229">
        <f t="shared" si="36"/>
        <v>0</v>
      </c>
      <c r="AO52" s="229">
        <f t="shared" si="36"/>
        <v>0</v>
      </c>
      <c r="AP52" s="229">
        <f t="shared" si="36"/>
        <v>0</v>
      </c>
      <c r="AQ52" s="229">
        <f t="shared" si="36"/>
        <v>0</v>
      </c>
      <c r="AR52" s="229">
        <f t="shared" si="37"/>
        <v>0</v>
      </c>
      <c r="AS52" s="229">
        <f t="shared" si="37"/>
        <v>0</v>
      </c>
      <c r="AT52" s="229">
        <f t="shared" si="37"/>
        <v>0</v>
      </c>
      <c r="AU52" s="229">
        <f t="shared" si="37"/>
        <v>0</v>
      </c>
      <c r="AV52" s="229">
        <f t="shared" si="37"/>
        <v>0</v>
      </c>
      <c r="AW52" s="229">
        <f t="shared" si="37"/>
        <v>0</v>
      </c>
      <c r="AX52" s="229">
        <f t="shared" si="37"/>
        <v>0</v>
      </c>
      <c r="AY52" s="229">
        <f t="shared" si="37"/>
        <v>0</v>
      </c>
      <c r="AZ52" s="229">
        <f t="shared" si="37"/>
        <v>0</v>
      </c>
      <c r="BA52" s="229">
        <f t="shared" si="37"/>
        <v>0</v>
      </c>
      <c r="BB52" s="229">
        <f t="shared" si="37"/>
        <v>0</v>
      </c>
      <c r="BC52" s="229">
        <f t="shared" si="38"/>
        <v>0</v>
      </c>
      <c r="BD52" s="229">
        <f t="shared" si="38"/>
        <v>0</v>
      </c>
      <c r="BE52" s="229">
        <f t="shared" si="38"/>
        <v>0</v>
      </c>
      <c r="BF52" s="229">
        <f t="shared" si="38"/>
        <v>0</v>
      </c>
      <c r="BG52" s="229">
        <f t="shared" si="38"/>
        <v>0</v>
      </c>
      <c r="BH52" s="229">
        <f t="shared" si="38"/>
        <v>0</v>
      </c>
      <c r="BI52" s="229">
        <f t="shared" si="38"/>
        <v>0</v>
      </c>
      <c r="BJ52" s="229">
        <f t="shared" si="38"/>
        <v>0</v>
      </c>
      <c r="BK52" s="229">
        <f t="shared" si="38"/>
        <v>0</v>
      </c>
      <c r="BL52" s="229">
        <f t="shared" si="38"/>
        <v>0</v>
      </c>
      <c r="BM52" s="229">
        <f t="shared" si="39"/>
        <v>0</v>
      </c>
      <c r="BN52" s="229">
        <f t="shared" si="39"/>
        <v>0</v>
      </c>
      <c r="BO52" s="229">
        <f t="shared" si="39"/>
        <v>0</v>
      </c>
      <c r="BP52" s="229">
        <f t="shared" si="39"/>
        <v>0</v>
      </c>
      <c r="BQ52" s="229">
        <f t="shared" si="39"/>
        <v>0</v>
      </c>
      <c r="BR52" s="229">
        <f t="shared" si="39"/>
        <v>0</v>
      </c>
      <c r="BS52" s="229">
        <f t="shared" si="39"/>
        <v>0</v>
      </c>
      <c r="BT52" s="229">
        <f t="shared" si="39"/>
        <v>0</v>
      </c>
      <c r="BU52" s="229">
        <f t="shared" si="39"/>
        <v>0</v>
      </c>
      <c r="BV52" s="229">
        <f t="shared" si="39"/>
        <v>0</v>
      </c>
      <c r="BW52" s="229">
        <f t="shared" si="39"/>
        <v>0</v>
      </c>
      <c r="BX52" s="229">
        <f t="shared" si="39"/>
        <v>0</v>
      </c>
      <c r="BY52" s="229">
        <f t="shared" si="39"/>
        <v>0</v>
      </c>
      <c r="BZ52" s="229">
        <f t="shared" si="39"/>
        <v>0</v>
      </c>
      <c r="CA52" s="229">
        <f t="shared" si="39"/>
        <v>0</v>
      </c>
      <c r="CB52" s="229">
        <f t="shared" si="40"/>
        <v>0</v>
      </c>
      <c r="CC52" s="229">
        <f t="shared" si="40"/>
        <v>0</v>
      </c>
      <c r="CD52" s="229">
        <f t="shared" si="40"/>
        <v>0</v>
      </c>
      <c r="CE52" s="229">
        <f t="shared" si="40"/>
        <v>0</v>
      </c>
      <c r="CF52" s="229">
        <f t="shared" si="40"/>
        <v>0</v>
      </c>
      <c r="CG52" s="229">
        <f t="shared" si="40"/>
        <v>0</v>
      </c>
      <c r="CH52" s="229">
        <f t="shared" si="40"/>
        <v>0</v>
      </c>
      <c r="CI52" s="229">
        <f t="shared" si="40"/>
        <v>0</v>
      </c>
      <c r="CJ52" s="229">
        <f t="shared" si="40"/>
        <v>0</v>
      </c>
      <c r="CK52" s="229">
        <f t="shared" si="40"/>
        <v>0</v>
      </c>
      <c r="CL52" s="229">
        <f t="shared" si="40"/>
        <v>0</v>
      </c>
      <c r="CM52" s="229">
        <f t="shared" si="40"/>
        <v>0</v>
      </c>
      <c r="CN52" s="229">
        <f t="shared" si="40"/>
        <v>0</v>
      </c>
      <c r="CO52" s="229">
        <f t="shared" si="40"/>
        <v>0</v>
      </c>
      <c r="CP52" s="229">
        <f t="shared" si="40"/>
        <v>0</v>
      </c>
      <c r="CQ52" s="229">
        <f t="shared" si="40"/>
        <v>0</v>
      </c>
      <c r="CR52" s="229">
        <f t="shared" si="40"/>
        <v>0</v>
      </c>
      <c r="CS52" s="230"/>
      <c r="CT52" s="231"/>
      <c r="CU52" s="231"/>
      <c r="CV52" s="231"/>
      <c r="CW52" s="231"/>
      <c r="CY52" s="231"/>
      <c r="CZ52" s="231"/>
      <c r="DA52" s="231"/>
      <c r="DB52" s="231">
        <f>IF(SUM(DB$24:DB51)=DB$22,0,IF(AND($K52&gt;=DB$15,$K52&lt;(DB$16+1)),DB$22/(DB$16-DB$15+1),0))</f>
        <v>0</v>
      </c>
      <c r="DC52" s="231">
        <f t="shared" si="41"/>
        <v>0</v>
      </c>
      <c r="DD52" s="231">
        <f t="shared" si="41"/>
        <v>0</v>
      </c>
      <c r="DE52" s="231">
        <f t="shared" si="41"/>
        <v>0</v>
      </c>
      <c r="DF52" s="231">
        <f t="shared" si="41"/>
        <v>0</v>
      </c>
      <c r="DG52" s="231">
        <f t="shared" si="41"/>
        <v>0</v>
      </c>
      <c r="DH52" s="231">
        <f t="shared" si="41"/>
        <v>0</v>
      </c>
      <c r="DI52" s="231">
        <f t="shared" si="41"/>
        <v>0</v>
      </c>
      <c r="DJ52" s="231">
        <f t="shared" si="41"/>
        <v>0</v>
      </c>
      <c r="DK52" s="231">
        <f t="shared" si="41"/>
        <v>0</v>
      </c>
      <c r="DL52" s="231">
        <f t="shared" si="41"/>
        <v>0</v>
      </c>
      <c r="DM52" s="231">
        <f t="shared" si="41"/>
        <v>0</v>
      </c>
      <c r="DN52" s="231">
        <f t="shared" si="41"/>
        <v>0</v>
      </c>
      <c r="DO52" s="231">
        <f t="shared" si="41"/>
        <v>0</v>
      </c>
      <c r="DP52" s="231">
        <f>'Offshore CF'!DR52</f>
        <v>0</v>
      </c>
      <c r="DQ52" s="231">
        <f>'Offshore CF'!DS52</f>
        <v>0.29866666666666669</v>
      </c>
      <c r="DR52" s="231">
        <f ca="1">IF(SUM(DR$24:DR51)=DR$22,0,IF(AND($K52&gt;=DR$15,$K52&lt;(DR$16+1)),DR$22/(DR$16-DR$15+1),0))</f>
        <v>0</v>
      </c>
      <c r="DS52" s="231" t="e">
        <f ca="1">IF(SUM(DS$24:DS51)=DS$22,0,IF(AND($K52&gt;=DS$15,$K52&lt;(DS$16+1)),DS$22/(DS$16-DS$15+1),0))</f>
        <v>#REF!</v>
      </c>
      <c r="DT52" s="231" t="e">
        <f ca="1">IF(SUM(DT$24:DT51)=DT$22,0,IF(AND(K52&gt;=DT$15,K52&lt;(DT$16+1)),DT$22/(DT$16-DT$15+1),0))</f>
        <v>#REF!</v>
      </c>
      <c r="DU52" s="231" t="e">
        <f ca="1">IF(SUM(DU$24:DU51)=DU$22,0,IF(AND($K52&gt;=DU$15,$K52&lt;(DU$16+1)),DU$22/(DU$16-DU$15+1),0))</f>
        <v>#REF!</v>
      </c>
      <c r="DV52" s="231">
        <f ca="1">IF(SUM(DV$24:DV51)=DV$22,0,IF(AND($K52&gt;=DV$15,$K52&lt;(DV$16+1)),DV$22/(DV$16-DV$15+1),0))</f>
        <v>0</v>
      </c>
      <c r="DW52" s="231">
        <f ca="1">IF(SUM(DW$24:DW51)=DW$22,0,IF(AND($K52&gt;=DW$15,$K52&lt;(DW$16+1)),DW$22/(DW$16-DW$15+1),0))</f>
        <v>0</v>
      </c>
      <c r="DX52" s="231">
        <f ca="1">IF(SUM(DX$24:DX51)=DX$22,0,IF(AND($K52&gt;=DX$15,$K52&lt;(DX$16+1)),DX$22/(DX$16-DX$15+1),0))</f>
        <v>0</v>
      </c>
      <c r="DY52" s="231">
        <f ca="1">IF(SUM(DY$24:DY51)=DY$22,0,IF(AND($K52&gt;=DY$15,$K52&lt;(DY$16+1)),DY$22/(DY$16-DY$15+1),0))</f>
        <v>0</v>
      </c>
      <c r="EA52" s="749">
        <f t="shared" si="16"/>
        <v>29</v>
      </c>
      <c r="EB52" s="749" t="e">
        <f t="shared" ca="1" si="17"/>
        <v>#REF!</v>
      </c>
      <c r="EC52" s="750" t="e">
        <f t="shared" ca="1" si="18"/>
        <v>#REF!</v>
      </c>
      <c r="ED52" s="749" t="e">
        <f t="shared" ca="1" si="28"/>
        <v>#REF!</v>
      </c>
      <c r="EE52" s="749"/>
      <c r="EF52" s="749"/>
      <c r="EG52" s="749"/>
      <c r="EH52" s="749"/>
      <c r="EI52" s="714" t="e">
        <f t="shared" ca="1" si="19"/>
        <v>#REF!</v>
      </c>
      <c r="EJ52" s="231" t="e">
        <f ca="1">IF(SUM(EJ$24:EJ51)=EJ$22,0,IF(AND($K52&gt;=EJ$15,$K52&lt;(EJ$16+1)),EJ$22/(EJ$16-EJ$15+1),0))</f>
        <v>#REF!</v>
      </c>
      <c r="EK52" s="714" t="e">
        <f t="shared" ca="1" si="24"/>
        <v>#REF!</v>
      </c>
      <c r="EM52" s="60"/>
      <c r="EN52" s="60"/>
    </row>
    <row r="53" spans="1:144">
      <c r="A53" s="220"/>
      <c r="B53" s="236">
        <f t="shared" si="20"/>
        <v>30</v>
      </c>
      <c r="C53" s="221">
        <f t="shared" si="21"/>
        <v>44353.084300000046</v>
      </c>
      <c r="D53" s="746" t="e">
        <f t="shared" ca="1" si="22"/>
        <v>#DIV/0!</v>
      </c>
      <c r="E53" s="747" t="e">
        <f t="shared" ca="1" si="25"/>
        <v>#DIV/0!</v>
      </c>
      <c r="F53" s="748" t="e">
        <f ca="1">IF(F52=0,0,SUM($G$24:G53))</f>
        <v>#DIV/0!</v>
      </c>
      <c r="G53" s="225" t="e">
        <f t="shared" ca="1" si="5"/>
        <v>#DIV/0!</v>
      </c>
      <c r="H53" s="746">
        <f t="shared" ca="1" si="23"/>
        <v>0</v>
      </c>
      <c r="I53" s="60"/>
      <c r="J53" s="228"/>
      <c r="K53" s="228">
        <f t="shared" si="6"/>
        <v>30</v>
      </c>
      <c r="L53" s="221">
        <f t="shared" si="7"/>
        <v>44353.084300000046</v>
      </c>
      <c r="M53" s="229">
        <f t="shared" si="36"/>
        <v>0</v>
      </c>
      <c r="N53" s="229">
        <f t="shared" si="36"/>
        <v>0</v>
      </c>
      <c r="O53" s="229">
        <f t="shared" si="36"/>
        <v>0</v>
      </c>
      <c r="P53" s="229">
        <f t="shared" si="42"/>
        <v>0</v>
      </c>
      <c r="Q53" s="229">
        <f t="shared" si="42"/>
        <v>0</v>
      </c>
      <c r="R53" s="229">
        <f t="shared" si="42"/>
        <v>0</v>
      </c>
      <c r="S53" s="229">
        <f t="shared" si="42"/>
        <v>0</v>
      </c>
      <c r="T53" s="229">
        <f t="shared" si="42"/>
        <v>0</v>
      </c>
      <c r="U53" s="229">
        <f t="shared" si="42"/>
        <v>0</v>
      </c>
      <c r="V53" s="229">
        <f t="shared" si="42"/>
        <v>0</v>
      </c>
      <c r="W53" s="229">
        <f t="shared" si="42"/>
        <v>0</v>
      </c>
      <c r="X53" s="229">
        <f t="shared" si="42"/>
        <v>0</v>
      </c>
      <c r="Y53" s="229">
        <f t="shared" si="42"/>
        <v>0</v>
      </c>
      <c r="Z53" s="229">
        <f t="shared" si="42"/>
        <v>0</v>
      </c>
      <c r="AA53" s="229">
        <f t="shared" si="42"/>
        <v>0</v>
      </c>
      <c r="AB53" s="229">
        <f t="shared" si="42"/>
        <v>0</v>
      </c>
      <c r="AC53" s="229">
        <f t="shared" si="42"/>
        <v>0</v>
      </c>
      <c r="AD53" s="229">
        <f t="shared" si="42"/>
        <v>0</v>
      </c>
      <c r="AE53" s="229">
        <f t="shared" si="36"/>
        <v>0</v>
      </c>
      <c r="AF53" s="229">
        <f t="shared" si="36"/>
        <v>0</v>
      </c>
      <c r="AG53" s="229">
        <f t="shared" si="36"/>
        <v>0</v>
      </c>
      <c r="AH53" s="229">
        <f t="shared" si="36"/>
        <v>0</v>
      </c>
      <c r="AI53" s="229">
        <f t="shared" si="36"/>
        <v>0</v>
      </c>
      <c r="AJ53" s="229">
        <f t="shared" si="36"/>
        <v>0</v>
      </c>
      <c r="AK53" s="229">
        <f t="shared" si="36"/>
        <v>0</v>
      </c>
      <c r="AL53" s="229">
        <f t="shared" si="36"/>
        <v>0</v>
      </c>
      <c r="AM53" s="229">
        <f t="shared" si="36"/>
        <v>0</v>
      </c>
      <c r="AN53" s="229">
        <f t="shared" si="36"/>
        <v>0</v>
      </c>
      <c r="AO53" s="229">
        <f t="shared" si="36"/>
        <v>0</v>
      </c>
      <c r="AP53" s="229">
        <f t="shared" si="36"/>
        <v>0</v>
      </c>
      <c r="AQ53" s="229">
        <f t="shared" si="36"/>
        <v>0</v>
      </c>
      <c r="AR53" s="229">
        <f t="shared" si="37"/>
        <v>0</v>
      </c>
      <c r="AS53" s="229">
        <f t="shared" si="37"/>
        <v>0</v>
      </c>
      <c r="AT53" s="229">
        <f t="shared" si="37"/>
        <v>0</v>
      </c>
      <c r="AU53" s="229">
        <f t="shared" si="37"/>
        <v>0</v>
      </c>
      <c r="AV53" s="229">
        <f t="shared" si="37"/>
        <v>0</v>
      </c>
      <c r="AW53" s="229">
        <f t="shared" si="37"/>
        <v>0</v>
      </c>
      <c r="AX53" s="229">
        <f t="shared" si="37"/>
        <v>0</v>
      </c>
      <c r="AY53" s="229">
        <f t="shared" si="37"/>
        <v>0</v>
      </c>
      <c r="AZ53" s="229">
        <f t="shared" si="37"/>
        <v>0</v>
      </c>
      <c r="BA53" s="229">
        <f t="shared" si="37"/>
        <v>0</v>
      </c>
      <c r="BB53" s="229">
        <f t="shared" si="37"/>
        <v>0</v>
      </c>
      <c r="BC53" s="229">
        <f t="shared" si="38"/>
        <v>0</v>
      </c>
      <c r="BD53" s="229">
        <f t="shared" si="38"/>
        <v>0</v>
      </c>
      <c r="BE53" s="229">
        <f t="shared" si="38"/>
        <v>0</v>
      </c>
      <c r="BF53" s="229">
        <f t="shared" si="38"/>
        <v>0</v>
      </c>
      <c r="BG53" s="229">
        <f t="shared" si="38"/>
        <v>0</v>
      </c>
      <c r="BH53" s="229">
        <f t="shared" si="38"/>
        <v>0</v>
      </c>
      <c r="BI53" s="229">
        <f t="shared" si="38"/>
        <v>0</v>
      </c>
      <c r="BJ53" s="229">
        <f t="shared" si="38"/>
        <v>0</v>
      </c>
      <c r="BK53" s="229">
        <f t="shared" si="38"/>
        <v>0</v>
      </c>
      <c r="BL53" s="229">
        <f t="shared" si="38"/>
        <v>0</v>
      </c>
      <c r="BM53" s="229">
        <f t="shared" si="39"/>
        <v>0</v>
      </c>
      <c r="BN53" s="229">
        <f t="shared" si="39"/>
        <v>0</v>
      </c>
      <c r="BO53" s="229">
        <f t="shared" si="39"/>
        <v>0</v>
      </c>
      <c r="BP53" s="229">
        <f t="shared" si="39"/>
        <v>0</v>
      </c>
      <c r="BQ53" s="229">
        <f t="shared" si="39"/>
        <v>0</v>
      </c>
      <c r="BR53" s="229">
        <f t="shared" si="39"/>
        <v>0</v>
      </c>
      <c r="BS53" s="229">
        <f t="shared" si="39"/>
        <v>0</v>
      </c>
      <c r="BT53" s="229">
        <f t="shared" si="39"/>
        <v>0</v>
      </c>
      <c r="BU53" s="229">
        <f t="shared" si="39"/>
        <v>0</v>
      </c>
      <c r="BV53" s="229">
        <f t="shared" si="39"/>
        <v>0</v>
      </c>
      <c r="BW53" s="229">
        <f t="shared" si="39"/>
        <v>0</v>
      </c>
      <c r="BX53" s="229">
        <f t="shared" si="39"/>
        <v>0</v>
      </c>
      <c r="BY53" s="229">
        <f t="shared" si="39"/>
        <v>0</v>
      </c>
      <c r="BZ53" s="229">
        <f t="shared" si="39"/>
        <v>0</v>
      </c>
      <c r="CA53" s="229">
        <f t="shared" si="39"/>
        <v>0</v>
      </c>
      <c r="CB53" s="229">
        <f t="shared" si="40"/>
        <v>0</v>
      </c>
      <c r="CC53" s="229">
        <f t="shared" si="40"/>
        <v>0</v>
      </c>
      <c r="CD53" s="229">
        <f t="shared" si="40"/>
        <v>0</v>
      </c>
      <c r="CE53" s="229">
        <f t="shared" si="40"/>
        <v>0</v>
      </c>
      <c r="CF53" s="229">
        <f t="shared" si="40"/>
        <v>0</v>
      </c>
      <c r="CG53" s="229">
        <f t="shared" si="40"/>
        <v>0</v>
      </c>
      <c r="CH53" s="229">
        <f t="shared" si="40"/>
        <v>0</v>
      </c>
      <c r="CI53" s="229">
        <f t="shared" si="40"/>
        <v>0</v>
      </c>
      <c r="CJ53" s="229">
        <f t="shared" si="40"/>
        <v>0</v>
      </c>
      <c r="CK53" s="229">
        <f t="shared" si="40"/>
        <v>0</v>
      </c>
      <c r="CL53" s="229">
        <f t="shared" si="40"/>
        <v>0</v>
      </c>
      <c r="CM53" s="229">
        <f t="shared" si="40"/>
        <v>0</v>
      </c>
      <c r="CN53" s="229">
        <f t="shared" si="40"/>
        <v>0</v>
      </c>
      <c r="CO53" s="229">
        <f t="shared" si="40"/>
        <v>0</v>
      </c>
      <c r="CP53" s="229">
        <f t="shared" si="40"/>
        <v>0</v>
      </c>
      <c r="CQ53" s="229">
        <f t="shared" si="40"/>
        <v>0</v>
      </c>
      <c r="CR53" s="229">
        <f t="shared" si="40"/>
        <v>0</v>
      </c>
      <c r="CS53" s="230"/>
      <c r="CT53" s="231"/>
      <c r="CU53" s="231"/>
      <c r="CV53" s="231"/>
      <c r="CW53" s="231"/>
      <c r="CY53" s="231"/>
      <c r="CZ53" s="231"/>
      <c r="DA53" s="231"/>
      <c r="DB53" s="231">
        <f>IF(SUM(DB$24:DB52)=DB$22,0,IF(AND($K53&gt;=DB$15,$K53&lt;(DB$16+1)),DB$22/(DB$16-DB$15+1),0))</f>
        <v>0</v>
      </c>
      <c r="DC53" s="231">
        <f t="shared" si="41"/>
        <v>0</v>
      </c>
      <c r="DD53" s="231">
        <f t="shared" si="41"/>
        <v>0</v>
      </c>
      <c r="DE53" s="231">
        <f t="shared" si="41"/>
        <v>0</v>
      </c>
      <c r="DF53" s="231">
        <f t="shared" si="41"/>
        <v>0</v>
      </c>
      <c r="DG53" s="231">
        <f t="shared" si="41"/>
        <v>0</v>
      </c>
      <c r="DH53" s="231">
        <f t="shared" si="41"/>
        <v>0</v>
      </c>
      <c r="DI53" s="231">
        <f t="shared" si="41"/>
        <v>0</v>
      </c>
      <c r="DJ53" s="231">
        <f t="shared" si="41"/>
        <v>0</v>
      </c>
      <c r="DK53" s="231">
        <f t="shared" si="41"/>
        <v>0</v>
      </c>
      <c r="DL53" s="231">
        <f t="shared" si="41"/>
        <v>0</v>
      </c>
      <c r="DM53" s="231">
        <f t="shared" si="41"/>
        <v>0</v>
      </c>
      <c r="DN53" s="231">
        <f t="shared" si="41"/>
        <v>0</v>
      </c>
      <c r="DO53" s="231">
        <f t="shared" si="41"/>
        <v>0</v>
      </c>
      <c r="DP53" s="231">
        <f>'Offshore CF'!DR53</f>
        <v>0</v>
      </c>
      <c r="DQ53" s="231">
        <f>'Offshore CF'!DS53</f>
        <v>0.29866666666666669</v>
      </c>
      <c r="DR53" s="231">
        <f ca="1">IF(SUM(DR$24:DR52)=DR$22,0,IF(AND($K53&gt;=DR$15,$K53&lt;(DR$16+1)),DR$22/(DR$16-DR$15+1),0))</f>
        <v>0</v>
      </c>
      <c r="DS53" s="231" t="e">
        <f ca="1">IF(SUM(DS$24:DS52)=DS$22,0,IF(AND($K53&gt;=DS$15,$K53&lt;(DS$16+1)),DS$22/(DS$16-DS$15+1),0))</f>
        <v>#REF!</v>
      </c>
      <c r="DT53" s="231" t="e">
        <f ca="1">IF(SUM(DT$24:DT52)=DT$22,0,IF(AND(K53&gt;=DT$15,K53&lt;(DT$16+1)),DT$22/(DT$16-DT$15+1),0))</f>
        <v>#REF!</v>
      </c>
      <c r="DU53" s="231" t="e">
        <f ca="1">IF(SUM(DU$24:DU52)=DU$22,0,IF(AND($K53&gt;=DU$15,$K53&lt;(DU$16+1)),DU$22/(DU$16-DU$15+1),0))</f>
        <v>#REF!</v>
      </c>
      <c r="DV53" s="231">
        <f ca="1">IF(SUM(DV$24:DV52)=DV$22,0,IF(AND($K53&gt;=DV$15,$K53&lt;(DV$16+1)),DV$22/(DV$16-DV$15+1),0))</f>
        <v>0</v>
      </c>
      <c r="DW53" s="231">
        <f ca="1">IF(SUM(DW$24:DW52)=DW$22,0,IF(AND($K53&gt;=DW$15,$K53&lt;(DW$16+1)),DW$22/(DW$16-DW$15+1),0))</f>
        <v>0</v>
      </c>
      <c r="DX53" s="231">
        <f ca="1">IF(SUM(DX$24:DX52)=DX$22,0,IF(AND($K53&gt;=DX$15,$K53&lt;(DX$16+1)),DX$22/(DX$16-DX$15+1),0))</f>
        <v>0</v>
      </c>
      <c r="DY53" s="231">
        <f ca="1">IF(SUM(DY$24:DY52)=DY$22,0,IF(AND($K53&gt;=DY$15,$K53&lt;(DY$16+1)),DY$22/(DY$16-DY$15+1),0))</f>
        <v>0</v>
      </c>
      <c r="EA53" s="749">
        <f t="shared" si="16"/>
        <v>30</v>
      </c>
      <c r="EB53" s="749" t="e">
        <f t="shared" ca="1" si="17"/>
        <v>#REF!</v>
      </c>
      <c r="EC53" s="750" t="e">
        <f t="shared" ca="1" si="18"/>
        <v>#REF!</v>
      </c>
      <c r="ED53" s="749" t="e">
        <f t="shared" ca="1" si="28"/>
        <v>#N/A</v>
      </c>
      <c r="EE53" s="749"/>
      <c r="EF53" s="749"/>
      <c r="EG53" s="749"/>
      <c r="EH53" s="749"/>
      <c r="EI53" s="714" t="e">
        <f t="shared" ca="1" si="19"/>
        <v>#REF!</v>
      </c>
      <c r="EJ53" s="231" t="e">
        <f ca="1">IF(SUM(EJ$24:EJ52)=EJ$22,0,IF(AND($K53&gt;=EJ$15,$K53&lt;(EJ$16+1)),EJ$22/(EJ$16-EJ$15+1),0))</f>
        <v>#REF!</v>
      </c>
      <c r="EK53" s="714" t="e">
        <f t="shared" ca="1" si="24"/>
        <v>#REF!</v>
      </c>
      <c r="EM53" s="60"/>
      <c r="EN53" s="60"/>
    </row>
    <row r="54" spans="1:144">
      <c r="A54" s="220"/>
      <c r="B54" s="236">
        <f t="shared" si="20"/>
        <v>31</v>
      </c>
      <c r="C54" s="221">
        <f t="shared" si="21"/>
        <v>44383.501000000047</v>
      </c>
      <c r="D54" s="746" t="e">
        <f t="shared" ca="1" si="22"/>
        <v>#DIV/0!</v>
      </c>
      <c r="E54" s="747" t="e">
        <f t="shared" ca="1" si="25"/>
        <v>#DIV/0!</v>
      </c>
      <c r="F54" s="748" t="e">
        <f ca="1">IF(F53=0,0,SUM($G$24:G54))</f>
        <v>#DIV/0!</v>
      </c>
      <c r="G54" s="225" t="e">
        <f t="shared" ca="1" si="5"/>
        <v>#DIV/0!</v>
      </c>
      <c r="H54" s="746">
        <f t="shared" ca="1" si="23"/>
        <v>0</v>
      </c>
      <c r="I54" s="2"/>
      <c r="J54" s="236"/>
      <c r="K54" s="236">
        <f t="shared" si="6"/>
        <v>31</v>
      </c>
      <c r="L54" s="221">
        <f t="shared" si="7"/>
        <v>44383.501000000047</v>
      </c>
      <c r="M54" s="229">
        <f t="shared" ref="M54:AQ63" si="43">IF($K54=M$13,M$22*M$3,IF($K54=M$14,M$22*M$4,IF($K54=M$15,M$22*M$5,IF($K54=M$16,M$22*M$6,IF($K54=M$17,M$22*M$7,IF($K54=M$18,M$22*M$8,IF($K54=M$19,M$22*M$9,IF($K54=M$20,M$22*M$10,0))))))))</f>
        <v>0</v>
      </c>
      <c r="N54" s="229">
        <f t="shared" si="43"/>
        <v>0</v>
      </c>
      <c r="O54" s="229">
        <f t="shared" si="43"/>
        <v>0</v>
      </c>
      <c r="P54" s="229">
        <f t="shared" si="43"/>
        <v>0</v>
      </c>
      <c r="Q54" s="229">
        <f t="shared" si="43"/>
        <v>0</v>
      </c>
      <c r="R54" s="229">
        <f t="shared" si="42"/>
        <v>0</v>
      </c>
      <c r="S54" s="229">
        <f t="shared" si="42"/>
        <v>0</v>
      </c>
      <c r="T54" s="229">
        <f t="shared" si="42"/>
        <v>0</v>
      </c>
      <c r="U54" s="229">
        <f t="shared" si="43"/>
        <v>0</v>
      </c>
      <c r="V54" s="229">
        <f t="shared" si="43"/>
        <v>0</v>
      </c>
      <c r="W54" s="229">
        <f t="shared" si="43"/>
        <v>0</v>
      </c>
      <c r="X54" s="229">
        <f t="shared" si="43"/>
        <v>0</v>
      </c>
      <c r="Y54" s="229">
        <f t="shared" si="43"/>
        <v>0</v>
      </c>
      <c r="Z54" s="229">
        <f t="shared" si="43"/>
        <v>0</v>
      </c>
      <c r="AA54" s="229">
        <f t="shared" si="43"/>
        <v>0</v>
      </c>
      <c r="AB54" s="229">
        <f t="shared" si="43"/>
        <v>0</v>
      </c>
      <c r="AC54" s="229">
        <f t="shared" si="43"/>
        <v>0</v>
      </c>
      <c r="AD54" s="229">
        <f t="shared" si="43"/>
        <v>0</v>
      </c>
      <c r="AE54" s="229">
        <f t="shared" si="43"/>
        <v>0</v>
      </c>
      <c r="AF54" s="229">
        <f t="shared" si="43"/>
        <v>0</v>
      </c>
      <c r="AG54" s="229">
        <f t="shared" si="43"/>
        <v>0</v>
      </c>
      <c r="AH54" s="229">
        <f t="shared" si="43"/>
        <v>0</v>
      </c>
      <c r="AI54" s="229">
        <f t="shared" si="43"/>
        <v>0</v>
      </c>
      <c r="AJ54" s="229">
        <f t="shared" si="43"/>
        <v>0</v>
      </c>
      <c r="AK54" s="229">
        <f t="shared" si="43"/>
        <v>0</v>
      </c>
      <c r="AL54" s="229">
        <f t="shared" si="43"/>
        <v>0</v>
      </c>
      <c r="AM54" s="229">
        <f t="shared" si="43"/>
        <v>0</v>
      </c>
      <c r="AN54" s="229">
        <f t="shared" si="43"/>
        <v>0</v>
      </c>
      <c r="AO54" s="229">
        <f t="shared" si="43"/>
        <v>0</v>
      </c>
      <c r="AP54" s="229">
        <f t="shared" si="43"/>
        <v>0</v>
      </c>
      <c r="AQ54" s="229">
        <f t="shared" si="43"/>
        <v>0</v>
      </c>
      <c r="AR54" s="229">
        <f t="shared" ref="AR54:BB63" si="44">IF($K54=AR$13,AR$22*AR$3,IF($K54=AR$14,AR$22*AR$4,IF($K54=AR$15,AR$22*AR$5,IF($K54=AR$16,AR$22*AR$6,IF($K54=AR$17,AR$22*AR$7,IF($K54=AR$18,AR$22*AR$8,IF($K54=AR$19,AR$22*AR$9,IF($K54=AR$20,AR$22*AR$10,0))))))))</f>
        <v>0</v>
      </c>
      <c r="AS54" s="229">
        <f t="shared" si="44"/>
        <v>0</v>
      </c>
      <c r="AT54" s="229">
        <f t="shared" si="44"/>
        <v>0</v>
      </c>
      <c r="AU54" s="229">
        <f t="shared" si="44"/>
        <v>0</v>
      </c>
      <c r="AV54" s="229">
        <f t="shared" si="44"/>
        <v>0</v>
      </c>
      <c r="AW54" s="229">
        <f t="shared" si="44"/>
        <v>0</v>
      </c>
      <c r="AX54" s="229">
        <f t="shared" si="44"/>
        <v>0</v>
      </c>
      <c r="AY54" s="229">
        <f t="shared" si="44"/>
        <v>0</v>
      </c>
      <c r="AZ54" s="229">
        <f t="shared" si="44"/>
        <v>0</v>
      </c>
      <c r="BA54" s="229">
        <f t="shared" si="44"/>
        <v>0</v>
      </c>
      <c r="BB54" s="229">
        <f t="shared" si="44"/>
        <v>0</v>
      </c>
      <c r="BC54" s="229">
        <f t="shared" ref="BC54:BL63" si="45">IF($K54=BC$13,BC$22*BC$3,IF($K54=BC$14,BC$22*BC$4,IF($K54=BC$15,BC$22*BC$5,IF($K54=BC$16,BC$22*BC$6,IF($K54=BC$17,BC$22*BC$7,IF($K54=BC$18,BC$22*BC$8,IF($K54=BC$19,BC$22*BC$9,IF($K54=BC$20,BC$22*BC$10,0))))))))</f>
        <v>0</v>
      </c>
      <c r="BD54" s="229">
        <f t="shared" si="45"/>
        <v>0</v>
      </c>
      <c r="BE54" s="229">
        <f t="shared" si="45"/>
        <v>0</v>
      </c>
      <c r="BF54" s="229">
        <f t="shared" si="45"/>
        <v>0</v>
      </c>
      <c r="BG54" s="229">
        <f t="shared" si="45"/>
        <v>0</v>
      </c>
      <c r="BH54" s="229">
        <f t="shared" si="45"/>
        <v>0</v>
      </c>
      <c r="BI54" s="229">
        <f t="shared" si="45"/>
        <v>0</v>
      </c>
      <c r="BJ54" s="229">
        <f t="shared" si="45"/>
        <v>0</v>
      </c>
      <c r="BK54" s="229">
        <f t="shared" si="45"/>
        <v>0</v>
      </c>
      <c r="BL54" s="229">
        <f t="shared" si="45"/>
        <v>0</v>
      </c>
      <c r="BM54" s="229">
        <f t="shared" ref="BM54:CA63" si="46">IF($K54=BM$13,BM$22*BM$3,IF($K54=BM$14,BM$22*BM$4,IF($K54=BM$15,BM$22*BM$5,IF($K54=BM$16,BM$22*BM$6,IF($K54=BM$17,BM$22*BM$7,IF($K54=BM$18,BM$22*BM$8,IF($K54=BM$19,BM$22*BM$9,IF($K54=BM$20,BM$22*BM$10,0))))))))</f>
        <v>0</v>
      </c>
      <c r="BN54" s="229">
        <f t="shared" si="46"/>
        <v>0</v>
      </c>
      <c r="BO54" s="229">
        <f t="shared" si="46"/>
        <v>0</v>
      </c>
      <c r="BP54" s="229">
        <f t="shared" si="46"/>
        <v>0</v>
      </c>
      <c r="BQ54" s="229">
        <f t="shared" si="46"/>
        <v>0</v>
      </c>
      <c r="BR54" s="229">
        <f t="shared" si="46"/>
        <v>0</v>
      </c>
      <c r="BS54" s="229">
        <f t="shared" si="46"/>
        <v>0</v>
      </c>
      <c r="BT54" s="229">
        <f t="shared" si="46"/>
        <v>0</v>
      </c>
      <c r="BU54" s="229">
        <f t="shared" si="46"/>
        <v>0</v>
      </c>
      <c r="BV54" s="229">
        <f t="shared" si="46"/>
        <v>0</v>
      </c>
      <c r="BW54" s="229">
        <f t="shared" si="46"/>
        <v>0</v>
      </c>
      <c r="BX54" s="229">
        <f t="shared" si="46"/>
        <v>0</v>
      </c>
      <c r="BY54" s="229">
        <f t="shared" si="46"/>
        <v>0</v>
      </c>
      <c r="BZ54" s="229">
        <f t="shared" si="46"/>
        <v>0</v>
      </c>
      <c r="CA54" s="229">
        <f t="shared" si="46"/>
        <v>0</v>
      </c>
      <c r="CB54" s="229">
        <f t="shared" ref="CB54:CR63" si="47">IF($K54=CB$13,CB$22*CB$3,IF($K54=CB$14,CB$22*CB$4,IF($K54=CB$15,CB$22*CB$5,IF($K54=CB$16,CB$22*CB$6,IF($K54=CB$17,CB$22*CB$7,IF($K54=CB$18,CB$22*CB$8,IF($K54=CB$19,CB$22*CB$9,IF($K54=CB$20,CB$22*CB$10,0))))))))</f>
        <v>0</v>
      </c>
      <c r="CC54" s="229">
        <f t="shared" si="47"/>
        <v>0</v>
      </c>
      <c r="CD54" s="229">
        <f t="shared" si="47"/>
        <v>0</v>
      </c>
      <c r="CE54" s="229">
        <f t="shared" si="47"/>
        <v>0</v>
      </c>
      <c r="CF54" s="229">
        <f t="shared" si="47"/>
        <v>0</v>
      </c>
      <c r="CG54" s="229">
        <f t="shared" si="47"/>
        <v>0</v>
      </c>
      <c r="CH54" s="229">
        <f t="shared" si="47"/>
        <v>0</v>
      </c>
      <c r="CI54" s="229">
        <f t="shared" si="47"/>
        <v>0</v>
      </c>
      <c r="CJ54" s="229">
        <f t="shared" si="47"/>
        <v>0</v>
      </c>
      <c r="CK54" s="229">
        <f t="shared" si="47"/>
        <v>0</v>
      </c>
      <c r="CL54" s="229">
        <f t="shared" si="47"/>
        <v>0</v>
      </c>
      <c r="CM54" s="229">
        <f t="shared" si="47"/>
        <v>0</v>
      </c>
      <c r="CN54" s="229">
        <f t="shared" si="47"/>
        <v>0</v>
      </c>
      <c r="CO54" s="229">
        <f t="shared" si="47"/>
        <v>0</v>
      </c>
      <c r="CP54" s="229">
        <f t="shared" si="47"/>
        <v>0</v>
      </c>
      <c r="CQ54" s="229">
        <f t="shared" si="47"/>
        <v>0</v>
      </c>
      <c r="CR54" s="229">
        <f t="shared" si="47"/>
        <v>0</v>
      </c>
      <c r="CS54" s="230"/>
      <c r="CT54" s="231"/>
      <c r="CU54" s="231"/>
      <c r="CV54" s="231"/>
      <c r="CW54" s="231"/>
      <c r="CY54" s="231"/>
      <c r="CZ54" s="231"/>
      <c r="DA54" s="231" t="e">
        <f ca="1">IF(SUM(DA$32:DA53)&gt;=DA$22,0,DA$22/(DA$13*4))</f>
        <v>#N/A</v>
      </c>
      <c r="DB54" s="231">
        <f>IF(SUM(DB$24:DB53)=DB$22,0,IF(AND($K54&gt;=DB$15,$K54&lt;(DB$16+1)),DB$22/(DB$16-DB$15+1),0))</f>
        <v>0</v>
      </c>
      <c r="DC54" s="231">
        <f t="shared" si="41"/>
        <v>0</v>
      </c>
      <c r="DD54" s="231">
        <f t="shared" si="41"/>
        <v>0</v>
      </c>
      <c r="DE54" s="231">
        <f t="shared" si="41"/>
        <v>0</v>
      </c>
      <c r="DF54" s="231">
        <f t="shared" si="41"/>
        <v>0</v>
      </c>
      <c r="DG54" s="231">
        <f t="shared" si="41"/>
        <v>0</v>
      </c>
      <c r="DH54" s="231">
        <f t="shared" si="41"/>
        <v>0</v>
      </c>
      <c r="DI54" s="231">
        <f t="shared" si="41"/>
        <v>0</v>
      </c>
      <c r="DJ54" s="231">
        <f t="shared" si="41"/>
        <v>0</v>
      </c>
      <c r="DK54" s="231">
        <f t="shared" si="41"/>
        <v>0</v>
      </c>
      <c r="DL54" s="231">
        <f t="shared" si="41"/>
        <v>0</v>
      </c>
      <c r="DM54" s="231">
        <f t="shared" si="41"/>
        <v>0</v>
      </c>
      <c r="DN54" s="231">
        <f t="shared" si="41"/>
        <v>0</v>
      </c>
      <c r="DO54" s="231">
        <f t="shared" si="41"/>
        <v>0</v>
      </c>
      <c r="DP54" s="231">
        <f>'Offshore CF'!DR54</f>
        <v>0</v>
      </c>
      <c r="DQ54" s="231">
        <f>'Offshore CF'!DS54</f>
        <v>0.29866666666666669</v>
      </c>
      <c r="DR54" s="231">
        <f ca="1">IF(SUM(DR$24:DR53)=DR$22,0,IF(AND($K54&gt;=DR$15,$K54&lt;(DR$16+1)),DR$22/(DR$16-DR$15+1),0))</f>
        <v>0</v>
      </c>
      <c r="DS54" s="231" t="e">
        <f ca="1">IF(SUM(DS$24:DS53)=DS$22,0,IF(AND($K54&gt;=DS$15,$K54&lt;(DS$16+1)),DS$22/(DS$16-DS$15+1),0))</f>
        <v>#REF!</v>
      </c>
      <c r="DT54" s="231" t="e">
        <f ca="1">IF(SUM(DT$24:DT53)=DT$22,0,IF(AND(K54&gt;=DT$15,K54&lt;(DT$16+1)),DT$22/(DT$16-DT$15+1),0))</f>
        <v>#REF!</v>
      </c>
      <c r="DU54" s="231" t="e">
        <f ca="1">IF(SUM(DU$24:DU53)=DU$22,0,IF(AND($K54&gt;=DU$15,$K54&lt;(DU$16+1)),DU$22/(DU$16-DU$15+1),0))</f>
        <v>#REF!</v>
      </c>
      <c r="DV54" s="231">
        <f ca="1">IF(SUM(DV$24:DV53)=DV$22,0,IF(AND($K54&gt;=DV$15,$K54&lt;(DV$16+1)),DV$22/(DV$16-DV$15+1),0))</f>
        <v>0</v>
      </c>
      <c r="DW54" s="231">
        <f ca="1">IF(SUM(DW$24:DW53)=DW$22,0,IF(AND($K54&gt;=DW$15,$K54&lt;(DW$16+1)),DW$22/(DW$16-DW$15+1),0))</f>
        <v>0</v>
      </c>
      <c r="DX54" s="231">
        <f ca="1">IF(SUM(DX$24:DX53)=DX$22,0,IF(AND($K54&gt;=DX$15,$K54&lt;(DX$16+1)),DX$22/(DX$16-DX$15+1),0))</f>
        <v>0</v>
      </c>
      <c r="DY54" s="231">
        <f ca="1">IF(SUM(DY$24:DY53)=DY$22,0,IF(AND($K54&gt;=DY$15,$K54&lt;(DY$16+1)),DY$22/(DY$16-DY$15+1),0))</f>
        <v>0</v>
      </c>
      <c r="EA54" s="751">
        <f t="shared" si="16"/>
        <v>31</v>
      </c>
      <c r="EB54" s="751" t="e">
        <f t="shared" ca="1" si="17"/>
        <v>#N/A</v>
      </c>
      <c r="EC54" s="752" t="e">
        <f t="shared" ca="1" si="18"/>
        <v>#N/A</v>
      </c>
      <c r="ED54" s="749" t="e">
        <f t="shared" ca="1" si="28"/>
        <v>#REF!</v>
      </c>
      <c r="EE54" s="749"/>
      <c r="EF54" s="749"/>
      <c r="EG54" s="749"/>
      <c r="EH54" s="749"/>
      <c r="EI54" s="699" t="e">
        <f t="shared" ca="1" si="19"/>
        <v>#N/A</v>
      </c>
      <c r="EJ54" s="231" t="e">
        <f ca="1">IF(SUM(EJ$24:EJ53)=EJ$22,0,IF(AND($K54&gt;=EJ$15,$K54&lt;(EJ$16+1)),EJ$22/(EJ$16-EJ$15+1),0))</f>
        <v>#REF!</v>
      </c>
      <c r="EK54" s="699" t="e">
        <f t="shared" ca="1" si="24"/>
        <v>#N/A</v>
      </c>
      <c r="EM54" s="2"/>
      <c r="EN54" s="2"/>
    </row>
    <row r="55" spans="1:144">
      <c r="A55" s="220"/>
      <c r="B55" s="236">
        <f t="shared" si="20"/>
        <v>32</v>
      </c>
      <c r="C55" s="221">
        <f t="shared" si="21"/>
        <v>44413.917700000049</v>
      </c>
      <c r="D55" s="746" t="e">
        <f t="shared" ca="1" si="22"/>
        <v>#DIV/0!</v>
      </c>
      <c r="E55" s="747" t="e">
        <f t="shared" ca="1" si="25"/>
        <v>#DIV/0!</v>
      </c>
      <c r="F55" s="748" t="e">
        <f ca="1">IF(F54=0,0,SUM($G$24:G55))</f>
        <v>#DIV/0!</v>
      </c>
      <c r="G55" s="225" t="e">
        <f t="shared" ca="1" si="5"/>
        <v>#DIV/0!</v>
      </c>
      <c r="H55" s="746">
        <f t="shared" ca="1" si="23"/>
        <v>0</v>
      </c>
      <c r="I55" s="60"/>
      <c r="J55" s="228"/>
      <c r="K55" s="228">
        <f t="shared" si="6"/>
        <v>32</v>
      </c>
      <c r="L55" s="221">
        <f t="shared" si="7"/>
        <v>44413.917700000049</v>
      </c>
      <c r="M55" s="229">
        <f t="shared" si="43"/>
        <v>0</v>
      </c>
      <c r="N55" s="229">
        <f t="shared" si="43"/>
        <v>0</v>
      </c>
      <c r="O55" s="229">
        <f t="shared" si="43"/>
        <v>0</v>
      </c>
      <c r="P55" s="229">
        <f t="shared" si="43"/>
        <v>0</v>
      </c>
      <c r="Q55" s="229">
        <f t="shared" si="43"/>
        <v>0</v>
      </c>
      <c r="R55" s="229">
        <f t="shared" si="42"/>
        <v>0</v>
      </c>
      <c r="S55" s="229">
        <f t="shared" si="42"/>
        <v>0</v>
      </c>
      <c r="T55" s="229">
        <f t="shared" si="42"/>
        <v>0</v>
      </c>
      <c r="U55" s="229">
        <f t="shared" si="43"/>
        <v>0</v>
      </c>
      <c r="V55" s="229">
        <f t="shared" si="43"/>
        <v>0</v>
      </c>
      <c r="W55" s="229">
        <f t="shared" si="43"/>
        <v>0</v>
      </c>
      <c r="X55" s="229">
        <f t="shared" si="43"/>
        <v>0</v>
      </c>
      <c r="Y55" s="229">
        <f t="shared" si="43"/>
        <v>0</v>
      </c>
      <c r="Z55" s="229">
        <f t="shared" si="43"/>
        <v>0</v>
      </c>
      <c r="AA55" s="229">
        <f t="shared" si="43"/>
        <v>0</v>
      </c>
      <c r="AB55" s="229">
        <f t="shared" si="43"/>
        <v>0</v>
      </c>
      <c r="AC55" s="229">
        <f t="shared" si="43"/>
        <v>0</v>
      </c>
      <c r="AD55" s="229">
        <f t="shared" si="43"/>
        <v>0</v>
      </c>
      <c r="AE55" s="229">
        <f t="shared" si="43"/>
        <v>0</v>
      </c>
      <c r="AF55" s="229">
        <f t="shared" si="43"/>
        <v>0</v>
      </c>
      <c r="AG55" s="229">
        <f t="shared" si="43"/>
        <v>0</v>
      </c>
      <c r="AH55" s="229">
        <f t="shared" si="43"/>
        <v>0</v>
      </c>
      <c r="AI55" s="229">
        <f t="shared" si="43"/>
        <v>0</v>
      </c>
      <c r="AJ55" s="229">
        <f t="shared" si="43"/>
        <v>0</v>
      </c>
      <c r="AK55" s="229">
        <f t="shared" si="43"/>
        <v>0</v>
      </c>
      <c r="AL55" s="229">
        <f t="shared" si="43"/>
        <v>0</v>
      </c>
      <c r="AM55" s="229">
        <f t="shared" si="43"/>
        <v>0</v>
      </c>
      <c r="AN55" s="229">
        <f t="shared" si="43"/>
        <v>0</v>
      </c>
      <c r="AO55" s="229">
        <f t="shared" si="43"/>
        <v>0</v>
      </c>
      <c r="AP55" s="229">
        <f t="shared" si="43"/>
        <v>0</v>
      </c>
      <c r="AQ55" s="229">
        <f t="shared" si="43"/>
        <v>0</v>
      </c>
      <c r="AR55" s="229">
        <f t="shared" si="44"/>
        <v>0</v>
      </c>
      <c r="AS55" s="229">
        <f t="shared" si="44"/>
        <v>0</v>
      </c>
      <c r="AT55" s="229">
        <f t="shared" si="44"/>
        <v>0</v>
      </c>
      <c r="AU55" s="229">
        <f t="shared" si="44"/>
        <v>0</v>
      </c>
      <c r="AV55" s="229">
        <f t="shared" si="44"/>
        <v>0</v>
      </c>
      <c r="AW55" s="229">
        <f t="shared" si="44"/>
        <v>0</v>
      </c>
      <c r="AX55" s="229">
        <f t="shared" si="44"/>
        <v>0</v>
      </c>
      <c r="AY55" s="229">
        <f t="shared" si="44"/>
        <v>0</v>
      </c>
      <c r="AZ55" s="229">
        <f t="shared" si="44"/>
        <v>0</v>
      </c>
      <c r="BA55" s="229">
        <f t="shared" si="44"/>
        <v>0</v>
      </c>
      <c r="BB55" s="229">
        <f t="shared" si="44"/>
        <v>0</v>
      </c>
      <c r="BC55" s="229">
        <f t="shared" si="45"/>
        <v>0</v>
      </c>
      <c r="BD55" s="229">
        <f t="shared" si="45"/>
        <v>0</v>
      </c>
      <c r="BE55" s="229">
        <f t="shared" si="45"/>
        <v>0</v>
      </c>
      <c r="BF55" s="229">
        <f t="shared" si="45"/>
        <v>0</v>
      </c>
      <c r="BG55" s="229">
        <f t="shared" si="45"/>
        <v>0</v>
      </c>
      <c r="BH55" s="229">
        <f t="shared" si="45"/>
        <v>0</v>
      </c>
      <c r="BI55" s="229">
        <f t="shared" si="45"/>
        <v>0</v>
      </c>
      <c r="BJ55" s="229">
        <f t="shared" si="45"/>
        <v>0</v>
      </c>
      <c r="BK55" s="229">
        <f t="shared" si="45"/>
        <v>0</v>
      </c>
      <c r="BL55" s="229">
        <f t="shared" si="45"/>
        <v>0</v>
      </c>
      <c r="BM55" s="229">
        <f t="shared" si="46"/>
        <v>0</v>
      </c>
      <c r="BN55" s="229">
        <f t="shared" si="46"/>
        <v>0</v>
      </c>
      <c r="BO55" s="229">
        <f t="shared" si="46"/>
        <v>0</v>
      </c>
      <c r="BP55" s="229">
        <f t="shared" si="46"/>
        <v>0</v>
      </c>
      <c r="BQ55" s="229">
        <f t="shared" si="46"/>
        <v>0</v>
      </c>
      <c r="BR55" s="229">
        <f t="shared" si="46"/>
        <v>0</v>
      </c>
      <c r="BS55" s="229">
        <f t="shared" si="46"/>
        <v>0</v>
      </c>
      <c r="BT55" s="229">
        <f t="shared" si="46"/>
        <v>0</v>
      </c>
      <c r="BU55" s="229">
        <f t="shared" si="46"/>
        <v>0</v>
      </c>
      <c r="BV55" s="229">
        <f t="shared" si="46"/>
        <v>0</v>
      </c>
      <c r="BW55" s="229">
        <f t="shared" si="46"/>
        <v>0</v>
      </c>
      <c r="BX55" s="229">
        <f t="shared" si="46"/>
        <v>0</v>
      </c>
      <c r="BY55" s="229">
        <f t="shared" si="46"/>
        <v>0</v>
      </c>
      <c r="BZ55" s="229">
        <f t="shared" si="46"/>
        <v>0</v>
      </c>
      <c r="CA55" s="229">
        <f t="shared" si="46"/>
        <v>0</v>
      </c>
      <c r="CB55" s="229">
        <f t="shared" si="47"/>
        <v>0</v>
      </c>
      <c r="CC55" s="229">
        <f t="shared" si="47"/>
        <v>0</v>
      </c>
      <c r="CD55" s="229">
        <f t="shared" si="47"/>
        <v>0</v>
      </c>
      <c r="CE55" s="229">
        <f t="shared" si="47"/>
        <v>0</v>
      </c>
      <c r="CF55" s="229">
        <f t="shared" si="47"/>
        <v>0</v>
      </c>
      <c r="CG55" s="229">
        <f t="shared" si="47"/>
        <v>0</v>
      </c>
      <c r="CH55" s="229">
        <f t="shared" si="47"/>
        <v>0</v>
      </c>
      <c r="CI55" s="229">
        <f t="shared" si="47"/>
        <v>0</v>
      </c>
      <c r="CJ55" s="229">
        <f t="shared" si="47"/>
        <v>0</v>
      </c>
      <c r="CK55" s="229">
        <f t="shared" si="47"/>
        <v>0</v>
      </c>
      <c r="CL55" s="229">
        <f t="shared" si="47"/>
        <v>0</v>
      </c>
      <c r="CM55" s="229">
        <f t="shared" si="47"/>
        <v>0</v>
      </c>
      <c r="CN55" s="229">
        <f t="shared" si="47"/>
        <v>0</v>
      </c>
      <c r="CO55" s="229">
        <f t="shared" si="47"/>
        <v>0</v>
      </c>
      <c r="CP55" s="229">
        <f t="shared" si="47"/>
        <v>0</v>
      </c>
      <c r="CQ55" s="229">
        <f t="shared" si="47"/>
        <v>0</v>
      </c>
      <c r="CR55" s="229">
        <f t="shared" si="47"/>
        <v>0</v>
      </c>
      <c r="CS55" s="230"/>
      <c r="CT55" s="231"/>
      <c r="CU55" s="231"/>
      <c r="CV55" s="231"/>
      <c r="CW55" s="231"/>
      <c r="CY55" s="231"/>
      <c r="CZ55" s="231"/>
      <c r="DA55" s="231"/>
      <c r="DB55" s="231">
        <f>IF(SUM(DB$24:DB54)=DB$22,0,IF(AND($K55&gt;=DB$15,$K55&lt;(DB$16+1)),DB$22/(DB$16-DB$15+1),0))</f>
        <v>0</v>
      </c>
      <c r="DC55" s="231">
        <f t="shared" si="41"/>
        <v>0</v>
      </c>
      <c r="DD55" s="231">
        <f t="shared" si="41"/>
        <v>0</v>
      </c>
      <c r="DE55" s="231">
        <f t="shared" si="41"/>
        <v>0</v>
      </c>
      <c r="DF55" s="231">
        <f t="shared" si="41"/>
        <v>0</v>
      </c>
      <c r="DG55" s="231">
        <f t="shared" si="41"/>
        <v>0</v>
      </c>
      <c r="DH55" s="231">
        <f t="shared" si="41"/>
        <v>0</v>
      </c>
      <c r="DI55" s="231">
        <f t="shared" si="41"/>
        <v>0</v>
      </c>
      <c r="DJ55" s="231">
        <f t="shared" si="41"/>
        <v>0</v>
      </c>
      <c r="DK55" s="231">
        <f t="shared" si="41"/>
        <v>0</v>
      </c>
      <c r="DL55" s="231">
        <f t="shared" si="41"/>
        <v>0</v>
      </c>
      <c r="DM55" s="231">
        <f t="shared" si="41"/>
        <v>0</v>
      </c>
      <c r="DN55" s="231">
        <f t="shared" si="41"/>
        <v>0</v>
      </c>
      <c r="DO55" s="231">
        <f t="shared" si="41"/>
        <v>0</v>
      </c>
      <c r="DP55" s="231">
        <f>'Offshore CF'!DR55</f>
        <v>0</v>
      </c>
      <c r="DQ55" s="231">
        <f>'Offshore CF'!DS55</f>
        <v>0.29866666666666669</v>
      </c>
      <c r="DR55" s="231">
        <f ca="1">IF(SUM(DR$24:DR54)=DR$22,0,IF(AND($K55&gt;=DR$15,$K55&lt;(DR$16+1)),DR$22/(DR$16-DR$15+1),0))</f>
        <v>0</v>
      </c>
      <c r="DS55" s="231" t="e">
        <f ca="1">IF(SUM(DS$24:DS54)=DS$22,0,IF(AND($K55&gt;=DS$15,$K55&lt;(DS$16+1)),DS$22/(DS$16-DS$15+1),0))</f>
        <v>#REF!</v>
      </c>
      <c r="DT55" s="231" t="e">
        <f ca="1">IF(SUM(DT$24:DT54)=DT$22,0,IF(AND(K55&gt;=DT$15,K55&lt;(DT$16+1)),DT$22/(DT$16-DT$15+1),0))</f>
        <v>#REF!</v>
      </c>
      <c r="DU55" s="231" t="e">
        <f ca="1">IF(SUM(DU$24:DU54)=DU$22,0,IF(AND($K55&gt;=DU$15,$K55&lt;(DU$16+1)),DU$22/(DU$16-DU$15+1),0))</f>
        <v>#REF!</v>
      </c>
      <c r="DV55" s="231">
        <f ca="1">IF(SUM(DV$24:DV54)=DV$22,0,IF(AND($K55&gt;=DV$15,$K55&lt;(DV$16+1)),DV$22/(DV$16-DV$15+1),0))</f>
        <v>0</v>
      </c>
      <c r="DW55" s="231">
        <f ca="1">IF(SUM(DW$24:DW54)=DW$22,0,IF(AND($K55&gt;=DW$15,$K55&lt;(DW$16+1)),DW$22/(DW$16-DW$15+1),0))</f>
        <v>0</v>
      </c>
      <c r="DX55" s="231">
        <f ca="1">IF(SUM(DX$24:DX54)=DX$22,0,IF(AND($K55&gt;=DX$15,$K55&lt;(DX$16+1)),DX$22/(DX$16-DX$15+1),0))</f>
        <v>0</v>
      </c>
      <c r="DY55" s="231">
        <f ca="1">IF(SUM(DY$24:DY54)=DY$22,0,IF(AND($K55&gt;=DY$15,$K55&lt;(DY$16+1)),DY$22/(DY$16-DY$15+1),0))</f>
        <v>0</v>
      </c>
      <c r="EA55" s="749">
        <f t="shared" si="16"/>
        <v>32</v>
      </c>
      <c r="EB55" s="749" t="e">
        <f t="shared" ca="1" si="17"/>
        <v>#REF!</v>
      </c>
      <c r="EC55" s="750" t="e">
        <f t="shared" ca="1" si="18"/>
        <v>#REF!</v>
      </c>
      <c r="ED55" s="749" t="e">
        <f t="shared" ca="1" si="28"/>
        <v>#REF!</v>
      </c>
      <c r="EE55" s="749"/>
      <c r="EF55" s="749"/>
      <c r="EG55" s="749"/>
      <c r="EH55" s="749"/>
      <c r="EI55" s="714" t="e">
        <f t="shared" ca="1" si="19"/>
        <v>#REF!</v>
      </c>
      <c r="EJ55" s="231" t="e">
        <f ca="1">IF(SUM(EJ$24:EJ54)=EJ$22,0,IF(AND($K55&gt;=EJ$15,$K55&lt;(EJ$16+1)),EJ$22/(EJ$16-EJ$15+1),0))</f>
        <v>#REF!</v>
      </c>
      <c r="EK55" s="714" t="e">
        <f t="shared" ca="1" si="24"/>
        <v>#REF!</v>
      </c>
      <c r="EM55" s="60"/>
      <c r="EN55" s="60"/>
    </row>
    <row r="56" spans="1:144">
      <c r="A56" s="220"/>
      <c r="B56" s="236">
        <f t="shared" si="20"/>
        <v>33</v>
      </c>
      <c r="C56" s="221">
        <f t="shared" si="21"/>
        <v>44444.334400000051</v>
      </c>
      <c r="D56" s="746" t="e">
        <f t="shared" ca="1" si="22"/>
        <v>#DIV/0!</v>
      </c>
      <c r="E56" s="747" t="e">
        <f t="shared" ca="1" si="25"/>
        <v>#DIV/0!</v>
      </c>
      <c r="F56" s="748" t="e">
        <f ca="1">IF(F55=0,0,SUM($G$24:G56))</f>
        <v>#DIV/0!</v>
      </c>
      <c r="G56" s="225" t="e">
        <f t="shared" ref="G56:G87" ca="1" si="48">IF(G$3=0,0,H56/H$155)</f>
        <v>#DIV/0!</v>
      </c>
      <c r="H56" s="746">
        <f t="shared" ca="1" si="23"/>
        <v>0</v>
      </c>
      <c r="I56" s="60"/>
      <c r="J56" s="228"/>
      <c r="K56" s="228">
        <f t="shared" ref="K56:K87" si="49">B56</f>
        <v>33</v>
      </c>
      <c r="L56" s="221">
        <f t="shared" ref="L56:L87" si="50">C56</f>
        <v>44444.334400000051</v>
      </c>
      <c r="M56" s="229">
        <f t="shared" si="43"/>
        <v>0</v>
      </c>
      <c r="N56" s="229">
        <f t="shared" si="43"/>
        <v>0</v>
      </c>
      <c r="O56" s="229">
        <f t="shared" si="43"/>
        <v>0</v>
      </c>
      <c r="P56" s="229">
        <f t="shared" si="43"/>
        <v>0</v>
      </c>
      <c r="Q56" s="229">
        <f t="shared" si="43"/>
        <v>0</v>
      </c>
      <c r="R56" s="229">
        <f t="shared" si="42"/>
        <v>0</v>
      </c>
      <c r="S56" s="229">
        <f t="shared" si="42"/>
        <v>0</v>
      </c>
      <c r="T56" s="229">
        <f t="shared" si="42"/>
        <v>0</v>
      </c>
      <c r="U56" s="229">
        <f t="shared" si="43"/>
        <v>0</v>
      </c>
      <c r="V56" s="229">
        <f t="shared" si="43"/>
        <v>0</v>
      </c>
      <c r="W56" s="229">
        <f t="shared" si="43"/>
        <v>0</v>
      </c>
      <c r="X56" s="229">
        <f t="shared" si="43"/>
        <v>0</v>
      </c>
      <c r="Y56" s="229">
        <f t="shared" si="43"/>
        <v>0</v>
      </c>
      <c r="Z56" s="229">
        <f t="shared" si="43"/>
        <v>0</v>
      </c>
      <c r="AA56" s="229">
        <f t="shared" si="43"/>
        <v>0</v>
      </c>
      <c r="AB56" s="229">
        <f t="shared" si="43"/>
        <v>0</v>
      </c>
      <c r="AC56" s="229">
        <f t="shared" si="43"/>
        <v>0</v>
      </c>
      <c r="AD56" s="229">
        <f t="shared" si="43"/>
        <v>0</v>
      </c>
      <c r="AE56" s="229">
        <f t="shared" si="43"/>
        <v>0</v>
      </c>
      <c r="AF56" s="229">
        <f t="shared" si="43"/>
        <v>0</v>
      </c>
      <c r="AG56" s="229">
        <f t="shared" si="43"/>
        <v>0</v>
      </c>
      <c r="AH56" s="229">
        <f t="shared" si="43"/>
        <v>0</v>
      </c>
      <c r="AI56" s="229">
        <f t="shared" si="43"/>
        <v>0</v>
      </c>
      <c r="AJ56" s="229">
        <f t="shared" si="43"/>
        <v>0</v>
      </c>
      <c r="AK56" s="229">
        <f t="shared" si="43"/>
        <v>0</v>
      </c>
      <c r="AL56" s="229">
        <f t="shared" si="43"/>
        <v>0</v>
      </c>
      <c r="AM56" s="229">
        <f t="shared" si="43"/>
        <v>0</v>
      </c>
      <c r="AN56" s="229">
        <f t="shared" si="43"/>
        <v>0</v>
      </c>
      <c r="AO56" s="229">
        <f t="shared" si="43"/>
        <v>0</v>
      </c>
      <c r="AP56" s="229">
        <f t="shared" si="43"/>
        <v>0</v>
      </c>
      <c r="AQ56" s="229">
        <f t="shared" si="43"/>
        <v>0</v>
      </c>
      <c r="AR56" s="229">
        <f t="shared" si="44"/>
        <v>0</v>
      </c>
      <c r="AS56" s="229">
        <f t="shared" si="44"/>
        <v>0</v>
      </c>
      <c r="AT56" s="229">
        <f t="shared" si="44"/>
        <v>0</v>
      </c>
      <c r="AU56" s="229">
        <f t="shared" si="44"/>
        <v>0</v>
      </c>
      <c r="AV56" s="229">
        <f t="shared" si="44"/>
        <v>0</v>
      </c>
      <c r="AW56" s="229">
        <f t="shared" si="44"/>
        <v>0</v>
      </c>
      <c r="AX56" s="229">
        <f t="shared" si="44"/>
        <v>0</v>
      </c>
      <c r="AY56" s="229">
        <f t="shared" si="44"/>
        <v>0</v>
      </c>
      <c r="AZ56" s="229">
        <f t="shared" si="44"/>
        <v>0</v>
      </c>
      <c r="BA56" s="229">
        <f t="shared" si="44"/>
        <v>0</v>
      </c>
      <c r="BB56" s="229">
        <f t="shared" si="44"/>
        <v>0</v>
      </c>
      <c r="BC56" s="229">
        <f t="shared" si="45"/>
        <v>0</v>
      </c>
      <c r="BD56" s="229">
        <f t="shared" si="45"/>
        <v>0</v>
      </c>
      <c r="BE56" s="229">
        <f t="shared" si="45"/>
        <v>0</v>
      </c>
      <c r="BF56" s="229">
        <f t="shared" si="45"/>
        <v>0</v>
      </c>
      <c r="BG56" s="229">
        <f t="shared" si="45"/>
        <v>0</v>
      </c>
      <c r="BH56" s="229">
        <f t="shared" si="45"/>
        <v>0</v>
      </c>
      <c r="BI56" s="229">
        <f t="shared" si="45"/>
        <v>0</v>
      </c>
      <c r="BJ56" s="229">
        <f t="shared" si="45"/>
        <v>0</v>
      </c>
      <c r="BK56" s="229">
        <f t="shared" si="45"/>
        <v>0</v>
      </c>
      <c r="BL56" s="229">
        <f t="shared" si="45"/>
        <v>0</v>
      </c>
      <c r="BM56" s="229">
        <f t="shared" si="46"/>
        <v>0</v>
      </c>
      <c r="BN56" s="229">
        <f t="shared" si="46"/>
        <v>0</v>
      </c>
      <c r="BO56" s="229">
        <f t="shared" si="46"/>
        <v>0</v>
      </c>
      <c r="BP56" s="229">
        <f t="shared" si="46"/>
        <v>0</v>
      </c>
      <c r="BQ56" s="229">
        <f t="shared" si="46"/>
        <v>0</v>
      </c>
      <c r="BR56" s="229">
        <f t="shared" si="46"/>
        <v>0</v>
      </c>
      <c r="BS56" s="229">
        <f t="shared" si="46"/>
        <v>0</v>
      </c>
      <c r="BT56" s="229">
        <f t="shared" si="46"/>
        <v>0</v>
      </c>
      <c r="BU56" s="229">
        <f t="shared" si="46"/>
        <v>0</v>
      </c>
      <c r="BV56" s="229">
        <f t="shared" si="46"/>
        <v>0</v>
      </c>
      <c r="BW56" s="229">
        <f t="shared" si="46"/>
        <v>0</v>
      </c>
      <c r="BX56" s="229">
        <f t="shared" si="46"/>
        <v>0</v>
      </c>
      <c r="BY56" s="229">
        <f t="shared" si="46"/>
        <v>0</v>
      </c>
      <c r="BZ56" s="229">
        <f t="shared" si="46"/>
        <v>0</v>
      </c>
      <c r="CA56" s="229">
        <f t="shared" si="46"/>
        <v>0</v>
      </c>
      <c r="CB56" s="229">
        <f t="shared" si="47"/>
        <v>0</v>
      </c>
      <c r="CC56" s="229">
        <f t="shared" si="47"/>
        <v>0</v>
      </c>
      <c r="CD56" s="229">
        <f t="shared" si="47"/>
        <v>0</v>
      </c>
      <c r="CE56" s="229">
        <f t="shared" si="47"/>
        <v>0</v>
      </c>
      <c r="CF56" s="229">
        <f t="shared" si="47"/>
        <v>0</v>
      </c>
      <c r="CG56" s="229">
        <f t="shared" si="47"/>
        <v>0</v>
      </c>
      <c r="CH56" s="229">
        <f t="shared" si="47"/>
        <v>0</v>
      </c>
      <c r="CI56" s="229">
        <f t="shared" si="47"/>
        <v>0</v>
      </c>
      <c r="CJ56" s="229">
        <f t="shared" si="47"/>
        <v>0</v>
      </c>
      <c r="CK56" s="229">
        <f t="shared" si="47"/>
        <v>0</v>
      </c>
      <c r="CL56" s="229">
        <f t="shared" si="47"/>
        <v>0</v>
      </c>
      <c r="CM56" s="229">
        <f t="shared" si="47"/>
        <v>0</v>
      </c>
      <c r="CN56" s="229">
        <f t="shared" si="47"/>
        <v>0</v>
      </c>
      <c r="CO56" s="229">
        <f t="shared" si="47"/>
        <v>0</v>
      </c>
      <c r="CP56" s="229">
        <f t="shared" si="47"/>
        <v>0</v>
      </c>
      <c r="CQ56" s="229">
        <f t="shared" si="47"/>
        <v>0</v>
      </c>
      <c r="CR56" s="229">
        <f t="shared" si="47"/>
        <v>0</v>
      </c>
      <c r="CS56" s="230"/>
      <c r="CT56" s="231"/>
      <c r="CU56" s="231"/>
      <c r="CV56" s="231"/>
      <c r="CW56" s="231"/>
      <c r="CY56" s="231"/>
      <c r="CZ56" s="231"/>
      <c r="DA56" s="231"/>
      <c r="DB56" s="231">
        <f>IF(SUM(DB$24:DB55)=DB$22,0,IF(AND($K56&gt;=DB$15,$K56&lt;(DB$16+1)),DB$22/(DB$16-DB$15+1),0))</f>
        <v>0</v>
      </c>
      <c r="DC56" s="231">
        <f t="shared" si="41"/>
        <v>0</v>
      </c>
      <c r="DD56" s="231">
        <f t="shared" si="41"/>
        <v>0</v>
      </c>
      <c r="DE56" s="231">
        <f t="shared" si="41"/>
        <v>0</v>
      </c>
      <c r="DF56" s="231">
        <f t="shared" si="41"/>
        <v>0</v>
      </c>
      <c r="DG56" s="231">
        <f t="shared" si="41"/>
        <v>0</v>
      </c>
      <c r="DH56" s="231">
        <f t="shared" si="41"/>
        <v>0</v>
      </c>
      <c r="DI56" s="231">
        <f t="shared" si="41"/>
        <v>0</v>
      </c>
      <c r="DJ56" s="231">
        <f t="shared" si="41"/>
        <v>0</v>
      </c>
      <c r="DK56" s="231">
        <f t="shared" si="41"/>
        <v>0</v>
      </c>
      <c r="DL56" s="231">
        <f t="shared" si="41"/>
        <v>0</v>
      </c>
      <c r="DM56" s="231">
        <f t="shared" si="41"/>
        <v>0</v>
      </c>
      <c r="DN56" s="231">
        <f t="shared" si="41"/>
        <v>0</v>
      </c>
      <c r="DO56" s="231">
        <f t="shared" si="41"/>
        <v>0</v>
      </c>
      <c r="DP56" s="231">
        <f>'Offshore CF'!DR56</f>
        <v>0</v>
      </c>
      <c r="DQ56" s="231">
        <f>'Offshore CF'!DS56</f>
        <v>0.29866666666666669</v>
      </c>
      <c r="DR56" s="231">
        <f ca="1">IF(SUM(DR$24:DR55)=DR$22,0,IF(AND($K56&gt;=DR$15,$K56&lt;(DR$16+1)),DR$22/(DR$16-DR$15+1),0))</f>
        <v>0</v>
      </c>
      <c r="DS56" s="231" t="e">
        <f ca="1">IF(SUM(DS$24:DS55)=DS$22,0,IF(AND($K56&gt;=DS$15,$K56&lt;(DS$16+1)),DS$22/(DS$16-DS$15+1),0))</f>
        <v>#REF!</v>
      </c>
      <c r="DT56" s="231" t="e">
        <f ca="1">IF(SUM(DT$24:DT55)=DT$22,0,IF(AND(K56&gt;=DT$15,K56&lt;(DT$16+1)),DT$22/(DT$16-DT$15+1),0))</f>
        <v>#REF!</v>
      </c>
      <c r="DU56" s="231" t="e">
        <f ca="1">IF(SUM(DU$24:DU55)=DU$22,0,IF(AND($K56&gt;=DU$15,$K56&lt;(DU$16+1)),DU$22/(DU$16-DU$15+1),0))</f>
        <v>#REF!</v>
      </c>
      <c r="DV56" s="231">
        <f ca="1">IF(SUM(DV$24:DV55)=DV$22,0,IF(AND($K56&gt;=DV$15,$K56&lt;(DV$16+1)),DV$22/(DV$16-DV$15+1),0))</f>
        <v>0</v>
      </c>
      <c r="DW56" s="231">
        <f ca="1">IF(SUM(DW$24:DW55)=DW$22,0,IF(AND($K56&gt;=DW$15,$K56&lt;(DW$16+1)),DW$22/(DW$16-DW$15+1),0))</f>
        <v>0</v>
      </c>
      <c r="DX56" s="231">
        <f ca="1">IF(SUM(DX$24:DX55)=DX$22,0,IF(AND($K56&gt;=DX$15,$K56&lt;(DX$16+1)),DX$22/(DX$16-DX$15+1),0))</f>
        <v>0</v>
      </c>
      <c r="DY56" s="231">
        <f ca="1">IF(SUM(DY$24:DY55)=DY$22,0,IF(AND($K56&gt;=DY$15,$K56&lt;(DY$16+1)),DY$22/(DY$16-DY$15+1),0))</f>
        <v>0</v>
      </c>
      <c r="EA56" s="749">
        <f t="shared" ref="EA56:EA87" si="51">K56</f>
        <v>33</v>
      </c>
      <c r="EB56" s="749" t="e">
        <f t="shared" ref="EB56:EB87" ca="1" si="52">SUM(M56:DY56)</f>
        <v>#REF!</v>
      </c>
      <c r="EC56" s="750" t="e">
        <f t="shared" ref="EC56:EC87" ca="1" si="53">EB56/EB$22</f>
        <v>#REF!</v>
      </c>
      <c r="ED56" s="749" t="e">
        <f t="shared" ca="1" si="28"/>
        <v>#N/A</v>
      </c>
      <c r="EE56" s="749"/>
      <c r="EF56" s="749"/>
      <c r="EG56" s="749"/>
      <c r="EH56" s="749"/>
      <c r="EI56" s="714" t="e">
        <f t="shared" ca="1" si="19"/>
        <v>#REF!</v>
      </c>
      <c r="EJ56" s="231" t="e">
        <f ca="1">IF(SUM(EJ$24:EJ55)=EJ$22,0,IF(AND($K56&gt;=EJ$15,$K56&lt;(EJ$16+1)),EJ$22/(EJ$16-EJ$15+1),0))</f>
        <v>#REF!</v>
      </c>
      <c r="EK56" s="714" t="e">
        <f t="shared" ref="EK56:EK119" ca="1" si="54">SUM(EI56:EJ56)</f>
        <v>#REF!</v>
      </c>
      <c r="EM56" s="60"/>
      <c r="EN56" s="60"/>
    </row>
    <row r="57" spans="1:144">
      <c r="A57" s="220"/>
      <c r="B57" s="236">
        <f t="shared" si="20"/>
        <v>34</v>
      </c>
      <c r="C57" s="221">
        <f t="shared" si="21"/>
        <v>44474.751100000052</v>
      </c>
      <c r="D57" s="746" t="e">
        <f t="shared" ca="1" si="22"/>
        <v>#DIV/0!</v>
      </c>
      <c r="E57" s="747" t="e">
        <f t="shared" ca="1" si="25"/>
        <v>#DIV/0!</v>
      </c>
      <c r="F57" s="748" t="e">
        <f ca="1">IF(F56=0,0,SUM($G$24:G57))</f>
        <v>#DIV/0!</v>
      </c>
      <c r="G57" s="225" t="e">
        <f t="shared" ca="1" si="48"/>
        <v>#DIV/0!</v>
      </c>
      <c r="H57" s="746">
        <f t="shared" ca="1" si="23"/>
        <v>0</v>
      </c>
      <c r="I57" s="60"/>
      <c r="J57" s="228"/>
      <c r="K57" s="228">
        <f t="shared" si="49"/>
        <v>34</v>
      </c>
      <c r="L57" s="221">
        <f t="shared" si="50"/>
        <v>44474.751100000052</v>
      </c>
      <c r="M57" s="229">
        <f t="shared" si="43"/>
        <v>0</v>
      </c>
      <c r="N57" s="229">
        <f t="shared" si="43"/>
        <v>0</v>
      </c>
      <c r="O57" s="229">
        <f t="shared" si="43"/>
        <v>0</v>
      </c>
      <c r="P57" s="229">
        <f t="shared" si="43"/>
        <v>0</v>
      </c>
      <c r="Q57" s="229">
        <f t="shared" si="43"/>
        <v>0</v>
      </c>
      <c r="R57" s="229">
        <f t="shared" si="42"/>
        <v>0</v>
      </c>
      <c r="S57" s="229">
        <f t="shared" si="42"/>
        <v>0</v>
      </c>
      <c r="T57" s="229">
        <f t="shared" si="42"/>
        <v>0</v>
      </c>
      <c r="U57" s="229">
        <f t="shared" si="43"/>
        <v>0</v>
      </c>
      <c r="V57" s="229">
        <f t="shared" si="43"/>
        <v>0</v>
      </c>
      <c r="W57" s="229">
        <f t="shared" si="43"/>
        <v>0</v>
      </c>
      <c r="X57" s="229">
        <f t="shared" si="43"/>
        <v>0</v>
      </c>
      <c r="Y57" s="229">
        <f t="shared" si="43"/>
        <v>0</v>
      </c>
      <c r="Z57" s="229">
        <f t="shared" si="43"/>
        <v>0</v>
      </c>
      <c r="AA57" s="229">
        <f t="shared" si="43"/>
        <v>0</v>
      </c>
      <c r="AB57" s="229">
        <f t="shared" si="43"/>
        <v>0</v>
      </c>
      <c r="AC57" s="229">
        <f t="shared" si="43"/>
        <v>0</v>
      </c>
      <c r="AD57" s="229">
        <f t="shared" si="43"/>
        <v>0</v>
      </c>
      <c r="AE57" s="229">
        <f t="shared" si="43"/>
        <v>0</v>
      </c>
      <c r="AF57" s="229">
        <f t="shared" si="43"/>
        <v>0</v>
      </c>
      <c r="AG57" s="229">
        <f t="shared" si="43"/>
        <v>0</v>
      </c>
      <c r="AH57" s="229">
        <f t="shared" si="43"/>
        <v>0</v>
      </c>
      <c r="AI57" s="229">
        <f t="shared" si="43"/>
        <v>0</v>
      </c>
      <c r="AJ57" s="229">
        <f t="shared" si="43"/>
        <v>0</v>
      </c>
      <c r="AK57" s="229">
        <f t="shared" si="43"/>
        <v>0</v>
      </c>
      <c r="AL57" s="229">
        <f t="shared" si="43"/>
        <v>0</v>
      </c>
      <c r="AM57" s="229">
        <f t="shared" si="43"/>
        <v>0</v>
      </c>
      <c r="AN57" s="229">
        <f t="shared" si="43"/>
        <v>0</v>
      </c>
      <c r="AO57" s="229">
        <f t="shared" si="43"/>
        <v>0</v>
      </c>
      <c r="AP57" s="229">
        <f t="shared" si="43"/>
        <v>0</v>
      </c>
      <c r="AQ57" s="229">
        <f t="shared" si="43"/>
        <v>0</v>
      </c>
      <c r="AR57" s="229">
        <f t="shared" si="44"/>
        <v>0</v>
      </c>
      <c r="AS57" s="229">
        <f t="shared" si="44"/>
        <v>0</v>
      </c>
      <c r="AT57" s="229">
        <f t="shared" si="44"/>
        <v>0</v>
      </c>
      <c r="AU57" s="229">
        <f t="shared" si="44"/>
        <v>0</v>
      </c>
      <c r="AV57" s="229">
        <f t="shared" si="44"/>
        <v>0</v>
      </c>
      <c r="AW57" s="229">
        <f t="shared" si="44"/>
        <v>0</v>
      </c>
      <c r="AX57" s="229">
        <f t="shared" si="44"/>
        <v>0</v>
      </c>
      <c r="AY57" s="229">
        <f t="shared" si="44"/>
        <v>0</v>
      </c>
      <c r="AZ57" s="229">
        <f t="shared" si="44"/>
        <v>0</v>
      </c>
      <c r="BA57" s="229">
        <f t="shared" si="44"/>
        <v>0</v>
      </c>
      <c r="BB57" s="229">
        <f t="shared" si="44"/>
        <v>0</v>
      </c>
      <c r="BC57" s="229">
        <f t="shared" si="45"/>
        <v>0</v>
      </c>
      <c r="BD57" s="229">
        <f t="shared" si="45"/>
        <v>0</v>
      </c>
      <c r="BE57" s="229">
        <f t="shared" si="45"/>
        <v>0</v>
      </c>
      <c r="BF57" s="229">
        <f t="shared" si="45"/>
        <v>0</v>
      </c>
      <c r="BG57" s="229">
        <f t="shared" si="45"/>
        <v>0</v>
      </c>
      <c r="BH57" s="229">
        <f t="shared" si="45"/>
        <v>0</v>
      </c>
      <c r="BI57" s="229">
        <f t="shared" si="45"/>
        <v>0</v>
      </c>
      <c r="BJ57" s="229">
        <f t="shared" si="45"/>
        <v>0</v>
      </c>
      <c r="BK57" s="229">
        <f t="shared" si="45"/>
        <v>0</v>
      </c>
      <c r="BL57" s="229">
        <f t="shared" si="45"/>
        <v>0</v>
      </c>
      <c r="BM57" s="229">
        <f t="shared" si="46"/>
        <v>0</v>
      </c>
      <c r="BN57" s="229">
        <f t="shared" si="46"/>
        <v>0</v>
      </c>
      <c r="BO57" s="229">
        <f t="shared" si="46"/>
        <v>0</v>
      </c>
      <c r="BP57" s="229">
        <f t="shared" si="46"/>
        <v>0</v>
      </c>
      <c r="BQ57" s="229">
        <f t="shared" si="46"/>
        <v>0</v>
      </c>
      <c r="BR57" s="229">
        <f t="shared" si="46"/>
        <v>0</v>
      </c>
      <c r="BS57" s="229">
        <f t="shared" si="46"/>
        <v>0</v>
      </c>
      <c r="BT57" s="229">
        <f t="shared" si="46"/>
        <v>0</v>
      </c>
      <c r="BU57" s="229">
        <f t="shared" si="46"/>
        <v>0</v>
      </c>
      <c r="BV57" s="229">
        <f t="shared" si="46"/>
        <v>0</v>
      </c>
      <c r="BW57" s="229">
        <f t="shared" si="46"/>
        <v>0</v>
      </c>
      <c r="BX57" s="229">
        <f t="shared" si="46"/>
        <v>0</v>
      </c>
      <c r="BY57" s="229">
        <f t="shared" si="46"/>
        <v>0</v>
      </c>
      <c r="BZ57" s="229">
        <f t="shared" si="46"/>
        <v>0</v>
      </c>
      <c r="CA57" s="229">
        <f t="shared" si="46"/>
        <v>0</v>
      </c>
      <c r="CB57" s="229">
        <f t="shared" si="47"/>
        <v>0</v>
      </c>
      <c r="CC57" s="229">
        <f t="shared" si="47"/>
        <v>0</v>
      </c>
      <c r="CD57" s="229">
        <f t="shared" si="47"/>
        <v>0</v>
      </c>
      <c r="CE57" s="229">
        <f t="shared" si="47"/>
        <v>0</v>
      </c>
      <c r="CF57" s="229">
        <f t="shared" si="47"/>
        <v>0</v>
      </c>
      <c r="CG57" s="229">
        <f t="shared" si="47"/>
        <v>0</v>
      </c>
      <c r="CH57" s="229">
        <f t="shared" si="47"/>
        <v>0</v>
      </c>
      <c r="CI57" s="229">
        <f t="shared" si="47"/>
        <v>0</v>
      </c>
      <c r="CJ57" s="229">
        <f t="shared" si="47"/>
        <v>0</v>
      </c>
      <c r="CK57" s="229">
        <f t="shared" si="47"/>
        <v>0</v>
      </c>
      <c r="CL57" s="229">
        <f t="shared" si="47"/>
        <v>0</v>
      </c>
      <c r="CM57" s="229">
        <f t="shared" si="47"/>
        <v>0</v>
      </c>
      <c r="CN57" s="229">
        <f t="shared" si="47"/>
        <v>0</v>
      </c>
      <c r="CO57" s="229">
        <f t="shared" si="47"/>
        <v>0</v>
      </c>
      <c r="CP57" s="229">
        <f t="shared" si="47"/>
        <v>0</v>
      </c>
      <c r="CQ57" s="229">
        <f t="shared" si="47"/>
        <v>0</v>
      </c>
      <c r="CR57" s="229">
        <f t="shared" si="47"/>
        <v>0</v>
      </c>
      <c r="CS57" s="230"/>
      <c r="CT57" s="231"/>
      <c r="CU57" s="231"/>
      <c r="CV57" s="231"/>
      <c r="CW57" s="231"/>
      <c r="CY57" s="231"/>
      <c r="CZ57" s="231"/>
      <c r="DA57" s="231" t="e">
        <f ca="1">IF(SUM(DA$32:DA56)&gt;=DA$22,0,DA$22/(DA$13*4))</f>
        <v>#N/A</v>
      </c>
      <c r="DB57" s="231">
        <f>IF(SUM(DB$24:DB56)=DB$22,0,IF(AND($K57&gt;=DB$15,$K57&lt;(DB$16+1)),DB$22/(DB$16-DB$15+1),0))</f>
        <v>0</v>
      </c>
      <c r="DC57" s="231">
        <f t="shared" si="41"/>
        <v>0</v>
      </c>
      <c r="DD57" s="231">
        <f t="shared" si="41"/>
        <v>0</v>
      </c>
      <c r="DE57" s="231">
        <f t="shared" si="41"/>
        <v>0</v>
      </c>
      <c r="DF57" s="231">
        <f t="shared" si="41"/>
        <v>0</v>
      </c>
      <c r="DG57" s="231">
        <f t="shared" si="41"/>
        <v>0</v>
      </c>
      <c r="DH57" s="231">
        <f t="shared" si="41"/>
        <v>0</v>
      </c>
      <c r="DI57" s="231">
        <f t="shared" si="41"/>
        <v>0</v>
      </c>
      <c r="DJ57" s="231">
        <f t="shared" si="41"/>
        <v>0</v>
      </c>
      <c r="DK57" s="231">
        <f t="shared" si="41"/>
        <v>0</v>
      </c>
      <c r="DL57" s="231">
        <f t="shared" si="41"/>
        <v>0</v>
      </c>
      <c r="DM57" s="231">
        <f t="shared" si="41"/>
        <v>0</v>
      </c>
      <c r="DN57" s="231">
        <f t="shared" si="41"/>
        <v>0</v>
      </c>
      <c r="DO57" s="231">
        <f t="shared" si="41"/>
        <v>0</v>
      </c>
      <c r="DP57" s="231">
        <f>'Offshore CF'!DR57</f>
        <v>0</v>
      </c>
      <c r="DQ57" s="231">
        <f>'Offshore CF'!DS57</f>
        <v>0.29866666666666669</v>
      </c>
      <c r="DR57" s="231">
        <f ca="1">IF(SUM(DR$24:DR56)=DR$22,0,IF(AND($K57&gt;=DR$15,$K57&lt;(DR$16+1)),DR$22/(DR$16-DR$15+1),0))</f>
        <v>0</v>
      </c>
      <c r="DS57" s="231" t="e">
        <f ca="1">IF(SUM(DS$24:DS56)=DS$22,0,IF(AND($K57&gt;=DS$15,$K57&lt;(DS$16+1)),DS$22/(DS$16-DS$15+1),0))</f>
        <v>#REF!</v>
      </c>
      <c r="DT57" s="231" t="e">
        <f ca="1">IF(SUM(DT$24:DT56)=DT$22,0,IF(AND(K57&gt;=DT$15,K57&lt;(DT$16+1)),DT$22/(DT$16-DT$15+1),0))</f>
        <v>#REF!</v>
      </c>
      <c r="DU57" s="231" t="e">
        <f ca="1">IF(SUM(DU$24:DU56)=DU$22,0,IF(AND($K57&gt;=DU$15,$K57&lt;(DU$16+1)),DU$22/(DU$16-DU$15+1),0))</f>
        <v>#REF!</v>
      </c>
      <c r="DV57" s="231">
        <f ca="1">IF(SUM(DV$24:DV56)=DV$22,0,IF(AND($K57&gt;=DV$15,$K57&lt;(DV$16+1)),DV$22/(DV$16-DV$15+1),0))</f>
        <v>0</v>
      </c>
      <c r="DW57" s="231">
        <f ca="1">IF(SUM(DW$24:DW56)=DW$22,0,IF(AND($K57&gt;=DW$15,$K57&lt;(DW$16+1)),DW$22/(DW$16-DW$15+1),0))</f>
        <v>0</v>
      </c>
      <c r="DX57" s="231">
        <f ca="1">IF(SUM(DX$24:DX56)=DX$22,0,IF(AND($K57&gt;=DX$15,$K57&lt;(DX$16+1)),DX$22/(DX$16-DX$15+1),0))</f>
        <v>0</v>
      </c>
      <c r="DY57" s="231">
        <f ca="1">IF(SUM(DY$24:DY56)=DY$22,0,IF(AND($K57&gt;=DY$15,$K57&lt;(DY$16+1)),DY$22/(DY$16-DY$15+1),0))</f>
        <v>0</v>
      </c>
      <c r="EA57" s="749">
        <f t="shared" si="51"/>
        <v>34</v>
      </c>
      <c r="EB57" s="749" t="e">
        <f t="shared" ca="1" si="52"/>
        <v>#N/A</v>
      </c>
      <c r="EC57" s="750" t="e">
        <f t="shared" ca="1" si="53"/>
        <v>#N/A</v>
      </c>
      <c r="ED57" s="749" t="e">
        <f t="shared" ca="1" si="28"/>
        <v>#REF!</v>
      </c>
      <c r="EE57" s="749"/>
      <c r="EF57" s="749"/>
      <c r="EG57" s="749"/>
      <c r="EH57" s="749"/>
      <c r="EI57" s="714" t="e">
        <f t="shared" ca="1" si="19"/>
        <v>#N/A</v>
      </c>
      <c r="EJ57" s="231" t="e">
        <f ca="1">IF(SUM(EJ$24:EJ56)=EJ$22,0,IF(AND($K57&gt;=EJ$15,$K57&lt;(EJ$16+1)),EJ$22/(EJ$16-EJ$15+1),0))</f>
        <v>#REF!</v>
      </c>
      <c r="EK57" s="714" t="e">
        <f t="shared" ca="1" si="54"/>
        <v>#N/A</v>
      </c>
      <c r="EM57" s="60"/>
      <c r="EN57" s="60"/>
    </row>
    <row r="58" spans="1:144">
      <c r="A58" s="220"/>
      <c r="B58" s="236">
        <f t="shared" si="20"/>
        <v>35</v>
      </c>
      <c r="C58" s="221">
        <f t="shared" si="21"/>
        <v>44505.167800000054</v>
      </c>
      <c r="D58" s="746" t="e">
        <f t="shared" ca="1" si="22"/>
        <v>#DIV/0!</v>
      </c>
      <c r="E58" s="747" t="e">
        <f t="shared" ca="1" si="25"/>
        <v>#DIV/0!</v>
      </c>
      <c r="F58" s="748" t="e">
        <f ca="1">IF(F57=0,0,SUM($G$24:G58))</f>
        <v>#DIV/0!</v>
      </c>
      <c r="G58" s="225" t="e">
        <f t="shared" ca="1" si="48"/>
        <v>#DIV/0!</v>
      </c>
      <c r="H58" s="746">
        <f t="shared" ca="1" si="23"/>
        <v>0</v>
      </c>
      <c r="I58" s="60"/>
      <c r="J58" s="228"/>
      <c r="K58" s="228">
        <f t="shared" si="49"/>
        <v>35</v>
      </c>
      <c r="L58" s="221">
        <f t="shared" si="50"/>
        <v>44505.167800000054</v>
      </c>
      <c r="M58" s="229">
        <f t="shared" si="43"/>
        <v>0</v>
      </c>
      <c r="N58" s="229">
        <f t="shared" si="43"/>
        <v>0</v>
      </c>
      <c r="O58" s="229">
        <f t="shared" si="43"/>
        <v>0</v>
      </c>
      <c r="P58" s="229">
        <f t="shared" si="43"/>
        <v>0</v>
      </c>
      <c r="Q58" s="229">
        <f t="shared" si="43"/>
        <v>0</v>
      </c>
      <c r="R58" s="229">
        <f t="shared" si="42"/>
        <v>0</v>
      </c>
      <c r="S58" s="229">
        <f t="shared" si="42"/>
        <v>0</v>
      </c>
      <c r="T58" s="229">
        <f t="shared" si="42"/>
        <v>0</v>
      </c>
      <c r="U58" s="229">
        <f t="shared" si="43"/>
        <v>0</v>
      </c>
      <c r="V58" s="229">
        <f t="shared" si="43"/>
        <v>0</v>
      </c>
      <c r="W58" s="229">
        <f t="shared" si="43"/>
        <v>0</v>
      </c>
      <c r="X58" s="229">
        <f t="shared" si="43"/>
        <v>0</v>
      </c>
      <c r="Y58" s="229">
        <f t="shared" si="43"/>
        <v>0</v>
      </c>
      <c r="Z58" s="229">
        <f t="shared" si="43"/>
        <v>0</v>
      </c>
      <c r="AA58" s="229">
        <f t="shared" si="43"/>
        <v>0</v>
      </c>
      <c r="AB58" s="229">
        <f t="shared" si="43"/>
        <v>0</v>
      </c>
      <c r="AC58" s="229">
        <f t="shared" si="43"/>
        <v>0</v>
      </c>
      <c r="AD58" s="229">
        <f t="shared" si="43"/>
        <v>0</v>
      </c>
      <c r="AE58" s="229">
        <f t="shared" si="43"/>
        <v>0</v>
      </c>
      <c r="AF58" s="229">
        <f t="shared" si="43"/>
        <v>0</v>
      </c>
      <c r="AG58" s="229">
        <f t="shared" si="43"/>
        <v>0</v>
      </c>
      <c r="AH58" s="229">
        <f t="shared" si="43"/>
        <v>0</v>
      </c>
      <c r="AI58" s="229">
        <f t="shared" si="43"/>
        <v>0</v>
      </c>
      <c r="AJ58" s="229">
        <f t="shared" si="43"/>
        <v>0</v>
      </c>
      <c r="AK58" s="229">
        <f t="shared" si="43"/>
        <v>0</v>
      </c>
      <c r="AL58" s="229">
        <f t="shared" si="43"/>
        <v>0</v>
      </c>
      <c r="AM58" s="229">
        <f t="shared" si="43"/>
        <v>0</v>
      </c>
      <c r="AN58" s="229">
        <f t="shared" si="43"/>
        <v>0</v>
      </c>
      <c r="AO58" s="229">
        <f t="shared" si="43"/>
        <v>0</v>
      </c>
      <c r="AP58" s="229">
        <f t="shared" si="43"/>
        <v>0</v>
      </c>
      <c r="AQ58" s="229">
        <f t="shared" si="43"/>
        <v>0</v>
      </c>
      <c r="AR58" s="229">
        <f t="shared" si="44"/>
        <v>0</v>
      </c>
      <c r="AS58" s="229">
        <f t="shared" si="44"/>
        <v>0</v>
      </c>
      <c r="AT58" s="229">
        <f t="shared" si="44"/>
        <v>0</v>
      </c>
      <c r="AU58" s="229">
        <f t="shared" si="44"/>
        <v>0</v>
      </c>
      <c r="AV58" s="229">
        <f t="shared" si="44"/>
        <v>0</v>
      </c>
      <c r="AW58" s="229">
        <f t="shared" si="44"/>
        <v>0</v>
      </c>
      <c r="AX58" s="229">
        <f t="shared" si="44"/>
        <v>0</v>
      </c>
      <c r="AY58" s="229">
        <f t="shared" si="44"/>
        <v>0</v>
      </c>
      <c r="AZ58" s="229">
        <f t="shared" si="44"/>
        <v>0</v>
      </c>
      <c r="BA58" s="229">
        <f t="shared" si="44"/>
        <v>0</v>
      </c>
      <c r="BB58" s="229">
        <f t="shared" si="44"/>
        <v>0</v>
      </c>
      <c r="BC58" s="229">
        <f t="shared" si="45"/>
        <v>0</v>
      </c>
      <c r="BD58" s="229">
        <f t="shared" si="45"/>
        <v>0</v>
      </c>
      <c r="BE58" s="229">
        <f t="shared" si="45"/>
        <v>0</v>
      </c>
      <c r="BF58" s="229">
        <f t="shared" si="45"/>
        <v>0</v>
      </c>
      <c r="BG58" s="229">
        <f t="shared" si="45"/>
        <v>0</v>
      </c>
      <c r="BH58" s="229">
        <f t="shared" si="45"/>
        <v>0</v>
      </c>
      <c r="BI58" s="229">
        <f t="shared" si="45"/>
        <v>0</v>
      </c>
      <c r="BJ58" s="229">
        <f t="shared" si="45"/>
        <v>0</v>
      </c>
      <c r="BK58" s="229">
        <f t="shared" si="45"/>
        <v>0</v>
      </c>
      <c r="BL58" s="229">
        <f t="shared" si="45"/>
        <v>0</v>
      </c>
      <c r="BM58" s="229">
        <f t="shared" si="46"/>
        <v>0</v>
      </c>
      <c r="BN58" s="229">
        <f t="shared" si="46"/>
        <v>0</v>
      </c>
      <c r="BO58" s="229">
        <f t="shared" si="46"/>
        <v>0</v>
      </c>
      <c r="BP58" s="229">
        <f t="shared" si="46"/>
        <v>0</v>
      </c>
      <c r="BQ58" s="229">
        <f t="shared" si="46"/>
        <v>0</v>
      </c>
      <c r="BR58" s="229">
        <f t="shared" si="46"/>
        <v>0</v>
      </c>
      <c r="BS58" s="229">
        <f t="shared" si="46"/>
        <v>0</v>
      </c>
      <c r="BT58" s="229">
        <f t="shared" si="46"/>
        <v>0</v>
      </c>
      <c r="BU58" s="229">
        <f t="shared" si="46"/>
        <v>0</v>
      </c>
      <c r="BV58" s="229">
        <f t="shared" si="46"/>
        <v>0</v>
      </c>
      <c r="BW58" s="229">
        <f t="shared" si="46"/>
        <v>0</v>
      </c>
      <c r="BX58" s="229">
        <f t="shared" si="46"/>
        <v>0</v>
      </c>
      <c r="BY58" s="229">
        <f t="shared" si="46"/>
        <v>0</v>
      </c>
      <c r="BZ58" s="229">
        <f t="shared" si="46"/>
        <v>0</v>
      </c>
      <c r="CA58" s="229">
        <f t="shared" si="46"/>
        <v>0</v>
      </c>
      <c r="CB58" s="229">
        <f t="shared" si="47"/>
        <v>0</v>
      </c>
      <c r="CC58" s="229">
        <f t="shared" si="47"/>
        <v>0</v>
      </c>
      <c r="CD58" s="229">
        <f t="shared" si="47"/>
        <v>0</v>
      </c>
      <c r="CE58" s="229">
        <f t="shared" si="47"/>
        <v>0</v>
      </c>
      <c r="CF58" s="229">
        <f t="shared" si="47"/>
        <v>0</v>
      </c>
      <c r="CG58" s="229">
        <f t="shared" si="47"/>
        <v>0</v>
      </c>
      <c r="CH58" s="229">
        <f t="shared" si="47"/>
        <v>0</v>
      </c>
      <c r="CI58" s="229">
        <f t="shared" si="47"/>
        <v>0</v>
      </c>
      <c r="CJ58" s="229">
        <f t="shared" si="47"/>
        <v>0</v>
      </c>
      <c r="CK58" s="229">
        <f t="shared" si="47"/>
        <v>0</v>
      </c>
      <c r="CL58" s="229">
        <f t="shared" si="47"/>
        <v>0</v>
      </c>
      <c r="CM58" s="229">
        <f t="shared" si="47"/>
        <v>0</v>
      </c>
      <c r="CN58" s="229">
        <f t="shared" si="47"/>
        <v>0</v>
      </c>
      <c r="CO58" s="229">
        <f t="shared" si="47"/>
        <v>0</v>
      </c>
      <c r="CP58" s="229">
        <f t="shared" si="47"/>
        <v>0</v>
      </c>
      <c r="CQ58" s="229">
        <f t="shared" si="47"/>
        <v>0</v>
      </c>
      <c r="CR58" s="229">
        <f t="shared" si="47"/>
        <v>0</v>
      </c>
      <c r="CS58" s="230"/>
      <c r="CT58" s="231"/>
      <c r="CU58" s="231"/>
      <c r="CV58" s="231"/>
      <c r="CW58" s="231"/>
      <c r="CY58" s="231"/>
      <c r="CZ58" s="231"/>
      <c r="DA58" s="231"/>
      <c r="DB58" s="231">
        <f>IF(SUM(DB$24:DB57)=DB$22,0,IF(AND($K58&gt;=DB$15,$K58&lt;(DB$16+1)),DB$22/(DB$16-DB$15+1),0))</f>
        <v>0</v>
      </c>
      <c r="DC58" s="231">
        <f t="shared" si="41"/>
        <v>0</v>
      </c>
      <c r="DD58" s="231">
        <f t="shared" si="41"/>
        <v>0</v>
      </c>
      <c r="DE58" s="231">
        <f t="shared" si="41"/>
        <v>0</v>
      </c>
      <c r="DF58" s="231">
        <f t="shared" si="41"/>
        <v>0</v>
      </c>
      <c r="DG58" s="231">
        <f t="shared" si="41"/>
        <v>0</v>
      </c>
      <c r="DH58" s="231">
        <f t="shared" si="41"/>
        <v>0</v>
      </c>
      <c r="DI58" s="231">
        <f t="shared" si="41"/>
        <v>0</v>
      </c>
      <c r="DJ58" s="231">
        <f t="shared" si="41"/>
        <v>0</v>
      </c>
      <c r="DK58" s="231">
        <f t="shared" si="41"/>
        <v>0</v>
      </c>
      <c r="DL58" s="231">
        <f t="shared" si="41"/>
        <v>0</v>
      </c>
      <c r="DM58" s="231">
        <f t="shared" si="41"/>
        <v>0</v>
      </c>
      <c r="DN58" s="231">
        <f t="shared" si="41"/>
        <v>0</v>
      </c>
      <c r="DO58" s="231">
        <f t="shared" si="41"/>
        <v>0</v>
      </c>
      <c r="DP58" s="231">
        <f>'Offshore CF'!DR58</f>
        <v>0</v>
      </c>
      <c r="DQ58" s="231">
        <f>'Offshore CF'!DS58</f>
        <v>0.29866666666666669</v>
      </c>
      <c r="DR58" s="231">
        <f ca="1">IF(SUM(DR$24:DR57)=DR$22,0,IF(AND($K58&gt;=DR$15,$K58&lt;(DR$16+1)),DR$22/(DR$16-DR$15+1),0))</f>
        <v>0</v>
      </c>
      <c r="DS58" s="231" t="e">
        <f ca="1">IF(SUM(DS$24:DS57)=DS$22,0,IF(AND($K58&gt;=DS$15,$K58&lt;(DS$16+1)),DS$22/(DS$16-DS$15+1),0))</f>
        <v>#REF!</v>
      </c>
      <c r="DT58" s="231" t="e">
        <f ca="1">IF(SUM(DT$24:DT57)=DT$22,0,IF(AND(K58&gt;=DT$15,K58&lt;(DT$16+1)),DT$22/(DT$16-DT$15+1),0))</f>
        <v>#REF!</v>
      </c>
      <c r="DU58" s="231" t="e">
        <f ca="1">IF(SUM(DU$24:DU57)=DU$22,0,IF(AND($K58&gt;=DU$15,$K58&lt;(DU$16+1)),DU$22/(DU$16-DU$15+1),0))</f>
        <v>#REF!</v>
      </c>
      <c r="DV58" s="231">
        <f ca="1">IF(SUM(DV$24:DV57)=DV$22,0,IF(AND($K58&gt;=DV$15,$K58&lt;(DV$16+1)),DV$22/(DV$16-DV$15+1),0))</f>
        <v>0</v>
      </c>
      <c r="DW58" s="231">
        <f ca="1">IF(SUM(DW$24:DW57)=DW$22,0,IF(AND($K58&gt;=DW$15,$K58&lt;(DW$16+1)),DW$22/(DW$16-DW$15+1),0))</f>
        <v>0</v>
      </c>
      <c r="DX58" s="231">
        <f ca="1">IF(SUM(DX$24:DX57)=DX$22,0,IF(AND($K58&gt;=DX$15,$K58&lt;(DX$16+1)),DX$22/(DX$16-DX$15+1),0))</f>
        <v>0</v>
      </c>
      <c r="DY58" s="231">
        <f ca="1">IF(SUM(DY$24:DY57)=DY$22,0,IF(AND($K58&gt;=DY$15,$K58&lt;(DY$16+1)),DY$22/(DY$16-DY$15+1),0))</f>
        <v>0</v>
      </c>
      <c r="EA58" s="749">
        <f t="shared" si="51"/>
        <v>35</v>
      </c>
      <c r="EB58" s="749" t="e">
        <f t="shared" ca="1" si="52"/>
        <v>#REF!</v>
      </c>
      <c r="EC58" s="750" t="e">
        <f t="shared" ca="1" si="53"/>
        <v>#REF!</v>
      </c>
      <c r="ED58" s="749" t="e">
        <f t="shared" ca="1" si="28"/>
        <v>#REF!</v>
      </c>
      <c r="EE58" s="749"/>
      <c r="EF58" s="749"/>
      <c r="EG58" s="749"/>
      <c r="EH58" s="749"/>
      <c r="EI58" s="714" t="e">
        <f t="shared" ca="1" si="19"/>
        <v>#REF!</v>
      </c>
      <c r="EJ58" s="231" t="e">
        <f ca="1">IF(SUM(EJ$24:EJ57)=EJ$22,0,IF(AND($K58&gt;=EJ$15,$K58&lt;(EJ$16+1)),EJ$22/(EJ$16-EJ$15+1),0))</f>
        <v>#REF!</v>
      </c>
      <c r="EK58" s="714" t="e">
        <f t="shared" ca="1" si="54"/>
        <v>#REF!</v>
      </c>
      <c r="EM58" s="60"/>
      <c r="EN58" s="60"/>
    </row>
    <row r="59" spans="1:144">
      <c r="A59" s="237"/>
      <c r="B59" s="238">
        <f t="shared" si="20"/>
        <v>36</v>
      </c>
      <c r="C59" s="239">
        <f t="shared" si="21"/>
        <v>44535.584500000055</v>
      </c>
      <c r="D59" s="746" t="e">
        <f t="shared" ca="1" si="22"/>
        <v>#DIV/0!</v>
      </c>
      <c r="E59" s="747" t="e">
        <f t="shared" ca="1" si="25"/>
        <v>#DIV/0!</v>
      </c>
      <c r="F59" s="748" t="e">
        <f ca="1">IF(F58=0,0,SUM($G$24:G59))</f>
        <v>#DIV/0!</v>
      </c>
      <c r="G59" s="225" t="e">
        <f t="shared" ca="1" si="48"/>
        <v>#DIV/0!</v>
      </c>
      <c r="H59" s="746">
        <f t="shared" ca="1" si="23"/>
        <v>0</v>
      </c>
      <c r="I59" s="60"/>
      <c r="J59" s="241"/>
      <c r="K59" s="241">
        <f t="shared" si="49"/>
        <v>36</v>
      </c>
      <c r="L59" s="239">
        <f t="shared" si="50"/>
        <v>44535.584500000055</v>
      </c>
      <c r="M59" s="229">
        <f t="shared" si="43"/>
        <v>0</v>
      </c>
      <c r="N59" s="229">
        <f t="shared" si="43"/>
        <v>0</v>
      </c>
      <c r="O59" s="229">
        <f t="shared" si="43"/>
        <v>0</v>
      </c>
      <c r="P59" s="229">
        <f t="shared" si="43"/>
        <v>0</v>
      </c>
      <c r="Q59" s="229">
        <f t="shared" si="43"/>
        <v>0</v>
      </c>
      <c r="R59" s="229">
        <f t="shared" si="42"/>
        <v>0</v>
      </c>
      <c r="S59" s="229">
        <f t="shared" si="42"/>
        <v>0</v>
      </c>
      <c r="T59" s="229">
        <f t="shared" si="42"/>
        <v>0</v>
      </c>
      <c r="U59" s="229">
        <f t="shared" si="43"/>
        <v>0</v>
      </c>
      <c r="V59" s="229">
        <f t="shared" si="43"/>
        <v>0</v>
      </c>
      <c r="W59" s="229">
        <f t="shared" si="43"/>
        <v>0</v>
      </c>
      <c r="X59" s="229">
        <f t="shared" si="43"/>
        <v>0</v>
      </c>
      <c r="Y59" s="229">
        <f t="shared" si="43"/>
        <v>0</v>
      </c>
      <c r="Z59" s="229">
        <f t="shared" si="43"/>
        <v>0</v>
      </c>
      <c r="AA59" s="229">
        <f t="shared" si="43"/>
        <v>0</v>
      </c>
      <c r="AB59" s="229">
        <f t="shared" si="43"/>
        <v>0</v>
      </c>
      <c r="AC59" s="229">
        <f t="shared" si="43"/>
        <v>0</v>
      </c>
      <c r="AD59" s="229">
        <f t="shared" si="43"/>
        <v>0</v>
      </c>
      <c r="AE59" s="229">
        <f t="shared" si="43"/>
        <v>0</v>
      </c>
      <c r="AF59" s="229">
        <f t="shared" si="43"/>
        <v>0</v>
      </c>
      <c r="AG59" s="229">
        <f t="shared" si="43"/>
        <v>0</v>
      </c>
      <c r="AH59" s="229">
        <f t="shared" si="43"/>
        <v>0</v>
      </c>
      <c r="AI59" s="229">
        <f t="shared" si="43"/>
        <v>0</v>
      </c>
      <c r="AJ59" s="229">
        <f t="shared" si="43"/>
        <v>0</v>
      </c>
      <c r="AK59" s="229">
        <f t="shared" si="43"/>
        <v>0</v>
      </c>
      <c r="AL59" s="229">
        <f t="shared" si="43"/>
        <v>0</v>
      </c>
      <c r="AM59" s="229">
        <f t="shared" si="43"/>
        <v>0</v>
      </c>
      <c r="AN59" s="229">
        <f t="shared" si="43"/>
        <v>0</v>
      </c>
      <c r="AO59" s="229">
        <f t="shared" si="43"/>
        <v>0</v>
      </c>
      <c r="AP59" s="229">
        <f t="shared" si="43"/>
        <v>0</v>
      </c>
      <c r="AQ59" s="229">
        <f t="shared" si="43"/>
        <v>0</v>
      </c>
      <c r="AR59" s="229">
        <f t="shared" si="44"/>
        <v>0</v>
      </c>
      <c r="AS59" s="229">
        <f t="shared" si="44"/>
        <v>0</v>
      </c>
      <c r="AT59" s="229">
        <f t="shared" si="44"/>
        <v>0</v>
      </c>
      <c r="AU59" s="229">
        <f t="shared" si="44"/>
        <v>0</v>
      </c>
      <c r="AV59" s="229">
        <f t="shared" si="44"/>
        <v>0</v>
      </c>
      <c r="AW59" s="229">
        <f t="shared" si="44"/>
        <v>0</v>
      </c>
      <c r="AX59" s="229">
        <f t="shared" si="44"/>
        <v>0</v>
      </c>
      <c r="AY59" s="229">
        <f t="shared" si="44"/>
        <v>0</v>
      </c>
      <c r="AZ59" s="229">
        <f t="shared" si="44"/>
        <v>0</v>
      </c>
      <c r="BA59" s="229">
        <f t="shared" si="44"/>
        <v>0</v>
      </c>
      <c r="BB59" s="229">
        <f t="shared" si="44"/>
        <v>0</v>
      </c>
      <c r="BC59" s="229">
        <f t="shared" si="45"/>
        <v>0</v>
      </c>
      <c r="BD59" s="229">
        <f t="shared" si="45"/>
        <v>0</v>
      </c>
      <c r="BE59" s="229">
        <f t="shared" si="45"/>
        <v>0</v>
      </c>
      <c r="BF59" s="229">
        <f t="shared" si="45"/>
        <v>0</v>
      </c>
      <c r="BG59" s="229">
        <f t="shared" si="45"/>
        <v>0</v>
      </c>
      <c r="BH59" s="229">
        <f t="shared" si="45"/>
        <v>0</v>
      </c>
      <c r="BI59" s="229">
        <f t="shared" si="45"/>
        <v>0</v>
      </c>
      <c r="BJ59" s="229">
        <f t="shared" si="45"/>
        <v>0</v>
      </c>
      <c r="BK59" s="229">
        <f t="shared" si="45"/>
        <v>0</v>
      </c>
      <c r="BL59" s="229">
        <f t="shared" si="45"/>
        <v>0</v>
      </c>
      <c r="BM59" s="229">
        <f t="shared" si="46"/>
        <v>0</v>
      </c>
      <c r="BN59" s="229">
        <f t="shared" si="46"/>
        <v>0</v>
      </c>
      <c r="BO59" s="229">
        <f t="shared" si="46"/>
        <v>0</v>
      </c>
      <c r="BP59" s="229">
        <f t="shared" si="46"/>
        <v>0</v>
      </c>
      <c r="BQ59" s="229">
        <f t="shared" si="46"/>
        <v>0</v>
      </c>
      <c r="BR59" s="229">
        <f t="shared" si="46"/>
        <v>0</v>
      </c>
      <c r="BS59" s="229">
        <f t="shared" si="46"/>
        <v>0</v>
      </c>
      <c r="BT59" s="229">
        <f t="shared" si="46"/>
        <v>0</v>
      </c>
      <c r="BU59" s="229">
        <f t="shared" si="46"/>
        <v>0</v>
      </c>
      <c r="BV59" s="229">
        <f t="shared" si="46"/>
        <v>0</v>
      </c>
      <c r="BW59" s="229">
        <f t="shared" si="46"/>
        <v>0</v>
      </c>
      <c r="BX59" s="229">
        <f t="shared" si="46"/>
        <v>0</v>
      </c>
      <c r="BY59" s="229">
        <f t="shared" si="46"/>
        <v>0</v>
      </c>
      <c r="BZ59" s="229">
        <f t="shared" si="46"/>
        <v>0</v>
      </c>
      <c r="CA59" s="229">
        <f t="shared" si="46"/>
        <v>0</v>
      </c>
      <c r="CB59" s="229">
        <f t="shared" si="47"/>
        <v>0</v>
      </c>
      <c r="CC59" s="229">
        <f t="shared" si="47"/>
        <v>0</v>
      </c>
      <c r="CD59" s="229">
        <f t="shared" si="47"/>
        <v>0</v>
      </c>
      <c r="CE59" s="229">
        <f t="shared" si="47"/>
        <v>0</v>
      </c>
      <c r="CF59" s="229">
        <f t="shared" si="47"/>
        <v>0</v>
      </c>
      <c r="CG59" s="229">
        <f t="shared" si="47"/>
        <v>0</v>
      </c>
      <c r="CH59" s="229">
        <f t="shared" si="47"/>
        <v>0</v>
      </c>
      <c r="CI59" s="229">
        <f t="shared" si="47"/>
        <v>0</v>
      </c>
      <c r="CJ59" s="229">
        <f t="shared" si="47"/>
        <v>0</v>
      </c>
      <c r="CK59" s="229">
        <f t="shared" si="47"/>
        <v>0</v>
      </c>
      <c r="CL59" s="229">
        <f t="shared" si="47"/>
        <v>0</v>
      </c>
      <c r="CM59" s="229">
        <f t="shared" si="47"/>
        <v>0</v>
      </c>
      <c r="CN59" s="229">
        <f t="shared" si="47"/>
        <v>0</v>
      </c>
      <c r="CO59" s="229">
        <f t="shared" si="47"/>
        <v>0</v>
      </c>
      <c r="CP59" s="229">
        <f t="shared" si="47"/>
        <v>0</v>
      </c>
      <c r="CQ59" s="229">
        <f t="shared" si="47"/>
        <v>0</v>
      </c>
      <c r="CR59" s="229">
        <f t="shared" si="47"/>
        <v>0</v>
      </c>
      <c r="CS59" s="230"/>
      <c r="CT59" s="231"/>
      <c r="CU59" s="231"/>
      <c r="CV59" s="231"/>
      <c r="CW59" s="231"/>
      <c r="CY59" s="231"/>
      <c r="CZ59" s="231"/>
      <c r="DA59" s="231"/>
      <c r="DB59" s="231">
        <f>IF(SUM(DB$24:DB58)=DB$22,0,IF(AND($K59&gt;=DB$15,$K59&lt;(DB$16+1)),DB$22/(DB$16-DB$15+1),0))</f>
        <v>0</v>
      </c>
      <c r="DC59" s="231">
        <f t="shared" si="41"/>
        <v>0</v>
      </c>
      <c r="DD59" s="231">
        <f t="shared" si="41"/>
        <v>0</v>
      </c>
      <c r="DE59" s="231">
        <f t="shared" si="41"/>
        <v>0</v>
      </c>
      <c r="DF59" s="231">
        <f t="shared" si="41"/>
        <v>0</v>
      </c>
      <c r="DG59" s="231">
        <f t="shared" si="41"/>
        <v>0</v>
      </c>
      <c r="DH59" s="231">
        <f t="shared" si="41"/>
        <v>0</v>
      </c>
      <c r="DI59" s="231">
        <f t="shared" si="41"/>
        <v>0</v>
      </c>
      <c r="DJ59" s="231">
        <f t="shared" si="41"/>
        <v>0</v>
      </c>
      <c r="DK59" s="231">
        <f t="shared" si="41"/>
        <v>0</v>
      </c>
      <c r="DL59" s="231">
        <f t="shared" si="41"/>
        <v>0</v>
      </c>
      <c r="DM59" s="231">
        <f t="shared" si="41"/>
        <v>0</v>
      </c>
      <c r="DN59" s="231">
        <f t="shared" si="41"/>
        <v>0</v>
      </c>
      <c r="DO59" s="231">
        <f t="shared" si="41"/>
        <v>0</v>
      </c>
      <c r="DP59" s="231">
        <f>'Offshore CF'!DR59</f>
        <v>0</v>
      </c>
      <c r="DQ59" s="231">
        <f>'Offshore CF'!DS59</f>
        <v>0.29866666666666669</v>
      </c>
      <c r="DR59" s="231">
        <f ca="1">IF(SUM(DR$24:DR58)=DR$22,0,IF(AND($K59&gt;=DR$15,$K59&lt;(DR$16+1)),DR$22/(DR$16-DR$15+1),0))</f>
        <v>0</v>
      </c>
      <c r="DS59" s="231" t="e">
        <f ca="1">IF(SUM(DS$24:DS58)=DS$22,0,IF(AND($K59&gt;=DS$15,$K59&lt;(DS$16+1)),DS$22/(DS$16-DS$15+1),0))</f>
        <v>#REF!</v>
      </c>
      <c r="DT59" s="231" t="e">
        <f ca="1">IF(SUM(DT$24:DT58)=DT$22,0,IF(AND(K59&gt;=DT$15,K59&lt;(DT$16+1)),DT$22/(DT$16-DT$15+1),0))</f>
        <v>#REF!</v>
      </c>
      <c r="DU59" s="231" t="e">
        <f ca="1">IF(SUM(DU$24:DU58)=DU$22,0,IF(AND($K59&gt;=DU$15,$K59&lt;(DU$16+1)),DU$22/(DU$16-DU$15+1),0))</f>
        <v>#REF!</v>
      </c>
      <c r="DV59" s="231">
        <f ca="1">IF(SUM(DV$24:DV58)=DV$22,0,IF(AND($K59&gt;=DV$15,$K59&lt;(DV$16+1)),DV$22/(DV$16-DV$15+1),0))</f>
        <v>0</v>
      </c>
      <c r="DW59" s="231">
        <f ca="1">IF(SUM(DW$24:DW58)=DW$22,0,IF(AND($K59&gt;=DW$15,$K59&lt;(DW$16+1)),DW$22/(DW$16-DW$15+1),0))</f>
        <v>0</v>
      </c>
      <c r="DX59" s="231">
        <f ca="1">IF(SUM(DX$24:DX58)=DX$22,0,IF(AND($K59&gt;=DX$15,$K59&lt;(DX$16+1)),DX$22/(DX$16-DX$15+1),0))</f>
        <v>0</v>
      </c>
      <c r="DY59" s="231">
        <f ca="1">IF(SUM(DY$24:DY58)=DY$22,0,IF(AND($K59&gt;=DY$15,$K59&lt;(DY$16+1)),DY$22/(DY$16-DY$15+1),0))</f>
        <v>0</v>
      </c>
      <c r="EA59" s="749">
        <f t="shared" si="51"/>
        <v>36</v>
      </c>
      <c r="EB59" s="749" t="e">
        <f t="shared" ca="1" si="52"/>
        <v>#REF!</v>
      </c>
      <c r="EC59" s="750" t="e">
        <f t="shared" ca="1" si="53"/>
        <v>#REF!</v>
      </c>
      <c r="ED59" s="749" t="e">
        <f t="shared" ca="1" si="28"/>
        <v>#N/A</v>
      </c>
      <c r="EE59" s="749"/>
      <c r="EF59" s="749"/>
      <c r="EG59" s="749"/>
      <c r="EH59" s="749"/>
      <c r="EI59" s="714" t="e">
        <f t="shared" ca="1" si="19"/>
        <v>#REF!</v>
      </c>
      <c r="EJ59" s="231" t="e">
        <f ca="1">IF(SUM(EJ$24:EJ58)=EJ$22,0,IF(AND($K59&gt;=EJ$15,$K59&lt;(EJ$16+1)),EJ$22/(EJ$16-EJ$15+1),0))</f>
        <v>#REF!</v>
      </c>
      <c r="EK59" s="714" t="e">
        <f t="shared" ca="1" si="54"/>
        <v>#REF!</v>
      </c>
      <c r="EM59" s="60"/>
      <c r="EN59" s="60"/>
    </row>
    <row r="60" spans="1:144">
      <c r="A60" s="244" t="s">
        <v>115</v>
      </c>
      <c r="B60" s="236">
        <f t="shared" si="20"/>
        <v>37</v>
      </c>
      <c r="C60" s="221">
        <f t="shared" si="21"/>
        <v>44566.001200000057</v>
      </c>
      <c r="D60" s="746" t="e">
        <f t="shared" ca="1" si="22"/>
        <v>#DIV/0!</v>
      </c>
      <c r="E60" s="747" t="e">
        <f t="shared" ca="1" si="25"/>
        <v>#DIV/0!</v>
      </c>
      <c r="F60" s="748" t="e">
        <f ca="1">IF(F59=0,0,SUM($G$24:G60))</f>
        <v>#DIV/0!</v>
      </c>
      <c r="G60" s="225" t="e">
        <f t="shared" ca="1" si="48"/>
        <v>#DIV/0!</v>
      </c>
      <c r="H60" s="746">
        <f t="shared" ca="1" si="23"/>
        <v>0</v>
      </c>
      <c r="I60" s="60"/>
      <c r="J60" s="242" t="str">
        <f>A60</f>
        <v>Yr 4</v>
      </c>
      <c r="K60" s="228">
        <f t="shared" si="49"/>
        <v>37</v>
      </c>
      <c r="L60" s="221">
        <f t="shared" si="50"/>
        <v>44566.001200000057</v>
      </c>
      <c r="M60" s="229">
        <f t="shared" si="43"/>
        <v>0</v>
      </c>
      <c r="N60" s="229">
        <f t="shared" si="43"/>
        <v>0</v>
      </c>
      <c r="O60" s="229">
        <f t="shared" si="43"/>
        <v>0</v>
      </c>
      <c r="P60" s="229">
        <f t="shared" si="43"/>
        <v>0</v>
      </c>
      <c r="Q60" s="229">
        <f t="shared" si="43"/>
        <v>0</v>
      </c>
      <c r="R60" s="229">
        <f t="shared" si="42"/>
        <v>0</v>
      </c>
      <c r="S60" s="229">
        <f t="shared" si="42"/>
        <v>0</v>
      </c>
      <c r="T60" s="229">
        <f t="shared" si="42"/>
        <v>0</v>
      </c>
      <c r="U60" s="229">
        <f t="shared" si="43"/>
        <v>0</v>
      </c>
      <c r="V60" s="229">
        <f t="shared" si="43"/>
        <v>0</v>
      </c>
      <c r="W60" s="229">
        <f t="shared" si="43"/>
        <v>0</v>
      </c>
      <c r="X60" s="229">
        <f t="shared" si="43"/>
        <v>0</v>
      </c>
      <c r="Y60" s="229">
        <f t="shared" si="43"/>
        <v>0</v>
      </c>
      <c r="Z60" s="229">
        <f t="shared" si="43"/>
        <v>0</v>
      </c>
      <c r="AA60" s="229">
        <f t="shared" si="43"/>
        <v>0</v>
      </c>
      <c r="AB60" s="229">
        <f t="shared" si="43"/>
        <v>0</v>
      </c>
      <c r="AC60" s="229">
        <f t="shared" si="43"/>
        <v>0</v>
      </c>
      <c r="AD60" s="229">
        <f t="shared" si="43"/>
        <v>0</v>
      </c>
      <c r="AE60" s="229">
        <f t="shared" si="43"/>
        <v>0</v>
      </c>
      <c r="AF60" s="229">
        <f t="shared" si="43"/>
        <v>0</v>
      </c>
      <c r="AG60" s="229">
        <f t="shared" si="43"/>
        <v>0</v>
      </c>
      <c r="AH60" s="229">
        <f t="shared" si="43"/>
        <v>0</v>
      </c>
      <c r="AI60" s="229">
        <f t="shared" si="43"/>
        <v>0</v>
      </c>
      <c r="AJ60" s="229">
        <f t="shared" si="43"/>
        <v>0</v>
      </c>
      <c r="AK60" s="229">
        <f t="shared" si="43"/>
        <v>0</v>
      </c>
      <c r="AL60" s="229">
        <f t="shared" si="43"/>
        <v>0</v>
      </c>
      <c r="AM60" s="229">
        <f t="shared" si="43"/>
        <v>0</v>
      </c>
      <c r="AN60" s="229">
        <f t="shared" si="43"/>
        <v>0</v>
      </c>
      <c r="AO60" s="229">
        <f t="shared" si="43"/>
        <v>0</v>
      </c>
      <c r="AP60" s="229">
        <f t="shared" si="43"/>
        <v>0</v>
      </c>
      <c r="AQ60" s="229">
        <f t="shared" si="43"/>
        <v>0</v>
      </c>
      <c r="AR60" s="229">
        <f t="shared" si="44"/>
        <v>0</v>
      </c>
      <c r="AS60" s="229">
        <f t="shared" si="44"/>
        <v>0</v>
      </c>
      <c r="AT60" s="229">
        <f t="shared" si="44"/>
        <v>0</v>
      </c>
      <c r="AU60" s="229">
        <f t="shared" si="44"/>
        <v>0</v>
      </c>
      <c r="AV60" s="229">
        <f t="shared" si="44"/>
        <v>0</v>
      </c>
      <c r="AW60" s="229">
        <f t="shared" si="44"/>
        <v>0</v>
      </c>
      <c r="AX60" s="229">
        <f t="shared" si="44"/>
        <v>0</v>
      </c>
      <c r="AY60" s="229">
        <f t="shared" si="44"/>
        <v>0</v>
      </c>
      <c r="AZ60" s="229">
        <f t="shared" si="44"/>
        <v>0</v>
      </c>
      <c r="BA60" s="229">
        <f t="shared" si="44"/>
        <v>0</v>
      </c>
      <c r="BB60" s="229">
        <f t="shared" si="44"/>
        <v>0</v>
      </c>
      <c r="BC60" s="229">
        <f t="shared" si="45"/>
        <v>0</v>
      </c>
      <c r="BD60" s="229">
        <f t="shared" si="45"/>
        <v>0</v>
      </c>
      <c r="BE60" s="229">
        <f t="shared" si="45"/>
        <v>0</v>
      </c>
      <c r="BF60" s="229">
        <f t="shared" si="45"/>
        <v>0</v>
      </c>
      <c r="BG60" s="229">
        <f t="shared" si="45"/>
        <v>0</v>
      </c>
      <c r="BH60" s="229">
        <f t="shared" si="45"/>
        <v>0</v>
      </c>
      <c r="BI60" s="229">
        <f t="shared" si="45"/>
        <v>0</v>
      </c>
      <c r="BJ60" s="229">
        <f t="shared" si="45"/>
        <v>0</v>
      </c>
      <c r="BK60" s="229">
        <f t="shared" si="45"/>
        <v>0</v>
      </c>
      <c r="BL60" s="229">
        <f t="shared" si="45"/>
        <v>0</v>
      </c>
      <c r="BM60" s="229">
        <f t="shared" si="46"/>
        <v>0</v>
      </c>
      <c r="BN60" s="229">
        <f t="shared" si="46"/>
        <v>0</v>
      </c>
      <c r="BO60" s="229">
        <f t="shared" si="46"/>
        <v>0</v>
      </c>
      <c r="BP60" s="229">
        <f t="shared" si="46"/>
        <v>0</v>
      </c>
      <c r="BQ60" s="229">
        <f t="shared" si="46"/>
        <v>0</v>
      </c>
      <c r="BR60" s="229">
        <f t="shared" si="46"/>
        <v>0</v>
      </c>
      <c r="BS60" s="229">
        <f t="shared" si="46"/>
        <v>0</v>
      </c>
      <c r="BT60" s="229">
        <f t="shared" si="46"/>
        <v>0</v>
      </c>
      <c r="BU60" s="229">
        <f t="shared" si="46"/>
        <v>0</v>
      </c>
      <c r="BV60" s="229">
        <f t="shared" si="46"/>
        <v>0</v>
      </c>
      <c r="BW60" s="229">
        <f t="shared" si="46"/>
        <v>0</v>
      </c>
      <c r="BX60" s="229">
        <f t="shared" si="46"/>
        <v>0</v>
      </c>
      <c r="BY60" s="229">
        <f t="shared" si="46"/>
        <v>0</v>
      </c>
      <c r="BZ60" s="229">
        <f t="shared" si="46"/>
        <v>0</v>
      </c>
      <c r="CA60" s="229">
        <f t="shared" si="46"/>
        <v>0</v>
      </c>
      <c r="CB60" s="229">
        <f t="shared" si="47"/>
        <v>0</v>
      </c>
      <c r="CC60" s="229">
        <f t="shared" si="47"/>
        <v>0</v>
      </c>
      <c r="CD60" s="229">
        <f t="shared" si="47"/>
        <v>0</v>
      </c>
      <c r="CE60" s="229">
        <f t="shared" si="47"/>
        <v>0</v>
      </c>
      <c r="CF60" s="229">
        <f t="shared" si="47"/>
        <v>0</v>
      </c>
      <c r="CG60" s="229">
        <f t="shared" si="47"/>
        <v>0</v>
      </c>
      <c r="CH60" s="229">
        <f t="shared" si="47"/>
        <v>0</v>
      </c>
      <c r="CI60" s="229">
        <f t="shared" si="47"/>
        <v>0</v>
      </c>
      <c r="CJ60" s="229">
        <f t="shared" si="47"/>
        <v>0</v>
      </c>
      <c r="CK60" s="229">
        <f t="shared" si="47"/>
        <v>0</v>
      </c>
      <c r="CL60" s="229">
        <f t="shared" si="47"/>
        <v>0</v>
      </c>
      <c r="CM60" s="229">
        <f t="shared" si="47"/>
        <v>0</v>
      </c>
      <c r="CN60" s="229">
        <f t="shared" si="47"/>
        <v>0</v>
      </c>
      <c r="CO60" s="229">
        <f t="shared" si="47"/>
        <v>0</v>
      </c>
      <c r="CP60" s="229">
        <f t="shared" si="47"/>
        <v>0</v>
      </c>
      <c r="CQ60" s="229">
        <f t="shared" si="47"/>
        <v>0</v>
      </c>
      <c r="CR60" s="229">
        <f t="shared" si="47"/>
        <v>0</v>
      </c>
      <c r="CS60" s="230"/>
      <c r="CT60" s="243">
        <f>IF(SUM(CT$24:CT59)&gt;=CT$22,0,CT$22/CT$13)</f>
        <v>0</v>
      </c>
      <c r="CU60" s="243">
        <f>IF(SUM(CU$24:CU59)&gt;=CU$22,0,CU$22/CU$13)</f>
        <v>0</v>
      </c>
      <c r="CV60" s="243">
        <f>IF(SUM(CV$24:CV59)&gt;=CV$22,0,CV$22/CV$13)</f>
        <v>0</v>
      </c>
      <c r="CW60" s="243" t="e">
        <f ca="1">IF(SUM(CW$24:CW59)&gt;=CW$22,0,CW$22/CW$13)</f>
        <v>#N/A</v>
      </c>
      <c r="CY60" s="231"/>
      <c r="CZ60" s="231"/>
      <c r="DA60" s="231" t="e">
        <f ca="1">IF(SUM(DA$32:DA59)&gt;=DA$22,0,DA$22/(DA$13*4))</f>
        <v>#N/A</v>
      </c>
      <c r="DB60" s="231">
        <f>IF(SUM(DB$24:DB59)=DB$22,0,IF(AND($K60&gt;=DB$15,$K60&lt;(DB$16+1)),DB$22/(DB$16-DB$15+1),0))</f>
        <v>0</v>
      </c>
      <c r="DC60" s="231">
        <f t="shared" ref="DC60:DO69" si="55">IF(AND($K60&gt;=DC$15,$K60&lt;(DC$16+1)),DC$22/(DC$16-DC$15+1),0)</f>
        <v>0</v>
      </c>
      <c r="DD60" s="231">
        <f t="shared" si="55"/>
        <v>0</v>
      </c>
      <c r="DE60" s="231">
        <f t="shared" si="55"/>
        <v>0</v>
      </c>
      <c r="DF60" s="231">
        <f t="shared" si="55"/>
        <v>0</v>
      </c>
      <c r="DG60" s="231">
        <f t="shared" si="55"/>
        <v>0</v>
      </c>
      <c r="DH60" s="231">
        <f t="shared" si="55"/>
        <v>0</v>
      </c>
      <c r="DI60" s="231">
        <f t="shared" si="55"/>
        <v>0</v>
      </c>
      <c r="DJ60" s="231">
        <f t="shared" si="55"/>
        <v>0</v>
      </c>
      <c r="DK60" s="231">
        <f t="shared" si="55"/>
        <v>0</v>
      </c>
      <c r="DL60" s="231">
        <f t="shared" si="55"/>
        <v>0</v>
      </c>
      <c r="DM60" s="231">
        <f t="shared" si="55"/>
        <v>0</v>
      </c>
      <c r="DN60" s="231">
        <f t="shared" si="55"/>
        <v>0</v>
      </c>
      <c r="DO60" s="231">
        <f t="shared" si="55"/>
        <v>0</v>
      </c>
      <c r="DP60" s="231">
        <f>'Offshore CF'!DR60</f>
        <v>0</v>
      </c>
      <c r="DQ60" s="231">
        <f>'Offshore CF'!DS60</f>
        <v>0.29866666666666669</v>
      </c>
      <c r="DR60" s="231">
        <f ca="1">IF(SUM(DR$24:DR59)=DR$22,0,IF(AND($K60&gt;=DR$15,$K60&lt;(DR$16+1)),DR$22/(DR$16-DR$15+1),0))</f>
        <v>0</v>
      </c>
      <c r="DS60" s="231" t="e">
        <f ca="1">IF(SUM(DS$24:DS59)=DS$22,0,IF(AND($K60&gt;=DS$15,$K60&lt;(DS$16+1)),DS$22/(DS$16-DS$15+1),0))</f>
        <v>#REF!</v>
      </c>
      <c r="DT60" s="231" t="e">
        <f ca="1">IF(SUM(DT$24:DT59)=DT$22,0,IF(AND(K60&gt;=DT$15,K60&lt;(DT$16+1)),DT$22/(DT$16-DT$15+1),0))</f>
        <v>#REF!</v>
      </c>
      <c r="DU60" s="231" t="e">
        <f ca="1">IF(SUM(DU$24:DU59)=DU$22,0,IF(AND($K60&gt;=DU$15,$K60&lt;(DU$16+1)),DU$22/(DU$16-DU$15+1),0))</f>
        <v>#REF!</v>
      </c>
      <c r="DV60" s="231">
        <f ca="1">IF(SUM(DV$24:DV59)=DV$22,0,IF(AND($K60&gt;=DV$15,$K60&lt;(DV$16+1)),DV$22/(DV$16-DV$15+1),0))</f>
        <v>0</v>
      </c>
      <c r="DW60" s="231">
        <f ca="1">IF(SUM(DW$24:DW59)=DW$22,0,IF(AND($K60&gt;=DW$15,$K60&lt;(DW$16+1)),DW$22/(DW$16-DW$15+1),0))</f>
        <v>0</v>
      </c>
      <c r="DX60" s="231">
        <f ca="1">IF(SUM(DX$24:DX59)=DX$22,0,IF(AND($K60&gt;=DX$15,$K60&lt;(DX$16+1)),DX$22/(DX$16-DX$15+1),0))</f>
        <v>0</v>
      </c>
      <c r="DY60" s="231">
        <f ca="1">IF(SUM(DY$24:DY59)=DY$22,0,IF(AND($K60&gt;=DY$15,$K60&lt;(DY$16+1)),DY$22/(DY$16-DY$15+1),0))</f>
        <v>0</v>
      </c>
      <c r="EA60" s="749">
        <f t="shared" si="51"/>
        <v>37</v>
      </c>
      <c r="EB60" s="749" t="e">
        <f t="shared" ca="1" si="52"/>
        <v>#N/A</v>
      </c>
      <c r="EC60" s="750" t="e">
        <f t="shared" ca="1" si="53"/>
        <v>#N/A</v>
      </c>
      <c r="ED60" s="749" t="e">
        <f t="shared" ca="1" si="28"/>
        <v>#REF!</v>
      </c>
      <c r="EE60" s="749"/>
      <c r="EF60" s="749"/>
      <c r="EG60" s="749"/>
      <c r="EH60" s="749"/>
      <c r="EI60" s="714" t="e">
        <f t="shared" ca="1" si="19"/>
        <v>#N/A</v>
      </c>
      <c r="EJ60" s="231" t="e">
        <f ca="1">IF(SUM(EJ$24:EJ59)=EJ$22,0,IF(AND($K60&gt;=EJ$15,$K60&lt;(EJ$16+1)),EJ$22/(EJ$16-EJ$15+1),0))</f>
        <v>#REF!</v>
      </c>
      <c r="EK60" s="714" t="e">
        <f t="shared" ca="1" si="54"/>
        <v>#N/A</v>
      </c>
      <c r="EM60" s="60"/>
      <c r="EN60" s="60"/>
    </row>
    <row r="61" spans="1:144">
      <c r="A61" s="220"/>
      <c r="B61" s="236">
        <f t="shared" si="20"/>
        <v>38</v>
      </c>
      <c r="C61" s="221">
        <f t="shared" si="21"/>
        <v>44596.417900000059</v>
      </c>
      <c r="D61" s="746" t="e">
        <f t="shared" ca="1" si="22"/>
        <v>#DIV/0!</v>
      </c>
      <c r="E61" s="747" t="e">
        <f t="shared" ca="1" si="25"/>
        <v>#DIV/0!</v>
      </c>
      <c r="F61" s="748" t="e">
        <f ca="1">IF(F60=0,0,SUM($G$24:G61))</f>
        <v>#DIV/0!</v>
      </c>
      <c r="G61" s="225" t="e">
        <f t="shared" ca="1" si="48"/>
        <v>#DIV/0!</v>
      </c>
      <c r="H61" s="746">
        <f t="shared" ca="1" si="23"/>
        <v>0</v>
      </c>
      <c r="I61" s="60"/>
      <c r="J61" s="228"/>
      <c r="K61" s="228">
        <f t="shared" si="49"/>
        <v>38</v>
      </c>
      <c r="L61" s="221">
        <f t="shared" si="50"/>
        <v>44596.417900000059</v>
      </c>
      <c r="M61" s="229">
        <f t="shared" si="43"/>
        <v>0</v>
      </c>
      <c r="N61" s="229">
        <f t="shared" si="43"/>
        <v>0</v>
      </c>
      <c r="O61" s="229">
        <f t="shared" si="43"/>
        <v>0</v>
      </c>
      <c r="P61" s="229">
        <f t="shared" si="43"/>
        <v>0</v>
      </c>
      <c r="Q61" s="229">
        <f t="shared" si="43"/>
        <v>0</v>
      </c>
      <c r="R61" s="229">
        <f t="shared" si="42"/>
        <v>0</v>
      </c>
      <c r="S61" s="229">
        <f t="shared" si="42"/>
        <v>0</v>
      </c>
      <c r="T61" s="229">
        <f t="shared" si="42"/>
        <v>0</v>
      </c>
      <c r="U61" s="229">
        <f t="shared" si="43"/>
        <v>0</v>
      </c>
      <c r="V61" s="229">
        <f t="shared" si="43"/>
        <v>0</v>
      </c>
      <c r="W61" s="229">
        <f t="shared" si="43"/>
        <v>0</v>
      </c>
      <c r="X61" s="229">
        <f t="shared" si="43"/>
        <v>0</v>
      </c>
      <c r="Y61" s="229">
        <f t="shared" si="43"/>
        <v>0</v>
      </c>
      <c r="Z61" s="229">
        <f t="shared" si="43"/>
        <v>0</v>
      </c>
      <c r="AA61" s="229">
        <f t="shared" si="43"/>
        <v>0</v>
      </c>
      <c r="AB61" s="229">
        <f t="shared" si="43"/>
        <v>0</v>
      </c>
      <c r="AC61" s="229">
        <f t="shared" si="43"/>
        <v>0</v>
      </c>
      <c r="AD61" s="229">
        <f t="shared" ref="P61:AD71" si="56">IF($K61=AD$13,AD$22*AD$3,IF($K61=AD$14,AD$22*AD$4,IF($K61=AD$15,AD$22*AD$5,IF($K61=AD$16,AD$22*AD$6,IF($K61=AD$17,AD$22*AD$7,IF($K61=AD$18,AD$22*AD$8,IF($K61=AD$19,AD$22*AD$9,IF($K61=AD$20,AD$22*AD$10,0))))))))</f>
        <v>0</v>
      </c>
      <c r="AE61" s="229">
        <f t="shared" si="43"/>
        <v>0</v>
      </c>
      <c r="AF61" s="229">
        <f t="shared" si="43"/>
        <v>0</v>
      </c>
      <c r="AG61" s="229">
        <f t="shared" si="43"/>
        <v>0</v>
      </c>
      <c r="AH61" s="229">
        <f t="shared" si="43"/>
        <v>0</v>
      </c>
      <c r="AI61" s="229">
        <f t="shared" si="43"/>
        <v>0</v>
      </c>
      <c r="AJ61" s="229">
        <f t="shared" si="43"/>
        <v>0</v>
      </c>
      <c r="AK61" s="229">
        <f t="shared" si="43"/>
        <v>0</v>
      </c>
      <c r="AL61" s="229">
        <f t="shared" si="43"/>
        <v>0</v>
      </c>
      <c r="AM61" s="229">
        <f t="shared" si="43"/>
        <v>0</v>
      </c>
      <c r="AN61" s="229">
        <f t="shared" si="43"/>
        <v>0</v>
      </c>
      <c r="AO61" s="229">
        <f t="shared" si="43"/>
        <v>0</v>
      </c>
      <c r="AP61" s="229">
        <f t="shared" si="43"/>
        <v>0</v>
      </c>
      <c r="AQ61" s="229">
        <f t="shared" si="43"/>
        <v>0</v>
      </c>
      <c r="AR61" s="229">
        <f t="shared" si="44"/>
        <v>0</v>
      </c>
      <c r="AS61" s="229">
        <f t="shared" si="44"/>
        <v>0</v>
      </c>
      <c r="AT61" s="229">
        <f t="shared" si="44"/>
        <v>0</v>
      </c>
      <c r="AU61" s="229">
        <f t="shared" si="44"/>
        <v>0</v>
      </c>
      <c r="AV61" s="229">
        <f t="shared" si="44"/>
        <v>0</v>
      </c>
      <c r="AW61" s="229">
        <f t="shared" si="44"/>
        <v>0</v>
      </c>
      <c r="AX61" s="229">
        <f t="shared" si="44"/>
        <v>0</v>
      </c>
      <c r="AY61" s="229">
        <f t="shared" si="44"/>
        <v>0</v>
      </c>
      <c r="AZ61" s="229">
        <f t="shared" si="44"/>
        <v>0</v>
      </c>
      <c r="BA61" s="229">
        <f t="shared" si="44"/>
        <v>0</v>
      </c>
      <c r="BB61" s="229">
        <f t="shared" si="44"/>
        <v>0</v>
      </c>
      <c r="BC61" s="229">
        <f t="shared" si="45"/>
        <v>0</v>
      </c>
      <c r="BD61" s="229">
        <f t="shared" si="45"/>
        <v>0</v>
      </c>
      <c r="BE61" s="229">
        <f t="shared" si="45"/>
        <v>0</v>
      </c>
      <c r="BF61" s="229">
        <f t="shared" si="45"/>
        <v>0</v>
      </c>
      <c r="BG61" s="229">
        <f t="shared" si="45"/>
        <v>0</v>
      </c>
      <c r="BH61" s="229">
        <f t="shared" si="45"/>
        <v>0</v>
      </c>
      <c r="BI61" s="229">
        <f t="shared" si="45"/>
        <v>0</v>
      </c>
      <c r="BJ61" s="229">
        <f t="shared" si="45"/>
        <v>0</v>
      </c>
      <c r="BK61" s="229">
        <f t="shared" si="45"/>
        <v>0</v>
      </c>
      <c r="BL61" s="229">
        <f t="shared" si="45"/>
        <v>0</v>
      </c>
      <c r="BM61" s="229">
        <f t="shared" si="46"/>
        <v>0</v>
      </c>
      <c r="BN61" s="229">
        <f t="shared" si="46"/>
        <v>0</v>
      </c>
      <c r="BO61" s="229">
        <f t="shared" si="46"/>
        <v>0</v>
      </c>
      <c r="BP61" s="229">
        <f t="shared" si="46"/>
        <v>0</v>
      </c>
      <c r="BQ61" s="229">
        <f t="shared" si="46"/>
        <v>0</v>
      </c>
      <c r="BR61" s="229">
        <f t="shared" si="46"/>
        <v>0</v>
      </c>
      <c r="BS61" s="229">
        <f t="shared" si="46"/>
        <v>0</v>
      </c>
      <c r="BT61" s="229">
        <f t="shared" si="46"/>
        <v>0</v>
      </c>
      <c r="BU61" s="229">
        <f t="shared" si="46"/>
        <v>0</v>
      </c>
      <c r="BV61" s="229">
        <f t="shared" si="46"/>
        <v>0</v>
      </c>
      <c r="BW61" s="229">
        <f t="shared" si="46"/>
        <v>0</v>
      </c>
      <c r="BX61" s="229">
        <f t="shared" si="46"/>
        <v>0</v>
      </c>
      <c r="BY61" s="229">
        <f t="shared" si="46"/>
        <v>0</v>
      </c>
      <c r="BZ61" s="229">
        <f t="shared" si="46"/>
        <v>0</v>
      </c>
      <c r="CA61" s="229">
        <f t="shared" si="46"/>
        <v>0</v>
      </c>
      <c r="CB61" s="229">
        <f t="shared" si="47"/>
        <v>0</v>
      </c>
      <c r="CC61" s="229">
        <f t="shared" si="47"/>
        <v>0</v>
      </c>
      <c r="CD61" s="229">
        <f t="shared" si="47"/>
        <v>0</v>
      </c>
      <c r="CE61" s="229">
        <f t="shared" si="47"/>
        <v>0</v>
      </c>
      <c r="CF61" s="229">
        <f t="shared" si="47"/>
        <v>0</v>
      </c>
      <c r="CG61" s="229">
        <f t="shared" si="47"/>
        <v>0</v>
      </c>
      <c r="CH61" s="229">
        <f t="shared" si="47"/>
        <v>0</v>
      </c>
      <c r="CI61" s="229">
        <f t="shared" si="47"/>
        <v>0</v>
      </c>
      <c r="CJ61" s="229">
        <f t="shared" si="47"/>
        <v>0</v>
      </c>
      <c r="CK61" s="229">
        <f t="shared" si="47"/>
        <v>0</v>
      </c>
      <c r="CL61" s="229">
        <f t="shared" si="47"/>
        <v>0</v>
      </c>
      <c r="CM61" s="229">
        <f t="shared" si="47"/>
        <v>0</v>
      </c>
      <c r="CN61" s="229">
        <f t="shared" si="47"/>
        <v>0</v>
      </c>
      <c r="CO61" s="229">
        <f t="shared" si="47"/>
        <v>0</v>
      </c>
      <c r="CP61" s="229">
        <f t="shared" si="47"/>
        <v>0</v>
      </c>
      <c r="CQ61" s="229">
        <f t="shared" si="47"/>
        <v>0</v>
      </c>
      <c r="CR61" s="229">
        <f t="shared" si="47"/>
        <v>0</v>
      </c>
      <c r="CS61" s="230"/>
      <c r="CT61" s="231"/>
      <c r="CU61" s="231"/>
      <c r="CV61" s="231"/>
      <c r="CW61" s="231"/>
      <c r="CY61" s="231"/>
      <c r="CZ61" s="231"/>
      <c r="DA61" s="231"/>
      <c r="DB61" s="231">
        <f>IF(SUM(DB$24:DB60)=DB$22,0,IF(AND($K61&gt;=DB$15,$K61&lt;(DB$16+1)),DB$22/(DB$16-DB$15+1),0))</f>
        <v>0</v>
      </c>
      <c r="DC61" s="231">
        <f t="shared" si="55"/>
        <v>0</v>
      </c>
      <c r="DD61" s="231">
        <f t="shared" si="55"/>
        <v>0</v>
      </c>
      <c r="DE61" s="231">
        <f t="shared" si="55"/>
        <v>0</v>
      </c>
      <c r="DF61" s="231">
        <f t="shared" si="55"/>
        <v>0</v>
      </c>
      <c r="DG61" s="231">
        <f t="shared" si="55"/>
        <v>0</v>
      </c>
      <c r="DH61" s="231">
        <f t="shared" si="55"/>
        <v>0</v>
      </c>
      <c r="DI61" s="231">
        <f t="shared" si="55"/>
        <v>0</v>
      </c>
      <c r="DJ61" s="231">
        <f t="shared" si="55"/>
        <v>0</v>
      </c>
      <c r="DK61" s="231">
        <f t="shared" si="55"/>
        <v>0</v>
      </c>
      <c r="DL61" s="231">
        <f t="shared" si="55"/>
        <v>0</v>
      </c>
      <c r="DM61" s="231">
        <f t="shared" si="55"/>
        <v>0</v>
      </c>
      <c r="DN61" s="231">
        <f t="shared" si="55"/>
        <v>0</v>
      </c>
      <c r="DO61" s="231">
        <f t="shared" si="55"/>
        <v>0</v>
      </c>
      <c r="DP61" s="231">
        <f>'Offshore CF'!DR61</f>
        <v>0</v>
      </c>
      <c r="DQ61" s="231">
        <f>'Offshore CF'!DS61</f>
        <v>0.29866666666666669</v>
      </c>
      <c r="DR61" s="231">
        <f ca="1">IF(SUM(DR$24:DR60)=DR$22,0,IF(AND($K61&gt;=DR$15,$K61&lt;(DR$16+1)),DR$22/(DR$16-DR$15+1),0))</f>
        <v>0</v>
      </c>
      <c r="DS61" s="231" t="e">
        <f ca="1">IF(SUM(DS$24:DS60)=DS$22,0,IF(AND($K61&gt;=DS$15,$K61&lt;(DS$16+1)),DS$22/(DS$16-DS$15+1),0))</f>
        <v>#REF!</v>
      </c>
      <c r="DT61" s="231" t="e">
        <f ca="1">IF(SUM(DT$24:DT60)=DT$22,0,IF(AND(K61&gt;=DT$15,K61&lt;(DT$16+1)),DT$22/(DT$16-DT$15+1),0))</f>
        <v>#REF!</v>
      </c>
      <c r="DU61" s="231" t="e">
        <f ca="1">IF(SUM(DU$24:DU60)=DU$22,0,IF(AND($K61&gt;=DU$15,$K61&lt;(DU$16+1)),DU$22/(DU$16-DU$15+1),0))</f>
        <v>#REF!</v>
      </c>
      <c r="DV61" s="231">
        <f ca="1">IF(SUM(DV$24:DV60)=DV$22,0,IF(AND($K61&gt;=DV$15,$K61&lt;(DV$16+1)),DV$22/(DV$16-DV$15+1),0))</f>
        <v>0</v>
      </c>
      <c r="DW61" s="231">
        <f ca="1">IF(SUM(DW$24:DW60)=DW$22,0,IF(AND($K61&gt;=DW$15,$K61&lt;(DW$16+1)),DW$22/(DW$16-DW$15+1),0))</f>
        <v>0</v>
      </c>
      <c r="DX61" s="231">
        <f ca="1">IF(SUM(DX$24:DX60)=DX$22,0,IF(AND($K61&gt;=DX$15,$K61&lt;(DX$16+1)),DX$22/(DX$16-DX$15+1),0))</f>
        <v>0</v>
      </c>
      <c r="DY61" s="231">
        <f ca="1">IF(SUM(DY$24:DY60)=DY$22,0,IF(AND($K61&gt;=DY$15,$K61&lt;(DY$16+1)),DY$22/(DY$16-DY$15+1),0))</f>
        <v>0</v>
      </c>
      <c r="EA61" s="749">
        <f t="shared" si="51"/>
        <v>38</v>
      </c>
      <c r="EB61" s="749" t="e">
        <f t="shared" ca="1" si="52"/>
        <v>#REF!</v>
      </c>
      <c r="EC61" s="750" t="e">
        <f t="shared" ca="1" si="53"/>
        <v>#REF!</v>
      </c>
      <c r="ED61" s="749" t="e">
        <f t="shared" ca="1" si="28"/>
        <v>#REF!</v>
      </c>
      <c r="EE61" s="749"/>
      <c r="EF61" s="749"/>
      <c r="EG61" s="749"/>
      <c r="EH61" s="749"/>
      <c r="EI61" s="714" t="e">
        <f t="shared" ca="1" si="19"/>
        <v>#REF!</v>
      </c>
      <c r="EJ61" s="231" t="e">
        <f ca="1">IF(SUM(EJ$24:EJ60)=EJ$22,0,IF(AND($K61&gt;=EJ$15,$K61&lt;(EJ$16+1)),EJ$22/(EJ$16-EJ$15+1),0))</f>
        <v>#REF!</v>
      </c>
      <c r="EK61" s="714" t="e">
        <f t="shared" ca="1" si="54"/>
        <v>#REF!</v>
      </c>
      <c r="EM61" s="60"/>
      <c r="EN61" s="60"/>
    </row>
    <row r="62" spans="1:144">
      <c r="A62" s="220"/>
      <c r="B62" s="236">
        <f t="shared" si="20"/>
        <v>39</v>
      </c>
      <c r="C62" s="221">
        <f t="shared" si="21"/>
        <v>44626.83460000006</v>
      </c>
      <c r="D62" s="746" t="e">
        <f t="shared" ca="1" si="22"/>
        <v>#DIV/0!</v>
      </c>
      <c r="E62" s="747" t="e">
        <f t="shared" ca="1" si="25"/>
        <v>#DIV/0!</v>
      </c>
      <c r="F62" s="748" t="e">
        <f ca="1">IF(F61=0,0,SUM($G$24:G62))</f>
        <v>#DIV/0!</v>
      </c>
      <c r="G62" s="225" t="e">
        <f t="shared" ca="1" si="48"/>
        <v>#DIV/0!</v>
      </c>
      <c r="H62" s="746">
        <f t="shared" ca="1" si="23"/>
        <v>0</v>
      </c>
      <c r="I62" s="60"/>
      <c r="J62" s="228"/>
      <c r="K62" s="228">
        <f t="shared" si="49"/>
        <v>39</v>
      </c>
      <c r="L62" s="221">
        <f t="shared" si="50"/>
        <v>44626.83460000006</v>
      </c>
      <c r="M62" s="229">
        <f t="shared" si="43"/>
        <v>0</v>
      </c>
      <c r="N62" s="229">
        <f t="shared" si="43"/>
        <v>0</v>
      </c>
      <c r="O62" s="229">
        <f t="shared" si="43"/>
        <v>0</v>
      </c>
      <c r="P62" s="229">
        <f t="shared" si="56"/>
        <v>0</v>
      </c>
      <c r="Q62" s="229">
        <f t="shared" si="56"/>
        <v>0</v>
      </c>
      <c r="R62" s="229">
        <f t="shared" si="56"/>
        <v>0</v>
      </c>
      <c r="S62" s="229">
        <f t="shared" si="56"/>
        <v>0</v>
      </c>
      <c r="T62" s="229">
        <f t="shared" si="56"/>
        <v>0</v>
      </c>
      <c r="U62" s="229">
        <f t="shared" si="56"/>
        <v>0</v>
      </c>
      <c r="V62" s="229">
        <f t="shared" si="56"/>
        <v>0</v>
      </c>
      <c r="W62" s="229">
        <f t="shared" si="56"/>
        <v>0</v>
      </c>
      <c r="X62" s="229">
        <f t="shared" si="56"/>
        <v>0</v>
      </c>
      <c r="Y62" s="229">
        <f t="shared" si="56"/>
        <v>0</v>
      </c>
      <c r="Z62" s="229">
        <f t="shared" si="56"/>
        <v>0</v>
      </c>
      <c r="AA62" s="229">
        <f t="shared" si="56"/>
        <v>0</v>
      </c>
      <c r="AB62" s="229">
        <f t="shared" si="56"/>
        <v>0</v>
      </c>
      <c r="AC62" s="229">
        <f t="shared" si="56"/>
        <v>0</v>
      </c>
      <c r="AD62" s="229">
        <f t="shared" si="56"/>
        <v>0</v>
      </c>
      <c r="AE62" s="229">
        <f t="shared" si="43"/>
        <v>0</v>
      </c>
      <c r="AF62" s="229">
        <f t="shared" si="43"/>
        <v>0</v>
      </c>
      <c r="AG62" s="229">
        <f t="shared" si="43"/>
        <v>0</v>
      </c>
      <c r="AH62" s="229">
        <f t="shared" si="43"/>
        <v>0</v>
      </c>
      <c r="AI62" s="229">
        <f t="shared" si="43"/>
        <v>0</v>
      </c>
      <c r="AJ62" s="229">
        <f t="shared" si="43"/>
        <v>0</v>
      </c>
      <c r="AK62" s="229">
        <f t="shared" si="43"/>
        <v>0</v>
      </c>
      <c r="AL62" s="229">
        <f t="shared" si="43"/>
        <v>0</v>
      </c>
      <c r="AM62" s="229">
        <f t="shared" si="43"/>
        <v>0</v>
      </c>
      <c r="AN62" s="229">
        <f t="shared" si="43"/>
        <v>0</v>
      </c>
      <c r="AO62" s="229">
        <f t="shared" si="43"/>
        <v>0</v>
      </c>
      <c r="AP62" s="229">
        <f t="shared" si="43"/>
        <v>0</v>
      </c>
      <c r="AQ62" s="229">
        <f t="shared" si="43"/>
        <v>0</v>
      </c>
      <c r="AR62" s="229">
        <f t="shared" si="44"/>
        <v>0</v>
      </c>
      <c r="AS62" s="229">
        <f t="shared" si="44"/>
        <v>0</v>
      </c>
      <c r="AT62" s="229">
        <f t="shared" si="44"/>
        <v>0</v>
      </c>
      <c r="AU62" s="229">
        <f t="shared" si="44"/>
        <v>0</v>
      </c>
      <c r="AV62" s="229">
        <f t="shared" si="44"/>
        <v>0</v>
      </c>
      <c r="AW62" s="229">
        <f t="shared" si="44"/>
        <v>0</v>
      </c>
      <c r="AX62" s="229">
        <f t="shared" si="44"/>
        <v>0</v>
      </c>
      <c r="AY62" s="229">
        <f t="shared" si="44"/>
        <v>0</v>
      </c>
      <c r="AZ62" s="229">
        <f t="shared" si="44"/>
        <v>0</v>
      </c>
      <c r="BA62" s="229">
        <f t="shared" si="44"/>
        <v>0</v>
      </c>
      <c r="BB62" s="229">
        <f t="shared" si="44"/>
        <v>0</v>
      </c>
      <c r="BC62" s="229">
        <f t="shared" si="45"/>
        <v>0</v>
      </c>
      <c r="BD62" s="229">
        <f t="shared" si="45"/>
        <v>0</v>
      </c>
      <c r="BE62" s="229">
        <f t="shared" si="45"/>
        <v>0</v>
      </c>
      <c r="BF62" s="229">
        <f t="shared" si="45"/>
        <v>0</v>
      </c>
      <c r="BG62" s="229">
        <f t="shared" si="45"/>
        <v>0</v>
      </c>
      <c r="BH62" s="229">
        <f t="shared" si="45"/>
        <v>0</v>
      </c>
      <c r="BI62" s="229">
        <f t="shared" si="45"/>
        <v>0</v>
      </c>
      <c r="BJ62" s="229">
        <f t="shared" si="45"/>
        <v>0</v>
      </c>
      <c r="BK62" s="229">
        <f t="shared" si="45"/>
        <v>0</v>
      </c>
      <c r="BL62" s="229">
        <f t="shared" si="45"/>
        <v>0</v>
      </c>
      <c r="BM62" s="229">
        <f t="shared" si="46"/>
        <v>0</v>
      </c>
      <c r="BN62" s="229">
        <f t="shared" si="46"/>
        <v>0</v>
      </c>
      <c r="BO62" s="229">
        <f t="shared" si="46"/>
        <v>0</v>
      </c>
      <c r="BP62" s="229">
        <f t="shared" si="46"/>
        <v>0</v>
      </c>
      <c r="BQ62" s="229">
        <f t="shared" si="46"/>
        <v>0</v>
      </c>
      <c r="BR62" s="229">
        <f t="shared" si="46"/>
        <v>0</v>
      </c>
      <c r="BS62" s="229">
        <f t="shared" si="46"/>
        <v>0</v>
      </c>
      <c r="BT62" s="229">
        <f t="shared" si="46"/>
        <v>0</v>
      </c>
      <c r="BU62" s="229">
        <f t="shared" si="46"/>
        <v>0</v>
      </c>
      <c r="BV62" s="229">
        <f t="shared" si="46"/>
        <v>0</v>
      </c>
      <c r="BW62" s="229">
        <f t="shared" si="46"/>
        <v>0</v>
      </c>
      <c r="BX62" s="229">
        <f t="shared" si="46"/>
        <v>0</v>
      </c>
      <c r="BY62" s="229">
        <f t="shared" si="46"/>
        <v>0</v>
      </c>
      <c r="BZ62" s="229">
        <f t="shared" si="46"/>
        <v>0</v>
      </c>
      <c r="CA62" s="229">
        <f t="shared" si="46"/>
        <v>0</v>
      </c>
      <c r="CB62" s="229">
        <f t="shared" si="47"/>
        <v>0</v>
      </c>
      <c r="CC62" s="229">
        <f t="shared" si="47"/>
        <v>0</v>
      </c>
      <c r="CD62" s="229">
        <f t="shared" si="47"/>
        <v>0</v>
      </c>
      <c r="CE62" s="229">
        <f t="shared" si="47"/>
        <v>0</v>
      </c>
      <c r="CF62" s="229">
        <f t="shared" si="47"/>
        <v>0</v>
      </c>
      <c r="CG62" s="229">
        <f t="shared" si="47"/>
        <v>0</v>
      </c>
      <c r="CH62" s="229">
        <f t="shared" si="47"/>
        <v>0</v>
      </c>
      <c r="CI62" s="229">
        <f t="shared" si="47"/>
        <v>0</v>
      </c>
      <c r="CJ62" s="229">
        <f t="shared" si="47"/>
        <v>0</v>
      </c>
      <c r="CK62" s="229">
        <f t="shared" si="47"/>
        <v>0</v>
      </c>
      <c r="CL62" s="229">
        <f t="shared" si="47"/>
        <v>0</v>
      </c>
      <c r="CM62" s="229">
        <f t="shared" si="47"/>
        <v>0</v>
      </c>
      <c r="CN62" s="229">
        <f t="shared" si="47"/>
        <v>0</v>
      </c>
      <c r="CO62" s="229">
        <f t="shared" si="47"/>
        <v>0</v>
      </c>
      <c r="CP62" s="229">
        <f t="shared" si="47"/>
        <v>0</v>
      </c>
      <c r="CQ62" s="229">
        <f t="shared" si="47"/>
        <v>0</v>
      </c>
      <c r="CR62" s="229">
        <f t="shared" si="47"/>
        <v>0</v>
      </c>
      <c r="CS62" s="230"/>
      <c r="CT62" s="231"/>
      <c r="CU62" s="231"/>
      <c r="CV62" s="231"/>
      <c r="CW62" s="231"/>
      <c r="CY62" s="231"/>
      <c r="CZ62" s="231"/>
      <c r="DA62" s="231"/>
      <c r="DB62" s="231">
        <f>IF(SUM(DB$24:DB61)=DB$22,0,IF(AND($K62&gt;=DB$15,$K62&lt;(DB$16+1)),DB$22/(DB$16-DB$15+1),0))</f>
        <v>0</v>
      </c>
      <c r="DC62" s="231">
        <f t="shared" si="55"/>
        <v>0</v>
      </c>
      <c r="DD62" s="231">
        <f t="shared" si="55"/>
        <v>0</v>
      </c>
      <c r="DE62" s="231">
        <f t="shared" si="55"/>
        <v>0</v>
      </c>
      <c r="DF62" s="231">
        <f t="shared" si="55"/>
        <v>0</v>
      </c>
      <c r="DG62" s="231">
        <f t="shared" si="55"/>
        <v>0</v>
      </c>
      <c r="DH62" s="231">
        <f t="shared" si="55"/>
        <v>0</v>
      </c>
      <c r="DI62" s="231">
        <f t="shared" si="55"/>
        <v>0</v>
      </c>
      <c r="DJ62" s="231">
        <f t="shared" si="55"/>
        <v>0</v>
      </c>
      <c r="DK62" s="231">
        <f t="shared" si="55"/>
        <v>0</v>
      </c>
      <c r="DL62" s="231">
        <f t="shared" si="55"/>
        <v>0</v>
      </c>
      <c r="DM62" s="231">
        <f t="shared" si="55"/>
        <v>0</v>
      </c>
      <c r="DN62" s="231">
        <f t="shared" si="55"/>
        <v>0</v>
      </c>
      <c r="DO62" s="231">
        <f t="shared" si="55"/>
        <v>0</v>
      </c>
      <c r="DP62" s="231">
        <f>'Offshore CF'!DR62</f>
        <v>0</v>
      </c>
      <c r="DQ62" s="231">
        <f>'Offshore CF'!DS62</f>
        <v>0.29866666666666669</v>
      </c>
      <c r="DR62" s="231">
        <f ca="1">IF(SUM(DR$24:DR61)=DR$22,0,IF(AND($K62&gt;=DR$15,$K62&lt;(DR$16+1)),DR$22/(DR$16-DR$15+1),0))</f>
        <v>0</v>
      </c>
      <c r="DS62" s="231" t="e">
        <f ca="1">IF(SUM(DS$24:DS61)=DS$22,0,IF(AND($K62&gt;=DS$15,$K62&lt;(DS$16+1)),DS$22/(DS$16-DS$15+1),0))</f>
        <v>#REF!</v>
      </c>
      <c r="DT62" s="231" t="e">
        <f ca="1">IF(SUM(DT$24:DT61)=DT$22,0,IF(AND(K62&gt;=DT$15,K62&lt;(DT$16+1)),DT$22/(DT$16-DT$15+1),0))</f>
        <v>#REF!</v>
      </c>
      <c r="DU62" s="231" t="e">
        <f ca="1">IF(SUM(DU$24:DU61)=DU$22,0,IF(AND($K62&gt;=DU$15,$K62&lt;(DU$16+1)),DU$22/(DU$16-DU$15+1),0))</f>
        <v>#REF!</v>
      </c>
      <c r="DV62" s="231">
        <f ca="1">IF(SUM(DV$24:DV61)=DV$22,0,IF(AND($K62&gt;=DV$15,$K62&lt;(DV$16+1)),DV$22/(DV$16-DV$15+1),0))</f>
        <v>0</v>
      </c>
      <c r="DW62" s="231">
        <f ca="1">IF(SUM(DW$24:DW61)=DW$22,0,IF(AND($K62&gt;=DW$15,$K62&lt;(DW$16+1)),DW$22/(DW$16-DW$15+1),0))</f>
        <v>0</v>
      </c>
      <c r="DX62" s="231">
        <f ca="1">IF(SUM(DX$24:DX61)=DX$22,0,IF(AND($K62&gt;=DX$15,$K62&lt;(DX$16+1)),DX$22/(DX$16-DX$15+1),0))</f>
        <v>0</v>
      </c>
      <c r="DY62" s="231">
        <f ca="1">IF(SUM(DY$24:DY61)=DY$22,0,IF(AND($K62&gt;=DY$15,$K62&lt;(DY$16+1)),DY$22/(DY$16-DY$15+1),0))</f>
        <v>0</v>
      </c>
      <c r="EA62" s="749">
        <f t="shared" si="51"/>
        <v>39</v>
      </c>
      <c r="EB62" s="749" t="e">
        <f t="shared" ca="1" si="52"/>
        <v>#REF!</v>
      </c>
      <c r="EC62" s="750" t="e">
        <f t="shared" ca="1" si="53"/>
        <v>#REF!</v>
      </c>
      <c r="ED62" s="749" t="e">
        <f t="shared" ca="1" si="28"/>
        <v>#N/A</v>
      </c>
      <c r="EE62" s="749"/>
      <c r="EF62" s="749"/>
      <c r="EG62" s="749"/>
      <c r="EH62" s="749"/>
      <c r="EI62" s="714" t="e">
        <f t="shared" ca="1" si="19"/>
        <v>#REF!</v>
      </c>
      <c r="EJ62" s="231" t="e">
        <f ca="1">IF(SUM(EJ$24:EJ61)=EJ$22,0,IF(AND($K62&gt;=EJ$15,$K62&lt;(EJ$16+1)),EJ$22/(EJ$16-EJ$15+1),0))</f>
        <v>#REF!</v>
      </c>
      <c r="EK62" s="714" t="e">
        <f t="shared" ca="1" si="54"/>
        <v>#REF!</v>
      </c>
      <c r="EM62" s="60"/>
      <c r="EN62" s="60"/>
    </row>
    <row r="63" spans="1:144">
      <c r="A63" s="220"/>
      <c r="B63" s="236">
        <f t="shared" si="20"/>
        <v>40</v>
      </c>
      <c r="C63" s="221">
        <f t="shared" si="21"/>
        <v>44657.251300000062</v>
      </c>
      <c r="D63" s="746" t="e">
        <f t="shared" ca="1" si="22"/>
        <v>#DIV/0!</v>
      </c>
      <c r="E63" s="747" t="e">
        <f t="shared" ca="1" si="25"/>
        <v>#DIV/0!</v>
      </c>
      <c r="F63" s="748" t="e">
        <f ca="1">IF(F62=0,0,SUM($G$24:G63))</f>
        <v>#DIV/0!</v>
      </c>
      <c r="G63" s="225" t="e">
        <f t="shared" ca="1" si="48"/>
        <v>#DIV/0!</v>
      </c>
      <c r="H63" s="746">
        <f t="shared" ca="1" si="23"/>
        <v>0</v>
      </c>
      <c r="I63" s="60"/>
      <c r="J63" s="228"/>
      <c r="K63" s="228">
        <f t="shared" si="49"/>
        <v>40</v>
      </c>
      <c r="L63" s="221">
        <f t="shared" si="50"/>
        <v>44657.251300000062</v>
      </c>
      <c r="M63" s="229">
        <f t="shared" si="43"/>
        <v>0</v>
      </c>
      <c r="N63" s="229">
        <f t="shared" si="43"/>
        <v>0</v>
      </c>
      <c r="O63" s="229">
        <f t="shared" si="43"/>
        <v>0</v>
      </c>
      <c r="P63" s="229">
        <f t="shared" si="56"/>
        <v>0</v>
      </c>
      <c r="Q63" s="229">
        <f t="shared" si="56"/>
        <v>0</v>
      </c>
      <c r="R63" s="229">
        <f t="shared" si="56"/>
        <v>0</v>
      </c>
      <c r="S63" s="229">
        <f t="shared" si="56"/>
        <v>0</v>
      </c>
      <c r="T63" s="229">
        <f t="shared" si="56"/>
        <v>0</v>
      </c>
      <c r="U63" s="229">
        <f t="shared" si="56"/>
        <v>0</v>
      </c>
      <c r="V63" s="229">
        <f t="shared" si="56"/>
        <v>0</v>
      </c>
      <c r="W63" s="229">
        <f t="shared" si="56"/>
        <v>0</v>
      </c>
      <c r="X63" s="229">
        <f t="shared" si="56"/>
        <v>0</v>
      </c>
      <c r="Y63" s="229">
        <f t="shared" si="56"/>
        <v>0</v>
      </c>
      <c r="Z63" s="229">
        <f t="shared" si="56"/>
        <v>0</v>
      </c>
      <c r="AA63" s="229">
        <f t="shared" si="56"/>
        <v>0</v>
      </c>
      <c r="AB63" s="229">
        <f t="shared" si="56"/>
        <v>0</v>
      </c>
      <c r="AC63" s="229">
        <f t="shared" si="56"/>
        <v>0</v>
      </c>
      <c r="AD63" s="229">
        <f t="shared" si="56"/>
        <v>0</v>
      </c>
      <c r="AE63" s="229">
        <f t="shared" si="43"/>
        <v>0</v>
      </c>
      <c r="AF63" s="229">
        <f t="shared" si="43"/>
        <v>0</v>
      </c>
      <c r="AG63" s="229">
        <f t="shared" si="43"/>
        <v>0</v>
      </c>
      <c r="AH63" s="229">
        <f t="shared" si="43"/>
        <v>0</v>
      </c>
      <c r="AI63" s="229">
        <f t="shared" si="43"/>
        <v>0</v>
      </c>
      <c r="AJ63" s="229">
        <f t="shared" si="43"/>
        <v>0</v>
      </c>
      <c r="AK63" s="229">
        <f t="shared" si="43"/>
        <v>0</v>
      </c>
      <c r="AL63" s="229">
        <f t="shared" si="43"/>
        <v>0</v>
      </c>
      <c r="AM63" s="229">
        <f t="shared" si="43"/>
        <v>0</v>
      </c>
      <c r="AN63" s="229">
        <f t="shared" si="43"/>
        <v>0</v>
      </c>
      <c r="AO63" s="229">
        <f t="shared" si="43"/>
        <v>0</v>
      </c>
      <c r="AP63" s="229">
        <f t="shared" si="43"/>
        <v>0</v>
      </c>
      <c r="AQ63" s="229">
        <f t="shared" si="43"/>
        <v>0</v>
      </c>
      <c r="AR63" s="229">
        <f t="shared" si="44"/>
        <v>0</v>
      </c>
      <c r="AS63" s="229">
        <f t="shared" si="44"/>
        <v>0</v>
      </c>
      <c r="AT63" s="229">
        <f t="shared" si="44"/>
        <v>0</v>
      </c>
      <c r="AU63" s="229">
        <f t="shared" si="44"/>
        <v>0</v>
      </c>
      <c r="AV63" s="229">
        <f t="shared" si="44"/>
        <v>0</v>
      </c>
      <c r="AW63" s="229">
        <f t="shared" si="44"/>
        <v>0</v>
      </c>
      <c r="AX63" s="229">
        <f t="shared" si="44"/>
        <v>0</v>
      </c>
      <c r="AY63" s="229">
        <f t="shared" si="44"/>
        <v>0</v>
      </c>
      <c r="AZ63" s="229">
        <f t="shared" si="44"/>
        <v>0</v>
      </c>
      <c r="BA63" s="229">
        <f t="shared" si="44"/>
        <v>0</v>
      </c>
      <c r="BB63" s="229">
        <f t="shared" si="44"/>
        <v>0</v>
      </c>
      <c r="BC63" s="229">
        <f t="shared" si="45"/>
        <v>0</v>
      </c>
      <c r="BD63" s="229">
        <f t="shared" si="45"/>
        <v>0</v>
      </c>
      <c r="BE63" s="229">
        <f t="shared" si="45"/>
        <v>0</v>
      </c>
      <c r="BF63" s="229">
        <f t="shared" si="45"/>
        <v>0</v>
      </c>
      <c r="BG63" s="229">
        <f t="shared" si="45"/>
        <v>0</v>
      </c>
      <c r="BH63" s="229">
        <f t="shared" si="45"/>
        <v>0</v>
      </c>
      <c r="BI63" s="229">
        <f t="shared" si="45"/>
        <v>0</v>
      </c>
      <c r="BJ63" s="229">
        <f t="shared" si="45"/>
        <v>0</v>
      </c>
      <c r="BK63" s="229">
        <f t="shared" si="45"/>
        <v>0</v>
      </c>
      <c r="BL63" s="229">
        <f t="shared" si="45"/>
        <v>0</v>
      </c>
      <c r="BM63" s="229">
        <f t="shared" si="46"/>
        <v>0</v>
      </c>
      <c r="BN63" s="229">
        <f t="shared" si="46"/>
        <v>0</v>
      </c>
      <c r="BO63" s="229">
        <f t="shared" si="46"/>
        <v>0</v>
      </c>
      <c r="BP63" s="229">
        <f t="shared" si="46"/>
        <v>0</v>
      </c>
      <c r="BQ63" s="229">
        <f t="shared" si="46"/>
        <v>0</v>
      </c>
      <c r="BR63" s="229">
        <f t="shared" si="46"/>
        <v>0</v>
      </c>
      <c r="BS63" s="229">
        <f t="shared" si="46"/>
        <v>0</v>
      </c>
      <c r="BT63" s="229">
        <f t="shared" si="46"/>
        <v>0</v>
      </c>
      <c r="BU63" s="229">
        <f t="shared" si="46"/>
        <v>0</v>
      </c>
      <c r="BV63" s="229">
        <f t="shared" si="46"/>
        <v>0</v>
      </c>
      <c r="BW63" s="229">
        <f t="shared" si="46"/>
        <v>0</v>
      </c>
      <c r="BX63" s="229">
        <f t="shared" si="46"/>
        <v>0</v>
      </c>
      <c r="BY63" s="229">
        <f t="shared" si="46"/>
        <v>0</v>
      </c>
      <c r="BZ63" s="229">
        <f t="shared" si="46"/>
        <v>0</v>
      </c>
      <c r="CA63" s="229">
        <f t="shared" si="46"/>
        <v>0</v>
      </c>
      <c r="CB63" s="229">
        <f t="shared" si="47"/>
        <v>0</v>
      </c>
      <c r="CC63" s="229">
        <f t="shared" si="47"/>
        <v>0</v>
      </c>
      <c r="CD63" s="229">
        <f t="shared" si="47"/>
        <v>0</v>
      </c>
      <c r="CE63" s="229">
        <f t="shared" si="47"/>
        <v>0</v>
      </c>
      <c r="CF63" s="229">
        <f t="shared" si="47"/>
        <v>0</v>
      </c>
      <c r="CG63" s="229">
        <f t="shared" si="47"/>
        <v>0</v>
      </c>
      <c r="CH63" s="229">
        <f t="shared" si="47"/>
        <v>0</v>
      </c>
      <c r="CI63" s="229">
        <f t="shared" si="47"/>
        <v>0</v>
      </c>
      <c r="CJ63" s="229">
        <f t="shared" si="47"/>
        <v>0</v>
      </c>
      <c r="CK63" s="229">
        <f t="shared" si="47"/>
        <v>0</v>
      </c>
      <c r="CL63" s="229">
        <f t="shared" si="47"/>
        <v>0</v>
      </c>
      <c r="CM63" s="229">
        <f t="shared" si="47"/>
        <v>0</v>
      </c>
      <c r="CN63" s="229">
        <f t="shared" si="47"/>
        <v>0</v>
      </c>
      <c r="CO63" s="229">
        <f t="shared" si="47"/>
        <v>0</v>
      </c>
      <c r="CP63" s="229">
        <f t="shared" si="47"/>
        <v>0</v>
      </c>
      <c r="CQ63" s="229">
        <f t="shared" si="47"/>
        <v>0</v>
      </c>
      <c r="CR63" s="229">
        <f t="shared" si="47"/>
        <v>0</v>
      </c>
      <c r="CS63" s="230"/>
      <c r="CT63" s="231"/>
      <c r="CU63" s="231"/>
      <c r="CV63" s="231"/>
      <c r="CW63" s="231"/>
      <c r="CY63" s="231"/>
      <c r="CZ63" s="231"/>
      <c r="DA63" s="231" t="e">
        <f ca="1">IF(SUM(DA$32:DA62)&gt;=DA$22,0,DA$22/(DA$13*4))</f>
        <v>#N/A</v>
      </c>
      <c r="DB63" s="231">
        <f>IF(SUM(DB$24:DB62)=DB$22,0,IF(AND($K63&gt;=DB$15,$K63&lt;(DB$16+1)),DB$22/(DB$16-DB$15+1),0))</f>
        <v>0</v>
      </c>
      <c r="DC63" s="231">
        <f t="shared" si="55"/>
        <v>0</v>
      </c>
      <c r="DD63" s="231">
        <f t="shared" si="55"/>
        <v>0</v>
      </c>
      <c r="DE63" s="231">
        <f t="shared" si="55"/>
        <v>0</v>
      </c>
      <c r="DF63" s="231">
        <f t="shared" si="55"/>
        <v>0</v>
      </c>
      <c r="DG63" s="231">
        <f t="shared" si="55"/>
        <v>0</v>
      </c>
      <c r="DH63" s="231">
        <f t="shared" si="55"/>
        <v>0</v>
      </c>
      <c r="DI63" s="231">
        <f t="shared" si="55"/>
        <v>0</v>
      </c>
      <c r="DJ63" s="231">
        <f t="shared" si="55"/>
        <v>0</v>
      </c>
      <c r="DK63" s="231">
        <f t="shared" si="55"/>
        <v>0</v>
      </c>
      <c r="DL63" s="231">
        <f t="shared" si="55"/>
        <v>0</v>
      </c>
      <c r="DM63" s="231">
        <f t="shared" si="55"/>
        <v>0</v>
      </c>
      <c r="DN63" s="231">
        <f t="shared" si="55"/>
        <v>0</v>
      </c>
      <c r="DO63" s="231">
        <f t="shared" si="55"/>
        <v>0</v>
      </c>
      <c r="DP63" s="231">
        <f>'Offshore CF'!DR63</f>
        <v>0</v>
      </c>
      <c r="DQ63" s="231">
        <f>'Offshore CF'!DS63</f>
        <v>0.29866666666666669</v>
      </c>
      <c r="DR63" s="231">
        <f ca="1">IF(SUM(DR$24:DR62)=DR$22,0,IF(AND($K63&gt;=DR$15,$K63&lt;(DR$16+1)),DR$22/(DR$16-DR$15+1),0))</f>
        <v>0</v>
      </c>
      <c r="DS63" s="231" t="e">
        <f ca="1">IF(SUM(DS$24:DS62)=DS$22,0,IF(AND($K63&gt;=DS$15,$K63&lt;(DS$16+1)),DS$22/(DS$16-DS$15+1),0))</f>
        <v>#REF!</v>
      </c>
      <c r="DT63" s="231" t="e">
        <f ca="1">IF(SUM(DT$24:DT62)=DT$22,0,IF(AND(K63&gt;=DT$15,K63&lt;(DT$16+1)),DT$22/(DT$16-DT$15+1),0))</f>
        <v>#REF!</v>
      </c>
      <c r="DU63" s="231" t="e">
        <f ca="1">IF(SUM(DU$24:DU62)=DU$22,0,IF(AND($K63&gt;=DU$15,$K63&lt;(DU$16+1)),DU$22/(DU$16-DU$15+1),0))</f>
        <v>#REF!</v>
      </c>
      <c r="DV63" s="231">
        <f ca="1">IF(SUM(DV$24:DV62)=DV$22,0,IF(AND($K63&gt;=DV$15,$K63&lt;(DV$16+1)),DV$22/(DV$16-DV$15+1),0))</f>
        <v>0</v>
      </c>
      <c r="DW63" s="231">
        <f ca="1">IF(SUM(DW$24:DW62)=DW$22,0,IF(AND($K63&gt;=DW$15,$K63&lt;(DW$16+1)),DW$22/(DW$16-DW$15+1),0))</f>
        <v>0</v>
      </c>
      <c r="DX63" s="231">
        <f ca="1">IF(SUM(DX$24:DX62)=DX$22,0,IF(AND($K63&gt;=DX$15,$K63&lt;(DX$16+1)),DX$22/(DX$16-DX$15+1),0))</f>
        <v>0</v>
      </c>
      <c r="DY63" s="231">
        <f ca="1">IF(SUM(DY$24:DY62)=DY$22,0,IF(AND($K63&gt;=DY$15,$K63&lt;(DY$16+1)),DY$22/(DY$16-DY$15+1),0))</f>
        <v>0</v>
      </c>
      <c r="EA63" s="749">
        <f t="shared" si="51"/>
        <v>40</v>
      </c>
      <c r="EB63" s="749" t="e">
        <f t="shared" ca="1" si="52"/>
        <v>#N/A</v>
      </c>
      <c r="EC63" s="750" t="e">
        <f t="shared" ca="1" si="53"/>
        <v>#N/A</v>
      </c>
      <c r="ED63" s="749" t="e">
        <f t="shared" ca="1" si="28"/>
        <v>#REF!</v>
      </c>
      <c r="EE63" s="749"/>
      <c r="EF63" s="749"/>
      <c r="EG63" s="749"/>
      <c r="EH63" s="749"/>
      <c r="EI63" s="714" t="e">
        <f t="shared" ca="1" si="19"/>
        <v>#N/A</v>
      </c>
      <c r="EJ63" s="231" t="e">
        <f ca="1">IF(SUM(EJ$24:EJ62)=EJ$22,0,IF(AND($K63&gt;=EJ$15,$K63&lt;(EJ$16+1)),EJ$22/(EJ$16-EJ$15+1),0))</f>
        <v>#REF!</v>
      </c>
      <c r="EK63" s="714" t="e">
        <f t="shared" ca="1" si="54"/>
        <v>#N/A</v>
      </c>
      <c r="EM63" s="60"/>
      <c r="EN63" s="60"/>
    </row>
    <row r="64" spans="1:144">
      <c r="A64" s="220"/>
      <c r="B64" s="236">
        <f t="shared" si="20"/>
        <v>41</v>
      </c>
      <c r="C64" s="221">
        <f t="shared" si="21"/>
        <v>44687.668000000063</v>
      </c>
      <c r="D64" s="746" t="e">
        <f t="shared" ca="1" si="22"/>
        <v>#DIV/0!</v>
      </c>
      <c r="E64" s="747" t="e">
        <f t="shared" ca="1" si="25"/>
        <v>#DIV/0!</v>
      </c>
      <c r="F64" s="748" t="e">
        <f ca="1">IF(F63=0,0,SUM($G$24:G64))</f>
        <v>#DIV/0!</v>
      </c>
      <c r="G64" s="225" t="e">
        <f t="shared" ca="1" si="48"/>
        <v>#DIV/0!</v>
      </c>
      <c r="H64" s="746">
        <f t="shared" ca="1" si="23"/>
        <v>0</v>
      </c>
      <c r="I64" s="60"/>
      <c r="J64" s="228"/>
      <c r="K64" s="228">
        <f t="shared" si="49"/>
        <v>41</v>
      </c>
      <c r="L64" s="221">
        <f t="shared" si="50"/>
        <v>44687.668000000063</v>
      </c>
      <c r="M64" s="229">
        <f t="shared" ref="M64:AQ73" si="57">IF($K64=M$13,M$22*M$3,IF($K64=M$14,M$22*M$4,IF($K64=M$15,M$22*M$5,IF($K64=M$16,M$22*M$6,IF($K64=M$17,M$22*M$7,IF($K64=M$18,M$22*M$8,IF($K64=M$19,M$22*M$9,IF($K64=M$20,M$22*M$10,0))))))))</f>
        <v>0</v>
      </c>
      <c r="N64" s="229">
        <f t="shared" si="57"/>
        <v>0</v>
      </c>
      <c r="O64" s="229">
        <f t="shared" si="57"/>
        <v>0</v>
      </c>
      <c r="P64" s="229">
        <f t="shared" si="57"/>
        <v>0</v>
      </c>
      <c r="Q64" s="229">
        <f t="shared" si="57"/>
        <v>0</v>
      </c>
      <c r="R64" s="229">
        <f t="shared" si="56"/>
        <v>0</v>
      </c>
      <c r="S64" s="229">
        <f t="shared" si="56"/>
        <v>0</v>
      </c>
      <c r="T64" s="229">
        <f t="shared" si="56"/>
        <v>0</v>
      </c>
      <c r="U64" s="229">
        <f t="shared" si="57"/>
        <v>0</v>
      </c>
      <c r="V64" s="229">
        <f t="shared" si="57"/>
        <v>0</v>
      </c>
      <c r="W64" s="229">
        <f t="shared" si="57"/>
        <v>0</v>
      </c>
      <c r="X64" s="229">
        <f t="shared" si="57"/>
        <v>0</v>
      </c>
      <c r="Y64" s="229">
        <f t="shared" si="57"/>
        <v>0</v>
      </c>
      <c r="Z64" s="229">
        <f t="shared" si="57"/>
        <v>0</v>
      </c>
      <c r="AA64" s="229">
        <f t="shared" si="57"/>
        <v>0</v>
      </c>
      <c r="AB64" s="229">
        <f t="shared" si="57"/>
        <v>0</v>
      </c>
      <c r="AC64" s="229">
        <f t="shared" si="57"/>
        <v>0</v>
      </c>
      <c r="AD64" s="229">
        <f t="shared" si="57"/>
        <v>0</v>
      </c>
      <c r="AE64" s="229">
        <f t="shared" si="57"/>
        <v>0</v>
      </c>
      <c r="AF64" s="229">
        <f t="shared" si="57"/>
        <v>0</v>
      </c>
      <c r="AG64" s="229">
        <f t="shared" si="57"/>
        <v>0</v>
      </c>
      <c r="AH64" s="229">
        <f t="shared" si="57"/>
        <v>0</v>
      </c>
      <c r="AI64" s="229">
        <f t="shared" si="57"/>
        <v>0</v>
      </c>
      <c r="AJ64" s="229">
        <f t="shared" si="57"/>
        <v>0</v>
      </c>
      <c r="AK64" s="229">
        <f t="shared" si="57"/>
        <v>0</v>
      </c>
      <c r="AL64" s="229">
        <f t="shared" si="57"/>
        <v>0</v>
      </c>
      <c r="AM64" s="229">
        <f t="shared" si="57"/>
        <v>0</v>
      </c>
      <c r="AN64" s="229">
        <f t="shared" si="57"/>
        <v>0</v>
      </c>
      <c r="AO64" s="229">
        <f t="shared" si="57"/>
        <v>0</v>
      </c>
      <c r="AP64" s="229">
        <f t="shared" si="57"/>
        <v>0</v>
      </c>
      <c r="AQ64" s="229">
        <f t="shared" si="57"/>
        <v>0</v>
      </c>
      <c r="AR64" s="229">
        <f t="shared" ref="AR64:BB73" si="58">IF($K64=AR$13,AR$22*AR$3,IF($K64=AR$14,AR$22*AR$4,IF($K64=AR$15,AR$22*AR$5,IF($K64=AR$16,AR$22*AR$6,IF($K64=AR$17,AR$22*AR$7,IF($K64=AR$18,AR$22*AR$8,IF($K64=AR$19,AR$22*AR$9,IF($K64=AR$20,AR$22*AR$10,0))))))))</f>
        <v>0</v>
      </c>
      <c r="AS64" s="229">
        <f t="shared" si="58"/>
        <v>0</v>
      </c>
      <c r="AT64" s="229">
        <f t="shared" si="58"/>
        <v>0</v>
      </c>
      <c r="AU64" s="229">
        <f t="shared" si="58"/>
        <v>0</v>
      </c>
      <c r="AV64" s="229">
        <f t="shared" si="58"/>
        <v>0</v>
      </c>
      <c r="AW64" s="229">
        <f t="shared" si="58"/>
        <v>0</v>
      </c>
      <c r="AX64" s="229">
        <f t="shared" si="58"/>
        <v>0</v>
      </c>
      <c r="AY64" s="229">
        <f t="shared" si="58"/>
        <v>0</v>
      </c>
      <c r="AZ64" s="229">
        <f t="shared" si="58"/>
        <v>0</v>
      </c>
      <c r="BA64" s="229">
        <f t="shared" si="58"/>
        <v>0</v>
      </c>
      <c r="BB64" s="229">
        <f t="shared" si="58"/>
        <v>0</v>
      </c>
      <c r="BC64" s="229">
        <f t="shared" ref="BC64:BL73" si="59">IF($K64=BC$13,BC$22*BC$3,IF($K64=BC$14,BC$22*BC$4,IF($K64=BC$15,BC$22*BC$5,IF($K64=BC$16,BC$22*BC$6,IF($K64=BC$17,BC$22*BC$7,IF($K64=BC$18,BC$22*BC$8,IF($K64=BC$19,BC$22*BC$9,IF($K64=BC$20,BC$22*BC$10,0))))))))</f>
        <v>0</v>
      </c>
      <c r="BD64" s="229">
        <f t="shared" si="59"/>
        <v>0</v>
      </c>
      <c r="BE64" s="229">
        <f t="shared" si="59"/>
        <v>0</v>
      </c>
      <c r="BF64" s="229">
        <f t="shared" si="59"/>
        <v>0</v>
      </c>
      <c r="BG64" s="229">
        <f t="shared" si="59"/>
        <v>0</v>
      </c>
      <c r="BH64" s="229">
        <f t="shared" si="59"/>
        <v>0</v>
      </c>
      <c r="BI64" s="229">
        <f t="shared" si="59"/>
        <v>0</v>
      </c>
      <c r="BJ64" s="229">
        <f t="shared" si="59"/>
        <v>0</v>
      </c>
      <c r="BK64" s="229">
        <f t="shared" si="59"/>
        <v>0</v>
      </c>
      <c r="BL64" s="229">
        <f t="shared" si="59"/>
        <v>0</v>
      </c>
      <c r="BM64" s="229">
        <f t="shared" ref="BM64:CA73" si="60">IF($K64=BM$13,BM$22*BM$3,IF($K64=BM$14,BM$22*BM$4,IF($K64=BM$15,BM$22*BM$5,IF($K64=BM$16,BM$22*BM$6,IF($K64=BM$17,BM$22*BM$7,IF($K64=BM$18,BM$22*BM$8,IF($K64=BM$19,BM$22*BM$9,IF($K64=BM$20,BM$22*BM$10,0))))))))</f>
        <v>0</v>
      </c>
      <c r="BN64" s="229">
        <f t="shared" si="60"/>
        <v>0</v>
      </c>
      <c r="BO64" s="229">
        <f t="shared" si="60"/>
        <v>0</v>
      </c>
      <c r="BP64" s="229">
        <f t="shared" si="60"/>
        <v>0</v>
      </c>
      <c r="BQ64" s="229">
        <f t="shared" si="60"/>
        <v>0</v>
      </c>
      <c r="BR64" s="229">
        <f t="shared" si="60"/>
        <v>0</v>
      </c>
      <c r="BS64" s="229">
        <f t="shared" si="60"/>
        <v>0</v>
      </c>
      <c r="BT64" s="229">
        <f t="shared" si="60"/>
        <v>0</v>
      </c>
      <c r="BU64" s="229">
        <f t="shared" si="60"/>
        <v>0</v>
      </c>
      <c r="BV64" s="229">
        <f t="shared" si="60"/>
        <v>0</v>
      </c>
      <c r="BW64" s="229">
        <f t="shared" si="60"/>
        <v>0</v>
      </c>
      <c r="BX64" s="229">
        <f t="shared" si="60"/>
        <v>0</v>
      </c>
      <c r="BY64" s="229">
        <f t="shared" si="60"/>
        <v>0</v>
      </c>
      <c r="BZ64" s="229">
        <f t="shared" si="60"/>
        <v>0</v>
      </c>
      <c r="CA64" s="229">
        <f t="shared" si="60"/>
        <v>0</v>
      </c>
      <c r="CB64" s="229">
        <f t="shared" ref="CB64:CR73" si="61">IF($K64=CB$13,CB$22*CB$3,IF($K64=CB$14,CB$22*CB$4,IF($K64=CB$15,CB$22*CB$5,IF($K64=CB$16,CB$22*CB$6,IF($K64=CB$17,CB$22*CB$7,IF($K64=CB$18,CB$22*CB$8,IF($K64=CB$19,CB$22*CB$9,IF($K64=CB$20,CB$22*CB$10,0))))))))</f>
        <v>0</v>
      </c>
      <c r="CC64" s="229">
        <f t="shared" si="61"/>
        <v>0</v>
      </c>
      <c r="CD64" s="229">
        <f t="shared" si="61"/>
        <v>0</v>
      </c>
      <c r="CE64" s="229">
        <f t="shared" si="61"/>
        <v>0</v>
      </c>
      <c r="CF64" s="229">
        <f t="shared" si="61"/>
        <v>0</v>
      </c>
      <c r="CG64" s="229">
        <f t="shared" si="61"/>
        <v>0</v>
      </c>
      <c r="CH64" s="229">
        <f t="shared" si="61"/>
        <v>0</v>
      </c>
      <c r="CI64" s="229">
        <f t="shared" si="61"/>
        <v>0</v>
      </c>
      <c r="CJ64" s="229">
        <f t="shared" si="61"/>
        <v>0</v>
      </c>
      <c r="CK64" s="229">
        <f t="shared" si="61"/>
        <v>0</v>
      </c>
      <c r="CL64" s="229">
        <f t="shared" si="61"/>
        <v>0</v>
      </c>
      <c r="CM64" s="229">
        <f t="shared" si="61"/>
        <v>0</v>
      </c>
      <c r="CN64" s="229">
        <f t="shared" si="61"/>
        <v>0</v>
      </c>
      <c r="CO64" s="229">
        <f t="shared" si="61"/>
        <v>0</v>
      </c>
      <c r="CP64" s="229">
        <f t="shared" si="61"/>
        <v>0</v>
      </c>
      <c r="CQ64" s="229">
        <f t="shared" si="61"/>
        <v>0</v>
      </c>
      <c r="CR64" s="229">
        <f t="shared" si="61"/>
        <v>0</v>
      </c>
      <c r="CS64" s="230"/>
      <c r="CT64" s="231"/>
      <c r="CU64" s="231"/>
      <c r="CV64" s="231"/>
      <c r="CW64" s="231"/>
      <c r="CY64" s="231"/>
      <c r="CZ64" s="231"/>
      <c r="DA64" s="231"/>
      <c r="DB64" s="231">
        <f>IF(SUM(DB$24:DB63)=DB$22,0,IF(AND($K64&gt;=DB$15,$K64&lt;(DB$16+1)),DB$22/(DB$16-DB$15+1),0))</f>
        <v>0</v>
      </c>
      <c r="DC64" s="231">
        <f t="shared" si="55"/>
        <v>0</v>
      </c>
      <c r="DD64" s="231">
        <f t="shared" si="55"/>
        <v>0</v>
      </c>
      <c r="DE64" s="231">
        <f t="shared" si="55"/>
        <v>0</v>
      </c>
      <c r="DF64" s="231">
        <f t="shared" si="55"/>
        <v>0</v>
      </c>
      <c r="DG64" s="231">
        <f t="shared" si="55"/>
        <v>0</v>
      </c>
      <c r="DH64" s="231">
        <f t="shared" si="55"/>
        <v>0</v>
      </c>
      <c r="DI64" s="231">
        <f t="shared" si="55"/>
        <v>0</v>
      </c>
      <c r="DJ64" s="231">
        <f t="shared" si="55"/>
        <v>0</v>
      </c>
      <c r="DK64" s="231">
        <f t="shared" si="55"/>
        <v>0</v>
      </c>
      <c r="DL64" s="231">
        <f t="shared" si="55"/>
        <v>0</v>
      </c>
      <c r="DM64" s="231">
        <f t="shared" si="55"/>
        <v>0</v>
      </c>
      <c r="DN64" s="231">
        <f t="shared" si="55"/>
        <v>0</v>
      </c>
      <c r="DO64" s="231">
        <f t="shared" si="55"/>
        <v>0</v>
      </c>
      <c r="DP64" s="231">
        <f>'Offshore CF'!DR64</f>
        <v>0</v>
      </c>
      <c r="DQ64" s="231">
        <f>'Offshore CF'!DS64</f>
        <v>0.29866666666666669</v>
      </c>
      <c r="DR64" s="231">
        <f ca="1">IF(SUM(DR$24:DR63)=DR$22,0,IF(AND($K64&gt;=DR$15,$K64&lt;(DR$16+1)),DR$22/(DR$16-DR$15+1),0))</f>
        <v>0</v>
      </c>
      <c r="DS64" s="231" t="e">
        <f ca="1">IF(SUM(DS$24:DS63)=DS$22,0,IF(AND($K64&gt;=DS$15,$K64&lt;(DS$16+1)),DS$22/(DS$16-DS$15+1),0))</f>
        <v>#REF!</v>
      </c>
      <c r="DT64" s="231" t="e">
        <f ca="1">IF(SUM(DT$24:DT63)=DT$22,0,IF(AND(K64&gt;=DT$15,K64&lt;(DT$16+1)),DT$22/(DT$16-DT$15+1),0))</f>
        <v>#REF!</v>
      </c>
      <c r="DU64" s="231" t="e">
        <f ca="1">IF(SUM(DU$24:DU63)=DU$22,0,IF(AND($K64&gt;=DU$15,$K64&lt;(DU$16+1)),DU$22/(DU$16-DU$15+1),0))</f>
        <v>#REF!</v>
      </c>
      <c r="DV64" s="231">
        <f ca="1">IF(SUM(DV$24:DV63)=DV$22,0,IF(AND($K64&gt;=DV$15,$K64&lt;(DV$16+1)),DV$22/(DV$16-DV$15+1),0))</f>
        <v>0</v>
      </c>
      <c r="DW64" s="231">
        <f ca="1">IF(SUM(DW$24:DW63)=DW$22,0,IF(AND($K64&gt;=DW$15,$K64&lt;(DW$16+1)),DW$22/(DW$16-DW$15+1),0))</f>
        <v>0</v>
      </c>
      <c r="DX64" s="231">
        <f ca="1">IF(SUM(DX$24:DX63)=DX$22,0,IF(AND($K64&gt;=DX$15,$K64&lt;(DX$16+1)),DX$22/(DX$16-DX$15+1),0))</f>
        <v>0</v>
      </c>
      <c r="DY64" s="231">
        <f ca="1">IF(SUM(DY$24:DY63)=DY$22,0,IF(AND($K64&gt;=DY$15,$K64&lt;(DY$16+1)),DY$22/(DY$16-DY$15+1),0))</f>
        <v>0</v>
      </c>
      <c r="EA64" s="749">
        <f t="shared" si="51"/>
        <v>41</v>
      </c>
      <c r="EB64" s="749" t="e">
        <f t="shared" ca="1" si="52"/>
        <v>#REF!</v>
      </c>
      <c r="EC64" s="750" t="e">
        <f t="shared" ca="1" si="53"/>
        <v>#REF!</v>
      </c>
      <c r="ED64" s="749" t="e">
        <f t="shared" ca="1" si="28"/>
        <v>#REF!</v>
      </c>
      <c r="EE64" s="749"/>
      <c r="EF64" s="749"/>
      <c r="EG64" s="749"/>
      <c r="EH64" s="749"/>
      <c r="EI64" s="714" t="e">
        <f t="shared" ca="1" si="19"/>
        <v>#REF!</v>
      </c>
      <c r="EJ64" s="231" t="e">
        <f ca="1">IF(SUM(EJ$24:EJ63)=EJ$22,0,IF(AND($K64&gt;=EJ$15,$K64&lt;(EJ$16+1)),EJ$22/(EJ$16-EJ$15+1),0))</f>
        <v>#REF!</v>
      </c>
      <c r="EK64" s="714" t="e">
        <f t="shared" ca="1" si="54"/>
        <v>#REF!</v>
      </c>
      <c r="EM64" s="60"/>
      <c r="EN64" s="60"/>
    </row>
    <row r="65" spans="1:151">
      <c r="A65" s="220"/>
      <c r="B65" s="236">
        <f t="shared" si="20"/>
        <v>42</v>
      </c>
      <c r="C65" s="221">
        <f t="shared" si="21"/>
        <v>44718.084700000065</v>
      </c>
      <c r="D65" s="746" t="e">
        <f t="shared" ca="1" si="22"/>
        <v>#DIV/0!</v>
      </c>
      <c r="E65" s="747" t="e">
        <f t="shared" ca="1" si="25"/>
        <v>#DIV/0!</v>
      </c>
      <c r="F65" s="748" t="e">
        <f ca="1">IF(F64=0,0,SUM($G$24:G65))</f>
        <v>#DIV/0!</v>
      </c>
      <c r="G65" s="225" t="e">
        <f t="shared" ca="1" si="48"/>
        <v>#DIV/0!</v>
      </c>
      <c r="H65" s="746">
        <f t="shared" ca="1" si="23"/>
        <v>0</v>
      </c>
      <c r="I65" s="60"/>
      <c r="J65" s="228"/>
      <c r="K65" s="228">
        <f t="shared" si="49"/>
        <v>42</v>
      </c>
      <c r="L65" s="221">
        <f t="shared" si="50"/>
        <v>44718.084700000065</v>
      </c>
      <c r="M65" s="229">
        <f t="shared" si="57"/>
        <v>0</v>
      </c>
      <c r="N65" s="229">
        <f t="shared" si="57"/>
        <v>0</v>
      </c>
      <c r="O65" s="229">
        <f t="shared" si="57"/>
        <v>0</v>
      </c>
      <c r="P65" s="229">
        <f t="shared" si="57"/>
        <v>0</v>
      </c>
      <c r="Q65" s="229">
        <f t="shared" si="57"/>
        <v>0</v>
      </c>
      <c r="R65" s="229">
        <f t="shared" si="56"/>
        <v>0</v>
      </c>
      <c r="S65" s="229">
        <f t="shared" si="56"/>
        <v>0</v>
      </c>
      <c r="T65" s="229">
        <f t="shared" si="56"/>
        <v>0</v>
      </c>
      <c r="U65" s="229">
        <f t="shared" si="57"/>
        <v>0</v>
      </c>
      <c r="V65" s="229">
        <f t="shared" si="57"/>
        <v>0</v>
      </c>
      <c r="W65" s="229">
        <f t="shared" si="57"/>
        <v>0</v>
      </c>
      <c r="X65" s="229">
        <f t="shared" si="57"/>
        <v>0</v>
      </c>
      <c r="Y65" s="229">
        <f t="shared" si="57"/>
        <v>0</v>
      </c>
      <c r="Z65" s="229">
        <f t="shared" si="57"/>
        <v>0</v>
      </c>
      <c r="AA65" s="229">
        <f t="shared" si="57"/>
        <v>0</v>
      </c>
      <c r="AB65" s="229">
        <f t="shared" si="57"/>
        <v>0</v>
      </c>
      <c r="AC65" s="229">
        <f t="shared" si="57"/>
        <v>0</v>
      </c>
      <c r="AD65" s="229">
        <f t="shared" si="57"/>
        <v>0</v>
      </c>
      <c r="AE65" s="229">
        <f t="shared" si="57"/>
        <v>0</v>
      </c>
      <c r="AF65" s="229">
        <f t="shared" si="57"/>
        <v>0</v>
      </c>
      <c r="AG65" s="229">
        <f t="shared" si="57"/>
        <v>0</v>
      </c>
      <c r="AH65" s="229">
        <f t="shared" si="57"/>
        <v>0</v>
      </c>
      <c r="AI65" s="229">
        <f t="shared" si="57"/>
        <v>0</v>
      </c>
      <c r="AJ65" s="229">
        <f t="shared" si="57"/>
        <v>0</v>
      </c>
      <c r="AK65" s="229">
        <f t="shared" si="57"/>
        <v>0</v>
      </c>
      <c r="AL65" s="229">
        <f t="shared" si="57"/>
        <v>0</v>
      </c>
      <c r="AM65" s="229">
        <f t="shared" si="57"/>
        <v>0</v>
      </c>
      <c r="AN65" s="229">
        <f t="shared" si="57"/>
        <v>0</v>
      </c>
      <c r="AO65" s="229">
        <f t="shared" si="57"/>
        <v>0</v>
      </c>
      <c r="AP65" s="229">
        <f t="shared" si="57"/>
        <v>0</v>
      </c>
      <c r="AQ65" s="229">
        <f t="shared" si="57"/>
        <v>0</v>
      </c>
      <c r="AR65" s="229">
        <f t="shared" si="58"/>
        <v>0</v>
      </c>
      <c r="AS65" s="229">
        <f t="shared" si="58"/>
        <v>0</v>
      </c>
      <c r="AT65" s="229">
        <f t="shared" si="58"/>
        <v>0</v>
      </c>
      <c r="AU65" s="229">
        <f t="shared" si="58"/>
        <v>0</v>
      </c>
      <c r="AV65" s="229">
        <f t="shared" si="58"/>
        <v>0</v>
      </c>
      <c r="AW65" s="229">
        <f t="shared" si="58"/>
        <v>0</v>
      </c>
      <c r="AX65" s="229">
        <f t="shared" si="58"/>
        <v>0</v>
      </c>
      <c r="AY65" s="229">
        <f t="shared" si="58"/>
        <v>0</v>
      </c>
      <c r="AZ65" s="229">
        <f t="shared" si="58"/>
        <v>0</v>
      </c>
      <c r="BA65" s="229">
        <f t="shared" si="58"/>
        <v>0</v>
      </c>
      <c r="BB65" s="229">
        <f t="shared" si="58"/>
        <v>0</v>
      </c>
      <c r="BC65" s="229">
        <f t="shared" si="59"/>
        <v>0</v>
      </c>
      <c r="BD65" s="229">
        <f t="shared" si="59"/>
        <v>0</v>
      </c>
      <c r="BE65" s="229">
        <f t="shared" si="59"/>
        <v>0</v>
      </c>
      <c r="BF65" s="229">
        <f t="shared" si="59"/>
        <v>0</v>
      </c>
      <c r="BG65" s="229">
        <f t="shared" si="59"/>
        <v>0</v>
      </c>
      <c r="BH65" s="229">
        <f t="shared" si="59"/>
        <v>0</v>
      </c>
      <c r="BI65" s="229">
        <f t="shared" si="59"/>
        <v>0</v>
      </c>
      <c r="BJ65" s="229">
        <f t="shared" si="59"/>
        <v>0</v>
      </c>
      <c r="BK65" s="229">
        <f t="shared" si="59"/>
        <v>0</v>
      </c>
      <c r="BL65" s="229">
        <f t="shared" si="59"/>
        <v>0</v>
      </c>
      <c r="BM65" s="229">
        <f t="shared" si="60"/>
        <v>0</v>
      </c>
      <c r="BN65" s="229">
        <f t="shared" si="60"/>
        <v>0</v>
      </c>
      <c r="BO65" s="229">
        <f t="shared" si="60"/>
        <v>0</v>
      </c>
      <c r="BP65" s="229">
        <f t="shared" si="60"/>
        <v>0</v>
      </c>
      <c r="BQ65" s="229">
        <f t="shared" si="60"/>
        <v>0</v>
      </c>
      <c r="BR65" s="229">
        <f t="shared" si="60"/>
        <v>0</v>
      </c>
      <c r="BS65" s="229">
        <f t="shared" si="60"/>
        <v>0</v>
      </c>
      <c r="BT65" s="229">
        <f t="shared" si="60"/>
        <v>0</v>
      </c>
      <c r="BU65" s="229">
        <f t="shared" si="60"/>
        <v>0</v>
      </c>
      <c r="BV65" s="229">
        <f t="shared" si="60"/>
        <v>0</v>
      </c>
      <c r="BW65" s="229">
        <f t="shared" si="60"/>
        <v>0</v>
      </c>
      <c r="BX65" s="229">
        <f t="shared" si="60"/>
        <v>0</v>
      </c>
      <c r="BY65" s="229">
        <f t="shared" si="60"/>
        <v>0</v>
      </c>
      <c r="BZ65" s="229">
        <f t="shared" si="60"/>
        <v>0</v>
      </c>
      <c r="CA65" s="229">
        <f t="shared" si="60"/>
        <v>0</v>
      </c>
      <c r="CB65" s="229">
        <f t="shared" si="61"/>
        <v>0</v>
      </c>
      <c r="CC65" s="229">
        <f t="shared" si="61"/>
        <v>0</v>
      </c>
      <c r="CD65" s="229">
        <f t="shared" si="61"/>
        <v>0</v>
      </c>
      <c r="CE65" s="229">
        <f t="shared" si="61"/>
        <v>0</v>
      </c>
      <c r="CF65" s="229">
        <f t="shared" si="61"/>
        <v>0</v>
      </c>
      <c r="CG65" s="229">
        <f t="shared" si="61"/>
        <v>0</v>
      </c>
      <c r="CH65" s="229">
        <f t="shared" si="61"/>
        <v>0</v>
      </c>
      <c r="CI65" s="229">
        <f t="shared" si="61"/>
        <v>0</v>
      </c>
      <c r="CJ65" s="229">
        <f t="shared" si="61"/>
        <v>0</v>
      </c>
      <c r="CK65" s="229">
        <f t="shared" si="61"/>
        <v>0</v>
      </c>
      <c r="CL65" s="229">
        <f t="shared" si="61"/>
        <v>0</v>
      </c>
      <c r="CM65" s="229">
        <f t="shared" si="61"/>
        <v>0</v>
      </c>
      <c r="CN65" s="229">
        <f t="shared" si="61"/>
        <v>0</v>
      </c>
      <c r="CO65" s="229">
        <f t="shared" si="61"/>
        <v>0</v>
      </c>
      <c r="CP65" s="229">
        <f t="shared" si="61"/>
        <v>0</v>
      </c>
      <c r="CQ65" s="229">
        <f t="shared" si="61"/>
        <v>0</v>
      </c>
      <c r="CR65" s="229">
        <f t="shared" si="61"/>
        <v>0</v>
      </c>
      <c r="CS65" s="230"/>
      <c r="CT65" s="231"/>
      <c r="CU65" s="231"/>
      <c r="CV65" s="231"/>
      <c r="CW65" s="231"/>
      <c r="CY65" s="231"/>
      <c r="CZ65" s="231"/>
      <c r="DA65" s="231"/>
      <c r="DB65" s="231">
        <f>IF(SUM(DB$24:DB64)=DB$22,0,IF(AND($K65&gt;=DB$15,$K65&lt;(DB$16+1)),DB$22/(DB$16-DB$15+1),0))</f>
        <v>0</v>
      </c>
      <c r="DC65" s="231">
        <f t="shared" si="55"/>
        <v>0</v>
      </c>
      <c r="DD65" s="231">
        <f t="shared" si="55"/>
        <v>0</v>
      </c>
      <c r="DE65" s="231">
        <f t="shared" si="55"/>
        <v>0</v>
      </c>
      <c r="DF65" s="231">
        <f t="shared" si="55"/>
        <v>0</v>
      </c>
      <c r="DG65" s="231">
        <f t="shared" si="55"/>
        <v>0</v>
      </c>
      <c r="DH65" s="231">
        <f t="shared" si="55"/>
        <v>0</v>
      </c>
      <c r="DI65" s="231">
        <f t="shared" si="55"/>
        <v>0</v>
      </c>
      <c r="DJ65" s="231">
        <f t="shared" si="55"/>
        <v>0</v>
      </c>
      <c r="DK65" s="231">
        <f t="shared" si="55"/>
        <v>0</v>
      </c>
      <c r="DL65" s="231">
        <f t="shared" si="55"/>
        <v>0</v>
      </c>
      <c r="DM65" s="231">
        <f t="shared" si="55"/>
        <v>0</v>
      </c>
      <c r="DN65" s="231">
        <f t="shared" si="55"/>
        <v>0</v>
      </c>
      <c r="DO65" s="231">
        <f t="shared" si="55"/>
        <v>0</v>
      </c>
      <c r="DP65" s="231">
        <f>'Offshore CF'!DR65</f>
        <v>0</v>
      </c>
      <c r="DQ65" s="231">
        <f>'Offshore CF'!DS65</f>
        <v>0.29866666666666669</v>
      </c>
      <c r="DR65" s="231">
        <f ca="1">IF(SUM(DR$24:DR64)=DR$22,0,IF(AND($K65&gt;=DR$15,$K65&lt;(DR$16+1)),DR$22/(DR$16-DR$15+1),0))</f>
        <v>0</v>
      </c>
      <c r="DS65" s="231" t="e">
        <f ca="1">IF(SUM(DS$24:DS64)=DS$22,0,IF(AND($K65&gt;=DS$15,$K65&lt;(DS$16+1)),DS$22/(DS$16-DS$15+1),0))</f>
        <v>#REF!</v>
      </c>
      <c r="DT65" s="231" t="e">
        <f ca="1">IF(SUM(DT$24:DT64)=DT$22,0,IF(AND(K65&gt;=DT$15,K65&lt;(DT$16+1)),DT$22/(DT$16-DT$15+1),0))</f>
        <v>#REF!</v>
      </c>
      <c r="DU65" s="231" t="e">
        <f ca="1">IF(SUM(DU$24:DU64)=DU$22,0,IF(AND($K65&gt;=DU$15,$K65&lt;(DU$16+1)),DU$22/(DU$16-DU$15+1),0))</f>
        <v>#REF!</v>
      </c>
      <c r="DV65" s="231">
        <f ca="1">IF(SUM(DV$24:DV64)=DV$22,0,IF(AND($K65&gt;=DV$15,$K65&lt;(DV$16+1)),DV$22/(DV$16-DV$15+1),0))</f>
        <v>0</v>
      </c>
      <c r="DW65" s="231">
        <f ca="1">IF(SUM(DW$24:DW64)=DW$22,0,IF(AND($K65&gt;=DW$15,$K65&lt;(DW$16+1)),DW$22/(DW$16-DW$15+1),0))</f>
        <v>0</v>
      </c>
      <c r="DX65" s="231">
        <f ca="1">IF(SUM(DX$24:DX64)=DX$22,0,IF(AND($K65&gt;=DX$15,$K65&lt;(DX$16+1)),DX$22/(DX$16-DX$15+1),0))</f>
        <v>0</v>
      </c>
      <c r="DY65" s="231">
        <f ca="1">IF(SUM(DY$24:DY64)=DY$22,0,IF(AND($K65&gt;=DY$15,$K65&lt;(DY$16+1)),DY$22/(DY$16-DY$15+1),0))</f>
        <v>0</v>
      </c>
      <c r="EA65" s="749">
        <f t="shared" si="51"/>
        <v>42</v>
      </c>
      <c r="EB65" s="749" t="e">
        <f t="shared" ca="1" si="52"/>
        <v>#REF!</v>
      </c>
      <c r="EC65" s="750" t="e">
        <f t="shared" ca="1" si="53"/>
        <v>#REF!</v>
      </c>
      <c r="ED65" s="749" t="e">
        <f t="shared" ca="1" si="28"/>
        <v>#N/A</v>
      </c>
      <c r="EE65" s="749"/>
      <c r="EF65" s="749"/>
      <c r="EG65" s="749"/>
      <c r="EH65" s="749"/>
      <c r="EI65" s="714" t="e">
        <f t="shared" ca="1" si="19"/>
        <v>#REF!</v>
      </c>
      <c r="EJ65" s="231" t="e">
        <f ca="1">IF(SUM(EJ$24:EJ64)=EJ$22,0,IF(AND($K65&gt;=EJ$15,$K65&lt;(EJ$16+1)),EJ$22/(EJ$16-EJ$15+1),0))</f>
        <v>#REF!</v>
      </c>
      <c r="EK65" s="714" t="e">
        <f t="shared" ca="1" si="54"/>
        <v>#REF!</v>
      </c>
      <c r="EM65" s="60"/>
      <c r="EN65" s="60"/>
    </row>
    <row r="66" spans="1:151">
      <c r="A66" s="220"/>
      <c r="B66" s="236">
        <f t="shared" si="20"/>
        <v>43</v>
      </c>
      <c r="C66" s="221">
        <f t="shared" si="21"/>
        <v>44748.501400000066</v>
      </c>
      <c r="D66" s="746" t="e">
        <f t="shared" ca="1" si="22"/>
        <v>#DIV/0!</v>
      </c>
      <c r="E66" s="747" t="e">
        <f t="shared" ca="1" si="25"/>
        <v>#DIV/0!</v>
      </c>
      <c r="F66" s="748" t="e">
        <f ca="1">IF(F65=0,0,SUM($G$24:G66))</f>
        <v>#DIV/0!</v>
      </c>
      <c r="G66" s="225" t="e">
        <f t="shared" ca="1" si="48"/>
        <v>#DIV/0!</v>
      </c>
      <c r="H66" s="746">
        <f t="shared" ca="1" si="23"/>
        <v>0</v>
      </c>
      <c r="I66" s="60"/>
      <c r="J66" s="228"/>
      <c r="K66" s="228">
        <f t="shared" si="49"/>
        <v>43</v>
      </c>
      <c r="L66" s="221">
        <f t="shared" si="50"/>
        <v>44748.501400000066</v>
      </c>
      <c r="M66" s="229">
        <f t="shared" si="57"/>
        <v>0</v>
      </c>
      <c r="N66" s="229">
        <f t="shared" si="57"/>
        <v>0</v>
      </c>
      <c r="O66" s="229">
        <f t="shared" si="57"/>
        <v>0</v>
      </c>
      <c r="P66" s="229">
        <f t="shared" si="57"/>
        <v>0</v>
      </c>
      <c r="Q66" s="229">
        <f t="shared" si="57"/>
        <v>0</v>
      </c>
      <c r="R66" s="229">
        <f t="shared" si="56"/>
        <v>0</v>
      </c>
      <c r="S66" s="229">
        <f t="shared" si="56"/>
        <v>0</v>
      </c>
      <c r="T66" s="229">
        <f t="shared" si="56"/>
        <v>0</v>
      </c>
      <c r="U66" s="229">
        <f t="shared" si="57"/>
        <v>0</v>
      </c>
      <c r="V66" s="229">
        <f t="shared" si="57"/>
        <v>0</v>
      </c>
      <c r="W66" s="229">
        <f t="shared" si="57"/>
        <v>0</v>
      </c>
      <c r="X66" s="229">
        <f t="shared" si="57"/>
        <v>0</v>
      </c>
      <c r="Y66" s="229">
        <f t="shared" si="57"/>
        <v>0</v>
      </c>
      <c r="Z66" s="229">
        <f t="shared" si="57"/>
        <v>0</v>
      </c>
      <c r="AA66" s="229">
        <f t="shared" si="57"/>
        <v>0</v>
      </c>
      <c r="AB66" s="229">
        <f t="shared" si="57"/>
        <v>0</v>
      </c>
      <c r="AC66" s="229">
        <f t="shared" si="57"/>
        <v>0</v>
      </c>
      <c r="AD66" s="229">
        <f t="shared" si="57"/>
        <v>0</v>
      </c>
      <c r="AE66" s="229">
        <f t="shared" si="57"/>
        <v>0</v>
      </c>
      <c r="AF66" s="229">
        <f t="shared" si="57"/>
        <v>0</v>
      </c>
      <c r="AG66" s="229">
        <f t="shared" si="57"/>
        <v>0</v>
      </c>
      <c r="AH66" s="229">
        <f t="shared" si="57"/>
        <v>0</v>
      </c>
      <c r="AI66" s="229">
        <f t="shared" si="57"/>
        <v>0</v>
      </c>
      <c r="AJ66" s="229">
        <f t="shared" si="57"/>
        <v>0</v>
      </c>
      <c r="AK66" s="229">
        <f t="shared" si="57"/>
        <v>0</v>
      </c>
      <c r="AL66" s="229">
        <f t="shared" si="57"/>
        <v>0</v>
      </c>
      <c r="AM66" s="229">
        <f t="shared" si="57"/>
        <v>0</v>
      </c>
      <c r="AN66" s="229">
        <f t="shared" si="57"/>
        <v>0</v>
      </c>
      <c r="AO66" s="229">
        <f t="shared" si="57"/>
        <v>0</v>
      </c>
      <c r="AP66" s="229">
        <f t="shared" si="57"/>
        <v>0</v>
      </c>
      <c r="AQ66" s="229">
        <f t="shared" si="57"/>
        <v>0</v>
      </c>
      <c r="AR66" s="229">
        <f t="shared" si="58"/>
        <v>0</v>
      </c>
      <c r="AS66" s="229">
        <f t="shared" si="58"/>
        <v>0</v>
      </c>
      <c r="AT66" s="229">
        <f t="shared" si="58"/>
        <v>0</v>
      </c>
      <c r="AU66" s="229">
        <f t="shared" si="58"/>
        <v>0</v>
      </c>
      <c r="AV66" s="229">
        <f t="shared" si="58"/>
        <v>0</v>
      </c>
      <c r="AW66" s="229">
        <f t="shared" si="58"/>
        <v>0</v>
      </c>
      <c r="AX66" s="229">
        <f t="shared" si="58"/>
        <v>0</v>
      </c>
      <c r="AY66" s="229">
        <f t="shared" si="58"/>
        <v>0</v>
      </c>
      <c r="AZ66" s="229">
        <f t="shared" si="58"/>
        <v>0</v>
      </c>
      <c r="BA66" s="229">
        <f t="shared" si="58"/>
        <v>0</v>
      </c>
      <c r="BB66" s="229">
        <f t="shared" si="58"/>
        <v>0</v>
      </c>
      <c r="BC66" s="229">
        <f t="shared" si="59"/>
        <v>0</v>
      </c>
      <c r="BD66" s="229">
        <f t="shared" si="59"/>
        <v>0</v>
      </c>
      <c r="BE66" s="229">
        <f t="shared" si="59"/>
        <v>0</v>
      </c>
      <c r="BF66" s="229">
        <f t="shared" si="59"/>
        <v>0</v>
      </c>
      <c r="BG66" s="229">
        <f t="shared" si="59"/>
        <v>0</v>
      </c>
      <c r="BH66" s="229">
        <f t="shared" si="59"/>
        <v>0</v>
      </c>
      <c r="BI66" s="229">
        <f t="shared" si="59"/>
        <v>0</v>
      </c>
      <c r="BJ66" s="229">
        <f t="shared" si="59"/>
        <v>0</v>
      </c>
      <c r="BK66" s="229">
        <f t="shared" si="59"/>
        <v>0</v>
      </c>
      <c r="BL66" s="229">
        <f t="shared" si="59"/>
        <v>0</v>
      </c>
      <c r="BM66" s="229">
        <f t="shared" si="60"/>
        <v>0</v>
      </c>
      <c r="BN66" s="229">
        <f t="shared" si="60"/>
        <v>0</v>
      </c>
      <c r="BO66" s="229">
        <f t="shared" si="60"/>
        <v>0</v>
      </c>
      <c r="BP66" s="229">
        <f t="shared" si="60"/>
        <v>0</v>
      </c>
      <c r="BQ66" s="229">
        <f t="shared" si="60"/>
        <v>0</v>
      </c>
      <c r="BR66" s="229">
        <f t="shared" si="60"/>
        <v>0</v>
      </c>
      <c r="BS66" s="229">
        <f t="shared" si="60"/>
        <v>0</v>
      </c>
      <c r="BT66" s="229">
        <f t="shared" si="60"/>
        <v>0</v>
      </c>
      <c r="BU66" s="229">
        <f t="shared" si="60"/>
        <v>0</v>
      </c>
      <c r="BV66" s="229">
        <f t="shared" si="60"/>
        <v>0</v>
      </c>
      <c r="BW66" s="229">
        <f t="shared" si="60"/>
        <v>0</v>
      </c>
      <c r="BX66" s="229">
        <f t="shared" si="60"/>
        <v>0</v>
      </c>
      <c r="BY66" s="229">
        <f t="shared" si="60"/>
        <v>0</v>
      </c>
      <c r="BZ66" s="229">
        <f t="shared" si="60"/>
        <v>0</v>
      </c>
      <c r="CA66" s="229">
        <f t="shared" si="60"/>
        <v>0</v>
      </c>
      <c r="CB66" s="229">
        <f t="shared" si="61"/>
        <v>0</v>
      </c>
      <c r="CC66" s="229">
        <f t="shared" si="61"/>
        <v>0</v>
      </c>
      <c r="CD66" s="229">
        <f t="shared" si="61"/>
        <v>0</v>
      </c>
      <c r="CE66" s="229">
        <f t="shared" si="61"/>
        <v>0</v>
      </c>
      <c r="CF66" s="229">
        <f t="shared" si="61"/>
        <v>0</v>
      </c>
      <c r="CG66" s="229">
        <f t="shared" si="61"/>
        <v>0</v>
      </c>
      <c r="CH66" s="229">
        <f t="shared" si="61"/>
        <v>0</v>
      </c>
      <c r="CI66" s="229">
        <f t="shared" si="61"/>
        <v>0</v>
      </c>
      <c r="CJ66" s="229">
        <f t="shared" si="61"/>
        <v>0</v>
      </c>
      <c r="CK66" s="229">
        <f t="shared" si="61"/>
        <v>0</v>
      </c>
      <c r="CL66" s="229">
        <f t="shared" si="61"/>
        <v>0</v>
      </c>
      <c r="CM66" s="229">
        <f t="shared" si="61"/>
        <v>0</v>
      </c>
      <c r="CN66" s="229">
        <f t="shared" si="61"/>
        <v>0</v>
      </c>
      <c r="CO66" s="229">
        <f t="shared" si="61"/>
        <v>0</v>
      </c>
      <c r="CP66" s="229">
        <f t="shared" si="61"/>
        <v>0</v>
      </c>
      <c r="CQ66" s="229">
        <f t="shared" si="61"/>
        <v>0</v>
      </c>
      <c r="CR66" s="229">
        <f t="shared" si="61"/>
        <v>0</v>
      </c>
      <c r="CS66" s="230"/>
      <c r="CT66" s="231"/>
      <c r="CU66" s="231"/>
      <c r="CV66" s="231"/>
      <c r="CW66" s="231"/>
      <c r="CY66" s="231"/>
      <c r="CZ66" s="231"/>
      <c r="DA66" s="231" t="e">
        <f ca="1">IF(SUM(DA$32:DA65)&gt;=DA$22,0,DA$22/(DA$13*4))</f>
        <v>#N/A</v>
      </c>
      <c r="DB66" s="231">
        <f>IF(SUM(DB$24:DB65)=DB$22,0,IF(AND($K66&gt;=DB$15,$K66&lt;(DB$16+1)),DB$22/(DB$16-DB$15+1),0))</f>
        <v>0</v>
      </c>
      <c r="DC66" s="231">
        <f t="shared" si="55"/>
        <v>0</v>
      </c>
      <c r="DD66" s="231">
        <f t="shared" si="55"/>
        <v>0</v>
      </c>
      <c r="DE66" s="231">
        <f t="shared" si="55"/>
        <v>0</v>
      </c>
      <c r="DF66" s="231">
        <f t="shared" si="55"/>
        <v>0</v>
      </c>
      <c r="DG66" s="231">
        <f t="shared" si="55"/>
        <v>0</v>
      </c>
      <c r="DH66" s="231">
        <f t="shared" si="55"/>
        <v>0</v>
      </c>
      <c r="DI66" s="231">
        <f t="shared" si="55"/>
        <v>0</v>
      </c>
      <c r="DJ66" s="231">
        <f t="shared" si="55"/>
        <v>0</v>
      </c>
      <c r="DK66" s="231">
        <f t="shared" si="55"/>
        <v>0</v>
      </c>
      <c r="DL66" s="231">
        <f t="shared" si="55"/>
        <v>0</v>
      </c>
      <c r="DM66" s="231">
        <f t="shared" si="55"/>
        <v>0</v>
      </c>
      <c r="DN66" s="231">
        <f t="shared" si="55"/>
        <v>0</v>
      </c>
      <c r="DO66" s="231">
        <f t="shared" si="55"/>
        <v>0</v>
      </c>
      <c r="DP66" s="231">
        <f>'Offshore CF'!DR66</f>
        <v>0</v>
      </c>
      <c r="DQ66" s="231">
        <f>'Offshore CF'!DS66</f>
        <v>0.29866666666666669</v>
      </c>
      <c r="DR66" s="231">
        <f ca="1">IF(SUM(DR$24:DR65)=DR$22,0,IF(AND($K66&gt;=DR$15,$K66&lt;(DR$16+1)),DR$22/(DR$16-DR$15+1),0))</f>
        <v>0</v>
      </c>
      <c r="DS66" s="231" t="e">
        <f ca="1">IF(SUM(DS$24:DS65)=DS$22,0,IF(AND($K66&gt;=DS$15,$K66&lt;(DS$16+1)),DS$22/(DS$16-DS$15+1),0))</f>
        <v>#REF!</v>
      </c>
      <c r="DT66" s="231" t="e">
        <f ca="1">IF(SUM(DT$24:DT65)=DT$22,0,IF(AND(K66&gt;=DT$15,K66&lt;(DT$16+1)),DT$22/(DT$16-DT$15+1),0))</f>
        <v>#REF!</v>
      </c>
      <c r="DU66" s="231" t="e">
        <f ca="1">IF(SUM(DU$24:DU65)=DU$22,0,IF(AND($K66&gt;=DU$15,$K66&lt;(DU$16+1)),DU$22/(DU$16-DU$15+1),0))</f>
        <v>#REF!</v>
      </c>
      <c r="DV66" s="231">
        <f ca="1">IF(SUM(DV$24:DV65)=DV$22,0,IF(AND($K66&gt;=DV$15,$K66&lt;(DV$16+1)),DV$22/(DV$16-DV$15+1),0))</f>
        <v>0</v>
      </c>
      <c r="DW66" s="231">
        <f ca="1">IF(SUM(DW$24:DW65)=DW$22,0,IF(AND($K66&gt;=DW$15,$K66&lt;(DW$16+1)),DW$22/(DW$16-DW$15+1),0))</f>
        <v>0</v>
      </c>
      <c r="DX66" s="231">
        <f ca="1">IF(SUM(DX$24:DX65)=DX$22,0,IF(AND($K66&gt;=DX$15,$K66&lt;(DX$16+1)),DX$22/(DX$16-DX$15+1),0))</f>
        <v>0</v>
      </c>
      <c r="DY66" s="231">
        <f ca="1">IF(SUM(DY$24:DY65)=DY$22,0,IF(AND($K66&gt;=DY$15,$K66&lt;(DY$16+1)),DY$22/(DY$16-DY$15+1),0))</f>
        <v>0</v>
      </c>
      <c r="EA66" s="749">
        <f t="shared" si="51"/>
        <v>43</v>
      </c>
      <c r="EB66" s="749" t="e">
        <f t="shared" ca="1" si="52"/>
        <v>#N/A</v>
      </c>
      <c r="EC66" s="750" t="e">
        <f t="shared" ca="1" si="53"/>
        <v>#N/A</v>
      </c>
      <c r="ED66" s="749" t="e">
        <f t="shared" ca="1" si="28"/>
        <v>#REF!</v>
      </c>
      <c r="EE66" s="749"/>
      <c r="EF66" s="749"/>
      <c r="EG66" s="749"/>
      <c r="EH66" s="749"/>
      <c r="EI66" s="714" t="e">
        <f t="shared" ca="1" si="19"/>
        <v>#N/A</v>
      </c>
      <c r="EJ66" s="231" t="e">
        <f ca="1">IF(SUM(EJ$24:EJ65)=EJ$22,0,IF(AND($K66&gt;=EJ$15,$K66&lt;(EJ$16+1)),EJ$22/(EJ$16-EJ$15+1),0))</f>
        <v>#REF!</v>
      </c>
      <c r="EK66" s="714" t="e">
        <f t="shared" ca="1" si="54"/>
        <v>#N/A</v>
      </c>
      <c r="EM66" s="60"/>
      <c r="EN66" s="60"/>
    </row>
    <row r="67" spans="1:151">
      <c r="A67" s="220"/>
      <c r="B67" s="236">
        <f t="shared" si="20"/>
        <v>44</v>
      </c>
      <c r="C67" s="221">
        <f t="shared" si="21"/>
        <v>44778.918100000068</v>
      </c>
      <c r="D67" s="746" t="e">
        <f t="shared" ca="1" si="22"/>
        <v>#DIV/0!</v>
      </c>
      <c r="E67" s="747" t="e">
        <f t="shared" ca="1" si="25"/>
        <v>#DIV/0!</v>
      </c>
      <c r="F67" s="748" t="e">
        <f ca="1">IF(F66=0,0,SUM($G$24:G67))</f>
        <v>#DIV/0!</v>
      </c>
      <c r="G67" s="225" t="e">
        <f t="shared" ca="1" si="48"/>
        <v>#DIV/0!</v>
      </c>
      <c r="H67" s="746">
        <f t="shared" ca="1" si="23"/>
        <v>0</v>
      </c>
      <c r="I67" s="60"/>
      <c r="J67" s="228"/>
      <c r="K67" s="228">
        <f t="shared" si="49"/>
        <v>44</v>
      </c>
      <c r="L67" s="221">
        <f t="shared" si="50"/>
        <v>44778.918100000068</v>
      </c>
      <c r="M67" s="229">
        <f t="shared" si="57"/>
        <v>0</v>
      </c>
      <c r="N67" s="229">
        <f t="shared" si="57"/>
        <v>0</v>
      </c>
      <c r="O67" s="229">
        <f t="shared" si="57"/>
        <v>0</v>
      </c>
      <c r="P67" s="229">
        <f t="shared" si="57"/>
        <v>0</v>
      </c>
      <c r="Q67" s="229">
        <f t="shared" si="57"/>
        <v>0</v>
      </c>
      <c r="R67" s="229">
        <f t="shared" si="56"/>
        <v>0</v>
      </c>
      <c r="S67" s="229">
        <f t="shared" si="56"/>
        <v>0</v>
      </c>
      <c r="T67" s="229">
        <f t="shared" si="56"/>
        <v>0</v>
      </c>
      <c r="U67" s="229">
        <f t="shared" si="57"/>
        <v>0</v>
      </c>
      <c r="V67" s="229">
        <f t="shared" si="57"/>
        <v>0</v>
      </c>
      <c r="W67" s="229">
        <f t="shared" si="57"/>
        <v>0</v>
      </c>
      <c r="X67" s="229">
        <f t="shared" si="57"/>
        <v>0</v>
      </c>
      <c r="Y67" s="229">
        <f t="shared" si="57"/>
        <v>0</v>
      </c>
      <c r="Z67" s="229">
        <f t="shared" si="57"/>
        <v>0</v>
      </c>
      <c r="AA67" s="229">
        <f t="shared" si="57"/>
        <v>0</v>
      </c>
      <c r="AB67" s="229">
        <f t="shared" si="57"/>
        <v>0</v>
      </c>
      <c r="AC67" s="229">
        <f t="shared" si="57"/>
        <v>0</v>
      </c>
      <c r="AD67" s="229">
        <f t="shared" si="57"/>
        <v>0</v>
      </c>
      <c r="AE67" s="229">
        <f t="shared" si="57"/>
        <v>0</v>
      </c>
      <c r="AF67" s="229">
        <f t="shared" si="57"/>
        <v>0</v>
      </c>
      <c r="AG67" s="229">
        <f t="shared" si="57"/>
        <v>0</v>
      </c>
      <c r="AH67" s="229">
        <f t="shared" si="57"/>
        <v>0</v>
      </c>
      <c r="AI67" s="229">
        <f t="shared" si="57"/>
        <v>0</v>
      </c>
      <c r="AJ67" s="229">
        <f t="shared" si="57"/>
        <v>0</v>
      </c>
      <c r="AK67" s="229">
        <f t="shared" si="57"/>
        <v>0</v>
      </c>
      <c r="AL67" s="229">
        <f t="shared" si="57"/>
        <v>0</v>
      </c>
      <c r="AM67" s="229">
        <f t="shared" si="57"/>
        <v>0</v>
      </c>
      <c r="AN67" s="229">
        <f t="shared" si="57"/>
        <v>0</v>
      </c>
      <c r="AO67" s="229">
        <f t="shared" si="57"/>
        <v>0</v>
      </c>
      <c r="AP67" s="229">
        <f t="shared" si="57"/>
        <v>0</v>
      </c>
      <c r="AQ67" s="229">
        <f t="shared" si="57"/>
        <v>0</v>
      </c>
      <c r="AR67" s="229">
        <f t="shared" si="58"/>
        <v>0</v>
      </c>
      <c r="AS67" s="229">
        <f t="shared" si="58"/>
        <v>0</v>
      </c>
      <c r="AT67" s="229">
        <f t="shared" si="58"/>
        <v>0</v>
      </c>
      <c r="AU67" s="229">
        <f t="shared" si="58"/>
        <v>0</v>
      </c>
      <c r="AV67" s="229">
        <f t="shared" si="58"/>
        <v>0</v>
      </c>
      <c r="AW67" s="229">
        <f t="shared" si="58"/>
        <v>0</v>
      </c>
      <c r="AX67" s="229">
        <f t="shared" si="58"/>
        <v>0</v>
      </c>
      <c r="AY67" s="229">
        <f t="shared" si="58"/>
        <v>0</v>
      </c>
      <c r="AZ67" s="229">
        <f t="shared" si="58"/>
        <v>0</v>
      </c>
      <c r="BA67" s="229">
        <f t="shared" si="58"/>
        <v>0</v>
      </c>
      <c r="BB67" s="229">
        <f t="shared" si="58"/>
        <v>0</v>
      </c>
      <c r="BC67" s="229">
        <f t="shared" si="59"/>
        <v>0</v>
      </c>
      <c r="BD67" s="229">
        <f t="shared" si="59"/>
        <v>0</v>
      </c>
      <c r="BE67" s="229">
        <f t="shared" si="59"/>
        <v>0</v>
      </c>
      <c r="BF67" s="229">
        <f t="shared" si="59"/>
        <v>0</v>
      </c>
      <c r="BG67" s="229">
        <f t="shared" si="59"/>
        <v>0</v>
      </c>
      <c r="BH67" s="229">
        <f t="shared" si="59"/>
        <v>0</v>
      </c>
      <c r="BI67" s="229">
        <f t="shared" si="59"/>
        <v>0</v>
      </c>
      <c r="BJ67" s="229">
        <f t="shared" si="59"/>
        <v>0</v>
      </c>
      <c r="BK67" s="229">
        <f t="shared" si="59"/>
        <v>0</v>
      </c>
      <c r="BL67" s="229">
        <f t="shared" si="59"/>
        <v>0</v>
      </c>
      <c r="BM67" s="229">
        <f t="shared" si="60"/>
        <v>0</v>
      </c>
      <c r="BN67" s="229">
        <f t="shared" si="60"/>
        <v>0</v>
      </c>
      <c r="BO67" s="229">
        <f t="shared" si="60"/>
        <v>0</v>
      </c>
      <c r="BP67" s="229">
        <f t="shared" si="60"/>
        <v>0</v>
      </c>
      <c r="BQ67" s="229">
        <f t="shared" si="60"/>
        <v>0</v>
      </c>
      <c r="BR67" s="229">
        <f t="shared" si="60"/>
        <v>0</v>
      </c>
      <c r="BS67" s="229">
        <f t="shared" si="60"/>
        <v>0</v>
      </c>
      <c r="BT67" s="229">
        <f t="shared" si="60"/>
        <v>0</v>
      </c>
      <c r="BU67" s="229">
        <f t="shared" si="60"/>
        <v>0</v>
      </c>
      <c r="BV67" s="229">
        <f t="shared" si="60"/>
        <v>0</v>
      </c>
      <c r="BW67" s="229">
        <f t="shared" si="60"/>
        <v>0</v>
      </c>
      <c r="BX67" s="229">
        <f t="shared" si="60"/>
        <v>0</v>
      </c>
      <c r="BY67" s="229">
        <f t="shared" si="60"/>
        <v>0</v>
      </c>
      <c r="BZ67" s="229">
        <f t="shared" si="60"/>
        <v>0</v>
      </c>
      <c r="CA67" s="229">
        <f t="shared" si="60"/>
        <v>0</v>
      </c>
      <c r="CB67" s="229">
        <f t="shared" si="61"/>
        <v>0</v>
      </c>
      <c r="CC67" s="229">
        <f t="shared" si="61"/>
        <v>0</v>
      </c>
      <c r="CD67" s="229">
        <f t="shared" si="61"/>
        <v>0</v>
      </c>
      <c r="CE67" s="229">
        <f t="shared" si="61"/>
        <v>0</v>
      </c>
      <c r="CF67" s="229">
        <f t="shared" si="61"/>
        <v>0</v>
      </c>
      <c r="CG67" s="229">
        <f t="shared" si="61"/>
        <v>0</v>
      </c>
      <c r="CH67" s="229">
        <f t="shared" si="61"/>
        <v>0</v>
      </c>
      <c r="CI67" s="229">
        <f t="shared" si="61"/>
        <v>0</v>
      </c>
      <c r="CJ67" s="229">
        <f t="shared" si="61"/>
        <v>0</v>
      </c>
      <c r="CK67" s="229">
        <f t="shared" si="61"/>
        <v>0</v>
      </c>
      <c r="CL67" s="229">
        <f t="shared" si="61"/>
        <v>0</v>
      </c>
      <c r="CM67" s="229">
        <f t="shared" si="61"/>
        <v>0</v>
      </c>
      <c r="CN67" s="229">
        <f t="shared" si="61"/>
        <v>0</v>
      </c>
      <c r="CO67" s="229">
        <f t="shared" si="61"/>
        <v>0</v>
      </c>
      <c r="CP67" s="229">
        <f t="shared" si="61"/>
        <v>0</v>
      </c>
      <c r="CQ67" s="229">
        <f t="shared" si="61"/>
        <v>0</v>
      </c>
      <c r="CR67" s="229">
        <f t="shared" si="61"/>
        <v>0</v>
      </c>
      <c r="CS67" s="230"/>
      <c r="CT67" s="231"/>
      <c r="CU67" s="231"/>
      <c r="CV67" s="231"/>
      <c r="CW67" s="231"/>
      <c r="CY67" s="231"/>
      <c r="CZ67" s="231"/>
      <c r="DA67" s="231"/>
      <c r="DB67" s="231">
        <f>IF(SUM(DB$24:DB66)=DB$22,0,IF(AND($K67&gt;=DB$15,$K67&lt;(DB$16+1)),DB$22/(DB$16-DB$15+1),0))</f>
        <v>0</v>
      </c>
      <c r="DC67" s="231">
        <f t="shared" si="55"/>
        <v>0</v>
      </c>
      <c r="DD67" s="231">
        <f t="shared" si="55"/>
        <v>0</v>
      </c>
      <c r="DE67" s="231">
        <f t="shared" si="55"/>
        <v>0</v>
      </c>
      <c r="DF67" s="231">
        <f t="shared" si="55"/>
        <v>0</v>
      </c>
      <c r="DG67" s="231">
        <f t="shared" si="55"/>
        <v>0</v>
      </c>
      <c r="DH67" s="231">
        <f t="shared" si="55"/>
        <v>0</v>
      </c>
      <c r="DI67" s="231">
        <f t="shared" si="55"/>
        <v>0</v>
      </c>
      <c r="DJ67" s="231">
        <f t="shared" si="55"/>
        <v>0</v>
      </c>
      <c r="DK67" s="231">
        <f t="shared" si="55"/>
        <v>0</v>
      </c>
      <c r="DL67" s="231">
        <f t="shared" si="55"/>
        <v>0</v>
      </c>
      <c r="DM67" s="231">
        <f t="shared" si="55"/>
        <v>0</v>
      </c>
      <c r="DN67" s="231">
        <f t="shared" si="55"/>
        <v>0</v>
      </c>
      <c r="DO67" s="231">
        <f t="shared" si="55"/>
        <v>0</v>
      </c>
      <c r="DP67" s="231">
        <f>'Offshore CF'!DR67</f>
        <v>0</v>
      </c>
      <c r="DQ67" s="231">
        <f>'Offshore CF'!DS67</f>
        <v>0.29866666666666669</v>
      </c>
      <c r="DR67" s="231">
        <f ca="1">IF(SUM(DR$24:DR66)=DR$22,0,IF(AND($K67&gt;=DR$15,$K67&lt;(DR$16+1)),DR$22/(DR$16-DR$15+1),0))</f>
        <v>0</v>
      </c>
      <c r="DS67" s="231" t="e">
        <f ca="1">IF(SUM(DS$24:DS66)=DS$22,0,IF(AND($K67&gt;=DS$15,$K67&lt;(DS$16+1)),DS$22/(DS$16-DS$15+1),0))</f>
        <v>#REF!</v>
      </c>
      <c r="DT67" s="231" t="e">
        <f ca="1">IF(SUM(DT$24:DT66)=DT$22,0,IF(AND(K67&gt;=DT$15,K67&lt;(DT$16+1)),DT$22/(DT$16-DT$15+1),0))</f>
        <v>#REF!</v>
      </c>
      <c r="DU67" s="231" t="e">
        <f ca="1">IF(SUM(DU$24:DU66)=DU$22,0,IF(AND($K67&gt;=DU$15,$K67&lt;(DU$16+1)),DU$22/(DU$16-DU$15+1),0))</f>
        <v>#REF!</v>
      </c>
      <c r="DV67" s="231">
        <f ca="1">IF(SUM(DV$24:DV66)=DV$22,0,IF(AND($K67&gt;=DV$15,$K67&lt;(DV$16+1)),DV$22/(DV$16-DV$15+1),0))</f>
        <v>0</v>
      </c>
      <c r="DW67" s="231">
        <f ca="1">IF(SUM(DW$24:DW66)=DW$22,0,IF(AND($K67&gt;=DW$15,$K67&lt;(DW$16+1)),DW$22/(DW$16-DW$15+1),0))</f>
        <v>0</v>
      </c>
      <c r="DX67" s="231">
        <f ca="1">IF(SUM(DX$24:DX66)=DX$22,0,IF(AND($K67&gt;=DX$15,$K67&lt;(DX$16+1)),DX$22/(DX$16-DX$15+1),0))</f>
        <v>0</v>
      </c>
      <c r="DY67" s="231">
        <f ca="1">IF(SUM(DY$24:DY66)=DY$22,0,IF(AND($K67&gt;=DY$15,$K67&lt;(DY$16+1)),DY$22/(DY$16-DY$15+1),0))</f>
        <v>0</v>
      </c>
      <c r="EA67" s="749">
        <f t="shared" si="51"/>
        <v>44</v>
      </c>
      <c r="EB67" s="749" t="e">
        <f t="shared" ca="1" si="52"/>
        <v>#REF!</v>
      </c>
      <c r="EC67" s="750" t="e">
        <f t="shared" ca="1" si="53"/>
        <v>#REF!</v>
      </c>
      <c r="ED67" s="749" t="e">
        <f t="shared" ca="1" si="28"/>
        <v>#REF!</v>
      </c>
      <c r="EE67" s="749"/>
      <c r="EF67" s="749"/>
      <c r="EG67" s="749"/>
      <c r="EH67" s="749"/>
      <c r="EI67" s="714" t="e">
        <f t="shared" ca="1" si="19"/>
        <v>#REF!</v>
      </c>
      <c r="EJ67" s="231" t="e">
        <f ca="1">IF(SUM(EJ$24:EJ66)=EJ$22,0,IF(AND($K67&gt;=EJ$15,$K67&lt;(EJ$16+1)),EJ$22/(EJ$16-EJ$15+1),0))</f>
        <v>#REF!</v>
      </c>
      <c r="EK67" s="714" t="e">
        <f t="shared" ca="1" si="54"/>
        <v>#REF!</v>
      </c>
      <c r="EM67" s="60"/>
      <c r="EN67" s="60"/>
    </row>
    <row r="68" spans="1:151">
      <c r="A68" s="220"/>
      <c r="B68" s="236">
        <f t="shared" si="20"/>
        <v>45</v>
      </c>
      <c r="C68" s="221">
        <f t="shared" si="21"/>
        <v>44809.33480000007</v>
      </c>
      <c r="D68" s="746" t="e">
        <f t="shared" ca="1" si="22"/>
        <v>#DIV/0!</v>
      </c>
      <c r="E68" s="747" t="e">
        <f t="shared" ca="1" si="25"/>
        <v>#DIV/0!</v>
      </c>
      <c r="F68" s="748" t="e">
        <f ca="1">IF(F67=0,0,SUM($G$24:G68))</f>
        <v>#DIV/0!</v>
      </c>
      <c r="G68" s="225" t="e">
        <f t="shared" ca="1" si="48"/>
        <v>#DIV/0!</v>
      </c>
      <c r="H68" s="746">
        <f t="shared" ca="1" si="23"/>
        <v>0</v>
      </c>
      <c r="I68" s="60"/>
      <c r="J68" s="228"/>
      <c r="K68" s="228">
        <f t="shared" si="49"/>
        <v>45</v>
      </c>
      <c r="L68" s="221">
        <f t="shared" si="50"/>
        <v>44809.33480000007</v>
      </c>
      <c r="M68" s="229">
        <f t="shared" si="57"/>
        <v>0</v>
      </c>
      <c r="N68" s="229">
        <f t="shared" si="57"/>
        <v>0</v>
      </c>
      <c r="O68" s="229">
        <f t="shared" si="57"/>
        <v>0</v>
      </c>
      <c r="P68" s="229">
        <f t="shared" si="57"/>
        <v>0</v>
      </c>
      <c r="Q68" s="229">
        <f t="shared" si="57"/>
        <v>0</v>
      </c>
      <c r="R68" s="229">
        <f t="shared" si="56"/>
        <v>0</v>
      </c>
      <c r="S68" s="229">
        <f t="shared" si="56"/>
        <v>0</v>
      </c>
      <c r="T68" s="229">
        <f t="shared" si="56"/>
        <v>0</v>
      </c>
      <c r="U68" s="229">
        <f t="shared" si="57"/>
        <v>0</v>
      </c>
      <c r="V68" s="229">
        <f t="shared" si="57"/>
        <v>0</v>
      </c>
      <c r="W68" s="229">
        <f t="shared" si="57"/>
        <v>0</v>
      </c>
      <c r="X68" s="229">
        <f t="shared" si="57"/>
        <v>0</v>
      </c>
      <c r="Y68" s="229">
        <f t="shared" si="57"/>
        <v>0</v>
      </c>
      <c r="Z68" s="229">
        <f t="shared" si="57"/>
        <v>0</v>
      </c>
      <c r="AA68" s="229">
        <f t="shared" si="57"/>
        <v>0</v>
      </c>
      <c r="AB68" s="229">
        <f t="shared" si="57"/>
        <v>0</v>
      </c>
      <c r="AC68" s="229">
        <f t="shared" si="57"/>
        <v>0</v>
      </c>
      <c r="AD68" s="229">
        <f t="shared" si="57"/>
        <v>0</v>
      </c>
      <c r="AE68" s="229">
        <f t="shared" si="57"/>
        <v>0</v>
      </c>
      <c r="AF68" s="229">
        <f t="shared" si="57"/>
        <v>0</v>
      </c>
      <c r="AG68" s="229">
        <f t="shared" si="57"/>
        <v>0</v>
      </c>
      <c r="AH68" s="229">
        <f t="shared" si="57"/>
        <v>0</v>
      </c>
      <c r="AI68" s="229">
        <f t="shared" si="57"/>
        <v>0</v>
      </c>
      <c r="AJ68" s="229">
        <f t="shared" si="57"/>
        <v>0</v>
      </c>
      <c r="AK68" s="229">
        <f t="shared" si="57"/>
        <v>0</v>
      </c>
      <c r="AL68" s="229">
        <f t="shared" si="57"/>
        <v>0</v>
      </c>
      <c r="AM68" s="229">
        <f t="shared" si="57"/>
        <v>0</v>
      </c>
      <c r="AN68" s="229">
        <f t="shared" si="57"/>
        <v>0</v>
      </c>
      <c r="AO68" s="229">
        <f t="shared" si="57"/>
        <v>0</v>
      </c>
      <c r="AP68" s="229">
        <f t="shared" si="57"/>
        <v>0</v>
      </c>
      <c r="AQ68" s="229">
        <f t="shared" si="57"/>
        <v>0</v>
      </c>
      <c r="AR68" s="229">
        <f t="shared" si="58"/>
        <v>0</v>
      </c>
      <c r="AS68" s="229">
        <f t="shared" si="58"/>
        <v>0</v>
      </c>
      <c r="AT68" s="229">
        <f t="shared" si="58"/>
        <v>0</v>
      </c>
      <c r="AU68" s="229">
        <f t="shared" si="58"/>
        <v>0</v>
      </c>
      <c r="AV68" s="229">
        <f t="shared" si="58"/>
        <v>0</v>
      </c>
      <c r="AW68" s="229">
        <f t="shared" si="58"/>
        <v>0</v>
      </c>
      <c r="AX68" s="229">
        <f t="shared" si="58"/>
        <v>0</v>
      </c>
      <c r="AY68" s="229">
        <f t="shared" si="58"/>
        <v>0</v>
      </c>
      <c r="AZ68" s="229">
        <f t="shared" si="58"/>
        <v>0</v>
      </c>
      <c r="BA68" s="229">
        <f t="shared" si="58"/>
        <v>0</v>
      </c>
      <c r="BB68" s="229">
        <f t="shared" si="58"/>
        <v>0</v>
      </c>
      <c r="BC68" s="229">
        <f t="shared" si="59"/>
        <v>0</v>
      </c>
      <c r="BD68" s="229">
        <f t="shared" si="59"/>
        <v>0</v>
      </c>
      <c r="BE68" s="229">
        <f t="shared" si="59"/>
        <v>0</v>
      </c>
      <c r="BF68" s="229">
        <f t="shared" si="59"/>
        <v>0</v>
      </c>
      <c r="BG68" s="229">
        <f t="shared" si="59"/>
        <v>0</v>
      </c>
      <c r="BH68" s="229">
        <f t="shared" si="59"/>
        <v>0</v>
      </c>
      <c r="BI68" s="229">
        <f t="shared" si="59"/>
        <v>0</v>
      </c>
      <c r="BJ68" s="229">
        <f t="shared" si="59"/>
        <v>0</v>
      </c>
      <c r="BK68" s="229">
        <f t="shared" si="59"/>
        <v>0</v>
      </c>
      <c r="BL68" s="229">
        <f t="shared" si="59"/>
        <v>0</v>
      </c>
      <c r="BM68" s="229">
        <f t="shared" si="60"/>
        <v>0</v>
      </c>
      <c r="BN68" s="229">
        <f t="shared" si="60"/>
        <v>0</v>
      </c>
      <c r="BO68" s="229">
        <f t="shared" si="60"/>
        <v>0</v>
      </c>
      <c r="BP68" s="229">
        <f t="shared" si="60"/>
        <v>0</v>
      </c>
      <c r="BQ68" s="229">
        <f t="shared" si="60"/>
        <v>0</v>
      </c>
      <c r="BR68" s="229">
        <f t="shared" si="60"/>
        <v>0</v>
      </c>
      <c r="BS68" s="229">
        <f t="shared" si="60"/>
        <v>0</v>
      </c>
      <c r="BT68" s="229">
        <f t="shared" si="60"/>
        <v>0</v>
      </c>
      <c r="BU68" s="229">
        <f t="shared" si="60"/>
        <v>0</v>
      </c>
      <c r="BV68" s="229">
        <f t="shared" si="60"/>
        <v>0</v>
      </c>
      <c r="BW68" s="229">
        <f t="shared" si="60"/>
        <v>0</v>
      </c>
      <c r="BX68" s="229">
        <f t="shared" si="60"/>
        <v>0</v>
      </c>
      <c r="BY68" s="229">
        <f t="shared" si="60"/>
        <v>0</v>
      </c>
      <c r="BZ68" s="229">
        <f t="shared" si="60"/>
        <v>0</v>
      </c>
      <c r="CA68" s="229">
        <f t="shared" si="60"/>
        <v>0</v>
      </c>
      <c r="CB68" s="229">
        <f t="shared" si="61"/>
        <v>0</v>
      </c>
      <c r="CC68" s="229">
        <f t="shared" si="61"/>
        <v>0</v>
      </c>
      <c r="CD68" s="229">
        <f t="shared" si="61"/>
        <v>0</v>
      </c>
      <c r="CE68" s="229">
        <f t="shared" si="61"/>
        <v>0</v>
      </c>
      <c r="CF68" s="229">
        <f t="shared" si="61"/>
        <v>0</v>
      </c>
      <c r="CG68" s="229">
        <f t="shared" si="61"/>
        <v>0</v>
      </c>
      <c r="CH68" s="229">
        <f t="shared" si="61"/>
        <v>0</v>
      </c>
      <c r="CI68" s="229">
        <f t="shared" si="61"/>
        <v>0</v>
      </c>
      <c r="CJ68" s="229">
        <f t="shared" si="61"/>
        <v>0</v>
      </c>
      <c r="CK68" s="229">
        <f t="shared" si="61"/>
        <v>0</v>
      </c>
      <c r="CL68" s="229">
        <f t="shared" si="61"/>
        <v>0</v>
      </c>
      <c r="CM68" s="229">
        <f t="shared" si="61"/>
        <v>0</v>
      </c>
      <c r="CN68" s="229">
        <f t="shared" si="61"/>
        <v>0</v>
      </c>
      <c r="CO68" s="229">
        <f t="shared" si="61"/>
        <v>0</v>
      </c>
      <c r="CP68" s="229">
        <f t="shared" si="61"/>
        <v>0</v>
      </c>
      <c r="CQ68" s="229">
        <f t="shared" si="61"/>
        <v>0</v>
      </c>
      <c r="CR68" s="229">
        <f t="shared" si="61"/>
        <v>0</v>
      </c>
      <c r="CS68" s="230"/>
      <c r="CT68" s="231"/>
      <c r="CU68" s="231"/>
      <c r="CV68" s="231"/>
      <c r="CW68" s="231"/>
      <c r="CX68" s="231" t="e">
        <f ca="1">$CX$22/24</f>
        <v>#N/A</v>
      </c>
      <c r="CY68" s="231"/>
      <c r="CZ68" s="231"/>
      <c r="DA68" s="231"/>
      <c r="DB68" s="231">
        <f>IF(SUM(DB$24:DB67)=DB$22,0,IF(AND($K68&gt;=DB$15,$K68&lt;(DB$16+1)),DB$22/(DB$16-DB$15+1),0))</f>
        <v>0</v>
      </c>
      <c r="DC68" s="231">
        <f t="shared" si="55"/>
        <v>0</v>
      </c>
      <c r="DD68" s="231">
        <f t="shared" si="55"/>
        <v>0</v>
      </c>
      <c r="DE68" s="231">
        <f t="shared" si="55"/>
        <v>0</v>
      </c>
      <c r="DF68" s="231">
        <f t="shared" si="55"/>
        <v>0</v>
      </c>
      <c r="DG68" s="231">
        <f t="shared" si="55"/>
        <v>0</v>
      </c>
      <c r="DH68" s="231">
        <f t="shared" si="55"/>
        <v>0</v>
      </c>
      <c r="DI68" s="231">
        <f t="shared" si="55"/>
        <v>0</v>
      </c>
      <c r="DJ68" s="231">
        <f t="shared" si="55"/>
        <v>0</v>
      </c>
      <c r="DK68" s="231">
        <f t="shared" si="55"/>
        <v>0</v>
      </c>
      <c r="DL68" s="231">
        <f t="shared" si="55"/>
        <v>0</v>
      </c>
      <c r="DM68" s="231">
        <f t="shared" si="55"/>
        <v>0</v>
      </c>
      <c r="DN68" s="231">
        <f t="shared" si="55"/>
        <v>0</v>
      </c>
      <c r="DO68" s="231">
        <f t="shared" si="55"/>
        <v>0</v>
      </c>
      <c r="DP68" s="231">
        <f>'Offshore CF'!DR68</f>
        <v>0</v>
      </c>
      <c r="DQ68" s="231">
        <f>'Offshore CF'!DS68</f>
        <v>0.29866666666666669</v>
      </c>
      <c r="DR68" s="231">
        <f ca="1">IF(SUM(DR$24:DR67)=DR$22,0,IF(AND($K68&gt;=DR$15,$K68&lt;(DR$16+1)),DR$22/(DR$16-DR$15+1),0))</f>
        <v>0</v>
      </c>
      <c r="DS68" s="231" t="e">
        <f ca="1">IF(SUM(DS$24:DS67)=DS$22,0,IF(AND($K68&gt;=DS$15,$K68&lt;(DS$16+1)),DS$22/(DS$16-DS$15+1),0))</f>
        <v>#REF!</v>
      </c>
      <c r="DT68" s="231" t="e">
        <f ca="1">IF(SUM(DT$24:DT67)=DT$22,0,IF(AND(K68&gt;=DT$15,K68&lt;(DT$16+1)),DT$22/(DT$16-DT$15+1),0))</f>
        <v>#REF!</v>
      </c>
      <c r="DU68" s="231" t="e">
        <f ca="1">IF(SUM(DU$24:DU67)=DU$22,0,IF(AND($K68&gt;=DU$15,$K68&lt;(DU$16+1)),DU$22/(DU$16-DU$15+1),0))</f>
        <v>#REF!</v>
      </c>
      <c r="DV68" s="231">
        <f ca="1">IF(SUM(DV$24:DV67)=DV$22,0,IF(AND($K68&gt;=DV$15,$K68&lt;(DV$16+1)),DV$22/(DV$16-DV$15+1),0))</f>
        <v>0</v>
      </c>
      <c r="DW68" s="231">
        <f ca="1">IF(SUM(DW$24:DW67)=DW$22,0,IF(AND($K68&gt;=DW$15,$K68&lt;(DW$16+1)),DW$22/(DW$16-DW$15+1),0))</f>
        <v>0</v>
      </c>
      <c r="DX68" s="231">
        <f ca="1">IF(SUM(DX$24:DX67)=DX$22,0,IF(AND($K68&gt;=DX$15,$K68&lt;(DX$16+1)),DX$22/(DX$16-DX$15+1),0))</f>
        <v>0</v>
      </c>
      <c r="DY68" s="231">
        <f ca="1">IF(SUM(DY$24:DY67)=DY$22,0,IF(AND($K68&gt;=DY$15,$K68&lt;(DY$16+1)),DY$22/(DY$16-DY$15+1),0))</f>
        <v>0</v>
      </c>
      <c r="EA68" s="749">
        <f t="shared" si="51"/>
        <v>45</v>
      </c>
      <c r="EB68" s="749" t="e">
        <f t="shared" ca="1" si="52"/>
        <v>#N/A</v>
      </c>
      <c r="EC68" s="750" t="e">
        <f t="shared" ca="1" si="53"/>
        <v>#N/A</v>
      </c>
      <c r="ED68" s="749" t="e">
        <f t="shared" ca="1" si="28"/>
        <v>#N/A</v>
      </c>
      <c r="EE68" s="749"/>
      <c r="EF68" s="749"/>
      <c r="EG68" s="749"/>
      <c r="EH68" s="749"/>
      <c r="EI68" s="714" t="e">
        <f t="shared" ca="1" si="19"/>
        <v>#N/A</v>
      </c>
      <c r="EJ68" s="231" t="e">
        <f ca="1">IF(SUM(EJ$24:EJ67)=EJ$22,0,IF(AND($K68&gt;=EJ$15,$K68&lt;(EJ$16+1)),EJ$22/(EJ$16-EJ$15+1),0))</f>
        <v>#REF!</v>
      </c>
      <c r="EK68" s="714" t="e">
        <f t="shared" ca="1" si="54"/>
        <v>#N/A</v>
      </c>
      <c r="EM68" s="60"/>
      <c r="EN68" s="60"/>
    </row>
    <row r="69" spans="1:151">
      <c r="A69" s="220"/>
      <c r="B69" s="236">
        <f t="shared" si="20"/>
        <v>46</v>
      </c>
      <c r="C69" s="221">
        <f t="shared" si="21"/>
        <v>44839.751500000071</v>
      </c>
      <c r="D69" s="746" t="e">
        <f t="shared" ca="1" si="22"/>
        <v>#DIV/0!</v>
      </c>
      <c r="E69" s="747" t="e">
        <f t="shared" ca="1" si="25"/>
        <v>#DIV/0!</v>
      </c>
      <c r="F69" s="748" t="e">
        <f ca="1">IF(F68=0,0,SUM($G$24:G69))</f>
        <v>#DIV/0!</v>
      </c>
      <c r="G69" s="225" t="e">
        <f t="shared" ca="1" si="48"/>
        <v>#DIV/0!</v>
      </c>
      <c r="H69" s="746">
        <f t="shared" ca="1" si="23"/>
        <v>0</v>
      </c>
      <c r="I69" s="60"/>
      <c r="J69" s="228"/>
      <c r="K69" s="228">
        <f t="shared" si="49"/>
        <v>46</v>
      </c>
      <c r="L69" s="221">
        <f t="shared" si="50"/>
        <v>44839.751500000071</v>
      </c>
      <c r="M69" s="229">
        <f t="shared" si="57"/>
        <v>0</v>
      </c>
      <c r="N69" s="229">
        <f t="shared" si="57"/>
        <v>0</v>
      </c>
      <c r="O69" s="229">
        <f t="shared" si="57"/>
        <v>0</v>
      </c>
      <c r="P69" s="229">
        <f t="shared" si="57"/>
        <v>0</v>
      </c>
      <c r="Q69" s="229">
        <f t="shared" si="57"/>
        <v>0</v>
      </c>
      <c r="R69" s="229">
        <f t="shared" si="56"/>
        <v>0</v>
      </c>
      <c r="S69" s="229">
        <f t="shared" si="56"/>
        <v>0</v>
      </c>
      <c r="T69" s="229">
        <f t="shared" si="56"/>
        <v>0</v>
      </c>
      <c r="U69" s="229">
        <f t="shared" si="57"/>
        <v>0</v>
      </c>
      <c r="V69" s="229">
        <f t="shared" si="57"/>
        <v>0</v>
      </c>
      <c r="W69" s="229">
        <f t="shared" si="57"/>
        <v>0</v>
      </c>
      <c r="X69" s="229">
        <f t="shared" si="57"/>
        <v>0</v>
      </c>
      <c r="Y69" s="229">
        <f t="shared" si="57"/>
        <v>0</v>
      </c>
      <c r="Z69" s="229">
        <f t="shared" si="57"/>
        <v>0</v>
      </c>
      <c r="AA69" s="229">
        <f t="shared" si="57"/>
        <v>0</v>
      </c>
      <c r="AB69" s="229">
        <f t="shared" si="57"/>
        <v>0</v>
      </c>
      <c r="AC69" s="229">
        <f t="shared" si="57"/>
        <v>0</v>
      </c>
      <c r="AD69" s="229">
        <f t="shared" si="57"/>
        <v>0</v>
      </c>
      <c r="AE69" s="229">
        <f t="shared" si="57"/>
        <v>0</v>
      </c>
      <c r="AF69" s="229">
        <f t="shared" si="57"/>
        <v>0</v>
      </c>
      <c r="AG69" s="229">
        <f t="shared" si="57"/>
        <v>0</v>
      </c>
      <c r="AH69" s="229">
        <f t="shared" si="57"/>
        <v>0</v>
      </c>
      <c r="AI69" s="229">
        <f t="shared" si="57"/>
        <v>0</v>
      </c>
      <c r="AJ69" s="229">
        <f t="shared" si="57"/>
        <v>0</v>
      </c>
      <c r="AK69" s="229">
        <f t="shared" si="57"/>
        <v>0</v>
      </c>
      <c r="AL69" s="229">
        <f t="shared" si="57"/>
        <v>0</v>
      </c>
      <c r="AM69" s="229">
        <f t="shared" si="57"/>
        <v>0</v>
      </c>
      <c r="AN69" s="229">
        <f t="shared" si="57"/>
        <v>0</v>
      </c>
      <c r="AO69" s="229">
        <f t="shared" si="57"/>
        <v>0</v>
      </c>
      <c r="AP69" s="229">
        <f t="shared" si="57"/>
        <v>0</v>
      </c>
      <c r="AQ69" s="229">
        <f t="shared" si="57"/>
        <v>0</v>
      </c>
      <c r="AR69" s="229">
        <f t="shared" si="58"/>
        <v>0</v>
      </c>
      <c r="AS69" s="229">
        <f t="shared" si="58"/>
        <v>0</v>
      </c>
      <c r="AT69" s="229">
        <f t="shared" si="58"/>
        <v>0</v>
      </c>
      <c r="AU69" s="229">
        <f t="shared" si="58"/>
        <v>0</v>
      </c>
      <c r="AV69" s="229">
        <f t="shared" si="58"/>
        <v>0</v>
      </c>
      <c r="AW69" s="229">
        <f t="shared" si="58"/>
        <v>0</v>
      </c>
      <c r="AX69" s="229">
        <f t="shared" si="58"/>
        <v>0</v>
      </c>
      <c r="AY69" s="229">
        <f t="shared" si="58"/>
        <v>0</v>
      </c>
      <c r="AZ69" s="229">
        <f t="shared" si="58"/>
        <v>0</v>
      </c>
      <c r="BA69" s="229">
        <f t="shared" si="58"/>
        <v>0</v>
      </c>
      <c r="BB69" s="229">
        <f t="shared" si="58"/>
        <v>0</v>
      </c>
      <c r="BC69" s="229">
        <f t="shared" si="59"/>
        <v>0</v>
      </c>
      <c r="BD69" s="229">
        <f t="shared" si="59"/>
        <v>0</v>
      </c>
      <c r="BE69" s="229">
        <f t="shared" si="59"/>
        <v>0</v>
      </c>
      <c r="BF69" s="229">
        <f t="shared" si="59"/>
        <v>0</v>
      </c>
      <c r="BG69" s="229">
        <f t="shared" si="59"/>
        <v>0</v>
      </c>
      <c r="BH69" s="229">
        <f t="shared" si="59"/>
        <v>0</v>
      </c>
      <c r="BI69" s="229">
        <f t="shared" si="59"/>
        <v>0</v>
      </c>
      <c r="BJ69" s="229">
        <f t="shared" si="59"/>
        <v>0</v>
      </c>
      <c r="BK69" s="229">
        <f t="shared" si="59"/>
        <v>0</v>
      </c>
      <c r="BL69" s="229">
        <f t="shared" si="59"/>
        <v>0</v>
      </c>
      <c r="BM69" s="229">
        <f t="shared" si="60"/>
        <v>0</v>
      </c>
      <c r="BN69" s="229">
        <f t="shared" si="60"/>
        <v>0</v>
      </c>
      <c r="BO69" s="229">
        <f t="shared" si="60"/>
        <v>0</v>
      </c>
      <c r="BP69" s="229">
        <f t="shared" si="60"/>
        <v>0</v>
      </c>
      <c r="BQ69" s="229">
        <f t="shared" si="60"/>
        <v>0</v>
      </c>
      <c r="BR69" s="229">
        <f t="shared" si="60"/>
        <v>0</v>
      </c>
      <c r="BS69" s="229">
        <f t="shared" si="60"/>
        <v>0</v>
      </c>
      <c r="BT69" s="229">
        <f t="shared" si="60"/>
        <v>0</v>
      </c>
      <c r="BU69" s="229">
        <f t="shared" si="60"/>
        <v>0</v>
      </c>
      <c r="BV69" s="229">
        <f t="shared" si="60"/>
        <v>0</v>
      </c>
      <c r="BW69" s="229">
        <f t="shared" si="60"/>
        <v>0</v>
      </c>
      <c r="BX69" s="229">
        <f t="shared" si="60"/>
        <v>0</v>
      </c>
      <c r="BY69" s="229">
        <f t="shared" si="60"/>
        <v>0</v>
      </c>
      <c r="BZ69" s="229">
        <f t="shared" si="60"/>
        <v>0</v>
      </c>
      <c r="CA69" s="229">
        <f t="shared" si="60"/>
        <v>0</v>
      </c>
      <c r="CB69" s="229">
        <f t="shared" si="61"/>
        <v>0</v>
      </c>
      <c r="CC69" s="229">
        <f t="shared" si="61"/>
        <v>0</v>
      </c>
      <c r="CD69" s="229">
        <f t="shared" si="61"/>
        <v>0</v>
      </c>
      <c r="CE69" s="229">
        <f t="shared" si="61"/>
        <v>0</v>
      </c>
      <c r="CF69" s="229">
        <f t="shared" si="61"/>
        <v>0</v>
      </c>
      <c r="CG69" s="229">
        <f t="shared" si="61"/>
        <v>0</v>
      </c>
      <c r="CH69" s="229">
        <f t="shared" si="61"/>
        <v>0</v>
      </c>
      <c r="CI69" s="229">
        <f t="shared" si="61"/>
        <v>0</v>
      </c>
      <c r="CJ69" s="229">
        <f t="shared" si="61"/>
        <v>0</v>
      </c>
      <c r="CK69" s="229">
        <f t="shared" si="61"/>
        <v>0</v>
      </c>
      <c r="CL69" s="229">
        <f t="shared" si="61"/>
        <v>0</v>
      </c>
      <c r="CM69" s="229">
        <f t="shared" si="61"/>
        <v>0</v>
      </c>
      <c r="CN69" s="229">
        <f t="shared" si="61"/>
        <v>0</v>
      </c>
      <c r="CO69" s="229">
        <f t="shared" si="61"/>
        <v>0</v>
      </c>
      <c r="CP69" s="229">
        <f t="shared" si="61"/>
        <v>0</v>
      </c>
      <c r="CQ69" s="229">
        <f t="shared" si="61"/>
        <v>0</v>
      </c>
      <c r="CR69" s="229">
        <f t="shared" si="61"/>
        <v>0</v>
      </c>
      <c r="CS69" s="230"/>
      <c r="CT69" s="231"/>
      <c r="CU69" s="231"/>
      <c r="CV69" s="231"/>
      <c r="CW69" s="231"/>
      <c r="CX69" s="231" t="e">
        <f t="shared" ref="CX69:CX91" ca="1" si="62">$CX$22/24</f>
        <v>#N/A</v>
      </c>
      <c r="CY69" s="231"/>
      <c r="CZ69" s="231"/>
      <c r="DA69" s="231" t="e">
        <f ca="1">IF(SUM(DA$32:DA68)&gt;=DA$22,0,DA$22/(DA$13*4))</f>
        <v>#N/A</v>
      </c>
      <c r="DB69" s="231">
        <f>IF(SUM(DB$24:DB68)=DB$22,0,IF(AND($K69&gt;=DB$15,$K69&lt;(DB$16+1)),DB$22/(DB$16-DB$15+1),0))</f>
        <v>0</v>
      </c>
      <c r="DC69" s="231">
        <f t="shared" si="55"/>
        <v>0</v>
      </c>
      <c r="DD69" s="231">
        <f t="shared" si="55"/>
        <v>0</v>
      </c>
      <c r="DE69" s="231">
        <f t="shared" si="55"/>
        <v>0</v>
      </c>
      <c r="DF69" s="231">
        <f t="shared" si="55"/>
        <v>0</v>
      </c>
      <c r="DG69" s="231">
        <f t="shared" si="55"/>
        <v>0</v>
      </c>
      <c r="DH69" s="231">
        <f t="shared" si="55"/>
        <v>0</v>
      </c>
      <c r="DI69" s="231">
        <f t="shared" si="55"/>
        <v>0</v>
      </c>
      <c r="DJ69" s="231">
        <f t="shared" si="55"/>
        <v>0</v>
      </c>
      <c r="DK69" s="231">
        <f t="shared" si="55"/>
        <v>0</v>
      </c>
      <c r="DL69" s="231">
        <f t="shared" si="55"/>
        <v>0</v>
      </c>
      <c r="DM69" s="231">
        <f t="shared" si="55"/>
        <v>0</v>
      </c>
      <c r="DN69" s="231">
        <f t="shared" si="55"/>
        <v>0</v>
      </c>
      <c r="DO69" s="231">
        <f t="shared" si="55"/>
        <v>0</v>
      </c>
      <c r="DP69" s="231">
        <f>'Offshore CF'!DR69</f>
        <v>0</v>
      </c>
      <c r="DQ69" s="231">
        <f>'Offshore CF'!DS69</f>
        <v>0.29866666666666669</v>
      </c>
      <c r="DR69" s="231">
        <f ca="1">IF(SUM(DR$24:DR68)=DR$22,0,IF(AND($K69&gt;=DR$15,$K69&lt;(DR$16+1)),DR$22/(DR$16-DR$15+1),0))</f>
        <v>0</v>
      </c>
      <c r="DS69" s="231" t="e">
        <f ca="1">IF(SUM(DS$24:DS68)=DS$22,0,IF(AND($K69&gt;=DS$15,$K69&lt;(DS$16+1)),DS$22/(DS$16-DS$15+1),0))</f>
        <v>#REF!</v>
      </c>
      <c r="DT69" s="231" t="e">
        <f ca="1">IF(SUM(DT$24:DT68)=DT$22,0,IF(AND(K69&gt;=DT$15,K69&lt;(DT$16+1)),DT$22/(DT$16-DT$15+1),0))</f>
        <v>#REF!</v>
      </c>
      <c r="DU69" s="231" t="e">
        <f ca="1">IF(SUM(DU$24:DU68)=DU$22,0,IF(AND($K69&gt;=DU$15,$K69&lt;(DU$16+1)),DU$22/(DU$16-DU$15+1),0))</f>
        <v>#REF!</v>
      </c>
      <c r="DV69" s="231">
        <f ca="1">IF(SUM(DV$24:DV68)=DV$22,0,IF(AND($K69&gt;=DV$15,$K69&lt;(DV$16+1)),DV$22/(DV$16-DV$15+1),0))</f>
        <v>0</v>
      </c>
      <c r="DW69" s="231">
        <f ca="1">IF(SUM(DW$24:DW68)=DW$22,0,IF(AND($K69&gt;=DW$15,$K69&lt;(DW$16+1)),DW$22/(DW$16-DW$15+1),0))</f>
        <v>0</v>
      </c>
      <c r="DX69" s="231">
        <f ca="1">IF(SUM(DX$24:DX68)=DX$22,0,IF(AND($K69&gt;=DX$15,$K69&lt;(DX$16+1)),DX$22/(DX$16-DX$15+1),0))</f>
        <v>0</v>
      </c>
      <c r="DY69" s="231">
        <f ca="1">IF(SUM(DY$24:DY68)=DY$22,0,IF(AND($K69&gt;=DY$15,$K69&lt;(DY$16+1)),DY$22/(DY$16-DY$15+1),0))</f>
        <v>0</v>
      </c>
      <c r="EA69" s="749">
        <f t="shared" si="51"/>
        <v>46</v>
      </c>
      <c r="EB69" s="749" t="e">
        <f t="shared" ca="1" si="52"/>
        <v>#N/A</v>
      </c>
      <c r="EC69" s="750" t="e">
        <f t="shared" ca="1" si="53"/>
        <v>#N/A</v>
      </c>
      <c r="ED69" s="749" t="e">
        <f t="shared" ca="1" si="28"/>
        <v>#REF!</v>
      </c>
      <c r="EE69" s="749"/>
      <c r="EF69" s="749"/>
      <c r="EG69" s="749"/>
      <c r="EH69" s="749"/>
      <c r="EI69" s="714" t="e">
        <f t="shared" ca="1" si="19"/>
        <v>#N/A</v>
      </c>
      <c r="EJ69" s="231" t="e">
        <f ca="1">IF(SUM(EJ$24:EJ68)=EJ$22,0,IF(AND($K69&gt;=EJ$15,$K69&lt;(EJ$16+1)),EJ$22/(EJ$16-EJ$15+1),0))</f>
        <v>#REF!</v>
      </c>
      <c r="EK69" s="714" t="e">
        <f t="shared" ca="1" si="54"/>
        <v>#N/A</v>
      </c>
      <c r="EM69" s="60"/>
      <c r="EN69" s="60"/>
      <c r="EU69" s="245"/>
    </row>
    <row r="70" spans="1:151">
      <c r="A70" s="220"/>
      <c r="B70" s="236">
        <f t="shared" si="20"/>
        <v>47</v>
      </c>
      <c r="C70" s="221">
        <f t="shared" si="21"/>
        <v>44870.168200000073</v>
      </c>
      <c r="D70" s="746" t="e">
        <f t="shared" ca="1" si="22"/>
        <v>#DIV/0!</v>
      </c>
      <c r="E70" s="747" t="e">
        <f t="shared" ca="1" si="25"/>
        <v>#DIV/0!</v>
      </c>
      <c r="F70" s="748" t="e">
        <f ca="1">IF(F69=0,0,SUM($G$24:G70))</f>
        <v>#DIV/0!</v>
      </c>
      <c r="G70" s="225" t="e">
        <f t="shared" ca="1" si="48"/>
        <v>#DIV/0!</v>
      </c>
      <c r="H70" s="746">
        <f t="shared" ca="1" si="23"/>
        <v>0</v>
      </c>
      <c r="I70" s="60"/>
      <c r="J70" s="228"/>
      <c r="K70" s="228">
        <f t="shared" si="49"/>
        <v>47</v>
      </c>
      <c r="L70" s="221">
        <f t="shared" si="50"/>
        <v>44870.168200000073</v>
      </c>
      <c r="M70" s="229">
        <f t="shared" si="57"/>
        <v>0</v>
      </c>
      <c r="N70" s="229">
        <f t="shared" si="57"/>
        <v>0</v>
      </c>
      <c r="O70" s="229">
        <f t="shared" si="57"/>
        <v>0</v>
      </c>
      <c r="P70" s="229">
        <f t="shared" si="57"/>
        <v>0</v>
      </c>
      <c r="Q70" s="229">
        <f t="shared" si="57"/>
        <v>0</v>
      </c>
      <c r="R70" s="229">
        <f t="shared" si="56"/>
        <v>0</v>
      </c>
      <c r="S70" s="229">
        <f t="shared" si="56"/>
        <v>0</v>
      </c>
      <c r="T70" s="229">
        <f t="shared" si="56"/>
        <v>0</v>
      </c>
      <c r="U70" s="229">
        <f t="shared" si="57"/>
        <v>0</v>
      </c>
      <c r="V70" s="229">
        <f t="shared" si="57"/>
        <v>0</v>
      </c>
      <c r="W70" s="229">
        <f t="shared" si="57"/>
        <v>0</v>
      </c>
      <c r="X70" s="229">
        <f t="shared" si="57"/>
        <v>0</v>
      </c>
      <c r="Y70" s="229">
        <f t="shared" si="57"/>
        <v>0</v>
      </c>
      <c r="Z70" s="229">
        <f t="shared" si="57"/>
        <v>0</v>
      </c>
      <c r="AA70" s="229">
        <f t="shared" si="57"/>
        <v>0</v>
      </c>
      <c r="AB70" s="229">
        <f t="shared" si="57"/>
        <v>0</v>
      </c>
      <c r="AC70" s="229">
        <f t="shared" si="57"/>
        <v>0</v>
      </c>
      <c r="AD70" s="229">
        <f t="shared" si="57"/>
        <v>0</v>
      </c>
      <c r="AE70" s="229">
        <f t="shared" si="57"/>
        <v>0</v>
      </c>
      <c r="AF70" s="229">
        <f t="shared" si="57"/>
        <v>0</v>
      </c>
      <c r="AG70" s="229">
        <f t="shared" si="57"/>
        <v>0</v>
      </c>
      <c r="AH70" s="229">
        <f t="shared" si="57"/>
        <v>0</v>
      </c>
      <c r="AI70" s="229">
        <f t="shared" si="57"/>
        <v>0</v>
      </c>
      <c r="AJ70" s="229">
        <f t="shared" si="57"/>
        <v>0</v>
      </c>
      <c r="AK70" s="229">
        <f t="shared" si="57"/>
        <v>0</v>
      </c>
      <c r="AL70" s="229">
        <f t="shared" si="57"/>
        <v>0</v>
      </c>
      <c r="AM70" s="229">
        <f t="shared" si="57"/>
        <v>0</v>
      </c>
      <c r="AN70" s="229">
        <f t="shared" si="57"/>
        <v>0</v>
      </c>
      <c r="AO70" s="229">
        <f t="shared" si="57"/>
        <v>0</v>
      </c>
      <c r="AP70" s="229">
        <f t="shared" si="57"/>
        <v>0</v>
      </c>
      <c r="AQ70" s="229">
        <f t="shared" si="57"/>
        <v>0</v>
      </c>
      <c r="AR70" s="229">
        <f t="shared" si="58"/>
        <v>0</v>
      </c>
      <c r="AS70" s="229">
        <f t="shared" si="58"/>
        <v>0</v>
      </c>
      <c r="AT70" s="229">
        <f t="shared" si="58"/>
        <v>0</v>
      </c>
      <c r="AU70" s="229">
        <f t="shared" si="58"/>
        <v>0</v>
      </c>
      <c r="AV70" s="229">
        <f t="shared" si="58"/>
        <v>0</v>
      </c>
      <c r="AW70" s="229">
        <f t="shared" si="58"/>
        <v>0</v>
      </c>
      <c r="AX70" s="229">
        <f t="shared" si="58"/>
        <v>0</v>
      </c>
      <c r="AY70" s="229">
        <f t="shared" si="58"/>
        <v>0</v>
      </c>
      <c r="AZ70" s="229">
        <f t="shared" si="58"/>
        <v>0</v>
      </c>
      <c r="BA70" s="229">
        <f t="shared" si="58"/>
        <v>0</v>
      </c>
      <c r="BB70" s="229">
        <f t="shared" si="58"/>
        <v>0</v>
      </c>
      <c r="BC70" s="229">
        <f t="shared" si="59"/>
        <v>0</v>
      </c>
      <c r="BD70" s="229">
        <f t="shared" si="59"/>
        <v>0</v>
      </c>
      <c r="BE70" s="229">
        <f t="shared" si="59"/>
        <v>0</v>
      </c>
      <c r="BF70" s="229">
        <f t="shared" si="59"/>
        <v>0</v>
      </c>
      <c r="BG70" s="229">
        <f t="shared" si="59"/>
        <v>0</v>
      </c>
      <c r="BH70" s="229">
        <f t="shared" si="59"/>
        <v>0</v>
      </c>
      <c r="BI70" s="229">
        <f t="shared" si="59"/>
        <v>0</v>
      </c>
      <c r="BJ70" s="229">
        <f t="shared" si="59"/>
        <v>0</v>
      </c>
      <c r="BK70" s="229">
        <f t="shared" si="59"/>
        <v>0</v>
      </c>
      <c r="BL70" s="229">
        <f t="shared" si="59"/>
        <v>0</v>
      </c>
      <c r="BM70" s="229">
        <f t="shared" si="60"/>
        <v>0</v>
      </c>
      <c r="BN70" s="229">
        <f t="shared" si="60"/>
        <v>0</v>
      </c>
      <c r="BO70" s="229">
        <f t="shared" si="60"/>
        <v>0</v>
      </c>
      <c r="BP70" s="229">
        <f t="shared" si="60"/>
        <v>0</v>
      </c>
      <c r="BQ70" s="229">
        <f t="shared" si="60"/>
        <v>0</v>
      </c>
      <c r="BR70" s="229">
        <f t="shared" si="60"/>
        <v>0</v>
      </c>
      <c r="BS70" s="229">
        <f t="shared" si="60"/>
        <v>0</v>
      </c>
      <c r="BT70" s="229">
        <f t="shared" si="60"/>
        <v>0</v>
      </c>
      <c r="BU70" s="229">
        <f t="shared" si="60"/>
        <v>0</v>
      </c>
      <c r="BV70" s="229">
        <f t="shared" si="60"/>
        <v>0</v>
      </c>
      <c r="BW70" s="229">
        <f t="shared" si="60"/>
        <v>0</v>
      </c>
      <c r="BX70" s="229">
        <f t="shared" si="60"/>
        <v>0</v>
      </c>
      <c r="BY70" s="229">
        <f t="shared" si="60"/>
        <v>0</v>
      </c>
      <c r="BZ70" s="229">
        <f t="shared" si="60"/>
        <v>0</v>
      </c>
      <c r="CA70" s="229">
        <f t="shared" si="60"/>
        <v>0</v>
      </c>
      <c r="CB70" s="229">
        <f t="shared" si="61"/>
        <v>0</v>
      </c>
      <c r="CC70" s="229">
        <f t="shared" si="61"/>
        <v>0</v>
      </c>
      <c r="CD70" s="229">
        <f t="shared" si="61"/>
        <v>0</v>
      </c>
      <c r="CE70" s="229">
        <f t="shared" si="61"/>
        <v>0</v>
      </c>
      <c r="CF70" s="229">
        <f t="shared" si="61"/>
        <v>0</v>
      </c>
      <c r="CG70" s="229">
        <f t="shared" si="61"/>
        <v>0</v>
      </c>
      <c r="CH70" s="229">
        <f t="shared" si="61"/>
        <v>0</v>
      </c>
      <c r="CI70" s="229">
        <f t="shared" si="61"/>
        <v>0</v>
      </c>
      <c r="CJ70" s="229">
        <f t="shared" si="61"/>
        <v>0</v>
      </c>
      <c r="CK70" s="229">
        <f t="shared" si="61"/>
        <v>0</v>
      </c>
      <c r="CL70" s="229">
        <f t="shared" si="61"/>
        <v>0</v>
      </c>
      <c r="CM70" s="229">
        <f t="shared" si="61"/>
        <v>0</v>
      </c>
      <c r="CN70" s="229">
        <f t="shared" si="61"/>
        <v>0</v>
      </c>
      <c r="CO70" s="229">
        <f t="shared" si="61"/>
        <v>0</v>
      </c>
      <c r="CP70" s="229">
        <f t="shared" si="61"/>
        <v>0</v>
      </c>
      <c r="CQ70" s="229">
        <f t="shared" si="61"/>
        <v>0</v>
      </c>
      <c r="CR70" s="229">
        <f t="shared" si="61"/>
        <v>0</v>
      </c>
      <c r="CS70" s="230"/>
      <c r="CT70" s="231"/>
      <c r="CU70" s="231"/>
      <c r="CV70" s="231"/>
      <c r="CW70" s="231"/>
      <c r="CX70" s="231" t="e">
        <f t="shared" ca="1" si="62"/>
        <v>#N/A</v>
      </c>
      <c r="CY70" s="231"/>
      <c r="CZ70" s="231"/>
      <c r="DA70" s="231"/>
      <c r="DB70" s="231">
        <f>IF(SUM(DB$24:DB69)=DB$22,0,IF(AND($K70&gt;=DB$15,$K70&lt;(DB$16+1)),DB$22/(DB$16-DB$15+1),0))</f>
        <v>0</v>
      </c>
      <c r="DC70" s="231">
        <f t="shared" ref="DC70:DO79" si="63">IF(AND($K70&gt;=DC$15,$K70&lt;(DC$16+1)),DC$22/(DC$16-DC$15+1),0)</f>
        <v>0</v>
      </c>
      <c r="DD70" s="231">
        <f t="shared" si="63"/>
        <v>0</v>
      </c>
      <c r="DE70" s="231">
        <f t="shared" si="63"/>
        <v>0</v>
      </c>
      <c r="DF70" s="231">
        <f t="shared" si="63"/>
        <v>0</v>
      </c>
      <c r="DG70" s="231">
        <f t="shared" si="63"/>
        <v>0</v>
      </c>
      <c r="DH70" s="231">
        <f t="shared" si="63"/>
        <v>0</v>
      </c>
      <c r="DI70" s="231">
        <f t="shared" si="63"/>
        <v>0</v>
      </c>
      <c r="DJ70" s="231">
        <f t="shared" si="63"/>
        <v>0</v>
      </c>
      <c r="DK70" s="231">
        <f t="shared" si="63"/>
        <v>0</v>
      </c>
      <c r="DL70" s="231">
        <f t="shared" si="63"/>
        <v>0</v>
      </c>
      <c r="DM70" s="231">
        <f t="shared" si="63"/>
        <v>0</v>
      </c>
      <c r="DN70" s="231">
        <f t="shared" si="63"/>
        <v>0</v>
      </c>
      <c r="DO70" s="231">
        <f t="shared" si="63"/>
        <v>0</v>
      </c>
      <c r="DP70" s="231">
        <f>'Offshore CF'!DR70</f>
        <v>0</v>
      </c>
      <c r="DQ70" s="231">
        <f>'Offshore CF'!DS70</f>
        <v>0.29866666666666669</v>
      </c>
      <c r="DR70" s="231">
        <f ca="1">IF(SUM(DR$24:DR69)=DR$22,0,IF(AND($K70&gt;=DR$15,$K70&lt;(DR$16+1)),DR$22/(DR$16-DR$15+1),0))</f>
        <v>0</v>
      </c>
      <c r="DS70" s="231" t="e">
        <f ca="1">IF(SUM(DS$24:DS69)=DS$22,0,IF(AND($K70&gt;=DS$15,$K70&lt;(DS$16+1)),DS$22/(DS$16-DS$15+1),0))</f>
        <v>#REF!</v>
      </c>
      <c r="DT70" s="231" t="e">
        <f ca="1">IF(SUM(DT$24:DT69)=DT$22,0,IF(AND(K70&gt;=DT$15,K70&lt;(DT$16+1)),DT$22/(DT$16-DT$15+1),0))</f>
        <v>#REF!</v>
      </c>
      <c r="DU70" s="231" t="e">
        <f ca="1">IF(SUM(DU$24:DU69)=DU$22,0,IF(AND($K70&gt;=DU$15,$K70&lt;(DU$16+1)),DU$22/(DU$16-DU$15+1),0))</f>
        <v>#REF!</v>
      </c>
      <c r="DV70" s="231">
        <f ca="1">IF(SUM(DV$24:DV69)=DV$22,0,IF(AND($K70&gt;=DV$15,$K70&lt;(DV$16+1)),DV$22/(DV$16-DV$15+1),0))</f>
        <v>0</v>
      </c>
      <c r="DW70" s="231">
        <f ca="1">IF(SUM(DW$24:DW69)=DW$22,0,IF(AND($K70&gt;=DW$15,$K70&lt;(DW$16+1)),DW$22/(DW$16-DW$15+1),0))</f>
        <v>0</v>
      </c>
      <c r="DX70" s="231">
        <f ca="1">IF(SUM(DX$24:DX69)=DX$22,0,IF(AND($K70&gt;=DX$15,$K70&lt;(DX$16+1)),DX$22/(DX$16-DX$15+1),0))</f>
        <v>0</v>
      </c>
      <c r="DY70" s="231">
        <f ca="1">IF(SUM(DY$24:DY69)=DY$22,0,IF(AND($K70&gt;=DY$15,$K70&lt;(DY$16+1)),DY$22/(DY$16-DY$15+1),0))</f>
        <v>0</v>
      </c>
      <c r="EA70" s="749">
        <f t="shared" si="51"/>
        <v>47</v>
      </c>
      <c r="EB70" s="749" t="e">
        <f t="shared" ca="1" si="52"/>
        <v>#N/A</v>
      </c>
      <c r="EC70" s="750" t="e">
        <f t="shared" ca="1" si="53"/>
        <v>#N/A</v>
      </c>
      <c r="ED70" s="749" t="e">
        <f t="shared" ca="1" si="28"/>
        <v>#N/A</v>
      </c>
      <c r="EE70" s="749"/>
      <c r="EF70" s="749"/>
      <c r="EG70" s="749"/>
      <c r="EH70" s="749"/>
      <c r="EI70" s="714" t="e">
        <f t="shared" ca="1" si="19"/>
        <v>#N/A</v>
      </c>
      <c r="EJ70" s="231" t="e">
        <f ca="1">IF(SUM(EJ$24:EJ69)=EJ$22,0,IF(AND($K70&gt;=EJ$15,$K70&lt;(EJ$16+1)),EJ$22/(EJ$16-EJ$15+1),0))</f>
        <v>#REF!</v>
      </c>
      <c r="EK70" s="714" t="e">
        <f t="shared" ca="1" si="54"/>
        <v>#N/A</v>
      </c>
      <c r="EM70" s="60"/>
      <c r="EN70" s="60"/>
    </row>
    <row r="71" spans="1:151">
      <c r="A71" s="237"/>
      <c r="B71" s="238">
        <f t="shared" si="20"/>
        <v>48</v>
      </c>
      <c r="C71" s="239">
        <f t="shared" si="21"/>
        <v>44900.584900000074</v>
      </c>
      <c r="D71" s="746" t="e">
        <f t="shared" ca="1" si="22"/>
        <v>#DIV/0!</v>
      </c>
      <c r="E71" s="747" t="e">
        <f t="shared" ca="1" si="25"/>
        <v>#DIV/0!</v>
      </c>
      <c r="F71" s="748" t="e">
        <f ca="1">IF(F70=0,0,SUM($G$24:G71))</f>
        <v>#DIV/0!</v>
      </c>
      <c r="G71" s="225" t="e">
        <f t="shared" ca="1" si="48"/>
        <v>#DIV/0!</v>
      </c>
      <c r="H71" s="746">
        <f t="shared" ca="1" si="23"/>
        <v>0</v>
      </c>
      <c r="I71" s="60"/>
      <c r="J71" s="241"/>
      <c r="K71" s="241">
        <f t="shared" si="49"/>
        <v>48</v>
      </c>
      <c r="L71" s="239">
        <f t="shared" si="50"/>
        <v>44900.584900000074</v>
      </c>
      <c r="M71" s="229">
        <f t="shared" si="57"/>
        <v>0</v>
      </c>
      <c r="N71" s="229">
        <f t="shared" si="57"/>
        <v>0</v>
      </c>
      <c r="O71" s="229">
        <f t="shared" si="57"/>
        <v>0</v>
      </c>
      <c r="P71" s="229">
        <f t="shared" si="57"/>
        <v>0</v>
      </c>
      <c r="Q71" s="229">
        <f t="shared" si="57"/>
        <v>0</v>
      </c>
      <c r="R71" s="229">
        <f t="shared" si="56"/>
        <v>0</v>
      </c>
      <c r="S71" s="229">
        <f t="shared" si="56"/>
        <v>0</v>
      </c>
      <c r="T71" s="229">
        <f t="shared" si="56"/>
        <v>0</v>
      </c>
      <c r="U71" s="229">
        <f t="shared" si="57"/>
        <v>0</v>
      </c>
      <c r="V71" s="229">
        <f t="shared" si="57"/>
        <v>0</v>
      </c>
      <c r="W71" s="229">
        <f t="shared" si="57"/>
        <v>0</v>
      </c>
      <c r="X71" s="229">
        <f t="shared" si="57"/>
        <v>0</v>
      </c>
      <c r="Y71" s="229">
        <f t="shared" si="57"/>
        <v>0</v>
      </c>
      <c r="Z71" s="229">
        <f t="shared" si="57"/>
        <v>0</v>
      </c>
      <c r="AA71" s="229">
        <f t="shared" si="57"/>
        <v>0</v>
      </c>
      <c r="AB71" s="229">
        <f t="shared" si="57"/>
        <v>0</v>
      </c>
      <c r="AC71" s="229">
        <f t="shared" si="57"/>
        <v>0</v>
      </c>
      <c r="AD71" s="229">
        <f t="shared" ref="P71:AD81" si="64">IF($K71=AD$13,AD$22*AD$3,IF($K71=AD$14,AD$22*AD$4,IF($K71=AD$15,AD$22*AD$5,IF($K71=AD$16,AD$22*AD$6,IF($K71=AD$17,AD$22*AD$7,IF($K71=AD$18,AD$22*AD$8,IF($K71=AD$19,AD$22*AD$9,IF($K71=AD$20,AD$22*AD$10,0))))))))</f>
        <v>0</v>
      </c>
      <c r="AE71" s="229">
        <f t="shared" si="57"/>
        <v>0</v>
      </c>
      <c r="AF71" s="229">
        <f t="shared" si="57"/>
        <v>0</v>
      </c>
      <c r="AG71" s="229">
        <f t="shared" si="57"/>
        <v>0</v>
      </c>
      <c r="AH71" s="229">
        <f t="shared" si="57"/>
        <v>0</v>
      </c>
      <c r="AI71" s="229">
        <f t="shared" si="57"/>
        <v>0</v>
      </c>
      <c r="AJ71" s="229">
        <f t="shared" si="57"/>
        <v>0</v>
      </c>
      <c r="AK71" s="229">
        <f t="shared" si="57"/>
        <v>0</v>
      </c>
      <c r="AL71" s="229">
        <f t="shared" si="57"/>
        <v>0</v>
      </c>
      <c r="AM71" s="229">
        <f t="shared" si="57"/>
        <v>0</v>
      </c>
      <c r="AN71" s="229">
        <f t="shared" si="57"/>
        <v>0</v>
      </c>
      <c r="AO71" s="229">
        <f t="shared" si="57"/>
        <v>0</v>
      </c>
      <c r="AP71" s="229">
        <f t="shared" si="57"/>
        <v>0</v>
      </c>
      <c r="AQ71" s="229">
        <f t="shared" si="57"/>
        <v>0</v>
      </c>
      <c r="AR71" s="229">
        <f t="shared" si="58"/>
        <v>0</v>
      </c>
      <c r="AS71" s="229">
        <f t="shared" si="58"/>
        <v>0</v>
      </c>
      <c r="AT71" s="229">
        <f t="shared" si="58"/>
        <v>0</v>
      </c>
      <c r="AU71" s="229">
        <f t="shared" si="58"/>
        <v>0</v>
      </c>
      <c r="AV71" s="229">
        <f t="shared" si="58"/>
        <v>0</v>
      </c>
      <c r="AW71" s="229">
        <f t="shared" si="58"/>
        <v>0</v>
      </c>
      <c r="AX71" s="229">
        <f t="shared" si="58"/>
        <v>0</v>
      </c>
      <c r="AY71" s="229">
        <f t="shared" si="58"/>
        <v>0</v>
      </c>
      <c r="AZ71" s="229">
        <f t="shared" si="58"/>
        <v>0</v>
      </c>
      <c r="BA71" s="229">
        <f t="shared" si="58"/>
        <v>0</v>
      </c>
      <c r="BB71" s="229">
        <f t="shared" si="58"/>
        <v>0</v>
      </c>
      <c r="BC71" s="229">
        <f t="shared" si="59"/>
        <v>0</v>
      </c>
      <c r="BD71" s="229">
        <f t="shared" si="59"/>
        <v>0</v>
      </c>
      <c r="BE71" s="229">
        <f t="shared" si="59"/>
        <v>0</v>
      </c>
      <c r="BF71" s="229">
        <f t="shared" si="59"/>
        <v>0</v>
      </c>
      <c r="BG71" s="229">
        <f t="shared" si="59"/>
        <v>0</v>
      </c>
      <c r="BH71" s="229">
        <f t="shared" si="59"/>
        <v>0</v>
      </c>
      <c r="BI71" s="229">
        <f t="shared" si="59"/>
        <v>0</v>
      </c>
      <c r="BJ71" s="229">
        <f t="shared" si="59"/>
        <v>0</v>
      </c>
      <c r="BK71" s="229">
        <f t="shared" si="59"/>
        <v>0</v>
      </c>
      <c r="BL71" s="229">
        <f t="shared" si="59"/>
        <v>0</v>
      </c>
      <c r="BM71" s="229">
        <f t="shared" si="60"/>
        <v>0</v>
      </c>
      <c r="BN71" s="229">
        <f t="shared" si="60"/>
        <v>0</v>
      </c>
      <c r="BO71" s="229">
        <f t="shared" si="60"/>
        <v>0</v>
      </c>
      <c r="BP71" s="229">
        <f t="shared" si="60"/>
        <v>0</v>
      </c>
      <c r="BQ71" s="229">
        <f t="shared" si="60"/>
        <v>0</v>
      </c>
      <c r="BR71" s="229">
        <f t="shared" si="60"/>
        <v>0</v>
      </c>
      <c r="BS71" s="229">
        <f t="shared" si="60"/>
        <v>0</v>
      </c>
      <c r="BT71" s="229">
        <f t="shared" si="60"/>
        <v>0</v>
      </c>
      <c r="BU71" s="229">
        <f t="shared" si="60"/>
        <v>0</v>
      </c>
      <c r="BV71" s="229">
        <f t="shared" si="60"/>
        <v>0</v>
      </c>
      <c r="BW71" s="229">
        <f t="shared" si="60"/>
        <v>0</v>
      </c>
      <c r="BX71" s="229">
        <f t="shared" si="60"/>
        <v>0</v>
      </c>
      <c r="BY71" s="229">
        <f t="shared" si="60"/>
        <v>0</v>
      </c>
      <c r="BZ71" s="229">
        <f t="shared" si="60"/>
        <v>0</v>
      </c>
      <c r="CA71" s="229">
        <f t="shared" si="60"/>
        <v>0</v>
      </c>
      <c r="CB71" s="229">
        <f t="shared" si="61"/>
        <v>0</v>
      </c>
      <c r="CC71" s="229">
        <f t="shared" si="61"/>
        <v>0</v>
      </c>
      <c r="CD71" s="229">
        <f t="shared" si="61"/>
        <v>0</v>
      </c>
      <c r="CE71" s="229">
        <f t="shared" si="61"/>
        <v>0</v>
      </c>
      <c r="CF71" s="229">
        <f t="shared" si="61"/>
        <v>0</v>
      </c>
      <c r="CG71" s="229">
        <f t="shared" si="61"/>
        <v>0</v>
      </c>
      <c r="CH71" s="229">
        <f t="shared" si="61"/>
        <v>0</v>
      </c>
      <c r="CI71" s="229">
        <f t="shared" si="61"/>
        <v>0</v>
      </c>
      <c r="CJ71" s="229">
        <f t="shared" si="61"/>
        <v>0</v>
      </c>
      <c r="CK71" s="229">
        <f t="shared" si="61"/>
        <v>0</v>
      </c>
      <c r="CL71" s="229">
        <f t="shared" si="61"/>
        <v>0</v>
      </c>
      <c r="CM71" s="229">
        <f t="shared" si="61"/>
        <v>0</v>
      </c>
      <c r="CN71" s="229">
        <f t="shared" si="61"/>
        <v>0</v>
      </c>
      <c r="CO71" s="229">
        <f t="shared" si="61"/>
        <v>0</v>
      </c>
      <c r="CP71" s="229">
        <f t="shared" si="61"/>
        <v>0</v>
      </c>
      <c r="CQ71" s="229">
        <f t="shared" si="61"/>
        <v>0</v>
      </c>
      <c r="CR71" s="229">
        <f t="shared" si="61"/>
        <v>0</v>
      </c>
      <c r="CS71" s="230"/>
      <c r="CT71" s="231"/>
      <c r="CU71" s="231"/>
      <c r="CV71" s="231"/>
      <c r="CW71" s="231"/>
      <c r="CX71" s="231" t="e">
        <f t="shared" ca="1" si="62"/>
        <v>#N/A</v>
      </c>
      <c r="CY71" s="231"/>
      <c r="CZ71" s="231"/>
      <c r="DA71" s="231"/>
      <c r="DB71" s="231">
        <f>IF(SUM(DB$24:DB70)=DB$22,0,IF(AND($K71&gt;=DB$15,$K71&lt;(DB$16+1)),DB$22/(DB$16-DB$15+1),0))</f>
        <v>0</v>
      </c>
      <c r="DC71" s="231">
        <f t="shared" si="63"/>
        <v>0</v>
      </c>
      <c r="DD71" s="231">
        <f t="shared" si="63"/>
        <v>0</v>
      </c>
      <c r="DE71" s="231">
        <f t="shared" si="63"/>
        <v>0</v>
      </c>
      <c r="DF71" s="231">
        <f t="shared" si="63"/>
        <v>0</v>
      </c>
      <c r="DG71" s="231">
        <f t="shared" si="63"/>
        <v>0</v>
      </c>
      <c r="DH71" s="231">
        <f t="shared" si="63"/>
        <v>0</v>
      </c>
      <c r="DI71" s="231">
        <f t="shared" si="63"/>
        <v>0</v>
      </c>
      <c r="DJ71" s="231">
        <f t="shared" si="63"/>
        <v>0</v>
      </c>
      <c r="DK71" s="231">
        <f t="shared" si="63"/>
        <v>0</v>
      </c>
      <c r="DL71" s="231">
        <f t="shared" si="63"/>
        <v>0</v>
      </c>
      <c r="DM71" s="231">
        <f t="shared" si="63"/>
        <v>0</v>
      </c>
      <c r="DN71" s="231">
        <f t="shared" si="63"/>
        <v>0</v>
      </c>
      <c r="DO71" s="231">
        <f t="shared" si="63"/>
        <v>0</v>
      </c>
      <c r="DP71" s="231">
        <f>'Offshore CF'!DR71</f>
        <v>0</v>
      </c>
      <c r="DQ71" s="231">
        <f>'Offshore CF'!DS71</f>
        <v>0.29866666666666669</v>
      </c>
      <c r="DR71" s="231">
        <f ca="1">IF(SUM(DR$24:DR70)=DR$22,0,IF(AND($K71&gt;=DR$15,$K71&lt;(DR$16+1)),DR$22/(DR$16-DR$15+1),0))</f>
        <v>0</v>
      </c>
      <c r="DS71" s="231" t="e">
        <f ca="1">IF(SUM(DS$24:DS70)=DS$22,0,IF(AND($K71&gt;=DS$15,$K71&lt;(DS$16+1)),DS$22/(DS$16-DS$15+1),0))</f>
        <v>#REF!</v>
      </c>
      <c r="DT71" s="231" t="e">
        <f ca="1">IF(SUM(DT$24:DT70)=DT$22,0,IF(AND(K71&gt;=DT$15,K71&lt;(DT$16+1)),DT$22/(DT$16-DT$15+1),0))</f>
        <v>#REF!</v>
      </c>
      <c r="DU71" s="231" t="e">
        <f ca="1">IF(SUM(DU$24:DU70)=DU$22,0,IF(AND($K71&gt;=DU$15,$K71&lt;(DU$16+1)),DU$22/(DU$16-DU$15+1),0))</f>
        <v>#REF!</v>
      </c>
      <c r="DV71" s="231">
        <f ca="1">IF(SUM(DV$24:DV70)=DV$22,0,IF(AND($K71&gt;=DV$15,$K71&lt;(DV$16+1)),DV$22/(DV$16-DV$15+1),0))</f>
        <v>0</v>
      </c>
      <c r="DW71" s="231">
        <f ca="1">IF(SUM(DW$24:DW70)=DW$22,0,IF(AND($K71&gt;=DW$15,$K71&lt;(DW$16+1)),DW$22/(DW$16-DW$15+1),0))</f>
        <v>0</v>
      </c>
      <c r="DX71" s="231">
        <f ca="1">IF(SUM(DX$24:DX70)=DX$22,0,IF(AND($K71&gt;=DX$15,$K71&lt;(DX$16+1)),DX$22/(DX$16-DX$15+1),0))</f>
        <v>0</v>
      </c>
      <c r="DY71" s="231">
        <f ca="1">IF(SUM(DY$24:DY70)=DY$22,0,IF(AND($K71&gt;=DY$15,$K71&lt;(DY$16+1)),DY$22/(DY$16-DY$15+1),0))</f>
        <v>0</v>
      </c>
      <c r="EA71" s="749">
        <f t="shared" si="51"/>
        <v>48</v>
      </c>
      <c r="EB71" s="749" t="e">
        <f t="shared" ca="1" si="52"/>
        <v>#N/A</v>
      </c>
      <c r="EC71" s="750" t="e">
        <f t="shared" ca="1" si="53"/>
        <v>#N/A</v>
      </c>
      <c r="ED71" s="749" t="e">
        <f t="shared" ca="1" si="28"/>
        <v>#N/A</v>
      </c>
      <c r="EE71" s="749"/>
      <c r="EF71" s="749"/>
      <c r="EG71" s="749"/>
      <c r="EH71" s="749"/>
      <c r="EI71" s="714" t="e">
        <f t="shared" ca="1" si="19"/>
        <v>#N/A</v>
      </c>
      <c r="EJ71" s="231" t="e">
        <f ca="1">IF(SUM(EJ$24:EJ70)=EJ$22,0,IF(AND($K71&gt;=EJ$15,$K71&lt;(EJ$16+1)),EJ$22/(EJ$16-EJ$15+1),0))</f>
        <v>#REF!</v>
      </c>
      <c r="EK71" s="714" t="e">
        <f t="shared" ca="1" si="54"/>
        <v>#N/A</v>
      </c>
      <c r="EM71" s="60"/>
      <c r="EN71" s="60"/>
    </row>
    <row r="72" spans="1:151">
      <c r="A72" s="246" t="s">
        <v>116</v>
      </c>
      <c r="B72" s="236">
        <f t="shared" si="20"/>
        <v>49</v>
      </c>
      <c r="C72" s="221">
        <f t="shared" si="21"/>
        <v>44931.001600000076</v>
      </c>
      <c r="D72" s="746" t="e">
        <f t="shared" ca="1" si="22"/>
        <v>#DIV/0!</v>
      </c>
      <c r="E72" s="747" t="e">
        <f t="shared" ca="1" si="25"/>
        <v>#DIV/0!</v>
      </c>
      <c r="F72" s="748" t="e">
        <f ca="1">IF(F71=0,0,SUM($G$24:G72))</f>
        <v>#DIV/0!</v>
      </c>
      <c r="G72" s="225" t="e">
        <f t="shared" ca="1" si="48"/>
        <v>#DIV/0!</v>
      </c>
      <c r="H72" s="746">
        <f t="shared" ca="1" si="23"/>
        <v>0</v>
      </c>
      <c r="I72" s="60"/>
      <c r="J72" s="242" t="str">
        <f>A72</f>
        <v>Yr 5</v>
      </c>
      <c r="K72" s="228">
        <f t="shared" si="49"/>
        <v>49</v>
      </c>
      <c r="L72" s="221">
        <f t="shared" si="50"/>
        <v>44931.001600000076</v>
      </c>
      <c r="M72" s="229">
        <f t="shared" si="57"/>
        <v>0</v>
      </c>
      <c r="N72" s="229">
        <f t="shared" si="57"/>
        <v>0</v>
      </c>
      <c r="O72" s="229">
        <f t="shared" si="57"/>
        <v>0</v>
      </c>
      <c r="P72" s="229">
        <f t="shared" si="64"/>
        <v>0</v>
      </c>
      <c r="Q72" s="229">
        <f t="shared" si="64"/>
        <v>0</v>
      </c>
      <c r="R72" s="229">
        <f t="shared" si="64"/>
        <v>0</v>
      </c>
      <c r="S72" s="229">
        <f t="shared" si="64"/>
        <v>0</v>
      </c>
      <c r="T72" s="229">
        <f t="shared" si="64"/>
        <v>0</v>
      </c>
      <c r="U72" s="229">
        <f t="shared" si="64"/>
        <v>0</v>
      </c>
      <c r="V72" s="229">
        <f t="shared" si="64"/>
        <v>0</v>
      </c>
      <c r="W72" s="229">
        <f t="shared" si="64"/>
        <v>0</v>
      </c>
      <c r="X72" s="229">
        <f t="shared" si="64"/>
        <v>0</v>
      </c>
      <c r="Y72" s="229">
        <f t="shared" si="64"/>
        <v>0</v>
      </c>
      <c r="Z72" s="229">
        <f t="shared" si="64"/>
        <v>0</v>
      </c>
      <c r="AA72" s="229">
        <f t="shared" si="64"/>
        <v>0</v>
      </c>
      <c r="AB72" s="229">
        <f t="shared" si="64"/>
        <v>0</v>
      </c>
      <c r="AC72" s="229">
        <f t="shared" si="64"/>
        <v>0</v>
      </c>
      <c r="AD72" s="229">
        <f t="shared" si="64"/>
        <v>0</v>
      </c>
      <c r="AE72" s="229">
        <f t="shared" si="57"/>
        <v>0</v>
      </c>
      <c r="AF72" s="229">
        <f t="shared" si="57"/>
        <v>0</v>
      </c>
      <c r="AG72" s="229">
        <f t="shared" si="57"/>
        <v>0</v>
      </c>
      <c r="AH72" s="229">
        <f t="shared" si="57"/>
        <v>0</v>
      </c>
      <c r="AI72" s="229">
        <f t="shared" si="57"/>
        <v>0</v>
      </c>
      <c r="AJ72" s="229">
        <f t="shared" si="57"/>
        <v>0</v>
      </c>
      <c r="AK72" s="229">
        <f t="shared" si="57"/>
        <v>0</v>
      </c>
      <c r="AL72" s="229">
        <f t="shared" si="57"/>
        <v>0</v>
      </c>
      <c r="AM72" s="229">
        <f t="shared" si="57"/>
        <v>0</v>
      </c>
      <c r="AN72" s="229">
        <f t="shared" si="57"/>
        <v>0</v>
      </c>
      <c r="AO72" s="229">
        <f t="shared" si="57"/>
        <v>0</v>
      </c>
      <c r="AP72" s="229">
        <f t="shared" si="57"/>
        <v>0</v>
      </c>
      <c r="AQ72" s="229">
        <f t="shared" si="57"/>
        <v>0</v>
      </c>
      <c r="AR72" s="229">
        <f t="shared" si="58"/>
        <v>0</v>
      </c>
      <c r="AS72" s="229">
        <f t="shared" si="58"/>
        <v>0</v>
      </c>
      <c r="AT72" s="229">
        <f t="shared" si="58"/>
        <v>0</v>
      </c>
      <c r="AU72" s="229">
        <f t="shared" si="58"/>
        <v>0</v>
      </c>
      <c r="AV72" s="229">
        <f t="shared" si="58"/>
        <v>0</v>
      </c>
      <c r="AW72" s="229">
        <f t="shared" si="58"/>
        <v>0</v>
      </c>
      <c r="AX72" s="229">
        <f t="shared" si="58"/>
        <v>0</v>
      </c>
      <c r="AY72" s="229">
        <f t="shared" si="58"/>
        <v>0</v>
      </c>
      <c r="AZ72" s="229">
        <f t="shared" si="58"/>
        <v>0</v>
      </c>
      <c r="BA72" s="229">
        <f t="shared" si="58"/>
        <v>0</v>
      </c>
      <c r="BB72" s="229">
        <f t="shared" si="58"/>
        <v>0</v>
      </c>
      <c r="BC72" s="229">
        <f t="shared" si="59"/>
        <v>0</v>
      </c>
      <c r="BD72" s="229">
        <f t="shared" si="59"/>
        <v>0</v>
      </c>
      <c r="BE72" s="229">
        <f t="shared" si="59"/>
        <v>0</v>
      </c>
      <c r="BF72" s="229">
        <f t="shared" si="59"/>
        <v>0</v>
      </c>
      <c r="BG72" s="229">
        <f t="shared" si="59"/>
        <v>0</v>
      </c>
      <c r="BH72" s="229">
        <f t="shared" si="59"/>
        <v>0</v>
      </c>
      <c r="BI72" s="229">
        <f t="shared" si="59"/>
        <v>0</v>
      </c>
      <c r="BJ72" s="229">
        <f t="shared" si="59"/>
        <v>0</v>
      </c>
      <c r="BK72" s="229">
        <f t="shared" si="59"/>
        <v>0</v>
      </c>
      <c r="BL72" s="229">
        <f t="shared" si="59"/>
        <v>0</v>
      </c>
      <c r="BM72" s="229">
        <f t="shared" si="60"/>
        <v>0</v>
      </c>
      <c r="BN72" s="229">
        <f t="shared" si="60"/>
        <v>0</v>
      </c>
      <c r="BO72" s="229">
        <f t="shared" si="60"/>
        <v>0</v>
      </c>
      <c r="BP72" s="229">
        <f t="shared" si="60"/>
        <v>0</v>
      </c>
      <c r="BQ72" s="229">
        <f t="shared" si="60"/>
        <v>0</v>
      </c>
      <c r="BR72" s="229">
        <f t="shared" si="60"/>
        <v>0</v>
      </c>
      <c r="BS72" s="229">
        <f t="shared" si="60"/>
        <v>0</v>
      </c>
      <c r="BT72" s="229">
        <f t="shared" si="60"/>
        <v>0</v>
      </c>
      <c r="BU72" s="229">
        <f t="shared" si="60"/>
        <v>0</v>
      </c>
      <c r="BV72" s="229">
        <f t="shared" si="60"/>
        <v>0</v>
      </c>
      <c r="BW72" s="229">
        <f t="shared" si="60"/>
        <v>0</v>
      </c>
      <c r="BX72" s="229">
        <f t="shared" si="60"/>
        <v>0</v>
      </c>
      <c r="BY72" s="229">
        <f t="shared" si="60"/>
        <v>0</v>
      </c>
      <c r="BZ72" s="229">
        <f t="shared" si="60"/>
        <v>0</v>
      </c>
      <c r="CA72" s="229">
        <f t="shared" si="60"/>
        <v>0</v>
      </c>
      <c r="CB72" s="229">
        <f t="shared" si="61"/>
        <v>0</v>
      </c>
      <c r="CC72" s="229">
        <f t="shared" si="61"/>
        <v>0</v>
      </c>
      <c r="CD72" s="229">
        <f t="shared" si="61"/>
        <v>0</v>
      </c>
      <c r="CE72" s="229">
        <f t="shared" si="61"/>
        <v>0</v>
      </c>
      <c r="CF72" s="229">
        <f t="shared" si="61"/>
        <v>0</v>
      </c>
      <c r="CG72" s="229">
        <f t="shared" si="61"/>
        <v>0</v>
      </c>
      <c r="CH72" s="229">
        <f t="shared" si="61"/>
        <v>0</v>
      </c>
      <c r="CI72" s="229">
        <f t="shared" si="61"/>
        <v>0</v>
      </c>
      <c r="CJ72" s="229">
        <f t="shared" si="61"/>
        <v>0</v>
      </c>
      <c r="CK72" s="229">
        <f t="shared" si="61"/>
        <v>0</v>
      </c>
      <c r="CL72" s="229">
        <f t="shared" si="61"/>
        <v>0</v>
      </c>
      <c r="CM72" s="229">
        <f t="shared" si="61"/>
        <v>0</v>
      </c>
      <c r="CN72" s="229">
        <f t="shared" si="61"/>
        <v>0</v>
      </c>
      <c r="CO72" s="229">
        <f t="shared" si="61"/>
        <v>0</v>
      </c>
      <c r="CP72" s="229">
        <f t="shared" si="61"/>
        <v>0</v>
      </c>
      <c r="CQ72" s="229">
        <f t="shared" si="61"/>
        <v>0</v>
      </c>
      <c r="CR72" s="229">
        <f t="shared" si="61"/>
        <v>0</v>
      </c>
      <c r="CS72" s="230"/>
      <c r="CT72" s="243">
        <f>IF(SUM(CT$24:CT71)&gt;=CT$22,0,CT$22/CT$13)</f>
        <v>0</v>
      </c>
      <c r="CU72" s="243">
        <f>IF(SUM(CU$24:CU71)&gt;=CU$22,0,CU$22/CU$13)</f>
        <v>0</v>
      </c>
      <c r="CV72" s="243">
        <f>IF(SUM(CV$24:CV71)&gt;=CV$22,0,CV$22/CV$13)</f>
        <v>0</v>
      </c>
      <c r="CW72" s="243" t="e">
        <f ca="1">IF(SUM(CW$24:CW71)&gt;=CW$22,0,CW$22/CW$13)</f>
        <v>#N/A</v>
      </c>
      <c r="CX72" s="231" t="e">
        <f t="shared" ca="1" si="62"/>
        <v>#N/A</v>
      </c>
      <c r="CY72" s="231"/>
      <c r="CZ72" s="231"/>
      <c r="DA72" s="231" t="e">
        <f ca="1">IF(SUM(DA$32:DA71)&gt;=DA$22,0,DA$22/(DA$13*4))</f>
        <v>#N/A</v>
      </c>
      <c r="DB72" s="231">
        <f>IF(SUM(DB$24:DB71)=DB$22,0,IF(AND($K72&gt;=DB$15,$K72&lt;(DB$16+1)),DB$22/(DB$16-DB$15+1),0))</f>
        <v>0</v>
      </c>
      <c r="DC72" s="231">
        <f t="shared" si="63"/>
        <v>0</v>
      </c>
      <c r="DD72" s="231">
        <f t="shared" si="63"/>
        <v>0</v>
      </c>
      <c r="DE72" s="231">
        <f t="shared" si="63"/>
        <v>0</v>
      </c>
      <c r="DF72" s="231">
        <f t="shared" si="63"/>
        <v>0</v>
      </c>
      <c r="DG72" s="231">
        <f t="shared" si="63"/>
        <v>0</v>
      </c>
      <c r="DH72" s="231">
        <f t="shared" si="63"/>
        <v>0</v>
      </c>
      <c r="DI72" s="231">
        <f t="shared" si="63"/>
        <v>0</v>
      </c>
      <c r="DJ72" s="231">
        <f t="shared" si="63"/>
        <v>0</v>
      </c>
      <c r="DK72" s="231">
        <f t="shared" si="63"/>
        <v>0</v>
      </c>
      <c r="DL72" s="231">
        <f t="shared" si="63"/>
        <v>0</v>
      </c>
      <c r="DM72" s="231">
        <f t="shared" si="63"/>
        <v>0</v>
      </c>
      <c r="DN72" s="231">
        <f t="shared" si="63"/>
        <v>0</v>
      </c>
      <c r="DO72" s="231">
        <f t="shared" si="63"/>
        <v>0</v>
      </c>
      <c r="DP72" s="231">
        <f>'Offshore CF'!DR72</f>
        <v>0</v>
      </c>
      <c r="DQ72" s="231">
        <f>'Offshore CF'!DS72</f>
        <v>0.29866666666666669</v>
      </c>
      <c r="DR72" s="231">
        <f ca="1">IF(SUM(DR$24:DR71)=DR$22,0,IF(AND($K72&gt;=DR$15,$K72&lt;(DR$16+1)),DR$22/(DR$16-DR$15+1),0))</f>
        <v>0</v>
      </c>
      <c r="DS72" s="231" t="e">
        <f ca="1">IF(SUM(DS$24:DS71)=DS$22,0,IF(AND($K72&gt;=DS$15,$K72&lt;(DS$16+1)),DS$22/(DS$16-DS$15+1),0))</f>
        <v>#REF!</v>
      </c>
      <c r="DT72" s="231" t="e">
        <f ca="1">IF(SUM(DT$24:DT71)=DT$22,0,IF(AND(K72&gt;=DT$15,K72&lt;(DT$16+1)),DT$22/(DT$16-DT$15+1),0))</f>
        <v>#REF!</v>
      </c>
      <c r="DU72" s="231" t="e">
        <f ca="1">IF(SUM(DU$24:DU71)=DU$22,0,IF(AND($K72&gt;=DU$15,$K72&lt;(DU$16+1)),DU$22/(DU$16-DU$15+1),0))</f>
        <v>#REF!</v>
      </c>
      <c r="DV72" s="231">
        <f ca="1">IF(SUM(DV$24:DV71)=DV$22,0,IF(AND($K72&gt;=DV$15,$K72&lt;(DV$16+1)),DV$22/(DV$16-DV$15+1),0))</f>
        <v>0</v>
      </c>
      <c r="DW72" s="231">
        <f ca="1">IF(SUM(DW$24:DW71)=DW$22,0,IF(AND($K72&gt;=DW$15,$K72&lt;(DW$16+1)),DW$22/(DW$16-DW$15+1),0))</f>
        <v>0</v>
      </c>
      <c r="DX72" s="231">
        <f ca="1">IF(SUM(DX$24:DX71)=DX$22,0,IF(AND($K72&gt;=DX$15,$K72&lt;(DX$16+1)),DX$22/(DX$16-DX$15+1),0))</f>
        <v>0</v>
      </c>
      <c r="DY72" s="231">
        <f ca="1">IF(SUM(DY$24:DY71)=DY$22,0,IF(AND($K72&gt;=DY$15,$K72&lt;(DY$16+1)),DY$22/(DY$16-DY$15+1),0))</f>
        <v>0</v>
      </c>
      <c r="EA72" s="749">
        <f t="shared" si="51"/>
        <v>49</v>
      </c>
      <c r="EB72" s="749" t="e">
        <f t="shared" ca="1" si="52"/>
        <v>#N/A</v>
      </c>
      <c r="EC72" s="750" t="e">
        <f t="shared" ca="1" si="53"/>
        <v>#N/A</v>
      </c>
      <c r="ED72" s="749" t="e">
        <f t="shared" ca="1" si="28"/>
        <v>#N/A</v>
      </c>
      <c r="EE72" s="749"/>
      <c r="EF72" s="749"/>
      <c r="EG72" s="749"/>
      <c r="EH72" s="749"/>
      <c r="EI72" s="714" t="e">
        <f t="shared" ca="1" si="19"/>
        <v>#N/A</v>
      </c>
      <c r="EJ72" s="231" t="e">
        <f ca="1">IF(SUM(EJ$24:EJ71)=EJ$22,0,IF(AND($K72&gt;=EJ$15,$K72&lt;(EJ$16+1)),EJ$22/(EJ$16-EJ$15+1),0))</f>
        <v>#REF!</v>
      </c>
      <c r="EK72" s="714" t="e">
        <f t="shared" ca="1" si="54"/>
        <v>#N/A</v>
      </c>
      <c r="EM72" s="60"/>
      <c r="EN72" s="60"/>
    </row>
    <row r="73" spans="1:151">
      <c r="A73" s="247"/>
      <c r="B73" s="236">
        <f t="shared" si="20"/>
        <v>50</v>
      </c>
      <c r="C73" s="221">
        <f t="shared" si="21"/>
        <v>44961.418300000078</v>
      </c>
      <c r="D73" s="746" t="e">
        <f t="shared" ca="1" si="22"/>
        <v>#DIV/0!</v>
      </c>
      <c r="E73" s="747" t="e">
        <f t="shared" ca="1" si="25"/>
        <v>#DIV/0!</v>
      </c>
      <c r="F73" s="748" t="e">
        <f ca="1">IF(F72=0,0,SUM($G$24:G73))</f>
        <v>#DIV/0!</v>
      </c>
      <c r="G73" s="225" t="e">
        <f t="shared" ca="1" si="48"/>
        <v>#DIV/0!</v>
      </c>
      <c r="H73" s="746">
        <f t="shared" ca="1" si="23"/>
        <v>0</v>
      </c>
      <c r="I73" s="60"/>
      <c r="J73" s="242"/>
      <c r="K73" s="228">
        <f t="shared" si="49"/>
        <v>50</v>
      </c>
      <c r="L73" s="221">
        <f t="shared" si="50"/>
        <v>44961.418300000078</v>
      </c>
      <c r="M73" s="229">
        <f t="shared" si="57"/>
        <v>0</v>
      </c>
      <c r="N73" s="229">
        <f t="shared" si="57"/>
        <v>0</v>
      </c>
      <c r="O73" s="229">
        <f t="shared" si="57"/>
        <v>0</v>
      </c>
      <c r="P73" s="229">
        <f t="shared" si="64"/>
        <v>0</v>
      </c>
      <c r="Q73" s="229">
        <f t="shared" si="64"/>
        <v>0</v>
      </c>
      <c r="R73" s="229">
        <f t="shared" si="64"/>
        <v>0</v>
      </c>
      <c r="S73" s="229">
        <f t="shared" si="64"/>
        <v>0</v>
      </c>
      <c r="T73" s="229">
        <f t="shared" si="64"/>
        <v>0</v>
      </c>
      <c r="U73" s="229">
        <f t="shared" si="64"/>
        <v>0</v>
      </c>
      <c r="V73" s="229">
        <f t="shared" si="64"/>
        <v>0</v>
      </c>
      <c r="W73" s="229">
        <f t="shared" si="64"/>
        <v>0</v>
      </c>
      <c r="X73" s="229">
        <f t="shared" si="64"/>
        <v>0</v>
      </c>
      <c r="Y73" s="229">
        <f t="shared" si="64"/>
        <v>0</v>
      </c>
      <c r="Z73" s="229">
        <f t="shared" si="64"/>
        <v>0</v>
      </c>
      <c r="AA73" s="229">
        <f t="shared" si="64"/>
        <v>0</v>
      </c>
      <c r="AB73" s="229">
        <f t="shared" si="64"/>
        <v>0</v>
      </c>
      <c r="AC73" s="229">
        <f t="shared" si="64"/>
        <v>0</v>
      </c>
      <c r="AD73" s="229">
        <f t="shared" si="64"/>
        <v>0</v>
      </c>
      <c r="AE73" s="229">
        <f t="shared" si="57"/>
        <v>0</v>
      </c>
      <c r="AF73" s="229">
        <f t="shared" si="57"/>
        <v>0</v>
      </c>
      <c r="AG73" s="229">
        <f t="shared" si="57"/>
        <v>0</v>
      </c>
      <c r="AH73" s="229">
        <f t="shared" si="57"/>
        <v>0</v>
      </c>
      <c r="AI73" s="229">
        <f t="shared" si="57"/>
        <v>0</v>
      </c>
      <c r="AJ73" s="229">
        <f t="shared" si="57"/>
        <v>0</v>
      </c>
      <c r="AK73" s="229">
        <f t="shared" si="57"/>
        <v>0</v>
      </c>
      <c r="AL73" s="229">
        <f t="shared" si="57"/>
        <v>0</v>
      </c>
      <c r="AM73" s="229">
        <f t="shared" si="57"/>
        <v>0</v>
      </c>
      <c r="AN73" s="229">
        <f t="shared" si="57"/>
        <v>0</v>
      </c>
      <c r="AO73" s="229">
        <f t="shared" si="57"/>
        <v>0</v>
      </c>
      <c r="AP73" s="229">
        <f t="shared" si="57"/>
        <v>0</v>
      </c>
      <c r="AQ73" s="229">
        <f t="shared" si="57"/>
        <v>0</v>
      </c>
      <c r="AR73" s="229">
        <f t="shared" si="58"/>
        <v>0</v>
      </c>
      <c r="AS73" s="229">
        <f t="shared" si="58"/>
        <v>0</v>
      </c>
      <c r="AT73" s="229">
        <f t="shared" si="58"/>
        <v>0</v>
      </c>
      <c r="AU73" s="229">
        <f t="shared" si="58"/>
        <v>0</v>
      </c>
      <c r="AV73" s="229">
        <f t="shared" si="58"/>
        <v>0</v>
      </c>
      <c r="AW73" s="229">
        <f t="shared" si="58"/>
        <v>0</v>
      </c>
      <c r="AX73" s="229">
        <f t="shared" si="58"/>
        <v>0</v>
      </c>
      <c r="AY73" s="229">
        <f t="shared" si="58"/>
        <v>0</v>
      </c>
      <c r="AZ73" s="229">
        <f t="shared" si="58"/>
        <v>0</v>
      </c>
      <c r="BA73" s="229">
        <f t="shared" si="58"/>
        <v>0</v>
      </c>
      <c r="BB73" s="229">
        <f t="shared" si="58"/>
        <v>0</v>
      </c>
      <c r="BC73" s="229">
        <f t="shared" si="59"/>
        <v>0</v>
      </c>
      <c r="BD73" s="229">
        <f t="shared" si="59"/>
        <v>0</v>
      </c>
      <c r="BE73" s="229">
        <f t="shared" si="59"/>
        <v>0</v>
      </c>
      <c r="BF73" s="229">
        <f t="shared" si="59"/>
        <v>0</v>
      </c>
      <c r="BG73" s="229">
        <f t="shared" si="59"/>
        <v>0</v>
      </c>
      <c r="BH73" s="229">
        <f t="shared" si="59"/>
        <v>0</v>
      </c>
      <c r="BI73" s="229">
        <f t="shared" si="59"/>
        <v>0</v>
      </c>
      <c r="BJ73" s="229">
        <f t="shared" si="59"/>
        <v>0</v>
      </c>
      <c r="BK73" s="229">
        <f t="shared" si="59"/>
        <v>0</v>
      </c>
      <c r="BL73" s="229">
        <f t="shared" si="59"/>
        <v>0</v>
      </c>
      <c r="BM73" s="229">
        <f t="shared" si="60"/>
        <v>0</v>
      </c>
      <c r="BN73" s="229">
        <f t="shared" si="60"/>
        <v>0</v>
      </c>
      <c r="BO73" s="229">
        <f t="shared" si="60"/>
        <v>0</v>
      </c>
      <c r="BP73" s="229">
        <f t="shared" si="60"/>
        <v>0</v>
      </c>
      <c r="BQ73" s="229">
        <f t="shared" si="60"/>
        <v>0</v>
      </c>
      <c r="BR73" s="229">
        <f t="shared" si="60"/>
        <v>0</v>
      </c>
      <c r="BS73" s="229">
        <f t="shared" si="60"/>
        <v>0</v>
      </c>
      <c r="BT73" s="229">
        <f t="shared" si="60"/>
        <v>0</v>
      </c>
      <c r="BU73" s="229">
        <f t="shared" si="60"/>
        <v>0</v>
      </c>
      <c r="BV73" s="229">
        <f t="shared" si="60"/>
        <v>0</v>
      </c>
      <c r="BW73" s="229">
        <f t="shared" si="60"/>
        <v>0</v>
      </c>
      <c r="BX73" s="229">
        <f t="shared" si="60"/>
        <v>0</v>
      </c>
      <c r="BY73" s="229">
        <f t="shared" si="60"/>
        <v>0</v>
      </c>
      <c r="BZ73" s="229">
        <f t="shared" si="60"/>
        <v>0</v>
      </c>
      <c r="CA73" s="229">
        <f t="shared" si="60"/>
        <v>0</v>
      </c>
      <c r="CB73" s="229">
        <f t="shared" si="61"/>
        <v>0</v>
      </c>
      <c r="CC73" s="229">
        <f t="shared" si="61"/>
        <v>0</v>
      </c>
      <c r="CD73" s="229">
        <f t="shared" si="61"/>
        <v>0</v>
      </c>
      <c r="CE73" s="229">
        <f t="shared" si="61"/>
        <v>0</v>
      </c>
      <c r="CF73" s="229">
        <f t="shared" si="61"/>
        <v>0</v>
      </c>
      <c r="CG73" s="229">
        <f t="shared" si="61"/>
        <v>0</v>
      </c>
      <c r="CH73" s="229">
        <f t="shared" si="61"/>
        <v>0</v>
      </c>
      <c r="CI73" s="229">
        <f t="shared" si="61"/>
        <v>0</v>
      </c>
      <c r="CJ73" s="229">
        <f t="shared" si="61"/>
        <v>0</v>
      </c>
      <c r="CK73" s="229">
        <f t="shared" si="61"/>
        <v>0</v>
      </c>
      <c r="CL73" s="229">
        <f t="shared" si="61"/>
        <v>0</v>
      </c>
      <c r="CM73" s="229">
        <f t="shared" si="61"/>
        <v>0</v>
      </c>
      <c r="CN73" s="229">
        <f t="shared" si="61"/>
        <v>0</v>
      </c>
      <c r="CO73" s="229">
        <f t="shared" si="61"/>
        <v>0</v>
      </c>
      <c r="CP73" s="229">
        <f t="shared" si="61"/>
        <v>0</v>
      </c>
      <c r="CQ73" s="229">
        <f t="shared" si="61"/>
        <v>0</v>
      </c>
      <c r="CR73" s="229">
        <f t="shared" si="61"/>
        <v>0</v>
      </c>
      <c r="CS73" s="230"/>
      <c r="CT73" s="231"/>
      <c r="CU73" s="231"/>
      <c r="CV73" s="231"/>
      <c r="CW73" s="231"/>
      <c r="CX73" s="231" t="e">
        <f t="shared" ca="1" si="62"/>
        <v>#N/A</v>
      </c>
      <c r="CY73" s="231"/>
      <c r="CZ73" s="231"/>
      <c r="DA73" s="231"/>
      <c r="DB73" s="231">
        <f>IF(SUM(DB$24:DB72)=DB$22,0,IF(AND($K73&gt;=DB$15,$K73&lt;(DB$16+1)),DB$22/(DB$16-DB$15+1),0))</f>
        <v>0</v>
      </c>
      <c r="DC73" s="231">
        <f t="shared" si="63"/>
        <v>0</v>
      </c>
      <c r="DD73" s="231">
        <f t="shared" si="63"/>
        <v>0</v>
      </c>
      <c r="DE73" s="231">
        <f t="shared" si="63"/>
        <v>0</v>
      </c>
      <c r="DF73" s="231">
        <f t="shared" si="63"/>
        <v>0</v>
      </c>
      <c r="DG73" s="231">
        <f t="shared" si="63"/>
        <v>0</v>
      </c>
      <c r="DH73" s="231">
        <f t="shared" si="63"/>
        <v>0</v>
      </c>
      <c r="DI73" s="231">
        <f t="shared" si="63"/>
        <v>0</v>
      </c>
      <c r="DJ73" s="231">
        <f t="shared" si="63"/>
        <v>0</v>
      </c>
      <c r="DK73" s="231">
        <f t="shared" si="63"/>
        <v>0</v>
      </c>
      <c r="DL73" s="231">
        <f t="shared" si="63"/>
        <v>0</v>
      </c>
      <c r="DM73" s="231">
        <f t="shared" si="63"/>
        <v>0</v>
      </c>
      <c r="DN73" s="231">
        <f t="shared" si="63"/>
        <v>0</v>
      </c>
      <c r="DO73" s="231">
        <f t="shared" si="63"/>
        <v>0</v>
      </c>
      <c r="DP73" s="231">
        <f>'Offshore CF'!DR73</f>
        <v>0</v>
      </c>
      <c r="DQ73" s="231">
        <f>'Offshore CF'!DS73</f>
        <v>0.29866666666666669</v>
      </c>
      <c r="DR73" s="231">
        <f ca="1">IF(SUM(DR$24:DR72)=DR$22,0,IF(AND($K73&gt;=DR$15,$K73&lt;(DR$16+1)),DR$22/(DR$16-DR$15+1),0))</f>
        <v>0</v>
      </c>
      <c r="DS73" s="231" t="e">
        <f ca="1">IF(SUM(DS$24:DS72)=DS$22,0,IF(AND($K73&gt;=DS$15,$K73&lt;(DS$16+1)),DS$22/(DS$16-DS$15+1),0))</f>
        <v>#REF!</v>
      </c>
      <c r="DT73" s="231" t="e">
        <f ca="1">IF(SUM(DT$24:DT72)=DT$22,0,IF(AND(K73&gt;=DT$15,K73&lt;(DT$16+1)),DT$22/(DT$16-DT$15+1),0))</f>
        <v>#REF!</v>
      </c>
      <c r="DU73" s="231" t="e">
        <f ca="1">IF(SUM(DU$24:DU72)=DU$22,0,IF(AND($K73&gt;=DU$15,$K73&lt;(DU$16+1)),DU$22/(DU$16-DU$15+1),0))</f>
        <v>#REF!</v>
      </c>
      <c r="DV73" s="231">
        <f ca="1">IF(SUM(DV$24:DV72)=DV$22,0,IF(AND($K73&gt;=DV$15,$K73&lt;(DV$16+1)),DV$22/(DV$16-DV$15+1),0))</f>
        <v>0</v>
      </c>
      <c r="DW73" s="231">
        <f ca="1">IF(SUM(DW$24:DW72)=DW$22,0,IF(AND($K73&gt;=DW$15,$K73&lt;(DW$16+1)),DW$22/(DW$16-DW$15+1),0))</f>
        <v>0</v>
      </c>
      <c r="DX73" s="231">
        <f ca="1">IF(SUM(DX$24:DX72)=DX$22,0,IF(AND($K73&gt;=DX$15,$K73&lt;(DX$16+1)),DX$22/(DX$16-DX$15+1),0))</f>
        <v>0</v>
      </c>
      <c r="DY73" s="231">
        <f ca="1">IF(SUM(DY$24:DY72)=DY$22,0,IF(AND($K73&gt;=DY$15,$K73&lt;(DY$16+1)),DY$22/(DY$16-DY$15+1),0))</f>
        <v>0</v>
      </c>
      <c r="EA73" s="749">
        <f t="shared" si="51"/>
        <v>50</v>
      </c>
      <c r="EB73" s="749" t="e">
        <f t="shared" ca="1" si="52"/>
        <v>#N/A</v>
      </c>
      <c r="EC73" s="750" t="e">
        <f t="shared" ca="1" si="53"/>
        <v>#N/A</v>
      </c>
      <c r="ED73" s="749" t="e">
        <f t="shared" ca="1" si="28"/>
        <v>#N/A</v>
      </c>
      <c r="EE73" s="749"/>
      <c r="EF73" s="749"/>
      <c r="EG73" s="749"/>
      <c r="EH73" s="749"/>
      <c r="EI73" s="714" t="e">
        <f t="shared" ca="1" si="19"/>
        <v>#N/A</v>
      </c>
      <c r="EJ73" s="231" t="e">
        <f ca="1">IF(SUM(EJ$24:EJ72)=EJ$22,0,IF(AND($K73&gt;=EJ$15,$K73&lt;(EJ$16+1)),EJ$22/(EJ$16-EJ$15+1),0))</f>
        <v>#REF!</v>
      </c>
      <c r="EK73" s="714" t="e">
        <f t="shared" ca="1" si="54"/>
        <v>#N/A</v>
      </c>
      <c r="EM73" s="60"/>
      <c r="EN73" s="60"/>
    </row>
    <row r="74" spans="1:151">
      <c r="A74" s="247"/>
      <c r="B74" s="236">
        <f t="shared" si="20"/>
        <v>51</v>
      </c>
      <c r="C74" s="221">
        <f t="shared" si="21"/>
        <v>44991.835000000079</v>
      </c>
      <c r="D74" s="746" t="e">
        <f t="shared" ca="1" si="22"/>
        <v>#DIV/0!</v>
      </c>
      <c r="E74" s="747" t="e">
        <f t="shared" ca="1" si="25"/>
        <v>#DIV/0!</v>
      </c>
      <c r="F74" s="748" t="e">
        <f ca="1">IF(F73=0,0,SUM($G$24:G74))</f>
        <v>#DIV/0!</v>
      </c>
      <c r="G74" s="225" t="e">
        <f t="shared" ca="1" si="48"/>
        <v>#DIV/0!</v>
      </c>
      <c r="H74" s="746">
        <f t="shared" ca="1" si="23"/>
        <v>0</v>
      </c>
      <c r="I74" s="60"/>
      <c r="J74" s="242"/>
      <c r="K74" s="228">
        <f t="shared" si="49"/>
        <v>51</v>
      </c>
      <c r="L74" s="221">
        <f t="shared" si="50"/>
        <v>44991.835000000079</v>
      </c>
      <c r="M74" s="229">
        <f t="shared" ref="M74:AQ83" si="65">IF($K74=M$13,M$22*M$3,IF($K74=M$14,M$22*M$4,IF($K74=M$15,M$22*M$5,IF($K74=M$16,M$22*M$6,IF($K74=M$17,M$22*M$7,IF($K74=M$18,M$22*M$8,IF($K74=M$19,M$22*M$9,IF($K74=M$20,M$22*M$10,0))))))))</f>
        <v>0</v>
      </c>
      <c r="N74" s="229">
        <f t="shared" si="65"/>
        <v>0</v>
      </c>
      <c r="O74" s="229">
        <f t="shared" si="65"/>
        <v>0</v>
      </c>
      <c r="P74" s="229">
        <f t="shared" si="65"/>
        <v>0</v>
      </c>
      <c r="Q74" s="229">
        <f t="shared" si="65"/>
        <v>0</v>
      </c>
      <c r="R74" s="229">
        <f t="shared" si="64"/>
        <v>0</v>
      </c>
      <c r="S74" s="229">
        <f t="shared" si="64"/>
        <v>0</v>
      </c>
      <c r="T74" s="229">
        <f t="shared" si="64"/>
        <v>0</v>
      </c>
      <c r="U74" s="229">
        <f t="shared" si="65"/>
        <v>0</v>
      </c>
      <c r="V74" s="229">
        <f t="shared" si="65"/>
        <v>0</v>
      </c>
      <c r="W74" s="229">
        <f t="shared" si="65"/>
        <v>0</v>
      </c>
      <c r="X74" s="229">
        <f t="shared" si="65"/>
        <v>0</v>
      </c>
      <c r="Y74" s="229">
        <f t="shared" si="65"/>
        <v>0</v>
      </c>
      <c r="Z74" s="229">
        <f t="shared" si="65"/>
        <v>0</v>
      </c>
      <c r="AA74" s="229">
        <f t="shared" si="65"/>
        <v>0</v>
      </c>
      <c r="AB74" s="229">
        <f t="shared" si="65"/>
        <v>0</v>
      </c>
      <c r="AC74" s="229">
        <f t="shared" si="65"/>
        <v>0</v>
      </c>
      <c r="AD74" s="229">
        <f t="shared" si="65"/>
        <v>0</v>
      </c>
      <c r="AE74" s="229">
        <f t="shared" si="65"/>
        <v>0</v>
      </c>
      <c r="AF74" s="229">
        <f t="shared" si="65"/>
        <v>0</v>
      </c>
      <c r="AG74" s="229">
        <f t="shared" si="65"/>
        <v>0</v>
      </c>
      <c r="AH74" s="229">
        <f t="shared" si="65"/>
        <v>0</v>
      </c>
      <c r="AI74" s="229">
        <f t="shared" si="65"/>
        <v>0</v>
      </c>
      <c r="AJ74" s="229">
        <f t="shared" si="65"/>
        <v>0</v>
      </c>
      <c r="AK74" s="229">
        <f t="shared" si="65"/>
        <v>0</v>
      </c>
      <c r="AL74" s="229">
        <f t="shared" si="65"/>
        <v>0</v>
      </c>
      <c r="AM74" s="229">
        <f t="shared" si="65"/>
        <v>0</v>
      </c>
      <c r="AN74" s="229">
        <f t="shared" si="65"/>
        <v>0</v>
      </c>
      <c r="AO74" s="229">
        <f t="shared" si="65"/>
        <v>0</v>
      </c>
      <c r="AP74" s="229">
        <f t="shared" si="65"/>
        <v>0</v>
      </c>
      <c r="AQ74" s="229">
        <f t="shared" si="65"/>
        <v>0</v>
      </c>
      <c r="AR74" s="229">
        <f t="shared" ref="AR74:BB83" si="66">IF($K74=AR$13,AR$22*AR$3,IF($K74=AR$14,AR$22*AR$4,IF($K74=AR$15,AR$22*AR$5,IF($K74=AR$16,AR$22*AR$6,IF($K74=AR$17,AR$22*AR$7,IF($K74=AR$18,AR$22*AR$8,IF($K74=AR$19,AR$22*AR$9,IF($K74=AR$20,AR$22*AR$10,0))))))))</f>
        <v>0</v>
      </c>
      <c r="AS74" s="229">
        <f t="shared" si="66"/>
        <v>0</v>
      </c>
      <c r="AT74" s="229">
        <f t="shared" si="66"/>
        <v>0</v>
      </c>
      <c r="AU74" s="229">
        <f t="shared" si="66"/>
        <v>0</v>
      </c>
      <c r="AV74" s="229">
        <f t="shared" si="66"/>
        <v>0</v>
      </c>
      <c r="AW74" s="229">
        <f t="shared" si="66"/>
        <v>0</v>
      </c>
      <c r="AX74" s="229">
        <f t="shared" si="66"/>
        <v>0</v>
      </c>
      <c r="AY74" s="229">
        <f t="shared" si="66"/>
        <v>0</v>
      </c>
      <c r="AZ74" s="229">
        <f t="shared" si="66"/>
        <v>0</v>
      </c>
      <c r="BA74" s="229">
        <f t="shared" si="66"/>
        <v>0</v>
      </c>
      <c r="BB74" s="229">
        <f t="shared" si="66"/>
        <v>0</v>
      </c>
      <c r="BC74" s="229">
        <f t="shared" ref="BC74:BL83" si="67">IF($K74=BC$13,BC$22*BC$3,IF($K74=BC$14,BC$22*BC$4,IF($K74=BC$15,BC$22*BC$5,IF($K74=BC$16,BC$22*BC$6,IF($K74=BC$17,BC$22*BC$7,IF($K74=BC$18,BC$22*BC$8,IF($K74=BC$19,BC$22*BC$9,IF($K74=BC$20,BC$22*BC$10,0))))))))</f>
        <v>0</v>
      </c>
      <c r="BD74" s="229">
        <f t="shared" si="67"/>
        <v>0</v>
      </c>
      <c r="BE74" s="229">
        <f t="shared" si="67"/>
        <v>0</v>
      </c>
      <c r="BF74" s="229">
        <f t="shared" si="67"/>
        <v>0</v>
      </c>
      <c r="BG74" s="229">
        <f t="shared" si="67"/>
        <v>0</v>
      </c>
      <c r="BH74" s="229">
        <f t="shared" si="67"/>
        <v>0</v>
      </c>
      <c r="BI74" s="229">
        <f t="shared" si="67"/>
        <v>0</v>
      </c>
      <c r="BJ74" s="229">
        <f t="shared" si="67"/>
        <v>0</v>
      </c>
      <c r="BK74" s="229">
        <f t="shared" si="67"/>
        <v>0</v>
      </c>
      <c r="BL74" s="229">
        <f t="shared" si="67"/>
        <v>0</v>
      </c>
      <c r="BM74" s="229">
        <f t="shared" ref="BM74:CA83" si="68">IF($K74=BM$13,BM$22*BM$3,IF($K74=BM$14,BM$22*BM$4,IF($K74=BM$15,BM$22*BM$5,IF($K74=BM$16,BM$22*BM$6,IF($K74=BM$17,BM$22*BM$7,IF($K74=BM$18,BM$22*BM$8,IF($K74=BM$19,BM$22*BM$9,IF($K74=BM$20,BM$22*BM$10,0))))))))</f>
        <v>0</v>
      </c>
      <c r="BN74" s="229">
        <f t="shared" si="68"/>
        <v>0</v>
      </c>
      <c r="BO74" s="229">
        <f t="shared" si="68"/>
        <v>0</v>
      </c>
      <c r="BP74" s="229">
        <f t="shared" si="68"/>
        <v>0</v>
      </c>
      <c r="BQ74" s="229">
        <f t="shared" si="68"/>
        <v>0</v>
      </c>
      <c r="BR74" s="229">
        <f t="shared" si="68"/>
        <v>0</v>
      </c>
      <c r="BS74" s="229">
        <f t="shared" si="68"/>
        <v>0</v>
      </c>
      <c r="BT74" s="229">
        <f t="shared" si="68"/>
        <v>0</v>
      </c>
      <c r="BU74" s="229">
        <f t="shared" si="68"/>
        <v>0</v>
      </c>
      <c r="BV74" s="229">
        <f t="shared" si="68"/>
        <v>0</v>
      </c>
      <c r="BW74" s="229">
        <f t="shared" si="68"/>
        <v>0</v>
      </c>
      <c r="BX74" s="229">
        <f t="shared" si="68"/>
        <v>0</v>
      </c>
      <c r="BY74" s="229">
        <f t="shared" si="68"/>
        <v>0</v>
      </c>
      <c r="BZ74" s="229">
        <f t="shared" si="68"/>
        <v>0</v>
      </c>
      <c r="CA74" s="229">
        <f t="shared" si="68"/>
        <v>0</v>
      </c>
      <c r="CB74" s="229">
        <f t="shared" ref="CB74:CR83" si="69">IF($K74=CB$13,CB$22*CB$3,IF($K74=CB$14,CB$22*CB$4,IF($K74=CB$15,CB$22*CB$5,IF($K74=CB$16,CB$22*CB$6,IF($K74=CB$17,CB$22*CB$7,IF($K74=CB$18,CB$22*CB$8,IF($K74=CB$19,CB$22*CB$9,IF($K74=CB$20,CB$22*CB$10,0))))))))</f>
        <v>0</v>
      </c>
      <c r="CC74" s="229">
        <f t="shared" si="69"/>
        <v>0</v>
      </c>
      <c r="CD74" s="229">
        <f t="shared" si="69"/>
        <v>0</v>
      </c>
      <c r="CE74" s="229">
        <f t="shared" si="69"/>
        <v>0</v>
      </c>
      <c r="CF74" s="229">
        <f t="shared" si="69"/>
        <v>0</v>
      </c>
      <c r="CG74" s="229">
        <f t="shared" si="69"/>
        <v>0</v>
      </c>
      <c r="CH74" s="229">
        <f t="shared" si="69"/>
        <v>0</v>
      </c>
      <c r="CI74" s="229">
        <f t="shared" si="69"/>
        <v>0</v>
      </c>
      <c r="CJ74" s="229">
        <f t="shared" si="69"/>
        <v>0</v>
      </c>
      <c r="CK74" s="229">
        <f t="shared" si="69"/>
        <v>0</v>
      </c>
      <c r="CL74" s="229">
        <f t="shared" si="69"/>
        <v>0</v>
      </c>
      <c r="CM74" s="229">
        <f t="shared" si="69"/>
        <v>0</v>
      </c>
      <c r="CN74" s="229">
        <f t="shared" si="69"/>
        <v>0</v>
      </c>
      <c r="CO74" s="229">
        <f t="shared" si="69"/>
        <v>0</v>
      </c>
      <c r="CP74" s="229">
        <f t="shared" si="69"/>
        <v>0</v>
      </c>
      <c r="CQ74" s="229">
        <f t="shared" si="69"/>
        <v>0</v>
      </c>
      <c r="CR74" s="229">
        <f t="shared" si="69"/>
        <v>0</v>
      </c>
      <c r="CS74" s="230"/>
      <c r="CT74" s="231"/>
      <c r="CU74" s="231"/>
      <c r="CV74" s="231"/>
      <c r="CW74" s="231"/>
      <c r="CX74" s="231" t="e">
        <f t="shared" ca="1" si="62"/>
        <v>#N/A</v>
      </c>
      <c r="CY74" s="231"/>
      <c r="CZ74" s="231"/>
      <c r="DA74" s="231"/>
      <c r="DB74" s="231">
        <f>IF(SUM(DB$24:DB73)=DB$22,0,IF(AND($K74&gt;=DB$15,$K74&lt;(DB$16+1)),DB$22/(DB$16-DB$15+1),0))</f>
        <v>0</v>
      </c>
      <c r="DC74" s="231">
        <f t="shared" si="63"/>
        <v>0</v>
      </c>
      <c r="DD74" s="231">
        <f t="shared" si="63"/>
        <v>0</v>
      </c>
      <c r="DE74" s="231">
        <f t="shared" si="63"/>
        <v>0</v>
      </c>
      <c r="DF74" s="231">
        <f t="shared" si="63"/>
        <v>0</v>
      </c>
      <c r="DG74" s="231">
        <f t="shared" si="63"/>
        <v>0</v>
      </c>
      <c r="DH74" s="231">
        <f t="shared" si="63"/>
        <v>0</v>
      </c>
      <c r="DI74" s="231">
        <f t="shared" si="63"/>
        <v>0</v>
      </c>
      <c r="DJ74" s="231">
        <f t="shared" si="63"/>
        <v>0</v>
      </c>
      <c r="DK74" s="231">
        <f t="shared" si="63"/>
        <v>0</v>
      </c>
      <c r="DL74" s="231">
        <f t="shared" si="63"/>
        <v>0</v>
      </c>
      <c r="DM74" s="231">
        <f t="shared" si="63"/>
        <v>0</v>
      </c>
      <c r="DN74" s="231">
        <f t="shared" si="63"/>
        <v>0</v>
      </c>
      <c r="DO74" s="231">
        <f t="shared" si="63"/>
        <v>0</v>
      </c>
      <c r="DP74" s="231">
        <f>'Offshore CF'!DR74</f>
        <v>0</v>
      </c>
      <c r="DQ74" s="231">
        <f>'Offshore CF'!DS74</f>
        <v>0.29866666666666669</v>
      </c>
      <c r="DR74" s="231">
        <f ca="1">IF(SUM(DR$24:DR73)=DR$22,0,IF(AND($K74&gt;=DR$15,$K74&lt;(DR$16+1)),DR$22/(DR$16-DR$15+1),0))</f>
        <v>0</v>
      </c>
      <c r="DS74" s="231" t="e">
        <f ca="1">IF(SUM(DS$24:DS73)=DS$22,0,IF(AND($K74&gt;=DS$15,$K74&lt;(DS$16+1)),DS$22/(DS$16-DS$15+1),0))</f>
        <v>#REF!</v>
      </c>
      <c r="DT74" s="231" t="e">
        <f ca="1">IF(SUM(DT$24:DT73)=DT$22,0,IF(AND(K74&gt;=DT$15,K74&lt;(DT$16+1)),DT$22/(DT$16-DT$15+1),0))</f>
        <v>#REF!</v>
      </c>
      <c r="DU74" s="231" t="e">
        <f ca="1">IF(SUM(DU$24:DU73)=DU$22,0,IF(AND($K74&gt;=DU$15,$K74&lt;(DU$16+1)),DU$22/(DU$16-DU$15+1),0))</f>
        <v>#REF!</v>
      </c>
      <c r="DV74" s="231">
        <f ca="1">IF(SUM(DV$24:DV73)=DV$22,0,IF(AND($K74&gt;=DV$15,$K74&lt;(DV$16+1)),DV$22/(DV$16-DV$15+1),0))</f>
        <v>0</v>
      </c>
      <c r="DW74" s="231">
        <f ca="1">IF(SUM(DW$24:DW73)=DW$22,0,IF(AND($K74&gt;=DW$15,$K74&lt;(DW$16+1)),DW$22/(DW$16-DW$15+1),0))</f>
        <v>0</v>
      </c>
      <c r="DX74" s="231">
        <f ca="1">IF(SUM(DX$24:DX73)=DX$22,0,IF(AND($K74&gt;=DX$15,$K74&lt;(DX$16+1)),DX$22/(DX$16-DX$15+1),0))</f>
        <v>0</v>
      </c>
      <c r="DY74" s="231">
        <f ca="1">IF(SUM(DY$24:DY73)=DY$22,0,IF(AND($K74&gt;=DY$15,$K74&lt;(DY$16+1)),DY$22/(DY$16-DY$15+1),0))</f>
        <v>0</v>
      </c>
      <c r="EA74" s="749">
        <f t="shared" si="51"/>
        <v>51</v>
      </c>
      <c r="EB74" s="749" t="e">
        <f t="shared" ca="1" si="52"/>
        <v>#N/A</v>
      </c>
      <c r="EC74" s="750" t="e">
        <f t="shared" ca="1" si="53"/>
        <v>#N/A</v>
      </c>
      <c r="ED74" s="749" t="e">
        <f t="shared" ca="1" si="28"/>
        <v>#N/A</v>
      </c>
      <c r="EE74" s="749"/>
      <c r="EF74" s="749"/>
      <c r="EG74" s="749"/>
      <c r="EH74" s="749"/>
      <c r="EI74" s="714" t="e">
        <f t="shared" ca="1" si="19"/>
        <v>#N/A</v>
      </c>
      <c r="EJ74" s="231" t="e">
        <f ca="1">IF(SUM(EJ$24:EJ73)=EJ$22,0,IF(AND($K74&gt;=EJ$15,$K74&lt;(EJ$16+1)),EJ$22/(EJ$16-EJ$15+1),0))</f>
        <v>#REF!</v>
      </c>
      <c r="EK74" s="714" t="e">
        <f t="shared" ca="1" si="54"/>
        <v>#N/A</v>
      </c>
      <c r="EM74" s="60"/>
      <c r="EN74" s="60"/>
    </row>
    <row r="75" spans="1:151">
      <c r="A75" s="247"/>
      <c r="B75" s="236">
        <f t="shared" si="20"/>
        <v>52</v>
      </c>
      <c r="C75" s="221">
        <f t="shared" si="21"/>
        <v>45022.251700000081</v>
      </c>
      <c r="D75" s="746" t="e">
        <f t="shared" ca="1" si="22"/>
        <v>#DIV/0!</v>
      </c>
      <c r="E75" s="747" t="e">
        <f t="shared" ca="1" si="25"/>
        <v>#DIV/0!</v>
      </c>
      <c r="F75" s="748" t="e">
        <f ca="1">IF(F74=0,0,SUM($G$24:G75))</f>
        <v>#DIV/0!</v>
      </c>
      <c r="G75" s="225" t="e">
        <f t="shared" ca="1" si="48"/>
        <v>#DIV/0!</v>
      </c>
      <c r="H75" s="746">
        <f t="shared" ca="1" si="23"/>
        <v>0</v>
      </c>
      <c r="I75" s="60"/>
      <c r="J75" s="242"/>
      <c r="K75" s="228">
        <f t="shared" si="49"/>
        <v>52</v>
      </c>
      <c r="L75" s="221">
        <f t="shared" si="50"/>
        <v>45022.251700000081</v>
      </c>
      <c r="M75" s="229">
        <f t="shared" si="65"/>
        <v>0</v>
      </c>
      <c r="N75" s="229">
        <f t="shared" si="65"/>
        <v>0</v>
      </c>
      <c r="O75" s="229">
        <f t="shared" si="65"/>
        <v>0</v>
      </c>
      <c r="P75" s="229">
        <f t="shared" si="65"/>
        <v>0</v>
      </c>
      <c r="Q75" s="229">
        <f t="shared" si="65"/>
        <v>0</v>
      </c>
      <c r="R75" s="229">
        <f t="shared" si="64"/>
        <v>0</v>
      </c>
      <c r="S75" s="229">
        <f t="shared" si="64"/>
        <v>0</v>
      </c>
      <c r="T75" s="229">
        <f t="shared" si="64"/>
        <v>0</v>
      </c>
      <c r="U75" s="229">
        <f t="shared" si="65"/>
        <v>0</v>
      </c>
      <c r="V75" s="229">
        <f t="shared" si="65"/>
        <v>0</v>
      </c>
      <c r="W75" s="229">
        <f t="shared" si="65"/>
        <v>0</v>
      </c>
      <c r="X75" s="229">
        <f t="shared" si="65"/>
        <v>0</v>
      </c>
      <c r="Y75" s="229">
        <f t="shared" si="65"/>
        <v>0</v>
      </c>
      <c r="Z75" s="229">
        <f t="shared" si="65"/>
        <v>0</v>
      </c>
      <c r="AA75" s="229">
        <f t="shared" si="65"/>
        <v>0</v>
      </c>
      <c r="AB75" s="229">
        <f t="shared" si="65"/>
        <v>0</v>
      </c>
      <c r="AC75" s="229">
        <f t="shared" si="65"/>
        <v>0</v>
      </c>
      <c r="AD75" s="229">
        <f t="shared" si="65"/>
        <v>0</v>
      </c>
      <c r="AE75" s="229">
        <f t="shared" si="65"/>
        <v>0</v>
      </c>
      <c r="AF75" s="229">
        <f t="shared" si="65"/>
        <v>0</v>
      </c>
      <c r="AG75" s="229">
        <f t="shared" si="65"/>
        <v>0</v>
      </c>
      <c r="AH75" s="229">
        <f t="shared" si="65"/>
        <v>0</v>
      </c>
      <c r="AI75" s="229">
        <f t="shared" si="65"/>
        <v>0</v>
      </c>
      <c r="AJ75" s="229">
        <f t="shared" si="65"/>
        <v>0</v>
      </c>
      <c r="AK75" s="229">
        <f t="shared" si="65"/>
        <v>0</v>
      </c>
      <c r="AL75" s="229">
        <f t="shared" si="65"/>
        <v>0</v>
      </c>
      <c r="AM75" s="229">
        <f t="shared" si="65"/>
        <v>0</v>
      </c>
      <c r="AN75" s="229">
        <f t="shared" si="65"/>
        <v>0</v>
      </c>
      <c r="AO75" s="229">
        <f t="shared" si="65"/>
        <v>0</v>
      </c>
      <c r="AP75" s="229">
        <f t="shared" si="65"/>
        <v>0</v>
      </c>
      <c r="AQ75" s="229">
        <f t="shared" si="65"/>
        <v>0</v>
      </c>
      <c r="AR75" s="229">
        <f t="shared" si="66"/>
        <v>0</v>
      </c>
      <c r="AS75" s="229">
        <f t="shared" si="66"/>
        <v>0</v>
      </c>
      <c r="AT75" s="229">
        <f t="shared" si="66"/>
        <v>0</v>
      </c>
      <c r="AU75" s="229">
        <f t="shared" si="66"/>
        <v>0</v>
      </c>
      <c r="AV75" s="229">
        <f t="shared" si="66"/>
        <v>0</v>
      </c>
      <c r="AW75" s="229">
        <f t="shared" si="66"/>
        <v>0</v>
      </c>
      <c r="AX75" s="229">
        <f t="shared" si="66"/>
        <v>0</v>
      </c>
      <c r="AY75" s="229">
        <f t="shared" si="66"/>
        <v>0</v>
      </c>
      <c r="AZ75" s="229">
        <f t="shared" si="66"/>
        <v>0</v>
      </c>
      <c r="BA75" s="229">
        <f t="shared" si="66"/>
        <v>0</v>
      </c>
      <c r="BB75" s="229">
        <f t="shared" si="66"/>
        <v>0</v>
      </c>
      <c r="BC75" s="229">
        <f t="shared" si="67"/>
        <v>0</v>
      </c>
      <c r="BD75" s="229">
        <f t="shared" si="67"/>
        <v>0</v>
      </c>
      <c r="BE75" s="229">
        <f t="shared" si="67"/>
        <v>0</v>
      </c>
      <c r="BF75" s="229">
        <f t="shared" si="67"/>
        <v>0</v>
      </c>
      <c r="BG75" s="229">
        <f t="shared" si="67"/>
        <v>0</v>
      </c>
      <c r="BH75" s="229">
        <f t="shared" si="67"/>
        <v>0</v>
      </c>
      <c r="BI75" s="229">
        <f t="shared" si="67"/>
        <v>0</v>
      </c>
      <c r="BJ75" s="229">
        <f t="shared" si="67"/>
        <v>0</v>
      </c>
      <c r="BK75" s="229">
        <f t="shared" si="67"/>
        <v>0</v>
      </c>
      <c r="BL75" s="229">
        <f t="shared" si="67"/>
        <v>0</v>
      </c>
      <c r="BM75" s="229">
        <f t="shared" si="68"/>
        <v>0</v>
      </c>
      <c r="BN75" s="229">
        <f t="shared" si="68"/>
        <v>0</v>
      </c>
      <c r="BO75" s="229">
        <f t="shared" si="68"/>
        <v>0</v>
      </c>
      <c r="BP75" s="229">
        <f t="shared" si="68"/>
        <v>0</v>
      </c>
      <c r="BQ75" s="229">
        <f t="shared" si="68"/>
        <v>0</v>
      </c>
      <c r="BR75" s="229">
        <f t="shared" si="68"/>
        <v>0</v>
      </c>
      <c r="BS75" s="229">
        <f t="shared" si="68"/>
        <v>0</v>
      </c>
      <c r="BT75" s="229">
        <f t="shared" si="68"/>
        <v>0</v>
      </c>
      <c r="BU75" s="229">
        <f t="shared" si="68"/>
        <v>0</v>
      </c>
      <c r="BV75" s="229">
        <f t="shared" si="68"/>
        <v>0</v>
      </c>
      <c r="BW75" s="229">
        <f t="shared" si="68"/>
        <v>0</v>
      </c>
      <c r="BX75" s="229">
        <f t="shared" si="68"/>
        <v>0</v>
      </c>
      <c r="BY75" s="229">
        <f t="shared" si="68"/>
        <v>0</v>
      </c>
      <c r="BZ75" s="229">
        <f t="shared" si="68"/>
        <v>0</v>
      </c>
      <c r="CA75" s="229">
        <f t="shared" si="68"/>
        <v>0</v>
      </c>
      <c r="CB75" s="229">
        <f t="shared" si="69"/>
        <v>0</v>
      </c>
      <c r="CC75" s="229">
        <f t="shared" si="69"/>
        <v>0</v>
      </c>
      <c r="CD75" s="229">
        <f t="shared" si="69"/>
        <v>0</v>
      </c>
      <c r="CE75" s="229">
        <f t="shared" si="69"/>
        <v>0</v>
      </c>
      <c r="CF75" s="229">
        <f t="shared" si="69"/>
        <v>0</v>
      </c>
      <c r="CG75" s="229">
        <f t="shared" si="69"/>
        <v>0</v>
      </c>
      <c r="CH75" s="229">
        <f t="shared" si="69"/>
        <v>0</v>
      </c>
      <c r="CI75" s="229">
        <f t="shared" si="69"/>
        <v>0</v>
      </c>
      <c r="CJ75" s="229">
        <f t="shared" si="69"/>
        <v>0</v>
      </c>
      <c r="CK75" s="229">
        <f t="shared" si="69"/>
        <v>0</v>
      </c>
      <c r="CL75" s="229">
        <f t="shared" si="69"/>
        <v>0</v>
      </c>
      <c r="CM75" s="229">
        <f t="shared" si="69"/>
        <v>0</v>
      </c>
      <c r="CN75" s="229">
        <f t="shared" si="69"/>
        <v>0</v>
      </c>
      <c r="CO75" s="229">
        <f t="shared" si="69"/>
        <v>0</v>
      </c>
      <c r="CP75" s="229">
        <f t="shared" si="69"/>
        <v>0</v>
      </c>
      <c r="CQ75" s="229">
        <f t="shared" si="69"/>
        <v>0</v>
      </c>
      <c r="CR75" s="229">
        <f t="shared" si="69"/>
        <v>0</v>
      </c>
      <c r="CS75" s="230"/>
      <c r="CT75" s="231"/>
      <c r="CU75" s="231"/>
      <c r="CV75" s="231"/>
      <c r="CW75" s="231"/>
      <c r="CX75" s="231" t="e">
        <f t="shared" ca="1" si="62"/>
        <v>#N/A</v>
      </c>
      <c r="CY75" s="231"/>
      <c r="CZ75" s="231"/>
      <c r="DA75" s="231" t="e">
        <f ca="1">IF(SUM(DA$32:DA74)&gt;=DA$22,0,DA$22/(DA$13*4))</f>
        <v>#N/A</v>
      </c>
      <c r="DB75" s="231">
        <f>IF(SUM(DB$24:DB74)=DB$22,0,IF(AND($K75&gt;=DB$15,$K75&lt;(DB$16+1)),DB$22/(DB$16-DB$15+1),0))</f>
        <v>0</v>
      </c>
      <c r="DC75" s="231">
        <f t="shared" si="63"/>
        <v>0</v>
      </c>
      <c r="DD75" s="231">
        <f t="shared" si="63"/>
        <v>0</v>
      </c>
      <c r="DE75" s="231">
        <f t="shared" si="63"/>
        <v>0</v>
      </c>
      <c r="DF75" s="231">
        <f t="shared" si="63"/>
        <v>0</v>
      </c>
      <c r="DG75" s="231">
        <f t="shared" si="63"/>
        <v>0</v>
      </c>
      <c r="DH75" s="231">
        <f t="shared" si="63"/>
        <v>0</v>
      </c>
      <c r="DI75" s="231">
        <f t="shared" si="63"/>
        <v>0</v>
      </c>
      <c r="DJ75" s="231">
        <f t="shared" si="63"/>
        <v>0</v>
      </c>
      <c r="DK75" s="231">
        <f t="shared" si="63"/>
        <v>0</v>
      </c>
      <c r="DL75" s="231">
        <f t="shared" si="63"/>
        <v>0</v>
      </c>
      <c r="DM75" s="231">
        <f t="shared" si="63"/>
        <v>0</v>
      </c>
      <c r="DN75" s="231">
        <f t="shared" si="63"/>
        <v>0</v>
      </c>
      <c r="DO75" s="231">
        <f t="shared" si="63"/>
        <v>0</v>
      </c>
      <c r="DP75" s="231">
        <f>'Offshore CF'!DR75</f>
        <v>0</v>
      </c>
      <c r="DQ75" s="231">
        <f>'Offshore CF'!DS75</f>
        <v>0.29866666666666669</v>
      </c>
      <c r="DR75" s="231">
        <f ca="1">IF(SUM(DR$24:DR74)=DR$22,0,IF(AND($K75&gt;=DR$15,$K75&lt;(DR$16+1)),DR$22/(DR$16-DR$15+1),0))</f>
        <v>0</v>
      </c>
      <c r="DS75" s="231" t="e">
        <f ca="1">IF(SUM(DS$24:DS74)=DS$22,0,IF(AND($K75&gt;=DS$15,$K75&lt;(DS$16+1)),DS$22/(DS$16-DS$15+1),0))</f>
        <v>#REF!</v>
      </c>
      <c r="DT75" s="231" t="e">
        <f ca="1">IF(SUM(DT$24:DT74)=DT$22,0,IF(AND(K75&gt;=DT$15,K75&lt;(DT$16+1)),DT$22/(DT$16-DT$15+1),0))</f>
        <v>#REF!</v>
      </c>
      <c r="DU75" s="231" t="e">
        <f ca="1">IF(SUM(DU$24:DU74)=DU$22,0,IF(AND($K75&gt;=DU$15,$K75&lt;(DU$16+1)),DU$22/(DU$16-DU$15+1),0))</f>
        <v>#REF!</v>
      </c>
      <c r="DV75" s="231">
        <f ca="1">IF(SUM(DV$24:DV74)=DV$22,0,IF(AND($K75&gt;=DV$15,$K75&lt;(DV$16+1)),DV$22/(DV$16-DV$15+1),0))</f>
        <v>0</v>
      </c>
      <c r="DW75" s="231">
        <f ca="1">IF(SUM(DW$24:DW74)=DW$22,0,IF(AND($K75&gt;=DW$15,$K75&lt;(DW$16+1)),DW$22/(DW$16-DW$15+1),0))</f>
        <v>0</v>
      </c>
      <c r="DX75" s="231">
        <f ca="1">IF(SUM(DX$24:DX74)=DX$22,0,IF(AND($K75&gt;=DX$15,$K75&lt;(DX$16+1)),DX$22/(DX$16-DX$15+1),0))</f>
        <v>0</v>
      </c>
      <c r="DY75" s="231">
        <f ca="1">IF(SUM(DY$24:DY74)=DY$22,0,IF(AND($K75&gt;=DY$15,$K75&lt;(DY$16+1)),DY$22/(DY$16-DY$15+1),0))</f>
        <v>0</v>
      </c>
      <c r="EA75" s="749">
        <f t="shared" si="51"/>
        <v>52</v>
      </c>
      <c r="EB75" s="749" t="e">
        <f t="shared" ca="1" si="52"/>
        <v>#N/A</v>
      </c>
      <c r="EC75" s="750" t="e">
        <f t="shared" ca="1" si="53"/>
        <v>#N/A</v>
      </c>
      <c r="ED75" s="749" t="e">
        <f t="shared" ca="1" si="28"/>
        <v>#N/A</v>
      </c>
      <c r="EE75" s="749"/>
      <c r="EF75" s="749"/>
      <c r="EG75" s="749"/>
      <c r="EH75" s="749"/>
      <c r="EI75" s="714" t="e">
        <f t="shared" ca="1" si="19"/>
        <v>#N/A</v>
      </c>
      <c r="EJ75" s="231" t="e">
        <f ca="1">IF(SUM(EJ$24:EJ74)=EJ$22,0,IF(AND($K75&gt;=EJ$15,$K75&lt;(EJ$16+1)),EJ$22/(EJ$16-EJ$15+1),0))</f>
        <v>#REF!</v>
      </c>
      <c r="EK75" s="714" t="e">
        <f t="shared" ca="1" si="54"/>
        <v>#N/A</v>
      </c>
      <c r="EM75" s="60"/>
      <c r="EN75" s="60"/>
    </row>
    <row r="76" spans="1:151">
      <c r="A76" s="247"/>
      <c r="B76" s="236">
        <f t="shared" si="20"/>
        <v>53</v>
      </c>
      <c r="C76" s="221">
        <f t="shared" si="21"/>
        <v>45052.668400000082</v>
      </c>
      <c r="D76" s="746" t="e">
        <f t="shared" ca="1" si="22"/>
        <v>#DIV/0!</v>
      </c>
      <c r="E76" s="747" t="e">
        <f t="shared" ca="1" si="25"/>
        <v>#DIV/0!</v>
      </c>
      <c r="F76" s="748" t="e">
        <f ca="1">IF(F75=0,0,SUM($G$24:G76))</f>
        <v>#DIV/0!</v>
      </c>
      <c r="G76" s="225" t="e">
        <f t="shared" ca="1" si="48"/>
        <v>#DIV/0!</v>
      </c>
      <c r="H76" s="746">
        <f t="shared" ca="1" si="23"/>
        <v>0</v>
      </c>
      <c r="I76" s="60"/>
      <c r="J76" s="242"/>
      <c r="K76" s="228">
        <f t="shared" si="49"/>
        <v>53</v>
      </c>
      <c r="L76" s="221">
        <f t="shared" si="50"/>
        <v>45052.668400000082</v>
      </c>
      <c r="M76" s="229">
        <f t="shared" si="65"/>
        <v>0</v>
      </c>
      <c r="N76" s="229">
        <f t="shared" si="65"/>
        <v>0</v>
      </c>
      <c r="O76" s="229">
        <f t="shared" si="65"/>
        <v>0</v>
      </c>
      <c r="P76" s="229">
        <f t="shared" si="65"/>
        <v>0</v>
      </c>
      <c r="Q76" s="229">
        <f t="shared" si="65"/>
        <v>0</v>
      </c>
      <c r="R76" s="229">
        <f t="shared" si="64"/>
        <v>0</v>
      </c>
      <c r="S76" s="229">
        <f t="shared" si="64"/>
        <v>0</v>
      </c>
      <c r="T76" s="229">
        <f t="shared" si="64"/>
        <v>0</v>
      </c>
      <c r="U76" s="229">
        <f t="shared" si="65"/>
        <v>0</v>
      </c>
      <c r="V76" s="229">
        <f t="shared" si="65"/>
        <v>0</v>
      </c>
      <c r="W76" s="229">
        <f t="shared" si="65"/>
        <v>0</v>
      </c>
      <c r="X76" s="229">
        <f t="shared" si="65"/>
        <v>0</v>
      </c>
      <c r="Y76" s="229">
        <f t="shared" si="65"/>
        <v>0</v>
      </c>
      <c r="Z76" s="229">
        <f t="shared" si="65"/>
        <v>0</v>
      </c>
      <c r="AA76" s="229">
        <f t="shared" si="65"/>
        <v>0</v>
      </c>
      <c r="AB76" s="229">
        <f t="shared" si="65"/>
        <v>0</v>
      </c>
      <c r="AC76" s="229">
        <f t="shared" si="65"/>
        <v>0</v>
      </c>
      <c r="AD76" s="229">
        <f t="shared" si="65"/>
        <v>0</v>
      </c>
      <c r="AE76" s="229">
        <f t="shared" si="65"/>
        <v>0</v>
      </c>
      <c r="AF76" s="229">
        <f t="shared" si="65"/>
        <v>0</v>
      </c>
      <c r="AG76" s="229">
        <f t="shared" si="65"/>
        <v>0</v>
      </c>
      <c r="AH76" s="229">
        <f t="shared" si="65"/>
        <v>0</v>
      </c>
      <c r="AI76" s="229">
        <f t="shared" si="65"/>
        <v>0</v>
      </c>
      <c r="AJ76" s="229">
        <f t="shared" si="65"/>
        <v>0</v>
      </c>
      <c r="AK76" s="229">
        <f t="shared" si="65"/>
        <v>0</v>
      </c>
      <c r="AL76" s="229">
        <f t="shared" si="65"/>
        <v>0</v>
      </c>
      <c r="AM76" s="229">
        <f t="shared" si="65"/>
        <v>0</v>
      </c>
      <c r="AN76" s="229">
        <f t="shared" si="65"/>
        <v>0</v>
      </c>
      <c r="AO76" s="229">
        <f t="shared" si="65"/>
        <v>0</v>
      </c>
      <c r="AP76" s="229">
        <f t="shared" si="65"/>
        <v>0</v>
      </c>
      <c r="AQ76" s="229">
        <f t="shared" si="65"/>
        <v>0</v>
      </c>
      <c r="AR76" s="229">
        <f t="shared" si="66"/>
        <v>0</v>
      </c>
      <c r="AS76" s="229">
        <f t="shared" si="66"/>
        <v>0</v>
      </c>
      <c r="AT76" s="229">
        <f t="shared" si="66"/>
        <v>0</v>
      </c>
      <c r="AU76" s="229">
        <f t="shared" si="66"/>
        <v>0</v>
      </c>
      <c r="AV76" s="229">
        <f t="shared" si="66"/>
        <v>0</v>
      </c>
      <c r="AW76" s="229">
        <f t="shared" si="66"/>
        <v>0</v>
      </c>
      <c r="AX76" s="229">
        <f t="shared" si="66"/>
        <v>0</v>
      </c>
      <c r="AY76" s="229">
        <f t="shared" si="66"/>
        <v>0</v>
      </c>
      <c r="AZ76" s="229">
        <f t="shared" si="66"/>
        <v>0</v>
      </c>
      <c r="BA76" s="229">
        <f t="shared" si="66"/>
        <v>0</v>
      </c>
      <c r="BB76" s="229">
        <f t="shared" si="66"/>
        <v>0</v>
      </c>
      <c r="BC76" s="229">
        <f t="shared" si="67"/>
        <v>0</v>
      </c>
      <c r="BD76" s="229">
        <f t="shared" si="67"/>
        <v>0</v>
      </c>
      <c r="BE76" s="229">
        <f t="shared" si="67"/>
        <v>0</v>
      </c>
      <c r="BF76" s="229">
        <f t="shared" si="67"/>
        <v>0</v>
      </c>
      <c r="BG76" s="229">
        <f t="shared" si="67"/>
        <v>0</v>
      </c>
      <c r="BH76" s="229">
        <f t="shared" si="67"/>
        <v>0</v>
      </c>
      <c r="BI76" s="229">
        <f t="shared" si="67"/>
        <v>0</v>
      </c>
      <c r="BJ76" s="229">
        <f t="shared" si="67"/>
        <v>0</v>
      </c>
      <c r="BK76" s="229">
        <f t="shared" si="67"/>
        <v>0</v>
      </c>
      <c r="BL76" s="229">
        <f t="shared" si="67"/>
        <v>0</v>
      </c>
      <c r="BM76" s="229">
        <f t="shared" si="68"/>
        <v>0</v>
      </c>
      <c r="BN76" s="229">
        <f t="shared" si="68"/>
        <v>0</v>
      </c>
      <c r="BO76" s="229">
        <f t="shared" si="68"/>
        <v>0</v>
      </c>
      <c r="BP76" s="229">
        <f t="shared" si="68"/>
        <v>0</v>
      </c>
      <c r="BQ76" s="229">
        <f t="shared" si="68"/>
        <v>0</v>
      </c>
      <c r="BR76" s="229">
        <f t="shared" si="68"/>
        <v>0</v>
      </c>
      <c r="BS76" s="229">
        <f t="shared" si="68"/>
        <v>0</v>
      </c>
      <c r="BT76" s="229">
        <f t="shared" si="68"/>
        <v>0</v>
      </c>
      <c r="BU76" s="229">
        <f t="shared" si="68"/>
        <v>0</v>
      </c>
      <c r="BV76" s="229">
        <f t="shared" si="68"/>
        <v>0</v>
      </c>
      <c r="BW76" s="229">
        <f t="shared" si="68"/>
        <v>0</v>
      </c>
      <c r="BX76" s="229">
        <f t="shared" si="68"/>
        <v>0</v>
      </c>
      <c r="BY76" s="229">
        <f t="shared" si="68"/>
        <v>0</v>
      </c>
      <c r="BZ76" s="229">
        <f t="shared" si="68"/>
        <v>0</v>
      </c>
      <c r="CA76" s="229">
        <f t="shared" si="68"/>
        <v>0</v>
      </c>
      <c r="CB76" s="229">
        <f t="shared" si="69"/>
        <v>0</v>
      </c>
      <c r="CC76" s="229">
        <f t="shared" si="69"/>
        <v>0</v>
      </c>
      <c r="CD76" s="229">
        <f t="shared" si="69"/>
        <v>0</v>
      </c>
      <c r="CE76" s="229">
        <f t="shared" si="69"/>
        <v>0</v>
      </c>
      <c r="CF76" s="229">
        <f t="shared" si="69"/>
        <v>0</v>
      </c>
      <c r="CG76" s="229">
        <f t="shared" si="69"/>
        <v>0</v>
      </c>
      <c r="CH76" s="229">
        <f t="shared" si="69"/>
        <v>0</v>
      </c>
      <c r="CI76" s="229">
        <f t="shared" si="69"/>
        <v>0</v>
      </c>
      <c r="CJ76" s="229">
        <f t="shared" si="69"/>
        <v>0</v>
      </c>
      <c r="CK76" s="229">
        <f t="shared" si="69"/>
        <v>0</v>
      </c>
      <c r="CL76" s="229">
        <f t="shared" si="69"/>
        <v>0</v>
      </c>
      <c r="CM76" s="229">
        <f t="shared" si="69"/>
        <v>0</v>
      </c>
      <c r="CN76" s="229">
        <f t="shared" si="69"/>
        <v>0</v>
      </c>
      <c r="CO76" s="229">
        <f t="shared" si="69"/>
        <v>0</v>
      </c>
      <c r="CP76" s="229">
        <f t="shared" si="69"/>
        <v>0</v>
      </c>
      <c r="CQ76" s="229">
        <f t="shared" si="69"/>
        <v>0</v>
      </c>
      <c r="CR76" s="229">
        <f t="shared" si="69"/>
        <v>0</v>
      </c>
      <c r="CS76" s="230"/>
      <c r="CT76" s="231"/>
      <c r="CU76" s="231"/>
      <c r="CV76" s="231"/>
      <c r="CW76" s="231"/>
      <c r="CX76" s="231" t="e">
        <f t="shared" ca="1" si="62"/>
        <v>#N/A</v>
      </c>
      <c r="CY76" s="231"/>
      <c r="CZ76" s="231"/>
      <c r="DA76" s="231"/>
      <c r="DB76" s="231">
        <f>IF(SUM(DB$24:DB75)=DB$22,0,IF(AND($K76&gt;=DB$15,$K76&lt;(DB$16+1)),DB$22/(DB$16-DB$15+1),0))</f>
        <v>0</v>
      </c>
      <c r="DC76" s="231">
        <f t="shared" si="63"/>
        <v>0</v>
      </c>
      <c r="DD76" s="231">
        <f t="shared" si="63"/>
        <v>0</v>
      </c>
      <c r="DE76" s="231">
        <f t="shared" si="63"/>
        <v>0</v>
      </c>
      <c r="DF76" s="231">
        <f t="shared" si="63"/>
        <v>0</v>
      </c>
      <c r="DG76" s="231">
        <f t="shared" si="63"/>
        <v>0</v>
      </c>
      <c r="DH76" s="231">
        <f t="shared" si="63"/>
        <v>0</v>
      </c>
      <c r="DI76" s="231">
        <f t="shared" si="63"/>
        <v>0</v>
      </c>
      <c r="DJ76" s="231">
        <f t="shared" si="63"/>
        <v>0</v>
      </c>
      <c r="DK76" s="231">
        <f t="shared" si="63"/>
        <v>0</v>
      </c>
      <c r="DL76" s="231">
        <f t="shared" si="63"/>
        <v>0</v>
      </c>
      <c r="DM76" s="231">
        <f t="shared" si="63"/>
        <v>0</v>
      </c>
      <c r="DN76" s="231">
        <f t="shared" si="63"/>
        <v>0</v>
      </c>
      <c r="DO76" s="231">
        <f t="shared" si="63"/>
        <v>0</v>
      </c>
      <c r="DP76" s="231">
        <f>'Offshore CF'!DR76</f>
        <v>0</v>
      </c>
      <c r="DQ76" s="231">
        <f>'Offshore CF'!DS76</f>
        <v>0.29866666666666669</v>
      </c>
      <c r="DR76" s="231">
        <f ca="1">IF(SUM(DR$24:DR75)=DR$22,0,IF(AND($K76&gt;=DR$15,$K76&lt;(DR$16+1)),DR$22/(DR$16-DR$15+1),0))</f>
        <v>0</v>
      </c>
      <c r="DS76" s="231" t="e">
        <f ca="1">IF(SUM(DS$24:DS75)=DS$22,0,IF(AND($K76&gt;=DS$15,$K76&lt;(DS$16+1)),DS$22/(DS$16-DS$15+1),0))</f>
        <v>#REF!</v>
      </c>
      <c r="DT76" s="231" t="e">
        <f ca="1">IF(SUM(DT$24:DT75)=DT$22,0,IF(AND(K76&gt;=DT$15,K76&lt;(DT$16+1)),DT$22/(DT$16-DT$15+1),0))</f>
        <v>#REF!</v>
      </c>
      <c r="DU76" s="231" t="e">
        <f ca="1">IF(SUM(DU$24:DU75)=DU$22,0,IF(AND($K76&gt;=DU$15,$K76&lt;(DU$16+1)),DU$22/(DU$16-DU$15+1),0))</f>
        <v>#REF!</v>
      </c>
      <c r="DV76" s="231">
        <f ca="1">IF(SUM(DV$24:DV75)=DV$22,0,IF(AND($K76&gt;=DV$15,$K76&lt;(DV$16+1)),DV$22/(DV$16-DV$15+1),0))</f>
        <v>0</v>
      </c>
      <c r="DW76" s="231">
        <f ca="1">IF(SUM(DW$24:DW75)=DW$22,0,IF(AND($K76&gt;=DW$15,$K76&lt;(DW$16+1)),DW$22/(DW$16-DW$15+1),0))</f>
        <v>0</v>
      </c>
      <c r="DX76" s="231">
        <f ca="1">IF(SUM(DX$24:DX75)=DX$22,0,IF(AND($K76&gt;=DX$15,$K76&lt;(DX$16+1)),DX$22/(DX$16-DX$15+1),0))</f>
        <v>0</v>
      </c>
      <c r="DY76" s="231">
        <f ca="1">IF(SUM(DY$24:DY75)=DY$22,0,IF(AND($K76&gt;=DY$15,$K76&lt;(DY$16+1)),DY$22/(DY$16-DY$15+1),0))</f>
        <v>0</v>
      </c>
      <c r="EA76" s="749">
        <f t="shared" si="51"/>
        <v>53</v>
      </c>
      <c r="EB76" s="749" t="e">
        <f t="shared" ca="1" si="52"/>
        <v>#N/A</v>
      </c>
      <c r="EC76" s="750" t="e">
        <f t="shared" ca="1" si="53"/>
        <v>#N/A</v>
      </c>
      <c r="ED76" s="749" t="e">
        <f t="shared" ca="1" si="28"/>
        <v>#N/A</v>
      </c>
      <c r="EE76" s="749"/>
      <c r="EF76" s="749"/>
      <c r="EG76" s="749"/>
      <c r="EH76" s="749"/>
      <c r="EI76" s="714" t="e">
        <f t="shared" ca="1" si="19"/>
        <v>#N/A</v>
      </c>
      <c r="EJ76" s="231" t="e">
        <f ca="1">IF(SUM(EJ$24:EJ75)=EJ$22,0,IF(AND($K76&gt;=EJ$15,$K76&lt;(EJ$16+1)),EJ$22/(EJ$16-EJ$15+1),0))</f>
        <v>#REF!</v>
      </c>
      <c r="EK76" s="714" t="e">
        <f t="shared" ca="1" si="54"/>
        <v>#N/A</v>
      </c>
      <c r="EM76" s="60"/>
      <c r="EN76" s="60"/>
    </row>
    <row r="77" spans="1:151">
      <c r="A77" s="247"/>
      <c r="B77" s="236">
        <f t="shared" si="20"/>
        <v>54</v>
      </c>
      <c r="C77" s="221">
        <f t="shared" si="21"/>
        <v>45083.085100000084</v>
      </c>
      <c r="D77" s="746" t="e">
        <f t="shared" ca="1" si="22"/>
        <v>#DIV/0!</v>
      </c>
      <c r="E77" s="747" t="e">
        <f t="shared" ca="1" si="25"/>
        <v>#DIV/0!</v>
      </c>
      <c r="F77" s="748" t="e">
        <f ca="1">IF(F76=0,0,SUM($G$24:G77))</f>
        <v>#DIV/0!</v>
      </c>
      <c r="G77" s="225" t="e">
        <f t="shared" ca="1" si="48"/>
        <v>#DIV/0!</v>
      </c>
      <c r="H77" s="746">
        <f t="shared" ca="1" si="23"/>
        <v>0</v>
      </c>
      <c r="I77" s="60"/>
      <c r="J77" s="242"/>
      <c r="K77" s="228">
        <f t="shared" si="49"/>
        <v>54</v>
      </c>
      <c r="L77" s="221">
        <f t="shared" si="50"/>
        <v>45083.085100000084</v>
      </c>
      <c r="M77" s="229">
        <f t="shared" si="65"/>
        <v>0</v>
      </c>
      <c r="N77" s="229">
        <f t="shared" si="65"/>
        <v>0</v>
      </c>
      <c r="O77" s="229">
        <f t="shared" si="65"/>
        <v>0</v>
      </c>
      <c r="P77" s="229">
        <f t="shared" si="65"/>
        <v>0</v>
      </c>
      <c r="Q77" s="229">
        <f t="shared" si="65"/>
        <v>0</v>
      </c>
      <c r="R77" s="229">
        <f t="shared" si="64"/>
        <v>0</v>
      </c>
      <c r="S77" s="229">
        <f t="shared" si="64"/>
        <v>0</v>
      </c>
      <c r="T77" s="229">
        <f t="shared" si="64"/>
        <v>0</v>
      </c>
      <c r="U77" s="229">
        <f t="shared" si="65"/>
        <v>0</v>
      </c>
      <c r="V77" s="229">
        <f t="shared" si="65"/>
        <v>0</v>
      </c>
      <c r="W77" s="229">
        <f t="shared" si="65"/>
        <v>0</v>
      </c>
      <c r="X77" s="229">
        <f t="shared" si="65"/>
        <v>0</v>
      </c>
      <c r="Y77" s="229">
        <f t="shared" si="65"/>
        <v>0</v>
      </c>
      <c r="Z77" s="229">
        <f t="shared" si="65"/>
        <v>0</v>
      </c>
      <c r="AA77" s="229">
        <f t="shared" si="65"/>
        <v>0</v>
      </c>
      <c r="AB77" s="229">
        <f t="shared" si="65"/>
        <v>0</v>
      </c>
      <c r="AC77" s="229">
        <f t="shared" si="65"/>
        <v>0</v>
      </c>
      <c r="AD77" s="229">
        <f t="shared" si="65"/>
        <v>0</v>
      </c>
      <c r="AE77" s="229">
        <f t="shared" si="65"/>
        <v>0</v>
      </c>
      <c r="AF77" s="229">
        <f t="shared" si="65"/>
        <v>0</v>
      </c>
      <c r="AG77" s="229">
        <f t="shared" si="65"/>
        <v>0</v>
      </c>
      <c r="AH77" s="229">
        <f t="shared" si="65"/>
        <v>0</v>
      </c>
      <c r="AI77" s="229">
        <f t="shared" si="65"/>
        <v>0</v>
      </c>
      <c r="AJ77" s="229">
        <f t="shared" si="65"/>
        <v>0</v>
      </c>
      <c r="AK77" s="229">
        <f t="shared" si="65"/>
        <v>0</v>
      </c>
      <c r="AL77" s="229">
        <f t="shared" si="65"/>
        <v>0</v>
      </c>
      <c r="AM77" s="229">
        <f t="shared" si="65"/>
        <v>0</v>
      </c>
      <c r="AN77" s="229">
        <f t="shared" si="65"/>
        <v>0</v>
      </c>
      <c r="AO77" s="229">
        <f t="shared" si="65"/>
        <v>0</v>
      </c>
      <c r="AP77" s="229">
        <f t="shared" si="65"/>
        <v>0</v>
      </c>
      <c r="AQ77" s="229">
        <f t="shared" si="65"/>
        <v>0</v>
      </c>
      <c r="AR77" s="229">
        <f t="shared" si="66"/>
        <v>0</v>
      </c>
      <c r="AS77" s="229">
        <f t="shared" si="66"/>
        <v>0</v>
      </c>
      <c r="AT77" s="229">
        <f t="shared" si="66"/>
        <v>0</v>
      </c>
      <c r="AU77" s="229">
        <f t="shared" si="66"/>
        <v>0</v>
      </c>
      <c r="AV77" s="229">
        <f t="shared" si="66"/>
        <v>0</v>
      </c>
      <c r="AW77" s="229">
        <f t="shared" si="66"/>
        <v>0</v>
      </c>
      <c r="AX77" s="229">
        <f t="shared" si="66"/>
        <v>0</v>
      </c>
      <c r="AY77" s="229">
        <f t="shared" si="66"/>
        <v>0</v>
      </c>
      <c r="AZ77" s="229">
        <f t="shared" si="66"/>
        <v>0</v>
      </c>
      <c r="BA77" s="229">
        <f t="shared" si="66"/>
        <v>0</v>
      </c>
      <c r="BB77" s="229">
        <f t="shared" si="66"/>
        <v>0</v>
      </c>
      <c r="BC77" s="229">
        <f t="shared" si="67"/>
        <v>0</v>
      </c>
      <c r="BD77" s="229">
        <f t="shared" si="67"/>
        <v>0</v>
      </c>
      <c r="BE77" s="229">
        <f t="shared" si="67"/>
        <v>0</v>
      </c>
      <c r="BF77" s="229">
        <f t="shared" si="67"/>
        <v>0</v>
      </c>
      <c r="BG77" s="229">
        <f t="shared" si="67"/>
        <v>0</v>
      </c>
      <c r="BH77" s="229">
        <f t="shared" si="67"/>
        <v>0</v>
      </c>
      <c r="BI77" s="229">
        <f t="shared" si="67"/>
        <v>0</v>
      </c>
      <c r="BJ77" s="229">
        <f t="shared" si="67"/>
        <v>0</v>
      </c>
      <c r="BK77" s="229">
        <f t="shared" si="67"/>
        <v>0</v>
      </c>
      <c r="BL77" s="229">
        <f t="shared" si="67"/>
        <v>0</v>
      </c>
      <c r="BM77" s="229">
        <f t="shared" si="68"/>
        <v>0</v>
      </c>
      <c r="BN77" s="229">
        <f t="shared" si="68"/>
        <v>0</v>
      </c>
      <c r="BO77" s="229">
        <f t="shared" si="68"/>
        <v>0</v>
      </c>
      <c r="BP77" s="229">
        <f t="shared" si="68"/>
        <v>0</v>
      </c>
      <c r="BQ77" s="229">
        <f t="shared" si="68"/>
        <v>0</v>
      </c>
      <c r="BR77" s="229">
        <f t="shared" si="68"/>
        <v>0</v>
      </c>
      <c r="BS77" s="229">
        <f t="shared" si="68"/>
        <v>0</v>
      </c>
      <c r="BT77" s="229">
        <f t="shared" si="68"/>
        <v>0</v>
      </c>
      <c r="BU77" s="229">
        <f t="shared" si="68"/>
        <v>0</v>
      </c>
      <c r="BV77" s="229">
        <f t="shared" si="68"/>
        <v>0</v>
      </c>
      <c r="BW77" s="229">
        <f t="shared" si="68"/>
        <v>0</v>
      </c>
      <c r="BX77" s="229">
        <f t="shared" si="68"/>
        <v>0</v>
      </c>
      <c r="BY77" s="229">
        <f t="shared" si="68"/>
        <v>0</v>
      </c>
      <c r="BZ77" s="229">
        <f t="shared" si="68"/>
        <v>0</v>
      </c>
      <c r="CA77" s="229">
        <f t="shared" si="68"/>
        <v>0</v>
      </c>
      <c r="CB77" s="229">
        <f t="shared" si="69"/>
        <v>0</v>
      </c>
      <c r="CC77" s="229">
        <f t="shared" si="69"/>
        <v>0</v>
      </c>
      <c r="CD77" s="229">
        <f t="shared" si="69"/>
        <v>0</v>
      </c>
      <c r="CE77" s="229">
        <f t="shared" si="69"/>
        <v>0</v>
      </c>
      <c r="CF77" s="229">
        <f t="shared" si="69"/>
        <v>0</v>
      </c>
      <c r="CG77" s="229">
        <f t="shared" si="69"/>
        <v>0</v>
      </c>
      <c r="CH77" s="229">
        <f t="shared" si="69"/>
        <v>0</v>
      </c>
      <c r="CI77" s="229">
        <f t="shared" si="69"/>
        <v>0</v>
      </c>
      <c r="CJ77" s="229">
        <f t="shared" si="69"/>
        <v>0</v>
      </c>
      <c r="CK77" s="229">
        <f t="shared" si="69"/>
        <v>0</v>
      </c>
      <c r="CL77" s="229">
        <f t="shared" si="69"/>
        <v>0</v>
      </c>
      <c r="CM77" s="229">
        <f t="shared" si="69"/>
        <v>0</v>
      </c>
      <c r="CN77" s="229">
        <f t="shared" si="69"/>
        <v>0</v>
      </c>
      <c r="CO77" s="229">
        <f t="shared" si="69"/>
        <v>0</v>
      </c>
      <c r="CP77" s="229">
        <f t="shared" si="69"/>
        <v>0</v>
      </c>
      <c r="CQ77" s="229">
        <f t="shared" si="69"/>
        <v>0</v>
      </c>
      <c r="CR77" s="229">
        <f t="shared" si="69"/>
        <v>0</v>
      </c>
      <c r="CS77" s="230"/>
      <c r="CT77" s="231"/>
      <c r="CU77" s="231"/>
      <c r="CV77" s="231"/>
      <c r="CW77" s="231"/>
      <c r="CX77" s="231" t="e">
        <f t="shared" ca="1" si="62"/>
        <v>#N/A</v>
      </c>
      <c r="CY77" s="231"/>
      <c r="CZ77" s="231"/>
      <c r="DA77" s="231"/>
      <c r="DB77" s="231">
        <f>IF(SUM(DB$24:DB76)=DB$22,0,IF(AND($K77&gt;=DB$15,$K77&lt;(DB$16+1)),DB$22/(DB$16-DB$15+1),0))</f>
        <v>0</v>
      </c>
      <c r="DC77" s="231">
        <f t="shared" si="63"/>
        <v>0</v>
      </c>
      <c r="DD77" s="231">
        <f t="shared" si="63"/>
        <v>0</v>
      </c>
      <c r="DE77" s="231">
        <f t="shared" si="63"/>
        <v>0</v>
      </c>
      <c r="DF77" s="231">
        <f t="shared" si="63"/>
        <v>0</v>
      </c>
      <c r="DG77" s="231">
        <f t="shared" si="63"/>
        <v>0</v>
      </c>
      <c r="DH77" s="231">
        <f t="shared" si="63"/>
        <v>0</v>
      </c>
      <c r="DI77" s="231">
        <f t="shared" si="63"/>
        <v>0</v>
      </c>
      <c r="DJ77" s="231">
        <f t="shared" si="63"/>
        <v>0</v>
      </c>
      <c r="DK77" s="231">
        <f t="shared" si="63"/>
        <v>0</v>
      </c>
      <c r="DL77" s="231">
        <f t="shared" si="63"/>
        <v>0</v>
      </c>
      <c r="DM77" s="231">
        <f t="shared" si="63"/>
        <v>0</v>
      </c>
      <c r="DN77" s="231">
        <f t="shared" si="63"/>
        <v>0</v>
      </c>
      <c r="DO77" s="231">
        <f t="shared" si="63"/>
        <v>0</v>
      </c>
      <c r="DP77" s="231">
        <f>'Offshore CF'!DR77</f>
        <v>0</v>
      </c>
      <c r="DQ77" s="231">
        <f>'Offshore CF'!DS77</f>
        <v>0.29866666666666669</v>
      </c>
      <c r="DR77" s="231">
        <f ca="1">IF(SUM(DR$24:DR76)=DR$22,0,IF(AND($K77&gt;=DR$15,$K77&lt;(DR$16+1)),DR$22/(DR$16-DR$15+1),0))</f>
        <v>0</v>
      </c>
      <c r="DS77" s="231" t="e">
        <f ca="1">IF(SUM(DS$24:DS76)=DS$22,0,IF(AND($K77&gt;=DS$15,$K77&lt;(DS$16+1)),DS$22/(DS$16-DS$15+1),0))</f>
        <v>#REF!</v>
      </c>
      <c r="DT77" s="231" t="e">
        <f ca="1">IF(SUM(DT$24:DT76)=DT$22,0,IF(AND(K77&gt;=DT$15,K77&lt;(DT$16+1)),DT$22/(DT$16-DT$15+1),0))</f>
        <v>#REF!</v>
      </c>
      <c r="DU77" s="231" t="e">
        <f ca="1">IF(SUM(DU$24:DU76)=DU$22,0,IF(AND($K77&gt;=DU$15,$K77&lt;(DU$16+1)),DU$22/(DU$16-DU$15+1),0))</f>
        <v>#REF!</v>
      </c>
      <c r="DV77" s="231">
        <f ca="1">IF(SUM(DV$24:DV76)=DV$22,0,IF(AND($K77&gt;=DV$15,$K77&lt;(DV$16+1)),DV$22/(DV$16-DV$15+1),0))</f>
        <v>0</v>
      </c>
      <c r="DW77" s="231">
        <f ca="1">IF(SUM(DW$24:DW76)=DW$22,0,IF(AND($K77&gt;=DW$15,$K77&lt;(DW$16+1)),DW$22/(DW$16-DW$15+1),0))</f>
        <v>0</v>
      </c>
      <c r="DX77" s="231">
        <f ca="1">IF(SUM(DX$24:DX76)=DX$22,0,IF(AND($K77&gt;=DX$15,$K77&lt;(DX$16+1)),DX$22/(DX$16-DX$15+1),0))</f>
        <v>0</v>
      </c>
      <c r="DY77" s="231">
        <f ca="1">IF(SUM(DY$24:DY76)=DY$22,0,IF(AND($K77&gt;=DY$15,$K77&lt;(DY$16+1)),DY$22/(DY$16-DY$15+1),0))</f>
        <v>0</v>
      </c>
      <c r="EA77" s="749">
        <f t="shared" si="51"/>
        <v>54</v>
      </c>
      <c r="EB77" s="749" t="e">
        <f t="shared" ca="1" si="52"/>
        <v>#N/A</v>
      </c>
      <c r="EC77" s="750" t="e">
        <f t="shared" ca="1" si="53"/>
        <v>#N/A</v>
      </c>
      <c r="ED77" s="749" t="e">
        <f t="shared" ca="1" si="28"/>
        <v>#N/A</v>
      </c>
      <c r="EE77" s="749"/>
      <c r="EF77" s="749"/>
      <c r="EG77" s="749"/>
      <c r="EH77" s="749"/>
      <c r="EI77" s="714" t="e">
        <f t="shared" ca="1" si="19"/>
        <v>#N/A</v>
      </c>
      <c r="EJ77" s="231" t="e">
        <f ca="1">IF(SUM(EJ$24:EJ76)=EJ$22,0,IF(AND($K77&gt;=EJ$15,$K77&lt;(EJ$16+1)),EJ$22/(EJ$16-EJ$15+1),0))</f>
        <v>#REF!</v>
      </c>
      <c r="EK77" s="714" t="e">
        <f t="shared" ca="1" si="54"/>
        <v>#N/A</v>
      </c>
      <c r="EM77" s="60"/>
      <c r="EN77" s="60"/>
    </row>
    <row r="78" spans="1:151">
      <c r="A78" s="247"/>
      <c r="B78" s="236">
        <f t="shared" si="20"/>
        <v>55</v>
      </c>
      <c r="C78" s="221">
        <f t="shared" si="21"/>
        <v>45113.501800000085</v>
      </c>
      <c r="D78" s="746" t="e">
        <f t="shared" ca="1" si="22"/>
        <v>#DIV/0!</v>
      </c>
      <c r="E78" s="747" t="e">
        <f t="shared" ca="1" si="25"/>
        <v>#DIV/0!</v>
      </c>
      <c r="F78" s="748" t="e">
        <f ca="1">IF(F77=0,0,SUM($G$24:G78))</f>
        <v>#DIV/0!</v>
      </c>
      <c r="G78" s="225" t="e">
        <f t="shared" ca="1" si="48"/>
        <v>#DIV/0!</v>
      </c>
      <c r="H78" s="746">
        <f t="shared" ca="1" si="23"/>
        <v>0</v>
      </c>
      <c r="I78" s="60"/>
      <c r="J78" s="242"/>
      <c r="K78" s="228">
        <f t="shared" si="49"/>
        <v>55</v>
      </c>
      <c r="L78" s="221">
        <f t="shared" si="50"/>
        <v>45113.501800000085</v>
      </c>
      <c r="M78" s="229">
        <f t="shared" si="65"/>
        <v>0</v>
      </c>
      <c r="N78" s="229">
        <f t="shared" si="65"/>
        <v>0</v>
      </c>
      <c r="O78" s="229">
        <f t="shared" si="65"/>
        <v>0</v>
      </c>
      <c r="P78" s="229">
        <f t="shared" si="65"/>
        <v>0</v>
      </c>
      <c r="Q78" s="229">
        <f t="shared" si="65"/>
        <v>0</v>
      </c>
      <c r="R78" s="229">
        <f t="shared" si="64"/>
        <v>0</v>
      </c>
      <c r="S78" s="229">
        <f t="shared" si="64"/>
        <v>0</v>
      </c>
      <c r="T78" s="229">
        <f t="shared" si="64"/>
        <v>0</v>
      </c>
      <c r="U78" s="229">
        <f t="shared" si="65"/>
        <v>0</v>
      </c>
      <c r="V78" s="229">
        <f t="shared" si="65"/>
        <v>0</v>
      </c>
      <c r="W78" s="229">
        <f t="shared" si="65"/>
        <v>0</v>
      </c>
      <c r="X78" s="229">
        <f t="shared" si="65"/>
        <v>0</v>
      </c>
      <c r="Y78" s="229">
        <f t="shared" si="65"/>
        <v>0</v>
      </c>
      <c r="Z78" s="229">
        <f t="shared" si="65"/>
        <v>0</v>
      </c>
      <c r="AA78" s="229">
        <f t="shared" si="65"/>
        <v>0</v>
      </c>
      <c r="AB78" s="229">
        <f t="shared" si="65"/>
        <v>0</v>
      </c>
      <c r="AC78" s="229">
        <f t="shared" si="65"/>
        <v>0</v>
      </c>
      <c r="AD78" s="229">
        <f t="shared" si="65"/>
        <v>0</v>
      </c>
      <c r="AE78" s="229">
        <f t="shared" si="65"/>
        <v>0</v>
      </c>
      <c r="AF78" s="229">
        <f t="shared" si="65"/>
        <v>0</v>
      </c>
      <c r="AG78" s="229">
        <f t="shared" si="65"/>
        <v>0</v>
      </c>
      <c r="AH78" s="229">
        <f t="shared" si="65"/>
        <v>0</v>
      </c>
      <c r="AI78" s="229">
        <f t="shared" si="65"/>
        <v>0</v>
      </c>
      <c r="AJ78" s="229">
        <f t="shared" si="65"/>
        <v>0</v>
      </c>
      <c r="AK78" s="229">
        <f t="shared" si="65"/>
        <v>0</v>
      </c>
      <c r="AL78" s="229">
        <f t="shared" si="65"/>
        <v>0</v>
      </c>
      <c r="AM78" s="229">
        <f t="shared" si="65"/>
        <v>0</v>
      </c>
      <c r="AN78" s="229">
        <f t="shared" si="65"/>
        <v>0</v>
      </c>
      <c r="AO78" s="229">
        <f t="shared" si="65"/>
        <v>0</v>
      </c>
      <c r="AP78" s="229">
        <f t="shared" si="65"/>
        <v>0</v>
      </c>
      <c r="AQ78" s="229">
        <f t="shared" si="65"/>
        <v>0</v>
      </c>
      <c r="AR78" s="229">
        <f t="shared" si="66"/>
        <v>0</v>
      </c>
      <c r="AS78" s="229">
        <f t="shared" si="66"/>
        <v>0</v>
      </c>
      <c r="AT78" s="229">
        <f t="shared" si="66"/>
        <v>0</v>
      </c>
      <c r="AU78" s="229">
        <f t="shared" si="66"/>
        <v>0</v>
      </c>
      <c r="AV78" s="229">
        <f t="shared" si="66"/>
        <v>0</v>
      </c>
      <c r="AW78" s="229">
        <f t="shared" si="66"/>
        <v>0</v>
      </c>
      <c r="AX78" s="229">
        <f t="shared" si="66"/>
        <v>0</v>
      </c>
      <c r="AY78" s="229">
        <f t="shared" si="66"/>
        <v>0</v>
      </c>
      <c r="AZ78" s="229">
        <f t="shared" si="66"/>
        <v>0</v>
      </c>
      <c r="BA78" s="229">
        <f t="shared" si="66"/>
        <v>0</v>
      </c>
      <c r="BB78" s="229">
        <f t="shared" si="66"/>
        <v>0</v>
      </c>
      <c r="BC78" s="229">
        <f t="shared" si="67"/>
        <v>0</v>
      </c>
      <c r="BD78" s="229">
        <f t="shared" si="67"/>
        <v>0</v>
      </c>
      <c r="BE78" s="229">
        <f t="shared" si="67"/>
        <v>0</v>
      </c>
      <c r="BF78" s="229">
        <f t="shared" si="67"/>
        <v>0</v>
      </c>
      <c r="BG78" s="229">
        <f t="shared" si="67"/>
        <v>0</v>
      </c>
      <c r="BH78" s="229">
        <f t="shared" si="67"/>
        <v>0</v>
      </c>
      <c r="BI78" s="229">
        <f t="shared" si="67"/>
        <v>0</v>
      </c>
      <c r="BJ78" s="229">
        <f t="shared" si="67"/>
        <v>0</v>
      </c>
      <c r="BK78" s="229">
        <f t="shared" si="67"/>
        <v>0</v>
      </c>
      <c r="BL78" s="229">
        <f t="shared" si="67"/>
        <v>0</v>
      </c>
      <c r="BM78" s="229">
        <f t="shared" si="68"/>
        <v>0</v>
      </c>
      <c r="BN78" s="229">
        <f t="shared" si="68"/>
        <v>0</v>
      </c>
      <c r="BO78" s="229">
        <f t="shared" si="68"/>
        <v>0</v>
      </c>
      <c r="BP78" s="229">
        <f t="shared" si="68"/>
        <v>0</v>
      </c>
      <c r="BQ78" s="229">
        <f t="shared" si="68"/>
        <v>0</v>
      </c>
      <c r="BR78" s="229">
        <f t="shared" si="68"/>
        <v>0</v>
      </c>
      <c r="BS78" s="229">
        <f t="shared" si="68"/>
        <v>0</v>
      </c>
      <c r="BT78" s="229">
        <f t="shared" si="68"/>
        <v>0</v>
      </c>
      <c r="BU78" s="229">
        <f t="shared" si="68"/>
        <v>0</v>
      </c>
      <c r="BV78" s="229">
        <f t="shared" si="68"/>
        <v>0</v>
      </c>
      <c r="BW78" s="229">
        <f t="shared" si="68"/>
        <v>0</v>
      </c>
      <c r="BX78" s="229">
        <f t="shared" si="68"/>
        <v>0</v>
      </c>
      <c r="BY78" s="229">
        <f t="shared" si="68"/>
        <v>0</v>
      </c>
      <c r="BZ78" s="229">
        <f t="shared" si="68"/>
        <v>0</v>
      </c>
      <c r="CA78" s="229">
        <f t="shared" si="68"/>
        <v>0</v>
      </c>
      <c r="CB78" s="229">
        <f t="shared" si="69"/>
        <v>0</v>
      </c>
      <c r="CC78" s="229">
        <f t="shared" si="69"/>
        <v>0</v>
      </c>
      <c r="CD78" s="229">
        <f t="shared" si="69"/>
        <v>0</v>
      </c>
      <c r="CE78" s="229">
        <f t="shared" si="69"/>
        <v>0</v>
      </c>
      <c r="CF78" s="229">
        <f t="shared" si="69"/>
        <v>0</v>
      </c>
      <c r="CG78" s="229">
        <f t="shared" si="69"/>
        <v>0</v>
      </c>
      <c r="CH78" s="229">
        <f t="shared" si="69"/>
        <v>0</v>
      </c>
      <c r="CI78" s="229">
        <f t="shared" si="69"/>
        <v>0</v>
      </c>
      <c r="CJ78" s="229">
        <f t="shared" si="69"/>
        <v>0</v>
      </c>
      <c r="CK78" s="229">
        <f t="shared" si="69"/>
        <v>0</v>
      </c>
      <c r="CL78" s="229">
        <f t="shared" si="69"/>
        <v>0</v>
      </c>
      <c r="CM78" s="229">
        <f t="shared" si="69"/>
        <v>0</v>
      </c>
      <c r="CN78" s="229">
        <f t="shared" si="69"/>
        <v>0</v>
      </c>
      <c r="CO78" s="229">
        <f t="shared" si="69"/>
        <v>0</v>
      </c>
      <c r="CP78" s="229">
        <f t="shared" si="69"/>
        <v>0</v>
      </c>
      <c r="CQ78" s="229">
        <f t="shared" si="69"/>
        <v>0</v>
      </c>
      <c r="CR78" s="229">
        <f t="shared" si="69"/>
        <v>0</v>
      </c>
      <c r="CS78" s="230"/>
      <c r="CT78" s="231"/>
      <c r="CU78" s="231"/>
      <c r="CV78" s="231"/>
      <c r="CW78" s="231"/>
      <c r="CX78" s="231" t="e">
        <f t="shared" ca="1" si="62"/>
        <v>#N/A</v>
      </c>
      <c r="CY78" s="231"/>
      <c r="CZ78" s="231"/>
      <c r="DA78" s="231" t="e">
        <f ca="1">IF(SUM(DA$32:DA77)&gt;=DA$22,0,DA$22/(DA$13*4))</f>
        <v>#N/A</v>
      </c>
      <c r="DB78" s="231">
        <f>IF(SUM(DB$24:DB77)=DB$22,0,IF(AND($K78&gt;=DB$15,$K78&lt;(DB$16+1)),DB$22/(DB$16-DB$15+1),0))</f>
        <v>0</v>
      </c>
      <c r="DC78" s="231">
        <f t="shared" si="63"/>
        <v>0</v>
      </c>
      <c r="DD78" s="231">
        <f t="shared" si="63"/>
        <v>0</v>
      </c>
      <c r="DE78" s="231">
        <f t="shared" si="63"/>
        <v>0</v>
      </c>
      <c r="DF78" s="231">
        <f t="shared" si="63"/>
        <v>0</v>
      </c>
      <c r="DG78" s="231">
        <f t="shared" si="63"/>
        <v>0</v>
      </c>
      <c r="DH78" s="231">
        <f t="shared" si="63"/>
        <v>0</v>
      </c>
      <c r="DI78" s="231">
        <f t="shared" si="63"/>
        <v>0</v>
      </c>
      <c r="DJ78" s="231">
        <f t="shared" si="63"/>
        <v>0</v>
      </c>
      <c r="DK78" s="231">
        <f t="shared" si="63"/>
        <v>0</v>
      </c>
      <c r="DL78" s="231">
        <f t="shared" si="63"/>
        <v>0</v>
      </c>
      <c r="DM78" s="231">
        <f t="shared" si="63"/>
        <v>0</v>
      </c>
      <c r="DN78" s="231">
        <f t="shared" si="63"/>
        <v>0</v>
      </c>
      <c r="DO78" s="231">
        <f t="shared" si="63"/>
        <v>0</v>
      </c>
      <c r="DP78" s="231">
        <f>'Offshore CF'!DR78</f>
        <v>0</v>
      </c>
      <c r="DQ78" s="231">
        <f>'Offshore CF'!DS78</f>
        <v>0.29866666666666669</v>
      </c>
      <c r="DR78" s="231">
        <f ca="1">IF(SUM(DR$24:DR77)=DR$22,0,IF(AND($K78&gt;=DR$15,$K78&lt;(DR$16+1)),DR$22/(DR$16-DR$15+1),0))</f>
        <v>0</v>
      </c>
      <c r="DS78" s="231" t="e">
        <f ca="1">IF(SUM(DS$24:DS77)=DS$22,0,IF(AND($K78&gt;=DS$15,$K78&lt;(DS$16+1)),DS$22/(DS$16-DS$15+1),0))</f>
        <v>#REF!</v>
      </c>
      <c r="DT78" s="231" t="e">
        <f ca="1">IF(SUM(DT$24:DT77)=DT$22,0,IF(AND(K78&gt;=DT$15,K78&lt;(DT$16+1)),DT$22/(DT$16-DT$15+1),0))</f>
        <v>#REF!</v>
      </c>
      <c r="DU78" s="231" t="e">
        <f ca="1">IF(SUM(DU$24:DU77)=DU$22,0,IF(AND($K78&gt;=DU$15,$K78&lt;(DU$16+1)),DU$22/(DU$16-DU$15+1),0))</f>
        <v>#REF!</v>
      </c>
      <c r="DV78" s="231">
        <f ca="1">IF(SUM(DV$24:DV77)=DV$22,0,IF(AND($K78&gt;=DV$15,$K78&lt;(DV$16+1)),DV$22/(DV$16-DV$15+1),0))</f>
        <v>0</v>
      </c>
      <c r="DW78" s="231">
        <f ca="1">IF(SUM(DW$24:DW77)=DW$22,0,IF(AND($K78&gt;=DW$15,$K78&lt;(DW$16+1)),DW$22/(DW$16-DW$15+1),0))</f>
        <v>0</v>
      </c>
      <c r="DX78" s="231">
        <f ca="1">IF(SUM(DX$24:DX77)=DX$22,0,IF(AND($K78&gt;=DX$15,$K78&lt;(DX$16+1)),DX$22/(DX$16-DX$15+1),0))</f>
        <v>0</v>
      </c>
      <c r="DY78" s="231">
        <f ca="1">IF(SUM(DY$24:DY77)=DY$22,0,IF(AND($K78&gt;=DY$15,$K78&lt;(DY$16+1)),DY$22/(DY$16-DY$15+1),0))</f>
        <v>0</v>
      </c>
      <c r="EA78" s="749">
        <f t="shared" si="51"/>
        <v>55</v>
      </c>
      <c r="EB78" s="749" t="e">
        <f t="shared" ca="1" si="52"/>
        <v>#N/A</v>
      </c>
      <c r="EC78" s="750" t="e">
        <f t="shared" ca="1" si="53"/>
        <v>#N/A</v>
      </c>
      <c r="ED78" s="749" t="e">
        <f t="shared" ca="1" si="28"/>
        <v>#N/A</v>
      </c>
      <c r="EE78" s="749"/>
      <c r="EF78" s="749"/>
      <c r="EG78" s="749"/>
      <c r="EH78" s="749"/>
      <c r="EI78" s="714" t="e">
        <f t="shared" ca="1" si="19"/>
        <v>#N/A</v>
      </c>
      <c r="EJ78" s="231" t="e">
        <f ca="1">IF(SUM(EJ$24:EJ77)=EJ$22,0,IF(AND($K78&gt;=EJ$15,$K78&lt;(EJ$16+1)),EJ$22/(EJ$16-EJ$15+1),0))</f>
        <v>#REF!</v>
      </c>
      <c r="EK78" s="714" t="e">
        <f t="shared" ca="1" si="54"/>
        <v>#N/A</v>
      </c>
      <c r="EM78" s="60"/>
      <c r="EN78" s="60"/>
    </row>
    <row r="79" spans="1:151">
      <c r="A79" s="247"/>
      <c r="B79" s="236">
        <f t="shared" si="20"/>
        <v>56</v>
      </c>
      <c r="C79" s="221">
        <f t="shared" si="21"/>
        <v>45143.918500000087</v>
      </c>
      <c r="D79" s="746" t="e">
        <f t="shared" ca="1" si="22"/>
        <v>#DIV/0!</v>
      </c>
      <c r="E79" s="747" t="e">
        <f t="shared" ca="1" si="25"/>
        <v>#DIV/0!</v>
      </c>
      <c r="F79" s="748" t="e">
        <f ca="1">IF(F78=0,0,SUM($G$24:G79))</f>
        <v>#DIV/0!</v>
      </c>
      <c r="G79" s="225" t="e">
        <f t="shared" ca="1" si="48"/>
        <v>#DIV/0!</v>
      </c>
      <c r="H79" s="746">
        <f t="shared" ca="1" si="23"/>
        <v>0</v>
      </c>
      <c r="I79" s="60"/>
      <c r="J79" s="242"/>
      <c r="K79" s="228">
        <f t="shared" si="49"/>
        <v>56</v>
      </c>
      <c r="L79" s="221">
        <f t="shared" si="50"/>
        <v>45143.918500000087</v>
      </c>
      <c r="M79" s="229">
        <f t="shared" si="65"/>
        <v>0</v>
      </c>
      <c r="N79" s="229">
        <f t="shared" si="65"/>
        <v>0</v>
      </c>
      <c r="O79" s="229">
        <f t="shared" si="65"/>
        <v>0</v>
      </c>
      <c r="P79" s="229">
        <f t="shared" si="65"/>
        <v>0</v>
      </c>
      <c r="Q79" s="229">
        <f t="shared" si="65"/>
        <v>0</v>
      </c>
      <c r="R79" s="229">
        <f t="shared" si="64"/>
        <v>0</v>
      </c>
      <c r="S79" s="229">
        <f t="shared" si="64"/>
        <v>0</v>
      </c>
      <c r="T79" s="229">
        <f t="shared" si="64"/>
        <v>0</v>
      </c>
      <c r="U79" s="229">
        <f t="shared" si="65"/>
        <v>0</v>
      </c>
      <c r="V79" s="229">
        <f t="shared" si="65"/>
        <v>0</v>
      </c>
      <c r="W79" s="229">
        <f t="shared" si="65"/>
        <v>0</v>
      </c>
      <c r="X79" s="229">
        <f t="shared" si="65"/>
        <v>0</v>
      </c>
      <c r="Y79" s="229">
        <f t="shared" si="65"/>
        <v>0</v>
      </c>
      <c r="Z79" s="229">
        <f t="shared" si="65"/>
        <v>0</v>
      </c>
      <c r="AA79" s="229">
        <f t="shared" si="65"/>
        <v>0</v>
      </c>
      <c r="AB79" s="229">
        <f t="shared" si="65"/>
        <v>0</v>
      </c>
      <c r="AC79" s="229">
        <f t="shared" si="65"/>
        <v>0</v>
      </c>
      <c r="AD79" s="229">
        <f t="shared" si="65"/>
        <v>0</v>
      </c>
      <c r="AE79" s="229">
        <f t="shared" si="65"/>
        <v>0</v>
      </c>
      <c r="AF79" s="229">
        <f t="shared" si="65"/>
        <v>0</v>
      </c>
      <c r="AG79" s="229">
        <f t="shared" si="65"/>
        <v>0</v>
      </c>
      <c r="AH79" s="229">
        <f t="shared" si="65"/>
        <v>0</v>
      </c>
      <c r="AI79" s="229">
        <f t="shared" si="65"/>
        <v>0</v>
      </c>
      <c r="AJ79" s="229">
        <f t="shared" si="65"/>
        <v>0</v>
      </c>
      <c r="AK79" s="229">
        <f t="shared" si="65"/>
        <v>0</v>
      </c>
      <c r="AL79" s="229">
        <f t="shared" si="65"/>
        <v>0</v>
      </c>
      <c r="AM79" s="229">
        <f t="shared" si="65"/>
        <v>0</v>
      </c>
      <c r="AN79" s="229">
        <f t="shared" si="65"/>
        <v>0</v>
      </c>
      <c r="AO79" s="229">
        <f t="shared" si="65"/>
        <v>0</v>
      </c>
      <c r="AP79" s="229">
        <f t="shared" si="65"/>
        <v>0</v>
      </c>
      <c r="AQ79" s="229">
        <f t="shared" si="65"/>
        <v>0</v>
      </c>
      <c r="AR79" s="229">
        <f t="shared" si="66"/>
        <v>0</v>
      </c>
      <c r="AS79" s="229">
        <f t="shared" si="66"/>
        <v>0</v>
      </c>
      <c r="AT79" s="229">
        <f t="shared" si="66"/>
        <v>0</v>
      </c>
      <c r="AU79" s="229">
        <f t="shared" si="66"/>
        <v>0</v>
      </c>
      <c r="AV79" s="229">
        <f t="shared" si="66"/>
        <v>0</v>
      </c>
      <c r="AW79" s="229">
        <f t="shared" si="66"/>
        <v>0</v>
      </c>
      <c r="AX79" s="229">
        <f t="shared" si="66"/>
        <v>0</v>
      </c>
      <c r="AY79" s="229">
        <f t="shared" si="66"/>
        <v>0</v>
      </c>
      <c r="AZ79" s="229">
        <f t="shared" si="66"/>
        <v>0</v>
      </c>
      <c r="BA79" s="229">
        <f t="shared" si="66"/>
        <v>0</v>
      </c>
      <c r="BB79" s="229">
        <f t="shared" si="66"/>
        <v>0</v>
      </c>
      <c r="BC79" s="229">
        <f t="shared" si="67"/>
        <v>0</v>
      </c>
      <c r="BD79" s="229">
        <f t="shared" si="67"/>
        <v>0</v>
      </c>
      <c r="BE79" s="229">
        <f t="shared" si="67"/>
        <v>0</v>
      </c>
      <c r="BF79" s="229">
        <f t="shared" si="67"/>
        <v>0</v>
      </c>
      <c r="BG79" s="229">
        <f t="shared" si="67"/>
        <v>0</v>
      </c>
      <c r="BH79" s="229">
        <f t="shared" si="67"/>
        <v>0</v>
      </c>
      <c r="BI79" s="229">
        <f t="shared" si="67"/>
        <v>0</v>
      </c>
      <c r="BJ79" s="229">
        <f t="shared" si="67"/>
        <v>0</v>
      </c>
      <c r="BK79" s="229">
        <f t="shared" si="67"/>
        <v>0</v>
      </c>
      <c r="BL79" s="229">
        <f t="shared" si="67"/>
        <v>0</v>
      </c>
      <c r="BM79" s="229">
        <f t="shared" si="68"/>
        <v>0</v>
      </c>
      <c r="BN79" s="229">
        <f t="shared" si="68"/>
        <v>0</v>
      </c>
      <c r="BO79" s="229">
        <f t="shared" si="68"/>
        <v>0</v>
      </c>
      <c r="BP79" s="229">
        <f t="shared" si="68"/>
        <v>0</v>
      </c>
      <c r="BQ79" s="229">
        <f t="shared" si="68"/>
        <v>0</v>
      </c>
      <c r="BR79" s="229">
        <f t="shared" si="68"/>
        <v>0</v>
      </c>
      <c r="BS79" s="229">
        <f t="shared" si="68"/>
        <v>0</v>
      </c>
      <c r="BT79" s="229">
        <f t="shared" si="68"/>
        <v>0</v>
      </c>
      <c r="BU79" s="229">
        <f t="shared" si="68"/>
        <v>0</v>
      </c>
      <c r="BV79" s="229">
        <f t="shared" si="68"/>
        <v>0</v>
      </c>
      <c r="BW79" s="229">
        <f t="shared" si="68"/>
        <v>0</v>
      </c>
      <c r="BX79" s="229">
        <f t="shared" si="68"/>
        <v>0</v>
      </c>
      <c r="BY79" s="229">
        <f t="shared" si="68"/>
        <v>0</v>
      </c>
      <c r="BZ79" s="229">
        <f t="shared" si="68"/>
        <v>0</v>
      </c>
      <c r="CA79" s="229">
        <f t="shared" si="68"/>
        <v>0</v>
      </c>
      <c r="CB79" s="229">
        <f t="shared" si="69"/>
        <v>0</v>
      </c>
      <c r="CC79" s="229">
        <f t="shared" si="69"/>
        <v>0</v>
      </c>
      <c r="CD79" s="229">
        <f t="shared" si="69"/>
        <v>0</v>
      </c>
      <c r="CE79" s="229">
        <f t="shared" si="69"/>
        <v>0</v>
      </c>
      <c r="CF79" s="229">
        <f t="shared" si="69"/>
        <v>0</v>
      </c>
      <c r="CG79" s="229">
        <f t="shared" si="69"/>
        <v>0</v>
      </c>
      <c r="CH79" s="229">
        <f t="shared" si="69"/>
        <v>0</v>
      </c>
      <c r="CI79" s="229">
        <f t="shared" si="69"/>
        <v>0</v>
      </c>
      <c r="CJ79" s="229">
        <f t="shared" si="69"/>
        <v>0</v>
      </c>
      <c r="CK79" s="229">
        <f t="shared" si="69"/>
        <v>0</v>
      </c>
      <c r="CL79" s="229">
        <f t="shared" si="69"/>
        <v>0</v>
      </c>
      <c r="CM79" s="229">
        <f t="shared" si="69"/>
        <v>0</v>
      </c>
      <c r="CN79" s="229">
        <f t="shared" si="69"/>
        <v>0</v>
      </c>
      <c r="CO79" s="229">
        <f t="shared" si="69"/>
        <v>0</v>
      </c>
      <c r="CP79" s="229">
        <f t="shared" si="69"/>
        <v>0</v>
      </c>
      <c r="CQ79" s="229">
        <f t="shared" si="69"/>
        <v>0</v>
      </c>
      <c r="CR79" s="229">
        <f t="shared" si="69"/>
        <v>0</v>
      </c>
      <c r="CS79" s="230"/>
      <c r="CT79" s="231"/>
      <c r="CU79" s="231"/>
      <c r="CV79" s="231"/>
      <c r="CW79" s="231"/>
      <c r="CX79" s="231" t="e">
        <f t="shared" ca="1" si="62"/>
        <v>#N/A</v>
      </c>
      <c r="CY79" s="231"/>
      <c r="CZ79" s="231"/>
      <c r="DA79" s="231"/>
      <c r="DB79" s="231">
        <f>IF(SUM(DB$24:DB78)=DB$22,0,IF(AND($K79&gt;=DB$15,$K79&lt;(DB$16+1)),DB$22/(DB$16-DB$15+1),0))</f>
        <v>0</v>
      </c>
      <c r="DC79" s="231">
        <f t="shared" si="63"/>
        <v>0</v>
      </c>
      <c r="DD79" s="231">
        <f t="shared" si="63"/>
        <v>0</v>
      </c>
      <c r="DE79" s="231">
        <f t="shared" si="63"/>
        <v>0</v>
      </c>
      <c r="DF79" s="231">
        <f t="shared" si="63"/>
        <v>0</v>
      </c>
      <c r="DG79" s="231">
        <f t="shared" si="63"/>
        <v>0</v>
      </c>
      <c r="DH79" s="231">
        <f t="shared" si="63"/>
        <v>0</v>
      </c>
      <c r="DI79" s="231">
        <f t="shared" si="63"/>
        <v>0</v>
      </c>
      <c r="DJ79" s="231">
        <f t="shared" si="63"/>
        <v>0</v>
      </c>
      <c r="DK79" s="231">
        <f t="shared" si="63"/>
        <v>0</v>
      </c>
      <c r="DL79" s="231">
        <f t="shared" si="63"/>
        <v>0</v>
      </c>
      <c r="DM79" s="231">
        <f t="shared" si="63"/>
        <v>0</v>
      </c>
      <c r="DN79" s="231">
        <f t="shared" si="63"/>
        <v>0</v>
      </c>
      <c r="DO79" s="231">
        <f t="shared" si="63"/>
        <v>0</v>
      </c>
      <c r="DP79" s="231">
        <f>'Offshore CF'!DR79</f>
        <v>0</v>
      </c>
      <c r="DQ79" s="231">
        <f>'Offshore CF'!DS79</f>
        <v>0.29866666666666669</v>
      </c>
      <c r="DR79" s="231">
        <f ca="1">IF(SUM(DR$24:DR78)=DR$22,0,IF(AND($K79&gt;=DR$15,$K79&lt;(DR$16+1)),DR$22/(DR$16-DR$15+1),0))</f>
        <v>0</v>
      </c>
      <c r="DS79" s="231" t="e">
        <f ca="1">IF(SUM(DS$24:DS78)=DS$22,0,IF(AND($K79&gt;=DS$15,$K79&lt;(DS$16+1)),DS$22/(DS$16-DS$15+1),0))</f>
        <v>#REF!</v>
      </c>
      <c r="DT79" s="231" t="e">
        <f ca="1">IF(SUM(DT$24:DT78)=DT$22,0,IF(AND(K79&gt;=DT$15,K79&lt;(DT$16+1)),DT$22/(DT$16-DT$15+1),0))</f>
        <v>#REF!</v>
      </c>
      <c r="DU79" s="231" t="e">
        <f ca="1">IF(SUM(DU$24:DU78)=DU$22,0,IF(AND($K79&gt;=DU$15,$K79&lt;(DU$16+1)),DU$22/(DU$16-DU$15+1),0))</f>
        <v>#REF!</v>
      </c>
      <c r="DV79" s="231">
        <f ca="1">IF(SUM(DV$24:DV78)=DV$22,0,IF(AND($K79&gt;=DV$15,$K79&lt;(DV$16+1)),DV$22/(DV$16-DV$15+1),0))</f>
        <v>0</v>
      </c>
      <c r="DW79" s="231">
        <f ca="1">IF(SUM(DW$24:DW78)=DW$22,0,IF(AND($K79&gt;=DW$15,$K79&lt;(DW$16+1)),DW$22/(DW$16-DW$15+1),0))</f>
        <v>0</v>
      </c>
      <c r="DX79" s="231">
        <f ca="1">IF(SUM(DX$24:DX78)=DX$22,0,IF(AND($K79&gt;=DX$15,$K79&lt;(DX$16+1)),DX$22/(DX$16-DX$15+1),0))</f>
        <v>0</v>
      </c>
      <c r="DY79" s="231">
        <f ca="1">IF(SUM(DY$24:DY78)=DY$22,0,IF(AND($K79&gt;=DY$15,$K79&lt;(DY$16+1)),DY$22/(DY$16-DY$15+1),0))</f>
        <v>0</v>
      </c>
      <c r="EA79" s="749">
        <f t="shared" si="51"/>
        <v>56</v>
      </c>
      <c r="EB79" s="749" t="e">
        <f t="shared" ca="1" si="52"/>
        <v>#N/A</v>
      </c>
      <c r="EC79" s="750" t="e">
        <f t="shared" ca="1" si="53"/>
        <v>#N/A</v>
      </c>
      <c r="ED79" s="749" t="e">
        <f t="shared" ca="1" si="28"/>
        <v>#N/A</v>
      </c>
      <c r="EE79" s="749"/>
      <c r="EF79" s="749"/>
      <c r="EG79" s="749"/>
      <c r="EH79" s="749"/>
      <c r="EI79" s="714" t="e">
        <f t="shared" ca="1" si="19"/>
        <v>#N/A</v>
      </c>
      <c r="EJ79" s="231" t="e">
        <f ca="1">IF(SUM(EJ$24:EJ78)=EJ$22,0,IF(AND($K79&gt;=EJ$15,$K79&lt;(EJ$16+1)),EJ$22/(EJ$16-EJ$15+1),0))</f>
        <v>#REF!</v>
      </c>
      <c r="EK79" s="714" t="e">
        <f t="shared" ca="1" si="54"/>
        <v>#N/A</v>
      </c>
      <c r="EM79" s="60"/>
      <c r="EN79" s="60"/>
    </row>
    <row r="80" spans="1:151">
      <c r="A80" s="247"/>
      <c r="B80" s="236">
        <f t="shared" si="20"/>
        <v>57</v>
      </c>
      <c r="C80" s="221">
        <f t="shared" si="21"/>
        <v>45174.335200000089</v>
      </c>
      <c r="D80" s="746" t="e">
        <f t="shared" ca="1" si="22"/>
        <v>#DIV/0!</v>
      </c>
      <c r="E80" s="747" t="e">
        <f t="shared" ca="1" si="25"/>
        <v>#DIV/0!</v>
      </c>
      <c r="F80" s="748" t="e">
        <f ca="1">IF(F79=0,0,SUM($G$24:G80))</f>
        <v>#DIV/0!</v>
      </c>
      <c r="G80" s="225" t="e">
        <f t="shared" ca="1" si="48"/>
        <v>#DIV/0!</v>
      </c>
      <c r="H80" s="746">
        <f t="shared" ca="1" si="23"/>
        <v>0</v>
      </c>
      <c r="I80" s="60"/>
      <c r="J80" s="242"/>
      <c r="K80" s="228">
        <f t="shared" si="49"/>
        <v>57</v>
      </c>
      <c r="L80" s="221">
        <f t="shared" si="50"/>
        <v>45174.335200000089</v>
      </c>
      <c r="M80" s="229">
        <f t="shared" si="65"/>
        <v>0</v>
      </c>
      <c r="N80" s="229">
        <f t="shared" si="65"/>
        <v>0</v>
      </c>
      <c r="O80" s="229">
        <f t="shared" si="65"/>
        <v>0</v>
      </c>
      <c r="P80" s="229">
        <f t="shared" si="65"/>
        <v>0</v>
      </c>
      <c r="Q80" s="229">
        <f t="shared" si="65"/>
        <v>0</v>
      </c>
      <c r="R80" s="229">
        <f t="shared" si="64"/>
        <v>0</v>
      </c>
      <c r="S80" s="229">
        <f t="shared" si="64"/>
        <v>0</v>
      </c>
      <c r="T80" s="229">
        <f t="shared" si="64"/>
        <v>0</v>
      </c>
      <c r="U80" s="229">
        <f t="shared" si="65"/>
        <v>0</v>
      </c>
      <c r="V80" s="229">
        <f t="shared" si="65"/>
        <v>0</v>
      </c>
      <c r="W80" s="229">
        <f t="shared" si="65"/>
        <v>0</v>
      </c>
      <c r="X80" s="229">
        <f t="shared" si="65"/>
        <v>0</v>
      </c>
      <c r="Y80" s="229">
        <f t="shared" si="65"/>
        <v>0</v>
      </c>
      <c r="Z80" s="229">
        <f t="shared" si="65"/>
        <v>0</v>
      </c>
      <c r="AA80" s="229">
        <f t="shared" si="65"/>
        <v>0</v>
      </c>
      <c r="AB80" s="229">
        <f t="shared" si="65"/>
        <v>0</v>
      </c>
      <c r="AC80" s="229">
        <f t="shared" si="65"/>
        <v>0</v>
      </c>
      <c r="AD80" s="229">
        <f t="shared" si="65"/>
        <v>0</v>
      </c>
      <c r="AE80" s="229">
        <f t="shared" si="65"/>
        <v>0</v>
      </c>
      <c r="AF80" s="229">
        <f t="shared" si="65"/>
        <v>0</v>
      </c>
      <c r="AG80" s="229">
        <f t="shared" si="65"/>
        <v>0</v>
      </c>
      <c r="AH80" s="229">
        <f t="shared" si="65"/>
        <v>0</v>
      </c>
      <c r="AI80" s="229">
        <f t="shared" si="65"/>
        <v>0</v>
      </c>
      <c r="AJ80" s="229">
        <f t="shared" si="65"/>
        <v>0</v>
      </c>
      <c r="AK80" s="229">
        <f t="shared" si="65"/>
        <v>0</v>
      </c>
      <c r="AL80" s="229">
        <f t="shared" si="65"/>
        <v>0</v>
      </c>
      <c r="AM80" s="229">
        <f t="shared" si="65"/>
        <v>0</v>
      </c>
      <c r="AN80" s="229">
        <f t="shared" si="65"/>
        <v>0</v>
      </c>
      <c r="AO80" s="229">
        <f t="shared" si="65"/>
        <v>0</v>
      </c>
      <c r="AP80" s="229">
        <f t="shared" si="65"/>
        <v>0</v>
      </c>
      <c r="AQ80" s="229">
        <f t="shared" si="65"/>
        <v>0</v>
      </c>
      <c r="AR80" s="229">
        <f t="shared" si="66"/>
        <v>0</v>
      </c>
      <c r="AS80" s="229">
        <f t="shared" si="66"/>
        <v>0</v>
      </c>
      <c r="AT80" s="229">
        <f t="shared" si="66"/>
        <v>0</v>
      </c>
      <c r="AU80" s="229">
        <f t="shared" si="66"/>
        <v>0</v>
      </c>
      <c r="AV80" s="229">
        <f t="shared" si="66"/>
        <v>0</v>
      </c>
      <c r="AW80" s="229">
        <f t="shared" si="66"/>
        <v>0</v>
      </c>
      <c r="AX80" s="229">
        <f t="shared" si="66"/>
        <v>0</v>
      </c>
      <c r="AY80" s="229">
        <f t="shared" si="66"/>
        <v>0</v>
      </c>
      <c r="AZ80" s="229">
        <f t="shared" si="66"/>
        <v>0</v>
      </c>
      <c r="BA80" s="229">
        <f t="shared" si="66"/>
        <v>0</v>
      </c>
      <c r="BB80" s="229">
        <f t="shared" si="66"/>
        <v>0</v>
      </c>
      <c r="BC80" s="229">
        <f t="shared" si="67"/>
        <v>0</v>
      </c>
      <c r="BD80" s="229">
        <f t="shared" si="67"/>
        <v>0</v>
      </c>
      <c r="BE80" s="229">
        <f t="shared" si="67"/>
        <v>0</v>
      </c>
      <c r="BF80" s="229">
        <f t="shared" si="67"/>
        <v>0</v>
      </c>
      <c r="BG80" s="229">
        <f t="shared" si="67"/>
        <v>0</v>
      </c>
      <c r="BH80" s="229">
        <f t="shared" si="67"/>
        <v>0</v>
      </c>
      <c r="BI80" s="229">
        <f t="shared" si="67"/>
        <v>0</v>
      </c>
      <c r="BJ80" s="229">
        <f t="shared" si="67"/>
        <v>0</v>
      </c>
      <c r="BK80" s="229">
        <f t="shared" si="67"/>
        <v>0</v>
      </c>
      <c r="BL80" s="229">
        <f t="shared" si="67"/>
        <v>0</v>
      </c>
      <c r="BM80" s="229">
        <f t="shared" si="68"/>
        <v>0</v>
      </c>
      <c r="BN80" s="229">
        <f t="shared" si="68"/>
        <v>0</v>
      </c>
      <c r="BO80" s="229">
        <f t="shared" si="68"/>
        <v>0</v>
      </c>
      <c r="BP80" s="229">
        <f t="shared" si="68"/>
        <v>0</v>
      </c>
      <c r="BQ80" s="229">
        <f t="shared" si="68"/>
        <v>0</v>
      </c>
      <c r="BR80" s="229">
        <f t="shared" si="68"/>
        <v>0</v>
      </c>
      <c r="BS80" s="229">
        <f t="shared" si="68"/>
        <v>0</v>
      </c>
      <c r="BT80" s="229">
        <f t="shared" si="68"/>
        <v>0</v>
      </c>
      <c r="BU80" s="229">
        <f t="shared" si="68"/>
        <v>0</v>
      </c>
      <c r="BV80" s="229">
        <f t="shared" si="68"/>
        <v>0</v>
      </c>
      <c r="BW80" s="229">
        <f t="shared" si="68"/>
        <v>0</v>
      </c>
      <c r="BX80" s="229">
        <f t="shared" si="68"/>
        <v>0</v>
      </c>
      <c r="BY80" s="229">
        <f t="shared" si="68"/>
        <v>0</v>
      </c>
      <c r="BZ80" s="229">
        <f t="shared" si="68"/>
        <v>0</v>
      </c>
      <c r="CA80" s="229">
        <f t="shared" si="68"/>
        <v>0</v>
      </c>
      <c r="CB80" s="229">
        <f t="shared" si="69"/>
        <v>0</v>
      </c>
      <c r="CC80" s="229">
        <f t="shared" si="69"/>
        <v>0</v>
      </c>
      <c r="CD80" s="229">
        <f t="shared" si="69"/>
        <v>0</v>
      </c>
      <c r="CE80" s="229">
        <f t="shared" si="69"/>
        <v>0</v>
      </c>
      <c r="CF80" s="229">
        <f t="shared" si="69"/>
        <v>0</v>
      </c>
      <c r="CG80" s="229">
        <f t="shared" si="69"/>
        <v>0</v>
      </c>
      <c r="CH80" s="229">
        <f t="shared" si="69"/>
        <v>0</v>
      </c>
      <c r="CI80" s="229">
        <f t="shared" si="69"/>
        <v>0</v>
      </c>
      <c r="CJ80" s="229">
        <f t="shared" si="69"/>
        <v>0</v>
      </c>
      <c r="CK80" s="229">
        <f t="shared" si="69"/>
        <v>0</v>
      </c>
      <c r="CL80" s="229">
        <f t="shared" si="69"/>
        <v>0</v>
      </c>
      <c r="CM80" s="229">
        <f t="shared" si="69"/>
        <v>0</v>
      </c>
      <c r="CN80" s="229">
        <f t="shared" si="69"/>
        <v>0</v>
      </c>
      <c r="CO80" s="229">
        <f t="shared" si="69"/>
        <v>0</v>
      </c>
      <c r="CP80" s="229">
        <f t="shared" si="69"/>
        <v>0</v>
      </c>
      <c r="CQ80" s="229">
        <f t="shared" si="69"/>
        <v>0</v>
      </c>
      <c r="CR80" s="229">
        <f t="shared" si="69"/>
        <v>0</v>
      </c>
      <c r="CS80" s="230"/>
      <c r="CT80" s="231"/>
      <c r="CU80" s="231"/>
      <c r="CV80" s="231"/>
      <c r="CW80" s="231"/>
      <c r="CX80" s="231" t="e">
        <f t="shared" ca="1" si="62"/>
        <v>#N/A</v>
      </c>
      <c r="CY80" s="231"/>
      <c r="CZ80" s="231"/>
      <c r="DA80" s="231"/>
      <c r="DB80" s="231">
        <f>IF(SUM(DB$24:DB79)=DB$22,0,IF(AND($K80&gt;=DB$15,$K80&lt;(DB$16+1)),DB$22/(DB$16-DB$15+1),0))</f>
        <v>0</v>
      </c>
      <c r="DC80" s="231">
        <f t="shared" ref="DC80:DO89" si="70">IF(AND($K80&gt;=DC$15,$K80&lt;(DC$16+1)),DC$22/(DC$16-DC$15+1),0)</f>
        <v>0</v>
      </c>
      <c r="DD80" s="231">
        <f t="shared" si="70"/>
        <v>0</v>
      </c>
      <c r="DE80" s="231">
        <f t="shared" si="70"/>
        <v>0</v>
      </c>
      <c r="DF80" s="231">
        <f t="shared" si="70"/>
        <v>0</v>
      </c>
      <c r="DG80" s="231">
        <f t="shared" si="70"/>
        <v>0</v>
      </c>
      <c r="DH80" s="231">
        <f t="shared" si="70"/>
        <v>0</v>
      </c>
      <c r="DI80" s="231">
        <f t="shared" si="70"/>
        <v>0</v>
      </c>
      <c r="DJ80" s="231">
        <f t="shared" si="70"/>
        <v>0</v>
      </c>
      <c r="DK80" s="231">
        <f t="shared" si="70"/>
        <v>0</v>
      </c>
      <c r="DL80" s="231">
        <f t="shared" si="70"/>
        <v>0</v>
      </c>
      <c r="DM80" s="231">
        <f t="shared" si="70"/>
        <v>0</v>
      </c>
      <c r="DN80" s="231">
        <f t="shared" si="70"/>
        <v>0</v>
      </c>
      <c r="DO80" s="231">
        <f t="shared" si="70"/>
        <v>0</v>
      </c>
      <c r="DP80" s="231">
        <f>'Offshore CF'!DR80</f>
        <v>0</v>
      </c>
      <c r="DQ80" s="231">
        <f>'Offshore CF'!DS80</f>
        <v>0.29866666666666669</v>
      </c>
      <c r="DR80" s="231">
        <f ca="1">IF(SUM(DR$24:DR79)=DR$22,0,IF(AND($K80&gt;=DR$15,$K80&lt;(DR$16+1)),DR$22/(DR$16-DR$15+1),0))</f>
        <v>0</v>
      </c>
      <c r="DS80" s="231" t="e">
        <f ca="1">IF(SUM(DS$24:DS79)=DS$22,0,IF(AND($K80&gt;=DS$15,$K80&lt;(DS$16+1)),DS$22/(DS$16-DS$15+1),0))</f>
        <v>#REF!</v>
      </c>
      <c r="DT80" s="231" t="e">
        <f ca="1">IF(SUM(DT$24:DT79)=DT$22,0,IF(AND(K80&gt;=DT$15,K80&lt;(DT$16+1)),DT$22/(DT$16-DT$15+1),0))</f>
        <v>#REF!</v>
      </c>
      <c r="DU80" s="231" t="e">
        <f ca="1">IF(SUM(DU$24:DU79)=DU$22,0,IF(AND($K80&gt;=DU$15,$K80&lt;(DU$16+1)),DU$22/(DU$16-DU$15+1),0))</f>
        <v>#REF!</v>
      </c>
      <c r="DV80" s="231">
        <f ca="1">IF(SUM(DV$24:DV79)=DV$22,0,IF(AND($K80&gt;=DV$15,$K80&lt;(DV$16+1)),DV$22/(DV$16-DV$15+1),0))</f>
        <v>0</v>
      </c>
      <c r="DW80" s="231">
        <f ca="1">IF(SUM(DW$24:DW79)=DW$22,0,IF(AND($K80&gt;=DW$15,$K80&lt;(DW$16+1)),DW$22/(DW$16-DW$15+1),0))</f>
        <v>0</v>
      </c>
      <c r="DX80" s="231">
        <f ca="1">IF(SUM(DX$24:DX79)=DX$22,0,IF(AND($K80&gt;=DX$15,$K80&lt;(DX$16+1)),DX$22/(DX$16-DX$15+1),0))</f>
        <v>0</v>
      </c>
      <c r="DY80" s="231">
        <f ca="1">IF(SUM(DY$24:DY79)=DY$22,0,IF(AND($K80&gt;=DY$15,$K80&lt;(DY$16+1)),DY$22/(DY$16-DY$15+1),0))</f>
        <v>0</v>
      </c>
      <c r="EA80" s="749">
        <f t="shared" si="51"/>
        <v>57</v>
      </c>
      <c r="EB80" s="749" t="e">
        <f t="shared" ca="1" si="52"/>
        <v>#N/A</v>
      </c>
      <c r="EC80" s="750" t="e">
        <f t="shared" ca="1" si="53"/>
        <v>#N/A</v>
      </c>
      <c r="ED80" s="749" t="e">
        <f t="shared" ca="1" si="28"/>
        <v>#N/A</v>
      </c>
      <c r="EE80" s="749"/>
      <c r="EF80" s="749"/>
      <c r="EG80" s="749"/>
      <c r="EH80" s="749"/>
      <c r="EI80" s="714" t="e">
        <f t="shared" ca="1" si="19"/>
        <v>#N/A</v>
      </c>
      <c r="EJ80" s="231" t="e">
        <f ca="1">IF(SUM(EJ$24:EJ79)=EJ$22,0,IF(AND($K80&gt;=EJ$15,$K80&lt;(EJ$16+1)),EJ$22/(EJ$16-EJ$15+1),0))</f>
        <v>#REF!</v>
      </c>
      <c r="EK80" s="714" t="e">
        <f t="shared" ca="1" si="54"/>
        <v>#N/A</v>
      </c>
      <c r="EM80" s="60"/>
      <c r="EN80" s="60"/>
    </row>
    <row r="81" spans="1:144">
      <c r="A81" s="247"/>
      <c r="B81" s="236">
        <f t="shared" si="20"/>
        <v>58</v>
      </c>
      <c r="C81" s="221">
        <f t="shared" si="21"/>
        <v>45204.75190000009</v>
      </c>
      <c r="D81" s="746" t="e">
        <f t="shared" ca="1" si="22"/>
        <v>#DIV/0!</v>
      </c>
      <c r="E81" s="747" t="e">
        <f t="shared" ca="1" si="25"/>
        <v>#DIV/0!</v>
      </c>
      <c r="F81" s="748" t="e">
        <f ca="1">IF(F80=0,0,SUM($G$24:G81))</f>
        <v>#DIV/0!</v>
      </c>
      <c r="G81" s="225" t="e">
        <f t="shared" ca="1" si="48"/>
        <v>#DIV/0!</v>
      </c>
      <c r="H81" s="746">
        <f t="shared" ca="1" si="23"/>
        <v>0</v>
      </c>
      <c r="I81" s="60"/>
      <c r="J81" s="242"/>
      <c r="K81" s="228">
        <f t="shared" si="49"/>
        <v>58</v>
      </c>
      <c r="L81" s="221">
        <f t="shared" si="50"/>
        <v>45204.75190000009</v>
      </c>
      <c r="M81" s="229">
        <f t="shared" si="65"/>
        <v>0</v>
      </c>
      <c r="N81" s="229">
        <f t="shared" si="65"/>
        <v>0</v>
      </c>
      <c r="O81" s="229">
        <f t="shared" si="65"/>
        <v>0</v>
      </c>
      <c r="P81" s="229">
        <f t="shared" si="65"/>
        <v>0</v>
      </c>
      <c r="Q81" s="229">
        <f t="shared" si="65"/>
        <v>0</v>
      </c>
      <c r="R81" s="229">
        <f t="shared" si="64"/>
        <v>0</v>
      </c>
      <c r="S81" s="229">
        <f t="shared" si="64"/>
        <v>0</v>
      </c>
      <c r="T81" s="229">
        <f t="shared" si="64"/>
        <v>0</v>
      </c>
      <c r="U81" s="229">
        <f t="shared" si="65"/>
        <v>0</v>
      </c>
      <c r="V81" s="229">
        <f t="shared" si="65"/>
        <v>0</v>
      </c>
      <c r="W81" s="229">
        <f t="shared" si="65"/>
        <v>0</v>
      </c>
      <c r="X81" s="229">
        <f t="shared" si="65"/>
        <v>0</v>
      </c>
      <c r="Y81" s="229">
        <f t="shared" si="65"/>
        <v>0</v>
      </c>
      <c r="Z81" s="229">
        <f t="shared" si="65"/>
        <v>0</v>
      </c>
      <c r="AA81" s="229">
        <f t="shared" si="65"/>
        <v>0</v>
      </c>
      <c r="AB81" s="229">
        <f t="shared" si="65"/>
        <v>0</v>
      </c>
      <c r="AC81" s="229">
        <f t="shared" si="65"/>
        <v>0</v>
      </c>
      <c r="AD81" s="229">
        <f t="shared" ref="P81:AD91" si="71">IF($K81=AD$13,AD$22*AD$3,IF($K81=AD$14,AD$22*AD$4,IF($K81=AD$15,AD$22*AD$5,IF($K81=AD$16,AD$22*AD$6,IF($K81=AD$17,AD$22*AD$7,IF($K81=AD$18,AD$22*AD$8,IF($K81=AD$19,AD$22*AD$9,IF($K81=AD$20,AD$22*AD$10,0))))))))</f>
        <v>0</v>
      </c>
      <c r="AE81" s="229">
        <f t="shared" si="65"/>
        <v>0</v>
      </c>
      <c r="AF81" s="229">
        <f t="shared" si="65"/>
        <v>0</v>
      </c>
      <c r="AG81" s="229">
        <f t="shared" si="65"/>
        <v>0</v>
      </c>
      <c r="AH81" s="229">
        <f t="shared" si="65"/>
        <v>0</v>
      </c>
      <c r="AI81" s="229">
        <f t="shared" si="65"/>
        <v>0</v>
      </c>
      <c r="AJ81" s="229">
        <f t="shared" si="65"/>
        <v>0</v>
      </c>
      <c r="AK81" s="229">
        <f t="shared" si="65"/>
        <v>0</v>
      </c>
      <c r="AL81" s="229">
        <f t="shared" si="65"/>
        <v>0</v>
      </c>
      <c r="AM81" s="229">
        <f t="shared" si="65"/>
        <v>0</v>
      </c>
      <c r="AN81" s="229">
        <f t="shared" si="65"/>
        <v>0</v>
      </c>
      <c r="AO81" s="229">
        <f t="shared" si="65"/>
        <v>0</v>
      </c>
      <c r="AP81" s="229">
        <f t="shared" si="65"/>
        <v>0</v>
      </c>
      <c r="AQ81" s="229">
        <f t="shared" si="65"/>
        <v>0</v>
      </c>
      <c r="AR81" s="229">
        <f t="shared" si="66"/>
        <v>0</v>
      </c>
      <c r="AS81" s="229">
        <f t="shared" si="66"/>
        <v>0</v>
      </c>
      <c r="AT81" s="229">
        <f t="shared" si="66"/>
        <v>0</v>
      </c>
      <c r="AU81" s="229">
        <f t="shared" si="66"/>
        <v>0</v>
      </c>
      <c r="AV81" s="229">
        <f t="shared" si="66"/>
        <v>0</v>
      </c>
      <c r="AW81" s="229">
        <f t="shared" si="66"/>
        <v>0</v>
      </c>
      <c r="AX81" s="229">
        <f t="shared" si="66"/>
        <v>0</v>
      </c>
      <c r="AY81" s="229">
        <f t="shared" si="66"/>
        <v>0</v>
      </c>
      <c r="AZ81" s="229">
        <f t="shared" si="66"/>
        <v>0</v>
      </c>
      <c r="BA81" s="229">
        <f t="shared" si="66"/>
        <v>0</v>
      </c>
      <c r="BB81" s="229">
        <f t="shared" si="66"/>
        <v>0</v>
      </c>
      <c r="BC81" s="229">
        <f t="shared" si="67"/>
        <v>0</v>
      </c>
      <c r="BD81" s="229">
        <f t="shared" si="67"/>
        <v>0</v>
      </c>
      <c r="BE81" s="229">
        <f t="shared" si="67"/>
        <v>0</v>
      </c>
      <c r="BF81" s="229">
        <f t="shared" si="67"/>
        <v>0</v>
      </c>
      <c r="BG81" s="229">
        <f t="shared" si="67"/>
        <v>0</v>
      </c>
      <c r="BH81" s="229">
        <f t="shared" si="67"/>
        <v>0</v>
      </c>
      <c r="BI81" s="229">
        <f t="shared" si="67"/>
        <v>0</v>
      </c>
      <c r="BJ81" s="229">
        <f t="shared" si="67"/>
        <v>0</v>
      </c>
      <c r="BK81" s="229">
        <f t="shared" si="67"/>
        <v>0</v>
      </c>
      <c r="BL81" s="229">
        <f t="shared" si="67"/>
        <v>0</v>
      </c>
      <c r="BM81" s="229">
        <f t="shared" si="68"/>
        <v>0</v>
      </c>
      <c r="BN81" s="229">
        <f t="shared" si="68"/>
        <v>0</v>
      </c>
      <c r="BO81" s="229">
        <f t="shared" si="68"/>
        <v>0</v>
      </c>
      <c r="BP81" s="229">
        <f t="shared" si="68"/>
        <v>0</v>
      </c>
      <c r="BQ81" s="229">
        <f t="shared" si="68"/>
        <v>0</v>
      </c>
      <c r="BR81" s="229">
        <f t="shared" si="68"/>
        <v>0</v>
      </c>
      <c r="BS81" s="229">
        <f t="shared" si="68"/>
        <v>0</v>
      </c>
      <c r="BT81" s="229">
        <f t="shared" si="68"/>
        <v>0</v>
      </c>
      <c r="BU81" s="229">
        <f t="shared" si="68"/>
        <v>0</v>
      </c>
      <c r="BV81" s="229">
        <f t="shared" si="68"/>
        <v>0</v>
      </c>
      <c r="BW81" s="229">
        <f t="shared" si="68"/>
        <v>0</v>
      </c>
      <c r="BX81" s="229">
        <f t="shared" si="68"/>
        <v>0</v>
      </c>
      <c r="BY81" s="229">
        <f t="shared" si="68"/>
        <v>0</v>
      </c>
      <c r="BZ81" s="229">
        <f t="shared" si="68"/>
        <v>0</v>
      </c>
      <c r="CA81" s="229">
        <f t="shared" si="68"/>
        <v>0</v>
      </c>
      <c r="CB81" s="229">
        <f t="shared" si="69"/>
        <v>0</v>
      </c>
      <c r="CC81" s="229">
        <f t="shared" si="69"/>
        <v>0</v>
      </c>
      <c r="CD81" s="229">
        <f t="shared" si="69"/>
        <v>0</v>
      </c>
      <c r="CE81" s="229">
        <f t="shared" si="69"/>
        <v>0</v>
      </c>
      <c r="CF81" s="229">
        <f t="shared" si="69"/>
        <v>0</v>
      </c>
      <c r="CG81" s="229">
        <f t="shared" si="69"/>
        <v>0</v>
      </c>
      <c r="CH81" s="229">
        <f t="shared" si="69"/>
        <v>0</v>
      </c>
      <c r="CI81" s="229">
        <f t="shared" si="69"/>
        <v>0</v>
      </c>
      <c r="CJ81" s="229">
        <f t="shared" si="69"/>
        <v>0</v>
      </c>
      <c r="CK81" s="229">
        <f t="shared" si="69"/>
        <v>0</v>
      </c>
      <c r="CL81" s="229">
        <f t="shared" si="69"/>
        <v>0</v>
      </c>
      <c r="CM81" s="229">
        <f t="shared" si="69"/>
        <v>0</v>
      </c>
      <c r="CN81" s="229">
        <f t="shared" si="69"/>
        <v>0</v>
      </c>
      <c r="CO81" s="229">
        <f t="shared" si="69"/>
        <v>0</v>
      </c>
      <c r="CP81" s="229">
        <f t="shared" si="69"/>
        <v>0</v>
      </c>
      <c r="CQ81" s="229">
        <f t="shared" si="69"/>
        <v>0</v>
      </c>
      <c r="CR81" s="229">
        <f t="shared" si="69"/>
        <v>0</v>
      </c>
      <c r="CS81" s="230"/>
      <c r="CT81" s="231"/>
      <c r="CU81" s="231"/>
      <c r="CV81" s="231"/>
      <c r="CW81" s="231"/>
      <c r="CX81" s="231" t="e">
        <f t="shared" ca="1" si="62"/>
        <v>#N/A</v>
      </c>
      <c r="CY81" s="231"/>
      <c r="CZ81" s="231"/>
      <c r="DA81" s="231" t="e">
        <f ca="1">IF(SUM(DA$32:DA80)&gt;=DA$22,0,DA$22/(DA$13*4))</f>
        <v>#N/A</v>
      </c>
      <c r="DB81" s="231">
        <f>IF(SUM(DB$24:DB80)=DB$22,0,IF(AND($K81&gt;=DB$15,$K81&lt;(DB$16+1)),DB$22/(DB$16-DB$15+1),0))</f>
        <v>0</v>
      </c>
      <c r="DC81" s="231">
        <f t="shared" si="70"/>
        <v>0</v>
      </c>
      <c r="DD81" s="231">
        <f t="shared" si="70"/>
        <v>0</v>
      </c>
      <c r="DE81" s="231">
        <f t="shared" si="70"/>
        <v>0</v>
      </c>
      <c r="DF81" s="231">
        <f t="shared" si="70"/>
        <v>0</v>
      </c>
      <c r="DG81" s="231">
        <f t="shared" si="70"/>
        <v>0</v>
      </c>
      <c r="DH81" s="231">
        <f t="shared" si="70"/>
        <v>0</v>
      </c>
      <c r="DI81" s="231">
        <f t="shared" si="70"/>
        <v>0</v>
      </c>
      <c r="DJ81" s="231">
        <f t="shared" si="70"/>
        <v>0</v>
      </c>
      <c r="DK81" s="231">
        <f t="shared" si="70"/>
        <v>0</v>
      </c>
      <c r="DL81" s="231">
        <f t="shared" si="70"/>
        <v>0</v>
      </c>
      <c r="DM81" s="231">
        <f t="shared" si="70"/>
        <v>0</v>
      </c>
      <c r="DN81" s="231">
        <f t="shared" si="70"/>
        <v>0</v>
      </c>
      <c r="DO81" s="231">
        <f t="shared" si="70"/>
        <v>0</v>
      </c>
      <c r="DP81" s="231">
        <f>'Offshore CF'!DR81</f>
        <v>0</v>
      </c>
      <c r="DQ81" s="231">
        <f>'Offshore CF'!DS81</f>
        <v>0.29866666666666669</v>
      </c>
      <c r="DR81" s="231">
        <f ca="1">IF(SUM(DR$24:DR80)=DR$22,0,IF(AND($K81&gt;=DR$15,$K81&lt;(DR$16+1)),DR$22/(DR$16-DR$15+1),0))</f>
        <v>0</v>
      </c>
      <c r="DS81" s="231" t="e">
        <f ca="1">IF(SUM(DS$24:DS80)=DS$22,0,IF(AND($K81&gt;=DS$15,$K81&lt;(DS$16+1)),DS$22/(DS$16-DS$15+1),0))</f>
        <v>#REF!</v>
      </c>
      <c r="DT81" s="231" t="e">
        <f ca="1">IF(SUM(DT$24:DT80)=DT$22,0,IF(AND(K81&gt;=DT$15,K81&lt;(DT$16+1)),DT$22/(DT$16-DT$15+1),0))</f>
        <v>#REF!</v>
      </c>
      <c r="DU81" s="231" t="e">
        <f ca="1">IF(SUM(DU$24:DU80)=DU$22,0,IF(AND($K81&gt;=DU$15,$K81&lt;(DU$16+1)),DU$22/(DU$16-DU$15+1),0))</f>
        <v>#REF!</v>
      </c>
      <c r="DV81" s="231">
        <f ca="1">IF(SUM(DV$24:DV80)=DV$22,0,IF(AND($K81&gt;=DV$15,$K81&lt;(DV$16+1)),DV$22/(DV$16-DV$15+1),0))</f>
        <v>0</v>
      </c>
      <c r="DW81" s="231">
        <f ca="1">IF(SUM(DW$24:DW80)=DW$22,0,IF(AND($K81&gt;=DW$15,$K81&lt;(DW$16+1)),DW$22/(DW$16-DW$15+1),0))</f>
        <v>0</v>
      </c>
      <c r="DX81" s="231">
        <f ca="1">IF(SUM(DX$24:DX80)=DX$22,0,IF(AND($K81&gt;=DX$15,$K81&lt;(DX$16+1)),DX$22/(DX$16-DX$15+1),0))</f>
        <v>0</v>
      </c>
      <c r="DY81" s="231">
        <f ca="1">IF(SUM(DY$24:DY80)=DY$22,0,IF(AND($K81&gt;=DY$15,$K81&lt;(DY$16+1)),DY$22/(DY$16-DY$15+1),0))</f>
        <v>0</v>
      </c>
      <c r="EA81" s="749">
        <f t="shared" si="51"/>
        <v>58</v>
      </c>
      <c r="EB81" s="749" t="e">
        <f t="shared" ca="1" si="52"/>
        <v>#N/A</v>
      </c>
      <c r="EC81" s="750" t="e">
        <f t="shared" ca="1" si="53"/>
        <v>#N/A</v>
      </c>
      <c r="ED81" s="749" t="e">
        <f t="shared" ca="1" si="28"/>
        <v>#N/A</v>
      </c>
      <c r="EE81" s="749"/>
      <c r="EF81" s="749"/>
      <c r="EG81" s="749"/>
      <c r="EH81" s="749"/>
      <c r="EI81" s="714" t="e">
        <f t="shared" ca="1" si="19"/>
        <v>#N/A</v>
      </c>
      <c r="EJ81" s="231" t="e">
        <f ca="1">IF(SUM(EJ$24:EJ80)=EJ$22,0,IF(AND($K81&gt;=EJ$15,$K81&lt;(EJ$16+1)),EJ$22/(EJ$16-EJ$15+1),0))</f>
        <v>#REF!</v>
      </c>
      <c r="EK81" s="714" t="e">
        <f t="shared" ca="1" si="54"/>
        <v>#N/A</v>
      </c>
      <c r="EM81" s="60"/>
      <c r="EN81" s="60"/>
    </row>
    <row r="82" spans="1:144">
      <c r="A82" s="247"/>
      <c r="B82" s="236">
        <f t="shared" si="20"/>
        <v>59</v>
      </c>
      <c r="C82" s="221">
        <f t="shared" si="21"/>
        <v>45235.168600000092</v>
      </c>
      <c r="D82" s="746" t="e">
        <f t="shared" ca="1" si="22"/>
        <v>#DIV/0!</v>
      </c>
      <c r="E82" s="747" t="e">
        <f t="shared" ca="1" si="25"/>
        <v>#DIV/0!</v>
      </c>
      <c r="F82" s="748" t="e">
        <f ca="1">IF(F81=0,0,SUM($G$24:G82))</f>
        <v>#DIV/0!</v>
      </c>
      <c r="G82" s="225" t="e">
        <f t="shared" ca="1" si="48"/>
        <v>#DIV/0!</v>
      </c>
      <c r="H82" s="746">
        <f t="shared" ca="1" si="23"/>
        <v>0</v>
      </c>
      <c r="I82" s="60"/>
      <c r="J82" s="242"/>
      <c r="K82" s="228">
        <f t="shared" si="49"/>
        <v>59</v>
      </c>
      <c r="L82" s="221">
        <f t="shared" si="50"/>
        <v>45235.168600000092</v>
      </c>
      <c r="M82" s="229">
        <f t="shared" si="65"/>
        <v>0</v>
      </c>
      <c r="N82" s="229">
        <f t="shared" si="65"/>
        <v>0</v>
      </c>
      <c r="O82" s="229">
        <f t="shared" si="65"/>
        <v>0</v>
      </c>
      <c r="P82" s="229">
        <f t="shared" si="71"/>
        <v>0</v>
      </c>
      <c r="Q82" s="229">
        <f t="shared" si="71"/>
        <v>0</v>
      </c>
      <c r="R82" s="229">
        <f t="shared" si="71"/>
        <v>0</v>
      </c>
      <c r="S82" s="229">
        <f t="shared" si="71"/>
        <v>0</v>
      </c>
      <c r="T82" s="229">
        <f t="shared" si="71"/>
        <v>0</v>
      </c>
      <c r="U82" s="229">
        <f t="shared" si="71"/>
        <v>0</v>
      </c>
      <c r="V82" s="229">
        <f t="shared" si="71"/>
        <v>0</v>
      </c>
      <c r="W82" s="229">
        <f t="shared" si="71"/>
        <v>0</v>
      </c>
      <c r="X82" s="229">
        <f t="shared" si="71"/>
        <v>0</v>
      </c>
      <c r="Y82" s="229">
        <f t="shared" si="71"/>
        <v>0</v>
      </c>
      <c r="Z82" s="229">
        <f t="shared" si="71"/>
        <v>0</v>
      </c>
      <c r="AA82" s="229">
        <f t="shared" si="71"/>
        <v>0</v>
      </c>
      <c r="AB82" s="229">
        <f t="shared" si="71"/>
        <v>0</v>
      </c>
      <c r="AC82" s="229">
        <f t="shared" si="71"/>
        <v>0</v>
      </c>
      <c r="AD82" s="229">
        <f t="shared" si="71"/>
        <v>0</v>
      </c>
      <c r="AE82" s="229">
        <f t="shared" si="65"/>
        <v>0</v>
      </c>
      <c r="AF82" s="229">
        <f t="shared" si="65"/>
        <v>0</v>
      </c>
      <c r="AG82" s="229">
        <f t="shared" si="65"/>
        <v>0</v>
      </c>
      <c r="AH82" s="229">
        <f t="shared" si="65"/>
        <v>0</v>
      </c>
      <c r="AI82" s="229">
        <f t="shared" si="65"/>
        <v>0</v>
      </c>
      <c r="AJ82" s="229">
        <f t="shared" si="65"/>
        <v>0</v>
      </c>
      <c r="AK82" s="229">
        <f t="shared" si="65"/>
        <v>0</v>
      </c>
      <c r="AL82" s="229">
        <f t="shared" si="65"/>
        <v>0</v>
      </c>
      <c r="AM82" s="229">
        <f t="shared" si="65"/>
        <v>0</v>
      </c>
      <c r="AN82" s="229">
        <f t="shared" si="65"/>
        <v>0</v>
      </c>
      <c r="AO82" s="229">
        <f t="shared" si="65"/>
        <v>0</v>
      </c>
      <c r="AP82" s="229">
        <f t="shared" si="65"/>
        <v>0</v>
      </c>
      <c r="AQ82" s="229">
        <f t="shared" si="65"/>
        <v>0</v>
      </c>
      <c r="AR82" s="229">
        <f t="shared" si="66"/>
        <v>0</v>
      </c>
      <c r="AS82" s="229">
        <f t="shared" si="66"/>
        <v>0</v>
      </c>
      <c r="AT82" s="229">
        <f t="shared" si="66"/>
        <v>0</v>
      </c>
      <c r="AU82" s="229">
        <f t="shared" si="66"/>
        <v>0</v>
      </c>
      <c r="AV82" s="229">
        <f t="shared" si="66"/>
        <v>0</v>
      </c>
      <c r="AW82" s="229">
        <f t="shared" si="66"/>
        <v>0</v>
      </c>
      <c r="AX82" s="229">
        <f t="shared" si="66"/>
        <v>0</v>
      </c>
      <c r="AY82" s="229">
        <f t="shared" si="66"/>
        <v>0</v>
      </c>
      <c r="AZ82" s="229">
        <f t="shared" si="66"/>
        <v>0</v>
      </c>
      <c r="BA82" s="229">
        <f t="shared" si="66"/>
        <v>0</v>
      </c>
      <c r="BB82" s="229">
        <f t="shared" si="66"/>
        <v>0</v>
      </c>
      <c r="BC82" s="229">
        <f t="shared" si="67"/>
        <v>0</v>
      </c>
      <c r="BD82" s="229">
        <f t="shared" si="67"/>
        <v>0</v>
      </c>
      <c r="BE82" s="229">
        <f t="shared" si="67"/>
        <v>0</v>
      </c>
      <c r="BF82" s="229">
        <f t="shared" si="67"/>
        <v>0</v>
      </c>
      <c r="BG82" s="229">
        <f t="shared" si="67"/>
        <v>0</v>
      </c>
      <c r="BH82" s="229">
        <f t="shared" si="67"/>
        <v>0</v>
      </c>
      <c r="BI82" s="229">
        <f t="shared" si="67"/>
        <v>0</v>
      </c>
      <c r="BJ82" s="229">
        <f t="shared" si="67"/>
        <v>0</v>
      </c>
      <c r="BK82" s="229">
        <f t="shared" si="67"/>
        <v>0</v>
      </c>
      <c r="BL82" s="229">
        <f t="shared" si="67"/>
        <v>0</v>
      </c>
      <c r="BM82" s="229">
        <f t="shared" si="68"/>
        <v>0</v>
      </c>
      <c r="BN82" s="229">
        <f t="shared" si="68"/>
        <v>0</v>
      </c>
      <c r="BO82" s="229">
        <f t="shared" si="68"/>
        <v>0</v>
      </c>
      <c r="BP82" s="229">
        <f t="shared" si="68"/>
        <v>0</v>
      </c>
      <c r="BQ82" s="229">
        <f t="shared" si="68"/>
        <v>0</v>
      </c>
      <c r="BR82" s="229">
        <f t="shared" si="68"/>
        <v>0</v>
      </c>
      <c r="BS82" s="229">
        <f t="shared" si="68"/>
        <v>0</v>
      </c>
      <c r="BT82" s="229">
        <f t="shared" si="68"/>
        <v>0</v>
      </c>
      <c r="BU82" s="229">
        <f t="shared" si="68"/>
        <v>0</v>
      </c>
      <c r="BV82" s="229">
        <f t="shared" si="68"/>
        <v>0</v>
      </c>
      <c r="BW82" s="229">
        <f t="shared" si="68"/>
        <v>0</v>
      </c>
      <c r="BX82" s="229">
        <f t="shared" si="68"/>
        <v>0</v>
      </c>
      <c r="BY82" s="229">
        <f t="shared" si="68"/>
        <v>0</v>
      </c>
      <c r="BZ82" s="229">
        <f t="shared" si="68"/>
        <v>0</v>
      </c>
      <c r="CA82" s="229">
        <f t="shared" si="68"/>
        <v>0</v>
      </c>
      <c r="CB82" s="229">
        <f t="shared" si="69"/>
        <v>0</v>
      </c>
      <c r="CC82" s="229">
        <f t="shared" si="69"/>
        <v>0</v>
      </c>
      <c r="CD82" s="229">
        <f t="shared" si="69"/>
        <v>0</v>
      </c>
      <c r="CE82" s="229">
        <f t="shared" si="69"/>
        <v>0</v>
      </c>
      <c r="CF82" s="229">
        <f t="shared" si="69"/>
        <v>0</v>
      </c>
      <c r="CG82" s="229">
        <f t="shared" si="69"/>
        <v>0</v>
      </c>
      <c r="CH82" s="229">
        <f t="shared" si="69"/>
        <v>0</v>
      </c>
      <c r="CI82" s="229">
        <f t="shared" si="69"/>
        <v>0</v>
      </c>
      <c r="CJ82" s="229">
        <f t="shared" si="69"/>
        <v>0</v>
      </c>
      <c r="CK82" s="229">
        <f t="shared" si="69"/>
        <v>0</v>
      </c>
      <c r="CL82" s="229">
        <f t="shared" si="69"/>
        <v>0</v>
      </c>
      <c r="CM82" s="229">
        <f t="shared" si="69"/>
        <v>0</v>
      </c>
      <c r="CN82" s="229">
        <f t="shared" si="69"/>
        <v>0</v>
      </c>
      <c r="CO82" s="229">
        <f t="shared" si="69"/>
        <v>0</v>
      </c>
      <c r="CP82" s="229">
        <f t="shared" si="69"/>
        <v>0</v>
      </c>
      <c r="CQ82" s="229">
        <f t="shared" si="69"/>
        <v>0</v>
      </c>
      <c r="CR82" s="229">
        <f t="shared" si="69"/>
        <v>0</v>
      </c>
      <c r="CS82" s="230"/>
      <c r="CT82" s="231"/>
      <c r="CU82" s="231"/>
      <c r="CV82" s="231"/>
      <c r="CW82" s="231"/>
      <c r="CX82" s="231" t="e">
        <f t="shared" ca="1" si="62"/>
        <v>#N/A</v>
      </c>
      <c r="CY82" s="231"/>
      <c r="CZ82" s="231"/>
      <c r="DA82" s="231"/>
      <c r="DB82" s="231">
        <f>IF(SUM(DB$24:DB81)=DB$22,0,IF(AND($K82&gt;=DB$15,$K82&lt;(DB$16+1)),DB$22/(DB$16-DB$15+1),0))</f>
        <v>0</v>
      </c>
      <c r="DC82" s="231">
        <f t="shared" si="70"/>
        <v>0</v>
      </c>
      <c r="DD82" s="231">
        <f t="shared" si="70"/>
        <v>0</v>
      </c>
      <c r="DE82" s="231">
        <f t="shared" si="70"/>
        <v>0</v>
      </c>
      <c r="DF82" s="231">
        <f t="shared" si="70"/>
        <v>0</v>
      </c>
      <c r="DG82" s="231">
        <f t="shared" si="70"/>
        <v>0</v>
      </c>
      <c r="DH82" s="231">
        <f t="shared" si="70"/>
        <v>0</v>
      </c>
      <c r="DI82" s="231">
        <f t="shared" si="70"/>
        <v>0</v>
      </c>
      <c r="DJ82" s="231">
        <f t="shared" si="70"/>
        <v>0</v>
      </c>
      <c r="DK82" s="231">
        <f t="shared" si="70"/>
        <v>0</v>
      </c>
      <c r="DL82" s="231">
        <f t="shared" si="70"/>
        <v>0</v>
      </c>
      <c r="DM82" s="231">
        <f t="shared" si="70"/>
        <v>0</v>
      </c>
      <c r="DN82" s="231">
        <f t="shared" si="70"/>
        <v>0</v>
      </c>
      <c r="DO82" s="231">
        <f t="shared" si="70"/>
        <v>0</v>
      </c>
      <c r="DP82" s="231">
        <f>'Offshore CF'!DR82</f>
        <v>0</v>
      </c>
      <c r="DQ82" s="231">
        <f>'Offshore CF'!DS82</f>
        <v>0.29866666666666669</v>
      </c>
      <c r="DR82" s="231">
        <f ca="1">IF(SUM(DR$24:DR81)=DR$22,0,IF(AND($K82&gt;=DR$15,$K82&lt;(DR$16+1)),DR$22/(DR$16-DR$15+1),0))</f>
        <v>0</v>
      </c>
      <c r="DS82" s="231" t="e">
        <f ca="1">IF(SUM(DS$24:DS81)=DS$22,0,IF(AND($K82&gt;=DS$15,$K82&lt;(DS$16+1)),DS$22/(DS$16-DS$15+1),0))</f>
        <v>#REF!</v>
      </c>
      <c r="DT82" s="231" t="e">
        <f ca="1">IF(SUM(DT$24:DT81)=DT$22,0,IF(AND(K82&gt;=DT$15,K82&lt;(DT$16+1)),DT$22/(DT$16-DT$15+1),0))</f>
        <v>#REF!</v>
      </c>
      <c r="DU82" s="231" t="e">
        <f ca="1">IF(SUM(DU$24:DU81)=DU$22,0,IF(AND($K82&gt;=DU$15,$K82&lt;(DU$16+1)),DU$22/(DU$16-DU$15+1),0))</f>
        <v>#REF!</v>
      </c>
      <c r="DV82" s="231">
        <f ca="1">IF(SUM(DV$24:DV81)=DV$22,0,IF(AND($K82&gt;=DV$15,$K82&lt;(DV$16+1)),DV$22/(DV$16-DV$15+1),0))</f>
        <v>0</v>
      </c>
      <c r="DW82" s="231">
        <f ca="1">IF(SUM(DW$24:DW81)=DW$22,0,IF(AND($K82&gt;=DW$15,$K82&lt;(DW$16+1)),DW$22/(DW$16-DW$15+1),0))</f>
        <v>0</v>
      </c>
      <c r="DX82" s="231">
        <f ca="1">IF(SUM(DX$24:DX81)=DX$22,0,IF(AND($K82&gt;=DX$15,$K82&lt;(DX$16+1)),DX$22/(DX$16-DX$15+1),0))</f>
        <v>0</v>
      </c>
      <c r="DY82" s="231">
        <f ca="1">IF(SUM(DY$24:DY81)=DY$22,0,IF(AND($K82&gt;=DY$15,$K82&lt;(DY$16+1)),DY$22/(DY$16-DY$15+1),0))</f>
        <v>0</v>
      </c>
      <c r="EA82" s="749">
        <f t="shared" si="51"/>
        <v>59</v>
      </c>
      <c r="EB82" s="749" t="e">
        <f t="shared" ca="1" si="52"/>
        <v>#N/A</v>
      </c>
      <c r="EC82" s="750" t="e">
        <f t="shared" ca="1" si="53"/>
        <v>#N/A</v>
      </c>
      <c r="ED82" s="749" t="e">
        <f t="shared" ca="1" si="28"/>
        <v>#N/A</v>
      </c>
      <c r="EE82" s="749"/>
      <c r="EF82" s="749"/>
      <c r="EG82" s="749"/>
      <c r="EH82" s="749"/>
      <c r="EI82" s="714" t="e">
        <f t="shared" ca="1" si="19"/>
        <v>#N/A</v>
      </c>
      <c r="EJ82" s="231" t="e">
        <f ca="1">IF(SUM(EJ$24:EJ81)=EJ$22,0,IF(AND($K82&gt;=EJ$15,$K82&lt;(EJ$16+1)),EJ$22/(EJ$16-EJ$15+1),0))</f>
        <v>#REF!</v>
      </c>
      <c r="EK82" s="714" t="e">
        <f t="shared" ca="1" si="54"/>
        <v>#N/A</v>
      </c>
      <c r="EM82" s="60"/>
      <c r="EN82" s="60"/>
    </row>
    <row r="83" spans="1:144">
      <c r="A83" s="248"/>
      <c r="B83" s="249">
        <f t="shared" si="20"/>
        <v>60</v>
      </c>
      <c r="C83" s="221">
        <f t="shared" si="21"/>
        <v>45265.585300000093</v>
      </c>
      <c r="D83" s="746" t="e">
        <f t="shared" ca="1" si="22"/>
        <v>#DIV/0!</v>
      </c>
      <c r="E83" s="747" t="e">
        <f t="shared" ca="1" si="25"/>
        <v>#DIV/0!</v>
      </c>
      <c r="F83" s="748" t="e">
        <f ca="1">IF(F82=0,0,SUM($G$24:G83))</f>
        <v>#DIV/0!</v>
      </c>
      <c r="G83" s="225" t="e">
        <f t="shared" ca="1" si="48"/>
        <v>#DIV/0!</v>
      </c>
      <c r="H83" s="746">
        <f t="shared" ca="1" si="23"/>
        <v>0</v>
      </c>
      <c r="I83" s="250"/>
      <c r="J83" s="251"/>
      <c r="K83" s="251">
        <f t="shared" si="49"/>
        <v>60</v>
      </c>
      <c r="L83" s="252">
        <f t="shared" si="50"/>
        <v>45265.585300000093</v>
      </c>
      <c r="M83" s="229">
        <f t="shared" si="65"/>
        <v>0</v>
      </c>
      <c r="N83" s="229">
        <f t="shared" si="65"/>
        <v>0</v>
      </c>
      <c r="O83" s="229">
        <f t="shared" si="65"/>
        <v>0</v>
      </c>
      <c r="P83" s="229">
        <f t="shared" si="71"/>
        <v>0</v>
      </c>
      <c r="Q83" s="229">
        <f t="shared" si="71"/>
        <v>0</v>
      </c>
      <c r="R83" s="229">
        <f t="shared" si="71"/>
        <v>0</v>
      </c>
      <c r="S83" s="229">
        <f t="shared" si="71"/>
        <v>0</v>
      </c>
      <c r="T83" s="229">
        <f t="shared" si="71"/>
        <v>0</v>
      </c>
      <c r="U83" s="229">
        <f t="shared" si="71"/>
        <v>0</v>
      </c>
      <c r="V83" s="229">
        <f t="shared" si="71"/>
        <v>0</v>
      </c>
      <c r="W83" s="229">
        <f t="shared" si="71"/>
        <v>0</v>
      </c>
      <c r="X83" s="229">
        <f t="shared" si="71"/>
        <v>0</v>
      </c>
      <c r="Y83" s="229">
        <f t="shared" si="71"/>
        <v>0</v>
      </c>
      <c r="Z83" s="229">
        <f t="shared" si="71"/>
        <v>0</v>
      </c>
      <c r="AA83" s="229">
        <f t="shared" si="71"/>
        <v>0</v>
      </c>
      <c r="AB83" s="229">
        <f t="shared" si="71"/>
        <v>0</v>
      </c>
      <c r="AC83" s="229">
        <f t="shared" si="71"/>
        <v>0</v>
      </c>
      <c r="AD83" s="229">
        <f t="shared" si="71"/>
        <v>0</v>
      </c>
      <c r="AE83" s="229">
        <f t="shared" si="65"/>
        <v>0</v>
      </c>
      <c r="AF83" s="229">
        <f t="shared" si="65"/>
        <v>0</v>
      </c>
      <c r="AG83" s="229">
        <f t="shared" si="65"/>
        <v>0</v>
      </c>
      <c r="AH83" s="229">
        <f t="shared" si="65"/>
        <v>0</v>
      </c>
      <c r="AI83" s="229">
        <f t="shared" si="65"/>
        <v>0</v>
      </c>
      <c r="AJ83" s="229">
        <f t="shared" si="65"/>
        <v>0</v>
      </c>
      <c r="AK83" s="229">
        <f t="shared" si="65"/>
        <v>0</v>
      </c>
      <c r="AL83" s="229">
        <f t="shared" si="65"/>
        <v>0</v>
      </c>
      <c r="AM83" s="229">
        <f t="shared" si="65"/>
        <v>0</v>
      </c>
      <c r="AN83" s="229">
        <f t="shared" si="65"/>
        <v>0</v>
      </c>
      <c r="AO83" s="229">
        <f t="shared" si="65"/>
        <v>0</v>
      </c>
      <c r="AP83" s="229">
        <f t="shared" si="65"/>
        <v>0</v>
      </c>
      <c r="AQ83" s="229">
        <f t="shared" si="65"/>
        <v>0</v>
      </c>
      <c r="AR83" s="229">
        <f t="shared" si="66"/>
        <v>0</v>
      </c>
      <c r="AS83" s="229">
        <f t="shared" si="66"/>
        <v>0</v>
      </c>
      <c r="AT83" s="229">
        <f t="shared" si="66"/>
        <v>0</v>
      </c>
      <c r="AU83" s="229">
        <f t="shared" si="66"/>
        <v>0</v>
      </c>
      <c r="AV83" s="229">
        <f t="shared" si="66"/>
        <v>0</v>
      </c>
      <c r="AW83" s="229">
        <f t="shared" si="66"/>
        <v>0</v>
      </c>
      <c r="AX83" s="229">
        <f t="shared" si="66"/>
        <v>0</v>
      </c>
      <c r="AY83" s="229">
        <f t="shared" si="66"/>
        <v>0</v>
      </c>
      <c r="AZ83" s="229">
        <f t="shared" si="66"/>
        <v>0</v>
      </c>
      <c r="BA83" s="229">
        <f t="shared" si="66"/>
        <v>0</v>
      </c>
      <c r="BB83" s="229">
        <f t="shared" si="66"/>
        <v>0</v>
      </c>
      <c r="BC83" s="229">
        <f t="shared" si="67"/>
        <v>0</v>
      </c>
      <c r="BD83" s="229">
        <f t="shared" si="67"/>
        <v>0</v>
      </c>
      <c r="BE83" s="229">
        <f t="shared" si="67"/>
        <v>0</v>
      </c>
      <c r="BF83" s="229">
        <f t="shared" si="67"/>
        <v>0</v>
      </c>
      <c r="BG83" s="229">
        <f t="shared" si="67"/>
        <v>0</v>
      </c>
      <c r="BH83" s="229">
        <f t="shared" si="67"/>
        <v>0</v>
      </c>
      <c r="BI83" s="229">
        <f t="shared" si="67"/>
        <v>0</v>
      </c>
      <c r="BJ83" s="229">
        <f t="shared" si="67"/>
        <v>0</v>
      </c>
      <c r="BK83" s="229">
        <f t="shared" si="67"/>
        <v>0</v>
      </c>
      <c r="BL83" s="229">
        <f t="shared" si="67"/>
        <v>0</v>
      </c>
      <c r="BM83" s="229">
        <f t="shared" si="68"/>
        <v>0</v>
      </c>
      <c r="BN83" s="229">
        <f t="shared" si="68"/>
        <v>0</v>
      </c>
      <c r="BO83" s="229">
        <f t="shared" si="68"/>
        <v>0</v>
      </c>
      <c r="BP83" s="229">
        <f t="shared" si="68"/>
        <v>0</v>
      </c>
      <c r="BQ83" s="229">
        <f t="shared" si="68"/>
        <v>0</v>
      </c>
      <c r="BR83" s="229">
        <f t="shared" si="68"/>
        <v>0</v>
      </c>
      <c r="BS83" s="229">
        <f t="shared" si="68"/>
        <v>0</v>
      </c>
      <c r="BT83" s="229">
        <f t="shared" si="68"/>
        <v>0</v>
      </c>
      <c r="BU83" s="229">
        <f t="shared" si="68"/>
        <v>0</v>
      </c>
      <c r="BV83" s="229">
        <f t="shared" si="68"/>
        <v>0</v>
      </c>
      <c r="BW83" s="229">
        <f t="shared" si="68"/>
        <v>0</v>
      </c>
      <c r="BX83" s="229">
        <f t="shared" si="68"/>
        <v>0</v>
      </c>
      <c r="BY83" s="229">
        <f t="shared" si="68"/>
        <v>0</v>
      </c>
      <c r="BZ83" s="229">
        <f t="shared" si="68"/>
        <v>0</v>
      </c>
      <c r="CA83" s="229">
        <f t="shared" si="68"/>
        <v>0</v>
      </c>
      <c r="CB83" s="229">
        <f t="shared" si="69"/>
        <v>0</v>
      </c>
      <c r="CC83" s="229">
        <f t="shared" si="69"/>
        <v>0</v>
      </c>
      <c r="CD83" s="229">
        <f t="shared" si="69"/>
        <v>0</v>
      </c>
      <c r="CE83" s="229">
        <f t="shared" si="69"/>
        <v>0</v>
      </c>
      <c r="CF83" s="229">
        <f t="shared" si="69"/>
        <v>0</v>
      </c>
      <c r="CG83" s="229">
        <f t="shared" si="69"/>
        <v>0</v>
      </c>
      <c r="CH83" s="229">
        <f t="shared" si="69"/>
        <v>0</v>
      </c>
      <c r="CI83" s="229">
        <f t="shared" si="69"/>
        <v>0</v>
      </c>
      <c r="CJ83" s="229">
        <f t="shared" si="69"/>
        <v>0</v>
      </c>
      <c r="CK83" s="229">
        <f t="shared" si="69"/>
        <v>0</v>
      </c>
      <c r="CL83" s="229">
        <f t="shared" si="69"/>
        <v>0</v>
      </c>
      <c r="CM83" s="229">
        <f t="shared" si="69"/>
        <v>0</v>
      </c>
      <c r="CN83" s="229">
        <f t="shared" si="69"/>
        <v>0</v>
      </c>
      <c r="CO83" s="229">
        <f t="shared" si="69"/>
        <v>0</v>
      </c>
      <c r="CP83" s="229">
        <f t="shared" si="69"/>
        <v>0</v>
      </c>
      <c r="CQ83" s="229">
        <f t="shared" si="69"/>
        <v>0</v>
      </c>
      <c r="CR83" s="229">
        <f t="shared" si="69"/>
        <v>0</v>
      </c>
      <c r="CS83" s="230"/>
      <c r="CT83" s="231"/>
      <c r="CU83" s="231"/>
      <c r="CV83" s="231"/>
      <c r="CW83" s="231"/>
      <c r="CX83" s="231" t="e">
        <f t="shared" ca="1" si="62"/>
        <v>#N/A</v>
      </c>
      <c r="CY83" s="231"/>
      <c r="CZ83" s="231"/>
      <c r="DA83" s="231"/>
      <c r="DB83" s="231">
        <f>IF(SUM(DB$24:DB82)=DB$22,0,IF(AND($K83&gt;=DB$15,$K83&lt;(DB$16+1)),DB$22/(DB$16-DB$15+1),0))</f>
        <v>0</v>
      </c>
      <c r="DC83" s="231">
        <f t="shared" si="70"/>
        <v>0</v>
      </c>
      <c r="DD83" s="231">
        <f t="shared" si="70"/>
        <v>0</v>
      </c>
      <c r="DE83" s="231">
        <f t="shared" si="70"/>
        <v>0</v>
      </c>
      <c r="DF83" s="231">
        <f t="shared" si="70"/>
        <v>0</v>
      </c>
      <c r="DG83" s="231">
        <f t="shared" si="70"/>
        <v>0</v>
      </c>
      <c r="DH83" s="231">
        <f t="shared" si="70"/>
        <v>0</v>
      </c>
      <c r="DI83" s="231">
        <f t="shared" si="70"/>
        <v>0</v>
      </c>
      <c r="DJ83" s="231">
        <f t="shared" si="70"/>
        <v>0</v>
      </c>
      <c r="DK83" s="231">
        <f t="shared" si="70"/>
        <v>0</v>
      </c>
      <c r="DL83" s="231">
        <f t="shared" si="70"/>
        <v>0</v>
      </c>
      <c r="DM83" s="231">
        <f t="shared" si="70"/>
        <v>0</v>
      </c>
      <c r="DN83" s="231">
        <f t="shared" si="70"/>
        <v>0</v>
      </c>
      <c r="DO83" s="231">
        <f t="shared" si="70"/>
        <v>0</v>
      </c>
      <c r="DP83" s="231">
        <f>'Offshore CF'!DR83</f>
        <v>0</v>
      </c>
      <c r="DQ83" s="231">
        <f>'Offshore CF'!DS83</f>
        <v>0.29866666666666669</v>
      </c>
      <c r="DR83" s="231">
        <f ca="1">IF(SUM(DR$24:DR82)=DR$22,0,IF(AND($K83&gt;=DR$15,$K83&lt;(DR$16+1)),DR$22/(DR$16-DR$15+1),0))</f>
        <v>0</v>
      </c>
      <c r="DS83" s="231" t="e">
        <f ca="1">IF(SUM(DS$24:DS82)=DS$22,0,IF(AND($K83&gt;=DS$15,$K83&lt;(DS$16+1)),DS$22/(DS$16-DS$15+1),0))</f>
        <v>#REF!</v>
      </c>
      <c r="DT83" s="231" t="e">
        <f ca="1">IF(SUM(DT$24:DT82)=DT$22,0,IF(AND(K83&gt;=DT$15,K83&lt;(DT$16+1)),DT$22/(DT$16-DT$15+1),0))</f>
        <v>#REF!</v>
      </c>
      <c r="DU83" s="231" t="e">
        <f ca="1">IF(SUM(DU$24:DU82)=DU$22,0,IF(AND($K83&gt;=DU$15,$K83&lt;(DU$16+1)),DU$22/(DU$16-DU$15+1),0))</f>
        <v>#REF!</v>
      </c>
      <c r="DV83" s="231">
        <f ca="1">IF(SUM(DV$24:DV82)=DV$22,0,IF(AND($K83&gt;=DV$15,$K83&lt;(DV$16+1)),DV$22/(DV$16-DV$15+1),0))</f>
        <v>0</v>
      </c>
      <c r="DW83" s="231">
        <f ca="1">IF(SUM(DW$24:DW82)=DW$22,0,IF(AND($K83&gt;=DW$15,$K83&lt;(DW$16+1)),DW$22/(DW$16-DW$15+1),0))</f>
        <v>0</v>
      </c>
      <c r="DX83" s="231">
        <f ca="1">IF(SUM(DX$24:DX82)=DX$22,0,IF(AND($K83&gt;=DX$15,$K83&lt;(DX$16+1)),DX$22/(DX$16-DX$15+1),0))</f>
        <v>0</v>
      </c>
      <c r="DY83" s="231">
        <f ca="1">IF(SUM(DY$24:DY82)=DY$22,0,IF(AND($K83&gt;=DY$15,$K83&lt;(DY$16+1)),DY$22/(DY$16-DY$15+1),0))</f>
        <v>0</v>
      </c>
      <c r="EA83" s="749">
        <f t="shared" si="51"/>
        <v>60</v>
      </c>
      <c r="EB83" s="749" t="e">
        <f t="shared" ca="1" si="52"/>
        <v>#N/A</v>
      </c>
      <c r="EC83" s="750" t="e">
        <f t="shared" ca="1" si="53"/>
        <v>#N/A</v>
      </c>
      <c r="ED83" s="749" t="e">
        <f t="shared" ca="1" si="28"/>
        <v>#N/A</v>
      </c>
      <c r="EE83" s="749"/>
      <c r="EF83" s="749"/>
      <c r="EG83" s="749"/>
      <c r="EH83" s="749"/>
      <c r="EI83" s="714" t="e">
        <f t="shared" ca="1" si="19"/>
        <v>#N/A</v>
      </c>
      <c r="EJ83" s="231" t="e">
        <f ca="1">IF(SUM(EJ$24:EJ82)=EJ$22,0,IF(AND($K83&gt;=EJ$15,$K83&lt;(EJ$16+1)),EJ$22/(EJ$16-EJ$15+1),0))</f>
        <v>#REF!</v>
      </c>
      <c r="EK83" s="714" t="e">
        <f t="shared" ca="1" si="54"/>
        <v>#N/A</v>
      </c>
      <c r="EM83" s="60"/>
      <c r="EN83" s="60"/>
    </row>
    <row r="84" spans="1:144">
      <c r="A84" s="253" t="s">
        <v>117</v>
      </c>
      <c r="B84" s="236">
        <f t="shared" si="20"/>
        <v>61</v>
      </c>
      <c r="C84" s="221">
        <f t="shared" si="21"/>
        <v>45296.002000000095</v>
      </c>
      <c r="D84" s="746" t="e">
        <f t="shared" ca="1" si="22"/>
        <v>#DIV/0!</v>
      </c>
      <c r="E84" s="747" t="e">
        <f t="shared" ca="1" si="25"/>
        <v>#DIV/0!</v>
      </c>
      <c r="F84" s="748" t="e">
        <f ca="1">IF(F83=0,0,SUM($G$24:G84))</f>
        <v>#DIV/0!</v>
      </c>
      <c r="G84" s="225" t="e">
        <f t="shared" ca="1" si="48"/>
        <v>#DIV/0!</v>
      </c>
      <c r="H84" s="746">
        <f t="shared" ca="1" si="23"/>
        <v>0</v>
      </c>
      <c r="I84" s="60"/>
      <c r="J84" s="253" t="s">
        <v>117</v>
      </c>
      <c r="K84" s="228">
        <f t="shared" si="49"/>
        <v>61</v>
      </c>
      <c r="L84" s="221">
        <f t="shared" si="50"/>
        <v>45296.002000000095</v>
      </c>
      <c r="M84" s="229">
        <f t="shared" ref="M84:AQ93" si="72">IF($K84=M$13,M$22*M$3,IF($K84=M$14,M$22*M$4,IF($K84=M$15,M$22*M$5,IF($K84=M$16,M$22*M$6,IF($K84=M$17,M$22*M$7,IF($K84=M$18,M$22*M$8,IF($K84=M$19,M$22*M$9,IF($K84=M$20,M$22*M$10,0))))))))</f>
        <v>0</v>
      </c>
      <c r="N84" s="229">
        <f t="shared" si="72"/>
        <v>0</v>
      </c>
      <c r="O84" s="229">
        <f t="shared" si="72"/>
        <v>0</v>
      </c>
      <c r="P84" s="229">
        <f t="shared" si="72"/>
        <v>0</v>
      </c>
      <c r="Q84" s="229">
        <f t="shared" si="72"/>
        <v>0</v>
      </c>
      <c r="R84" s="229">
        <f t="shared" si="71"/>
        <v>0</v>
      </c>
      <c r="S84" s="229">
        <f t="shared" si="71"/>
        <v>0</v>
      </c>
      <c r="T84" s="229">
        <f t="shared" si="71"/>
        <v>0</v>
      </c>
      <c r="U84" s="229">
        <f t="shared" si="72"/>
        <v>0</v>
      </c>
      <c r="V84" s="229">
        <f t="shared" si="72"/>
        <v>0</v>
      </c>
      <c r="W84" s="229">
        <f t="shared" si="72"/>
        <v>0</v>
      </c>
      <c r="X84" s="229">
        <f t="shared" si="72"/>
        <v>0</v>
      </c>
      <c r="Y84" s="229">
        <f t="shared" si="72"/>
        <v>0</v>
      </c>
      <c r="Z84" s="229">
        <f t="shared" si="72"/>
        <v>0</v>
      </c>
      <c r="AA84" s="229">
        <f t="shared" si="72"/>
        <v>0</v>
      </c>
      <c r="AB84" s="229">
        <f t="shared" si="72"/>
        <v>0</v>
      </c>
      <c r="AC84" s="229">
        <f t="shared" si="72"/>
        <v>0</v>
      </c>
      <c r="AD84" s="229">
        <f t="shared" si="72"/>
        <v>0</v>
      </c>
      <c r="AE84" s="229">
        <f t="shared" si="72"/>
        <v>0</v>
      </c>
      <c r="AF84" s="229">
        <f t="shared" si="72"/>
        <v>0</v>
      </c>
      <c r="AG84" s="229">
        <f t="shared" si="72"/>
        <v>0</v>
      </c>
      <c r="AH84" s="229">
        <f t="shared" si="72"/>
        <v>0</v>
      </c>
      <c r="AI84" s="229">
        <f t="shared" si="72"/>
        <v>0</v>
      </c>
      <c r="AJ84" s="229">
        <f t="shared" si="72"/>
        <v>0</v>
      </c>
      <c r="AK84" s="229">
        <f t="shared" si="72"/>
        <v>0</v>
      </c>
      <c r="AL84" s="229">
        <f t="shared" si="72"/>
        <v>0</v>
      </c>
      <c r="AM84" s="229">
        <f t="shared" si="72"/>
        <v>0</v>
      </c>
      <c r="AN84" s="229">
        <f t="shared" si="72"/>
        <v>0</v>
      </c>
      <c r="AO84" s="229">
        <f t="shared" si="72"/>
        <v>0</v>
      </c>
      <c r="AP84" s="229">
        <f t="shared" si="72"/>
        <v>0</v>
      </c>
      <c r="AQ84" s="229">
        <f t="shared" si="72"/>
        <v>0</v>
      </c>
      <c r="AR84" s="229">
        <f t="shared" ref="AR84:BB93" si="73">IF($K84=AR$13,AR$22*AR$3,IF($K84=AR$14,AR$22*AR$4,IF($K84=AR$15,AR$22*AR$5,IF($K84=AR$16,AR$22*AR$6,IF($K84=AR$17,AR$22*AR$7,IF($K84=AR$18,AR$22*AR$8,IF($K84=AR$19,AR$22*AR$9,IF($K84=AR$20,AR$22*AR$10,0))))))))</f>
        <v>0</v>
      </c>
      <c r="AS84" s="229">
        <f t="shared" si="73"/>
        <v>0</v>
      </c>
      <c r="AT84" s="229">
        <f t="shared" si="73"/>
        <v>0</v>
      </c>
      <c r="AU84" s="229">
        <f t="shared" si="73"/>
        <v>0</v>
      </c>
      <c r="AV84" s="229">
        <f t="shared" si="73"/>
        <v>0</v>
      </c>
      <c r="AW84" s="229">
        <f t="shared" si="73"/>
        <v>0</v>
      </c>
      <c r="AX84" s="229">
        <f t="shared" si="73"/>
        <v>0</v>
      </c>
      <c r="AY84" s="229">
        <f t="shared" si="73"/>
        <v>0</v>
      </c>
      <c r="AZ84" s="229">
        <f t="shared" si="73"/>
        <v>0</v>
      </c>
      <c r="BA84" s="229">
        <f t="shared" si="73"/>
        <v>0</v>
      </c>
      <c r="BB84" s="229">
        <f t="shared" si="73"/>
        <v>0</v>
      </c>
      <c r="BC84" s="229">
        <f t="shared" ref="BC84:BL93" si="74">IF($K84=BC$13,BC$22*BC$3,IF($K84=BC$14,BC$22*BC$4,IF($K84=BC$15,BC$22*BC$5,IF($K84=BC$16,BC$22*BC$6,IF($K84=BC$17,BC$22*BC$7,IF($K84=BC$18,BC$22*BC$8,IF($K84=BC$19,BC$22*BC$9,IF($K84=BC$20,BC$22*BC$10,0))))))))</f>
        <v>0</v>
      </c>
      <c r="BD84" s="229">
        <f t="shared" si="74"/>
        <v>0</v>
      </c>
      <c r="BE84" s="229">
        <f t="shared" si="74"/>
        <v>0</v>
      </c>
      <c r="BF84" s="229">
        <f t="shared" si="74"/>
        <v>0</v>
      </c>
      <c r="BG84" s="229">
        <f t="shared" si="74"/>
        <v>0</v>
      </c>
      <c r="BH84" s="229">
        <f t="shared" si="74"/>
        <v>0</v>
      </c>
      <c r="BI84" s="229">
        <f t="shared" si="74"/>
        <v>0</v>
      </c>
      <c r="BJ84" s="229">
        <f t="shared" si="74"/>
        <v>0</v>
      </c>
      <c r="BK84" s="229">
        <f t="shared" si="74"/>
        <v>0</v>
      </c>
      <c r="BL84" s="229">
        <f t="shared" si="74"/>
        <v>0</v>
      </c>
      <c r="BM84" s="229">
        <f t="shared" ref="BM84:CA93" si="75">IF($K84=BM$13,BM$22*BM$3,IF($K84=BM$14,BM$22*BM$4,IF($K84=BM$15,BM$22*BM$5,IF($K84=BM$16,BM$22*BM$6,IF($K84=BM$17,BM$22*BM$7,IF($K84=BM$18,BM$22*BM$8,IF($K84=BM$19,BM$22*BM$9,IF($K84=BM$20,BM$22*BM$10,0))))))))</f>
        <v>0</v>
      </c>
      <c r="BN84" s="229">
        <f t="shared" si="75"/>
        <v>0</v>
      </c>
      <c r="BO84" s="229">
        <f t="shared" si="75"/>
        <v>0</v>
      </c>
      <c r="BP84" s="229">
        <f t="shared" si="75"/>
        <v>0</v>
      </c>
      <c r="BQ84" s="229">
        <f t="shared" si="75"/>
        <v>0</v>
      </c>
      <c r="BR84" s="229">
        <f t="shared" si="75"/>
        <v>0</v>
      </c>
      <c r="BS84" s="229">
        <f t="shared" si="75"/>
        <v>0</v>
      </c>
      <c r="BT84" s="229">
        <f t="shared" si="75"/>
        <v>0</v>
      </c>
      <c r="BU84" s="229">
        <f t="shared" si="75"/>
        <v>0</v>
      </c>
      <c r="BV84" s="229">
        <f t="shared" si="75"/>
        <v>0</v>
      </c>
      <c r="BW84" s="229">
        <f t="shared" si="75"/>
        <v>0</v>
      </c>
      <c r="BX84" s="229">
        <f t="shared" si="75"/>
        <v>0</v>
      </c>
      <c r="BY84" s="229">
        <f t="shared" si="75"/>
        <v>0</v>
      </c>
      <c r="BZ84" s="229">
        <f t="shared" si="75"/>
        <v>0</v>
      </c>
      <c r="CA84" s="229">
        <f t="shared" si="75"/>
        <v>0</v>
      </c>
      <c r="CB84" s="229">
        <f t="shared" ref="CB84:CR93" si="76">IF($K84=CB$13,CB$22*CB$3,IF($K84=CB$14,CB$22*CB$4,IF($K84=CB$15,CB$22*CB$5,IF($K84=CB$16,CB$22*CB$6,IF($K84=CB$17,CB$22*CB$7,IF($K84=CB$18,CB$22*CB$8,IF($K84=CB$19,CB$22*CB$9,IF($K84=CB$20,CB$22*CB$10,0))))))))</f>
        <v>0</v>
      </c>
      <c r="CC84" s="229">
        <f t="shared" si="76"/>
        <v>0</v>
      </c>
      <c r="CD84" s="229">
        <f t="shared" si="76"/>
        <v>0</v>
      </c>
      <c r="CE84" s="229">
        <f t="shared" si="76"/>
        <v>0</v>
      </c>
      <c r="CF84" s="229">
        <f t="shared" si="76"/>
        <v>0</v>
      </c>
      <c r="CG84" s="229">
        <f t="shared" si="76"/>
        <v>0</v>
      </c>
      <c r="CH84" s="229">
        <f t="shared" si="76"/>
        <v>0</v>
      </c>
      <c r="CI84" s="229">
        <f t="shared" si="76"/>
        <v>0</v>
      </c>
      <c r="CJ84" s="229">
        <f t="shared" si="76"/>
        <v>0</v>
      </c>
      <c r="CK84" s="229">
        <f t="shared" si="76"/>
        <v>0</v>
      </c>
      <c r="CL84" s="229">
        <f t="shared" si="76"/>
        <v>0</v>
      </c>
      <c r="CM84" s="229">
        <f t="shared" si="76"/>
        <v>0</v>
      </c>
      <c r="CN84" s="229">
        <f t="shared" si="76"/>
        <v>0</v>
      </c>
      <c r="CO84" s="229">
        <f t="shared" si="76"/>
        <v>0</v>
      </c>
      <c r="CP84" s="229">
        <f t="shared" si="76"/>
        <v>0</v>
      </c>
      <c r="CQ84" s="229">
        <f t="shared" si="76"/>
        <v>0</v>
      </c>
      <c r="CR84" s="229">
        <f t="shared" si="76"/>
        <v>0</v>
      </c>
      <c r="CS84" s="230"/>
      <c r="CT84" s="243">
        <f>IF(SUM(CT$24:CT83)&gt;=CT$22,0,CT$22/CT$13)</f>
        <v>0</v>
      </c>
      <c r="CU84" s="243">
        <f>IF(SUM(CU$24:CU83)&gt;=CU$22,0,CU$22/CU$13)</f>
        <v>0</v>
      </c>
      <c r="CV84" s="243">
        <f>IF(SUM(CV$24:CV83)&gt;=CV$22,0,CV$22/CV$13)</f>
        <v>0</v>
      </c>
      <c r="CW84" s="243" t="e">
        <f ca="1">IF(SUM(CW$24:CW83)&gt;=CW$22,0,CW$22/CW$13)</f>
        <v>#N/A</v>
      </c>
      <c r="CX84" s="231" t="e">
        <f t="shared" ca="1" si="62"/>
        <v>#N/A</v>
      </c>
      <c r="CY84" s="231"/>
      <c r="CZ84" s="231"/>
      <c r="DA84" s="231" t="e">
        <f ca="1">IF(SUM(DA$32:DA83)&gt;=DA$22,0,DA$22/(DA$13*4))</f>
        <v>#N/A</v>
      </c>
      <c r="DB84" s="231">
        <f>IF(SUM(DB$24:DB83)=DB$22,0,IF(AND($K84&gt;=DB$15,$K84&lt;(DB$16+1)),DB$22/(DB$16-DB$15+1),0))</f>
        <v>0</v>
      </c>
      <c r="DC84" s="231">
        <f t="shared" si="70"/>
        <v>0</v>
      </c>
      <c r="DD84" s="231">
        <f t="shared" si="70"/>
        <v>0</v>
      </c>
      <c r="DE84" s="231">
        <f t="shared" si="70"/>
        <v>0</v>
      </c>
      <c r="DF84" s="231">
        <f t="shared" si="70"/>
        <v>0</v>
      </c>
      <c r="DG84" s="231">
        <f t="shared" si="70"/>
        <v>0</v>
      </c>
      <c r="DH84" s="231">
        <f t="shared" si="70"/>
        <v>0</v>
      </c>
      <c r="DI84" s="231">
        <f t="shared" si="70"/>
        <v>0</v>
      </c>
      <c r="DJ84" s="231">
        <f t="shared" si="70"/>
        <v>0</v>
      </c>
      <c r="DK84" s="231">
        <f t="shared" si="70"/>
        <v>0</v>
      </c>
      <c r="DL84" s="231">
        <f t="shared" si="70"/>
        <v>0</v>
      </c>
      <c r="DM84" s="231">
        <f t="shared" si="70"/>
        <v>0</v>
      </c>
      <c r="DN84" s="231">
        <f t="shared" si="70"/>
        <v>0</v>
      </c>
      <c r="DO84" s="231">
        <f t="shared" si="70"/>
        <v>0</v>
      </c>
      <c r="DP84" s="231">
        <f>'Offshore CF'!DR84</f>
        <v>0</v>
      </c>
      <c r="DQ84" s="231">
        <f>'Offshore CF'!DS84</f>
        <v>0.29866666666666669</v>
      </c>
      <c r="DR84" s="231">
        <f ca="1">IF(SUM(DR$24:DR83)=DR$22,0,IF(AND($K84&gt;=DR$15,$K84&lt;(DR$16+1)),DR$22/(DR$16-DR$15+1),0))</f>
        <v>0</v>
      </c>
      <c r="DS84" s="231" t="e">
        <f ca="1">IF(SUM(DS$24:DS83)=DS$22,0,IF(AND($K84&gt;=DS$15,$K84&lt;(DS$16+1)),DS$22/(DS$16-DS$15+1),0))</f>
        <v>#REF!</v>
      </c>
      <c r="DT84" s="231" t="e">
        <f ca="1">IF(SUM(DT$24:DT83)=DT$22,0,IF(AND(K84&gt;=DT$15,K84&lt;(DT$16+1)),DT$22/(DT$16-DT$15+1),0))</f>
        <v>#REF!</v>
      </c>
      <c r="DU84" s="231" t="e">
        <f ca="1">IF(SUM(DU$24:DU83)=DU$22,0,IF(AND($K84&gt;=DU$15,$K84&lt;(DU$16+1)),DU$22/(DU$16-DU$15+1),0))</f>
        <v>#REF!</v>
      </c>
      <c r="DV84" s="231">
        <f ca="1">IF(SUM(DV$24:DV83)=DV$22,0,IF(AND($K84&gt;=DV$15,$K84&lt;(DV$16+1)),DV$22/(DV$16-DV$15+1),0))</f>
        <v>0</v>
      </c>
      <c r="DW84" s="231">
        <f ca="1">IF(SUM(DW$24:DW83)=DW$22,0,IF(AND($K84&gt;=DW$15,$K84&lt;(DW$16+1)),DW$22/(DW$16-DW$15+1),0))</f>
        <v>0</v>
      </c>
      <c r="DX84" s="231">
        <f ca="1">IF(SUM(DX$24:DX83)=DX$22,0,IF(AND($K84&gt;=DX$15,$K84&lt;(DX$16+1)),DX$22/(DX$16-DX$15+1),0))</f>
        <v>0</v>
      </c>
      <c r="DY84" s="231">
        <f ca="1">IF(SUM(DY$24:DY83)=DY$22,0,IF(AND($K84&gt;=DY$15,$K84&lt;(DY$16+1)),DY$22/(DY$16-DY$15+1),0))</f>
        <v>0</v>
      </c>
      <c r="EA84" s="749">
        <f t="shared" si="51"/>
        <v>61</v>
      </c>
      <c r="EB84" s="749" t="e">
        <f t="shared" ca="1" si="52"/>
        <v>#N/A</v>
      </c>
      <c r="EC84" s="750" t="e">
        <f t="shared" ca="1" si="53"/>
        <v>#N/A</v>
      </c>
      <c r="ED84" s="749" t="e">
        <f t="shared" ca="1" si="28"/>
        <v>#N/A</v>
      </c>
      <c r="EE84" s="749"/>
      <c r="EF84" s="749"/>
      <c r="EG84" s="749"/>
      <c r="EH84" s="749"/>
      <c r="EI84" s="714" t="e">
        <f t="shared" ca="1" si="19"/>
        <v>#N/A</v>
      </c>
      <c r="EJ84" s="231" t="e">
        <f ca="1">IF(SUM(EJ$24:EJ83)=EJ$22,0,IF(AND($K84&gt;=EJ$15,$K84&lt;(EJ$16+1)),EJ$22/(EJ$16-EJ$15+1),0))</f>
        <v>#REF!</v>
      </c>
      <c r="EK84" s="714" t="e">
        <f t="shared" ca="1" si="54"/>
        <v>#N/A</v>
      </c>
      <c r="EM84" s="60"/>
      <c r="EN84" s="60"/>
    </row>
    <row r="85" spans="1:144">
      <c r="A85" s="254"/>
      <c r="B85" s="236">
        <f t="shared" si="20"/>
        <v>62</v>
      </c>
      <c r="C85" s="221">
        <f t="shared" si="21"/>
        <v>45326.418700000097</v>
      </c>
      <c r="D85" s="746" t="e">
        <f t="shared" ca="1" si="22"/>
        <v>#DIV/0!</v>
      </c>
      <c r="E85" s="747" t="e">
        <f t="shared" ca="1" si="25"/>
        <v>#DIV/0!</v>
      </c>
      <c r="F85" s="748" t="e">
        <f ca="1">IF(F84=0,0,SUM($G$24:G85))</f>
        <v>#DIV/0!</v>
      </c>
      <c r="G85" s="225" t="e">
        <f t="shared" ca="1" si="48"/>
        <v>#DIV/0!</v>
      </c>
      <c r="H85" s="746">
        <f t="shared" ca="1" si="23"/>
        <v>0</v>
      </c>
      <c r="I85" s="60"/>
      <c r="J85" s="228"/>
      <c r="K85" s="228">
        <f t="shared" si="49"/>
        <v>62</v>
      </c>
      <c r="L85" s="221">
        <f t="shared" si="50"/>
        <v>45326.418700000097</v>
      </c>
      <c r="M85" s="229">
        <f t="shared" si="72"/>
        <v>0</v>
      </c>
      <c r="N85" s="229">
        <f t="shared" si="72"/>
        <v>0</v>
      </c>
      <c r="O85" s="229">
        <f t="shared" si="72"/>
        <v>0</v>
      </c>
      <c r="P85" s="229">
        <f t="shared" si="72"/>
        <v>0</v>
      </c>
      <c r="Q85" s="229">
        <f t="shared" si="72"/>
        <v>0</v>
      </c>
      <c r="R85" s="229">
        <f t="shared" si="71"/>
        <v>0</v>
      </c>
      <c r="S85" s="229">
        <f t="shared" si="71"/>
        <v>0</v>
      </c>
      <c r="T85" s="229">
        <f t="shared" si="71"/>
        <v>0</v>
      </c>
      <c r="U85" s="229">
        <f t="shared" si="72"/>
        <v>0</v>
      </c>
      <c r="V85" s="229">
        <f t="shared" si="72"/>
        <v>0</v>
      </c>
      <c r="W85" s="229">
        <f t="shared" si="72"/>
        <v>0</v>
      </c>
      <c r="X85" s="229">
        <f t="shared" si="72"/>
        <v>0</v>
      </c>
      <c r="Y85" s="229">
        <f t="shared" si="72"/>
        <v>0</v>
      </c>
      <c r="Z85" s="229">
        <f t="shared" si="72"/>
        <v>0</v>
      </c>
      <c r="AA85" s="229">
        <f t="shared" si="72"/>
        <v>0</v>
      </c>
      <c r="AB85" s="229">
        <f t="shared" si="72"/>
        <v>0</v>
      </c>
      <c r="AC85" s="229">
        <f t="shared" si="72"/>
        <v>0</v>
      </c>
      <c r="AD85" s="229">
        <f t="shared" si="72"/>
        <v>0</v>
      </c>
      <c r="AE85" s="229">
        <f t="shared" si="72"/>
        <v>0</v>
      </c>
      <c r="AF85" s="229">
        <f t="shared" si="72"/>
        <v>0</v>
      </c>
      <c r="AG85" s="229">
        <f t="shared" si="72"/>
        <v>0</v>
      </c>
      <c r="AH85" s="229">
        <f t="shared" si="72"/>
        <v>0</v>
      </c>
      <c r="AI85" s="229">
        <f t="shared" si="72"/>
        <v>0</v>
      </c>
      <c r="AJ85" s="229">
        <f t="shared" si="72"/>
        <v>0</v>
      </c>
      <c r="AK85" s="229">
        <f t="shared" si="72"/>
        <v>0</v>
      </c>
      <c r="AL85" s="229">
        <f t="shared" si="72"/>
        <v>0</v>
      </c>
      <c r="AM85" s="229">
        <f t="shared" si="72"/>
        <v>0</v>
      </c>
      <c r="AN85" s="229">
        <f t="shared" si="72"/>
        <v>0</v>
      </c>
      <c r="AO85" s="229">
        <f t="shared" si="72"/>
        <v>0</v>
      </c>
      <c r="AP85" s="229">
        <f t="shared" si="72"/>
        <v>0</v>
      </c>
      <c r="AQ85" s="229">
        <f t="shared" si="72"/>
        <v>0</v>
      </c>
      <c r="AR85" s="229">
        <f t="shared" si="73"/>
        <v>0</v>
      </c>
      <c r="AS85" s="229">
        <f t="shared" si="73"/>
        <v>0</v>
      </c>
      <c r="AT85" s="229">
        <f t="shared" si="73"/>
        <v>0</v>
      </c>
      <c r="AU85" s="229">
        <f t="shared" si="73"/>
        <v>0</v>
      </c>
      <c r="AV85" s="229">
        <f t="shared" si="73"/>
        <v>0</v>
      </c>
      <c r="AW85" s="229">
        <f t="shared" si="73"/>
        <v>0</v>
      </c>
      <c r="AX85" s="229">
        <f t="shared" si="73"/>
        <v>0</v>
      </c>
      <c r="AY85" s="229">
        <f t="shared" si="73"/>
        <v>0</v>
      </c>
      <c r="AZ85" s="229">
        <f t="shared" si="73"/>
        <v>0</v>
      </c>
      <c r="BA85" s="229">
        <f t="shared" si="73"/>
        <v>0</v>
      </c>
      <c r="BB85" s="229">
        <f t="shared" si="73"/>
        <v>0</v>
      </c>
      <c r="BC85" s="229">
        <f t="shared" si="74"/>
        <v>0</v>
      </c>
      <c r="BD85" s="229">
        <f t="shared" si="74"/>
        <v>0</v>
      </c>
      <c r="BE85" s="229">
        <f t="shared" si="74"/>
        <v>0</v>
      </c>
      <c r="BF85" s="229">
        <f t="shared" si="74"/>
        <v>0</v>
      </c>
      <c r="BG85" s="229">
        <f t="shared" si="74"/>
        <v>0</v>
      </c>
      <c r="BH85" s="229">
        <f t="shared" si="74"/>
        <v>0</v>
      </c>
      <c r="BI85" s="229">
        <f t="shared" si="74"/>
        <v>0</v>
      </c>
      <c r="BJ85" s="229">
        <f t="shared" si="74"/>
        <v>0</v>
      </c>
      <c r="BK85" s="229">
        <f t="shared" si="74"/>
        <v>0</v>
      </c>
      <c r="BL85" s="229">
        <f t="shared" si="74"/>
        <v>0</v>
      </c>
      <c r="BM85" s="229">
        <f t="shared" si="75"/>
        <v>0</v>
      </c>
      <c r="BN85" s="229">
        <f t="shared" si="75"/>
        <v>0</v>
      </c>
      <c r="BO85" s="229">
        <f t="shared" si="75"/>
        <v>0</v>
      </c>
      <c r="BP85" s="229">
        <f t="shared" si="75"/>
        <v>0</v>
      </c>
      <c r="BQ85" s="229">
        <f t="shared" si="75"/>
        <v>0</v>
      </c>
      <c r="BR85" s="229">
        <f t="shared" si="75"/>
        <v>0</v>
      </c>
      <c r="BS85" s="229">
        <f t="shared" si="75"/>
        <v>0</v>
      </c>
      <c r="BT85" s="229">
        <f t="shared" si="75"/>
        <v>0</v>
      </c>
      <c r="BU85" s="229">
        <f t="shared" si="75"/>
        <v>0</v>
      </c>
      <c r="BV85" s="229">
        <f t="shared" si="75"/>
        <v>0</v>
      </c>
      <c r="BW85" s="229">
        <f t="shared" si="75"/>
        <v>0</v>
      </c>
      <c r="BX85" s="229">
        <f t="shared" si="75"/>
        <v>0</v>
      </c>
      <c r="BY85" s="229">
        <f t="shared" si="75"/>
        <v>0</v>
      </c>
      <c r="BZ85" s="229">
        <f t="shared" si="75"/>
        <v>0</v>
      </c>
      <c r="CA85" s="229">
        <f t="shared" si="75"/>
        <v>0</v>
      </c>
      <c r="CB85" s="229">
        <f t="shared" si="76"/>
        <v>0</v>
      </c>
      <c r="CC85" s="229">
        <f t="shared" si="76"/>
        <v>0</v>
      </c>
      <c r="CD85" s="229">
        <f t="shared" si="76"/>
        <v>0</v>
      </c>
      <c r="CE85" s="229">
        <f t="shared" si="76"/>
        <v>0</v>
      </c>
      <c r="CF85" s="229">
        <f t="shared" si="76"/>
        <v>0</v>
      </c>
      <c r="CG85" s="229">
        <f t="shared" si="76"/>
        <v>0</v>
      </c>
      <c r="CH85" s="229">
        <f t="shared" si="76"/>
        <v>0</v>
      </c>
      <c r="CI85" s="229">
        <f t="shared" si="76"/>
        <v>0</v>
      </c>
      <c r="CJ85" s="229">
        <f t="shared" si="76"/>
        <v>0</v>
      </c>
      <c r="CK85" s="229">
        <f t="shared" si="76"/>
        <v>0</v>
      </c>
      <c r="CL85" s="229">
        <f t="shared" si="76"/>
        <v>0</v>
      </c>
      <c r="CM85" s="229">
        <f t="shared" si="76"/>
        <v>0</v>
      </c>
      <c r="CN85" s="229">
        <f t="shared" si="76"/>
        <v>0</v>
      </c>
      <c r="CO85" s="229">
        <f t="shared" si="76"/>
        <v>0</v>
      </c>
      <c r="CP85" s="229">
        <f t="shared" si="76"/>
        <v>0</v>
      </c>
      <c r="CQ85" s="229">
        <f t="shared" si="76"/>
        <v>0</v>
      </c>
      <c r="CR85" s="229">
        <f t="shared" si="76"/>
        <v>0</v>
      </c>
      <c r="CS85" s="230"/>
      <c r="CT85" s="231"/>
      <c r="CU85" s="231"/>
      <c r="CV85" s="231"/>
      <c r="CW85" s="231"/>
      <c r="CX85" s="231" t="e">
        <f t="shared" ca="1" si="62"/>
        <v>#N/A</v>
      </c>
      <c r="CY85" s="231"/>
      <c r="CZ85" s="231"/>
      <c r="DA85" s="231"/>
      <c r="DB85" s="231">
        <f>IF(SUM(DB$24:DB84)=DB$22,0,IF(AND($K85&gt;=DB$15,$K85&lt;(DB$16+1)),DB$22/(DB$16-DB$15+1),0))</f>
        <v>0</v>
      </c>
      <c r="DC85" s="231">
        <f t="shared" si="70"/>
        <v>0</v>
      </c>
      <c r="DD85" s="231">
        <f t="shared" si="70"/>
        <v>0</v>
      </c>
      <c r="DE85" s="231">
        <f t="shared" si="70"/>
        <v>0</v>
      </c>
      <c r="DF85" s="231">
        <f t="shared" si="70"/>
        <v>0</v>
      </c>
      <c r="DG85" s="231">
        <f t="shared" si="70"/>
        <v>0</v>
      </c>
      <c r="DH85" s="231">
        <f t="shared" si="70"/>
        <v>0</v>
      </c>
      <c r="DI85" s="231">
        <f t="shared" si="70"/>
        <v>0</v>
      </c>
      <c r="DJ85" s="231">
        <f t="shared" si="70"/>
        <v>0</v>
      </c>
      <c r="DK85" s="231">
        <f t="shared" si="70"/>
        <v>0</v>
      </c>
      <c r="DL85" s="231">
        <f t="shared" si="70"/>
        <v>0</v>
      </c>
      <c r="DM85" s="231">
        <f t="shared" si="70"/>
        <v>0</v>
      </c>
      <c r="DN85" s="231">
        <f t="shared" si="70"/>
        <v>0</v>
      </c>
      <c r="DO85" s="231">
        <f t="shared" si="70"/>
        <v>0</v>
      </c>
      <c r="DP85" s="231">
        <f>'Offshore CF'!DR85</f>
        <v>0</v>
      </c>
      <c r="DQ85" s="231">
        <f>'Offshore CF'!DS85</f>
        <v>0.29866666666666669</v>
      </c>
      <c r="DR85" s="231">
        <f ca="1">IF(SUM(DR$24:DR84)=DR$22,0,IF(AND($K85&gt;=DR$15,$K85&lt;(DR$16+1)),DR$22/(DR$16-DR$15+1),0))</f>
        <v>0</v>
      </c>
      <c r="DS85" s="231" t="e">
        <f ca="1">IF(SUM(DS$24:DS84)=DS$22,0,IF(AND($K85&gt;=DS$15,$K85&lt;(DS$16+1)),DS$22/(DS$16-DS$15+1),0))</f>
        <v>#REF!</v>
      </c>
      <c r="DT85" s="231" t="e">
        <f ca="1">IF(SUM(DT$24:DT84)=DT$22,0,IF(AND(K85&gt;=DT$15,K85&lt;(DT$16+1)),DT$22/(DT$16-DT$15+1),0))</f>
        <v>#REF!</v>
      </c>
      <c r="DU85" s="231" t="e">
        <f ca="1">IF(SUM(DU$24:DU84)=DU$22,0,IF(AND($K85&gt;=DU$15,$K85&lt;(DU$16+1)),DU$22/(DU$16-DU$15+1),0))</f>
        <v>#REF!</v>
      </c>
      <c r="DV85" s="231">
        <f ca="1">IF(SUM(DV$24:DV84)=DV$22,0,IF(AND($K85&gt;=DV$15,$K85&lt;(DV$16+1)),DV$22/(DV$16-DV$15+1),0))</f>
        <v>0</v>
      </c>
      <c r="DW85" s="231">
        <f ca="1">IF(SUM(DW$24:DW84)=DW$22,0,IF(AND($K85&gt;=DW$15,$K85&lt;(DW$16+1)),DW$22/(DW$16-DW$15+1),0))</f>
        <v>0</v>
      </c>
      <c r="DX85" s="231">
        <f ca="1">IF(SUM(DX$24:DX84)=DX$22,0,IF(AND($K85&gt;=DX$15,$K85&lt;(DX$16+1)),DX$22/(DX$16-DX$15+1),0))</f>
        <v>0</v>
      </c>
      <c r="DY85" s="231">
        <f ca="1">IF(SUM(DY$24:DY84)=DY$22,0,IF(AND($K85&gt;=DY$15,$K85&lt;(DY$16+1)),DY$22/(DY$16-DY$15+1),0))</f>
        <v>0</v>
      </c>
      <c r="EA85" s="749">
        <f t="shared" si="51"/>
        <v>62</v>
      </c>
      <c r="EB85" s="749" t="e">
        <f t="shared" ca="1" si="52"/>
        <v>#N/A</v>
      </c>
      <c r="EC85" s="750" t="e">
        <f t="shared" ca="1" si="53"/>
        <v>#N/A</v>
      </c>
      <c r="ED85" s="749" t="e">
        <f t="shared" ca="1" si="28"/>
        <v>#N/A</v>
      </c>
      <c r="EE85" s="749"/>
      <c r="EF85" s="749"/>
      <c r="EG85" s="749"/>
      <c r="EH85" s="749"/>
      <c r="EI85" s="714" t="e">
        <f t="shared" ca="1" si="19"/>
        <v>#N/A</v>
      </c>
      <c r="EJ85" s="231" t="e">
        <f ca="1">IF(SUM(EJ$24:EJ84)=EJ$22,0,IF(AND($K85&gt;=EJ$15,$K85&lt;(EJ$16+1)),EJ$22/(EJ$16-EJ$15+1),0))</f>
        <v>#REF!</v>
      </c>
      <c r="EK85" s="714" t="e">
        <f t="shared" ca="1" si="54"/>
        <v>#N/A</v>
      </c>
      <c r="EM85" s="60"/>
      <c r="EN85" s="60"/>
    </row>
    <row r="86" spans="1:144">
      <c r="A86" s="220"/>
      <c r="B86" s="236">
        <f t="shared" si="20"/>
        <v>63</v>
      </c>
      <c r="C86" s="221">
        <f t="shared" si="21"/>
        <v>45356.835400000098</v>
      </c>
      <c r="D86" s="746" t="e">
        <f t="shared" ca="1" si="22"/>
        <v>#DIV/0!</v>
      </c>
      <c r="E86" s="747" t="e">
        <f t="shared" ca="1" si="25"/>
        <v>#DIV/0!</v>
      </c>
      <c r="F86" s="748" t="e">
        <f ca="1">IF(F85=0,0,SUM($G$24:G86))</f>
        <v>#DIV/0!</v>
      </c>
      <c r="G86" s="225" t="e">
        <f t="shared" ca="1" si="48"/>
        <v>#DIV/0!</v>
      </c>
      <c r="H86" s="746">
        <f t="shared" ca="1" si="23"/>
        <v>0</v>
      </c>
      <c r="I86" s="60"/>
      <c r="J86" s="228"/>
      <c r="K86" s="228">
        <f t="shared" si="49"/>
        <v>63</v>
      </c>
      <c r="L86" s="221">
        <f t="shared" si="50"/>
        <v>45356.835400000098</v>
      </c>
      <c r="M86" s="229">
        <f t="shared" si="72"/>
        <v>0</v>
      </c>
      <c r="N86" s="229">
        <f t="shared" si="72"/>
        <v>0</v>
      </c>
      <c r="O86" s="229">
        <f t="shared" si="72"/>
        <v>0</v>
      </c>
      <c r="P86" s="229">
        <f t="shared" si="72"/>
        <v>0</v>
      </c>
      <c r="Q86" s="229">
        <f t="shared" si="72"/>
        <v>0</v>
      </c>
      <c r="R86" s="229">
        <f t="shared" si="71"/>
        <v>0</v>
      </c>
      <c r="S86" s="229">
        <f t="shared" si="71"/>
        <v>0</v>
      </c>
      <c r="T86" s="229">
        <f t="shared" si="71"/>
        <v>0</v>
      </c>
      <c r="U86" s="229">
        <f t="shared" si="72"/>
        <v>0</v>
      </c>
      <c r="V86" s="229">
        <f t="shared" si="72"/>
        <v>0</v>
      </c>
      <c r="W86" s="229">
        <f t="shared" si="72"/>
        <v>0</v>
      </c>
      <c r="X86" s="229">
        <f t="shared" si="72"/>
        <v>0</v>
      </c>
      <c r="Y86" s="229">
        <f t="shared" si="72"/>
        <v>0</v>
      </c>
      <c r="Z86" s="229">
        <f t="shared" si="72"/>
        <v>0</v>
      </c>
      <c r="AA86" s="229">
        <f t="shared" si="72"/>
        <v>0</v>
      </c>
      <c r="AB86" s="229">
        <f t="shared" si="72"/>
        <v>0</v>
      </c>
      <c r="AC86" s="229">
        <f t="shared" si="72"/>
        <v>0</v>
      </c>
      <c r="AD86" s="229">
        <f t="shared" si="72"/>
        <v>0</v>
      </c>
      <c r="AE86" s="229">
        <f t="shared" si="72"/>
        <v>0</v>
      </c>
      <c r="AF86" s="229">
        <f t="shared" si="72"/>
        <v>0</v>
      </c>
      <c r="AG86" s="229">
        <f t="shared" si="72"/>
        <v>0</v>
      </c>
      <c r="AH86" s="229">
        <f t="shared" si="72"/>
        <v>0</v>
      </c>
      <c r="AI86" s="229">
        <f t="shared" si="72"/>
        <v>0</v>
      </c>
      <c r="AJ86" s="229">
        <f t="shared" si="72"/>
        <v>0</v>
      </c>
      <c r="AK86" s="229">
        <f t="shared" si="72"/>
        <v>0</v>
      </c>
      <c r="AL86" s="229">
        <f t="shared" si="72"/>
        <v>0</v>
      </c>
      <c r="AM86" s="229">
        <f t="shared" si="72"/>
        <v>0</v>
      </c>
      <c r="AN86" s="229">
        <f t="shared" si="72"/>
        <v>0</v>
      </c>
      <c r="AO86" s="229">
        <f t="shared" si="72"/>
        <v>0</v>
      </c>
      <c r="AP86" s="229">
        <f t="shared" si="72"/>
        <v>0</v>
      </c>
      <c r="AQ86" s="229">
        <f t="shared" si="72"/>
        <v>0</v>
      </c>
      <c r="AR86" s="229">
        <f t="shared" si="73"/>
        <v>0</v>
      </c>
      <c r="AS86" s="229">
        <f t="shared" si="73"/>
        <v>0</v>
      </c>
      <c r="AT86" s="229">
        <f t="shared" si="73"/>
        <v>0</v>
      </c>
      <c r="AU86" s="229">
        <f t="shared" si="73"/>
        <v>0</v>
      </c>
      <c r="AV86" s="229">
        <f t="shared" si="73"/>
        <v>0</v>
      </c>
      <c r="AW86" s="229">
        <f t="shared" si="73"/>
        <v>0</v>
      </c>
      <c r="AX86" s="229">
        <f t="shared" si="73"/>
        <v>0</v>
      </c>
      <c r="AY86" s="229">
        <f t="shared" si="73"/>
        <v>0</v>
      </c>
      <c r="AZ86" s="229">
        <f t="shared" si="73"/>
        <v>0</v>
      </c>
      <c r="BA86" s="229">
        <f t="shared" si="73"/>
        <v>0</v>
      </c>
      <c r="BB86" s="229">
        <f t="shared" si="73"/>
        <v>0</v>
      </c>
      <c r="BC86" s="229">
        <f t="shared" si="74"/>
        <v>0</v>
      </c>
      <c r="BD86" s="229">
        <f t="shared" si="74"/>
        <v>0</v>
      </c>
      <c r="BE86" s="229">
        <f t="shared" si="74"/>
        <v>0</v>
      </c>
      <c r="BF86" s="229">
        <f t="shared" si="74"/>
        <v>0</v>
      </c>
      <c r="BG86" s="229">
        <f t="shared" si="74"/>
        <v>0</v>
      </c>
      <c r="BH86" s="229">
        <f t="shared" si="74"/>
        <v>0</v>
      </c>
      <c r="BI86" s="229">
        <f t="shared" si="74"/>
        <v>0</v>
      </c>
      <c r="BJ86" s="229">
        <f t="shared" si="74"/>
        <v>0</v>
      </c>
      <c r="BK86" s="229">
        <f t="shared" si="74"/>
        <v>0</v>
      </c>
      <c r="BL86" s="229">
        <f t="shared" si="74"/>
        <v>0</v>
      </c>
      <c r="BM86" s="229">
        <f t="shared" si="75"/>
        <v>0</v>
      </c>
      <c r="BN86" s="229">
        <f t="shared" si="75"/>
        <v>0</v>
      </c>
      <c r="BO86" s="229">
        <f t="shared" si="75"/>
        <v>0</v>
      </c>
      <c r="BP86" s="229">
        <f t="shared" si="75"/>
        <v>0</v>
      </c>
      <c r="BQ86" s="229">
        <f t="shared" si="75"/>
        <v>0</v>
      </c>
      <c r="BR86" s="229">
        <f t="shared" si="75"/>
        <v>0</v>
      </c>
      <c r="BS86" s="229">
        <f t="shared" si="75"/>
        <v>0</v>
      </c>
      <c r="BT86" s="229">
        <f t="shared" si="75"/>
        <v>0</v>
      </c>
      <c r="BU86" s="229">
        <f t="shared" si="75"/>
        <v>0</v>
      </c>
      <c r="BV86" s="229">
        <f t="shared" si="75"/>
        <v>0</v>
      </c>
      <c r="BW86" s="229">
        <f t="shared" si="75"/>
        <v>0</v>
      </c>
      <c r="BX86" s="229">
        <f t="shared" si="75"/>
        <v>0</v>
      </c>
      <c r="BY86" s="229">
        <f t="shared" si="75"/>
        <v>0</v>
      </c>
      <c r="BZ86" s="229">
        <f t="shared" si="75"/>
        <v>0</v>
      </c>
      <c r="CA86" s="229">
        <f t="shared" si="75"/>
        <v>0</v>
      </c>
      <c r="CB86" s="229">
        <f t="shared" si="76"/>
        <v>0</v>
      </c>
      <c r="CC86" s="229">
        <f t="shared" si="76"/>
        <v>0</v>
      </c>
      <c r="CD86" s="229">
        <f t="shared" si="76"/>
        <v>0</v>
      </c>
      <c r="CE86" s="229">
        <f t="shared" si="76"/>
        <v>0</v>
      </c>
      <c r="CF86" s="229">
        <f t="shared" si="76"/>
        <v>0</v>
      </c>
      <c r="CG86" s="229">
        <f t="shared" si="76"/>
        <v>0</v>
      </c>
      <c r="CH86" s="229">
        <f t="shared" si="76"/>
        <v>0</v>
      </c>
      <c r="CI86" s="229">
        <f t="shared" si="76"/>
        <v>0</v>
      </c>
      <c r="CJ86" s="229">
        <f t="shared" si="76"/>
        <v>0</v>
      </c>
      <c r="CK86" s="229">
        <f t="shared" si="76"/>
        <v>0</v>
      </c>
      <c r="CL86" s="229">
        <f t="shared" si="76"/>
        <v>0</v>
      </c>
      <c r="CM86" s="229">
        <f t="shared" si="76"/>
        <v>0</v>
      </c>
      <c r="CN86" s="229">
        <f t="shared" si="76"/>
        <v>0</v>
      </c>
      <c r="CO86" s="229">
        <f t="shared" si="76"/>
        <v>0</v>
      </c>
      <c r="CP86" s="229">
        <f t="shared" si="76"/>
        <v>0</v>
      </c>
      <c r="CQ86" s="229">
        <f t="shared" si="76"/>
        <v>0</v>
      </c>
      <c r="CR86" s="229">
        <f t="shared" si="76"/>
        <v>0</v>
      </c>
      <c r="CS86" s="230"/>
      <c r="CT86" s="231"/>
      <c r="CU86" s="231"/>
      <c r="CV86" s="231"/>
      <c r="CW86" s="231"/>
      <c r="CX86" s="231" t="e">
        <f t="shared" ca="1" si="62"/>
        <v>#N/A</v>
      </c>
      <c r="CY86" s="231"/>
      <c r="CZ86" s="231"/>
      <c r="DA86" s="231"/>
      <c r="DB86" s="231">
        <f>IF(SUM(DB$24:DB85)=DB$22,0,IF(AND($K86&gt;=DB$15,$K86&lt;(DB$16+1)),DB$22/(DB$16-DB$15+1),0))</f>
        <v>0</v>
      </c>
      <c r="DC86" s="231">
        <f t="shared" si="70"/>
        <v>0</v>
      </c>
      <c r="DD86" s="231">
        <f t="shared" si="70"/>
        <v>0</v>
      </c>
      <c r="DE86" s="231">
        <f t="shared" si="70"/>
        <v>0</v>
      </c>
      <c r="DF86" s="231">
        <f t="shared" si="70"/>
        <v>0</v>
      </c>
      <c r="DG86" s="231">
        <f t="shared" si="70"/>
        <v>0</v>
      </c>
      <c r="DH86" s="231">
        <f t="shared" si="70"/>
        <v>0</v>
      </c>
      <c r="DI86" s="231">
        <f t="shared" si="70"/>
        <v>0</v>
      </c>
      <c r="DJ86" s="231">
        <f t="shared" si="70"/>
        <v>0</v>
      </c>
      <c r="DK86" s="231">
        <f t="shared" si="70"/>
        <v>0</v>
      </c>
      <c r="DL86" s="231">
        <f t="shared" si="70"/>
        <v>0</v>
      </c>
      <c r="DM86" s="231">
        <f t="shared" si="70"/>
        <v>0</v>
      </c>
      <c r="DN86" s="231">
        <f t="shared" si="70"/>
        <v>0</v>
      </c>
      <c r="DO86" s="231">
        <f t="shared" si="70"/>
        <v>0</v>
      </c>
      <c r="DP86" s="231">
        <f>'Offshore CF'!DR86</f>
        <v>0</v>
      </c>
      <c r="DQ86" s="231">
        <f>'Offshore CF'!DS86</f>
        <v>0.29866666666666669</v>
      </c>
      <c r="DR86" s="231">
        <f ca="1">IF(SUM(DR$24:DR85)=DR$22,0,IF(AND($K86&gt;=DR$15,$K86&lt;(DR$16+1)),DR$22/(DR$16-DR$15+1),0))</f>
        <v>0</v>
      </c>
      <c r="DS86" s="231" t="e">
        <f ca="1">IF(SUM(DS$24:DS85)=DS$22,0,IF(AND($K86&gt;=DS$15,$K86&lt;(DS$16+1)),DS$22/(DS$16-DS$15+1),0))</f>
        <v>#REF!</v>
      </c>
      <c r="DT86" s="231" t="e">
        <f ca="1">IF(SUM(DT$24:DT85)=DT$22,0,IF(AND(K86&gt;=DT$15,K86&lt;(DT$16+1)),DT$22/(DT$16-DT$15+1),0))</f>
        <v>#REF!</v>
      </c>
      <c r="DU86" s="231" t="e">
        <f ca="1">IF(SUM(DU$24:DU85)=DU$22,0,IF(AND($K86&gt;=DU$15,$K86&lt;(DU$16+1)),DU$22/(DU$16-DU$15+1),0))</f>
        <v>#REF!</v>
      </c>
      <c r="DV86" s="231">
        <f ca="1">IF(SUM(DV$24:DV85)=DV$22,0,IF(AND($K86&gt;=DV$15,$K86&lt;(DV$16+1)),DV$22/(DV$16-DV$15+1),0))</f>
        <v>0</v>
      </c>
      <c r="DW86" s="231">
        <f ca="1">IF(SUM(DW$24:DW85)=DW$22,0,IF(AND($K86&gt;=DW$15,$K86&lt;(DW$16+1)),DW$22/(DW$16-DW$15+1),0))</f>
        <v>0</v>
      </c>
      <c r="DX86" s="231">
        <f ca="1">IF(SUM(DX$24:DX85)=DX$22,0,IF(AND($K86&gt;=DX$15,$K86&lt;(DX$16+1)),DX$22/(DX$16-DX$15+1),0))</f>
        <v>0</v>
      </c>
      <c r="DY86" s="231">
        <f ca="1">IF(SUM(DY$24:DY85)=DY$22,0,IF(AND($K86&gt;=DY$15,$K86&lt;(DY$16+1)),DY$22/(DY$16-DY$15+1),0))</f>
        <v>0</v>
      </c>
      <c r="EA86" s="749">
        <f t="shared" si="51"/>
        <v>63</v>
      </c>
      <c r="EB86" s="749" t="e">
        <f t="shared" ca="1" si="52"/>
        <v>#N/A</v>
      </c>
      <c r="EC86" s="750" t="e">
        <f t="shared" ca="1" si="53"/>
        <v>#N/A</v>
      </c>
      <c r="ED86" s="749" t="e">
        <f t="shared" ca="1" si="28"/>
        <v>#N/A</v>
      </c>
      <c r="EE86" s="749"/>
      <c r="EF86" s="749"/>
      <c r="EG86" s="749"/>
      <c r="EH86" s="749"/>
      <c r="EI86" s="714" t="e">
        <f t="shared" ca="1" si="19"/>
        <v>#N/A</v>
      </c>
      <c r="EJ86" s="231" t="e">
        <f ca="1">IF(SUM(EJ$24:EJ85)=EJ$22,0,IF(AND($K86&gt;=EJ$15,$K86&lt;(EJ$16+1)),EJ$22/(EJ$16-EJ$15+1),0))</f>
        <v>#REF!</v>
      </c>
      <c r="EK86" s="714" t="e">
        <f t="shared" ca="1" si="54"/>
        <v>#N/A</v>
      </c>
      <c r="EM86" s="60"/>
      <c r="EN86" s="60"/>
    </row>
    <row r="87" spans="1:144">
      <c r="A87" s="220"/>
      <c r="B87" s="236">
        <f t="shared" si="20"/>
        <v>64</v>
      </c>
      <c r="C87" s="221">
        <f t="shared" si="21"/>
        <v>45387.2521000001</v>
      </c>
      <c r="D87" s="746" t="e">
        <f t="shared" ca="1" si="22"/>
        <v>#DIV/0!</v>
      </c>
      <c r="E87" s="747" t="e">
        <f t="shared" ca="1" si="25"/>
        <v>#DIV/0!</v>
      </c>
      <c r="F87" s="748" t="e">
        <f ca="1">IF(F86=0,0,SUM($G$24:G87))</f>
        <v>#DIV/0!</v>
      </c>
      <c r="G87" s="225" t="e">
        <f t="shared" ca="1" si="48"/>
        <v>#DIV/0!</v>
      </c>
      <c r="H87" s="746">
        <f t="shared" ca="1" si="23"/>
        <v>0</v>
      </c>
      <c r="I87" s="60"/>
      <c r="J87" s="228"/>
      <c r="K87" s="228">
        <f t="shared" si="49"/>
        <v>64</v>
      </c>
      <c r="L87" s="221">
        <f t="shared" si="50"/>
        <v>45387.2521000001</v>
      </c>
      <c r="M87" s="229">
        <f t="shared" si="72"/>
        <v>0</v>
      </c>
      <c r="N87" s="229">
        <f t="shared" si="72"/>
        <v>0</v>
      </c>
      <c r="O87" s="229">
        <f t="shared" si="72"/>
        <v>0</v>
      </c>
      <c r="P87" s="229">
        <f t="shared" si="72"/>
        <v>0</v>
      </c>
      <c r="Q87" s="229">
        <f t="shared" si="72"/>
        <v>0</v>
      </c>
      <c r="R87" s="229">
        <f t="shared" si="71"/>
        <v>0</v>
      </c>
      <c r="S87" s="229">
        <f t="shared" si="71"/>
        <v>0</v>
      </c>
      <c r="T87" s="229">
        <f t="shared" si="71"/>
        <v>0</v>
      </c>
      <c r="U87" s="229">
        <f t="shared" si="72"/>
        <v>0</v>
      </c>
      <c r="V87" s="229">
        <f t="shared" si="72"/>
        <v>0</v>
      </c>
      <c r="W87" s="229">
        <f t="shared" si="72"/>
        <v>0</v>
      </c>
      <c r="X87" s="229">
        <f t="shared" si="72"/>
        <v>0</v>
      </c>
      <c r="Y87" s="229">
        <f t="shared" si="72"/>
        <v>0</v>
      </c>
      <c r="Z87" s="229">
        <f t="shared" si="72"/>
        <v>0</v>
      </c>
      <c r="AA87" s="229">
        <f t="shared" si="72"/>
        <v>0</v>
      </c>
      <c r="AB87" s="229">
        <f t="shared" si="72"/>
        <v>0</v>
      </c>
      <c r="AC87" s="229">
        <f t="shared" si="72"/>
        <v>0</v>
      </c>
      <c r="AD87" s="229">
        <f t="shared" si="72"/>
        <v>0</v>
      </c>
      <c r="AE87" s="229">
        <f t="shared" si="72"/>
        <v>0</v>
      </c>
      <c r="AF87" s="229">
        <f t="shared" si="72"/>
        <v>0</v>
      </c>
      <c r="AG87" s="229">
        <f t="shared" si="72"/>
        <v>0</v>
      </c>
      <c r="AH87" s="229">
        <f t="shared" si="72"/>
        <v>0</v>
      </c>
      <c r="AI87" s="229">
        <f t="shared" si="72"/>
        <v>0</v>
      </c>
      <c r="AJ87" s="229">
        <f t="shared" si="72"/>
        <v>0</v>
      </c>
      <c r="AK87" s="229">
        <f t="shared" si="72"/>
        <v>0</v>
      </c>
      <c r="AL87" s="229">
        <f t="shared" si="72"/>
        <v>0</v>
      </c>
      <c r="AM87" s="229">
        <f t="shared" si="72"/>
        <v>0</v>
      </c>
      <c r="AN87" s="229">
        <f t="shared" si="72"/>
        <v>0</v>
      </c>
      <c r="AO87" s="229">
        <f t="shared" si="72"/>
        <v>0</v>
      </c>
      <c r="AP87" s="229">
        <f t="shared" si="72"/>
        <v>0</v>
      </c>
      <c r="AQ87" s="229">
        <f t="shared" si="72"/>
        <v>0</v>
      </c>
      <c r="AR87" s="229">
        <f t="shared" si="73"/>
        <v>0</v>
      </c>
      <c r="AS87" s="229">
        <f t="shared" si="73"/>
        <v>0</v>
      </c>
      <c r="AT87" s="229">
        <f t="shared" si="73"/>
        <v>0</v>
      </c>
      <c r="AU87" s="229">
        <f t="shared" si="73"/>
        <v>0</v>
      </c>
      <c r="AV87" s="229">
        <f t="shared" si="73"/>
        <v>0</v>
      </c>
      <c r="AW87" s="229">
        <f t="shared" si="73"/>
        <v>0</v>
      </c>
      <c r="AX87" s="229">
        <f t="shared" si="73"/>
        <v>0</v>
      </c>
      <c r="AY87" s="229">
        <f t="shared" si="73"/>
        <v>0</v>
      </c>
      <c r="AZ87" s="229">
        <f t="shared" si="73"/>
        <v>0</v>
      </c>
      <c r="BA87" s="229">
        <f t="shared" si="73"/>
        <v>0</v>
      </c>
      <c r="BB87" s="229">
        <f t="shared" si="73"/>
        <v>0</v>
      </c>
      <c r="BC87" s="229">
        <f t="shared" si="74"/>
        <v>0</v>
      </c>
      <c r="BD87" s="229">
        <f t="shared" si="74"/>
        <v>0</v>
      </c>
      <c r="BE87" s="229">
        <f t="shared" si="74"/>
        <v>0</v>
      </c>
      <c r="BF87" s="229">
        <f t="shared" si="74"/>
        <v>0</v>
      </c>
      <c r="BG87" s="229">
        <f t="shared" si="74"/>
        <v>0</v>
      </c>
      <c r="BH87" s="229">
        <f t="shared" si="74"/>
        <v>0</v>
      </c>
      <c r="BI87" s="229">
        <f t="shared" si="74"/>
        <v>0</v>
      </c>
      <c r="BJ87" s="229">
        <f t="shared" si="74"/>
        <v>0</v>
      </c>
      <c r="BK87" s="229">
        <f t="shared" si="74"/>
        <v>0</v>
      </c>
      <c r="BL87" s="229">
        <f t="shared" si="74"/>
        <v>0</v>
      </c>
      <c r="BM87" s="229">
        <f t="shared" si="75"/>
        <v>0</v>
      </c>
      <c r="BN87" s="229">
        <f t="shared" si="75"/>
        <v>0</v>
      </c>
      <c r="BO87" s="229">
        <f t="shared" si="75"/>
        <v>0</v>
      </c>
      <c r="BP87" s="229">
        <f t="shared" si="75"/>
        <v>0</v>
      </c>
      <c r="BQ87" s="229">
        <f t="shared" si="75"/>
        <v>0</v>
      </c>
      <c r="BR87" s="229">
        <f t="shared" si="75"/>
        <v>0</v>
      </c>
      <c r="BS87" s="229">
        <f t="shared" si="75"/>
        <v>0</v>
      </c>
      <c r="BT87" s="229">
        <f t="shared" si="75"/>
        <v>0</v>
      </c>
      <c r="BU87" s="229">
        <f t="shared" si="75"/>
        <v>0</v>
      </c>
      <c r="BV87" s="229">
        <f t="shared" si="75"/>
        <v>0</v>
      </c>
      <c r="BW87" s="229">
        <f t="shared" si="75"/>
        <v>0</v>
      </c>
      <c r="BX87" s="229">
        <f t="shared" si="75"/>
        <v>0</v>
      </c>
      <c r="BY87" s="229">
        <f t="shared" si="75"/>
        <v>0</v>
      </c>
      <c r="BZ87" s="229">
        <f t="shared" si="75"/>
        <v>0</v>
      </c>
      <c r="CA87" s="229">
        <f t="shared" si="75"/>
        <v>0</v>
      </c>
      <c r="CB87" s="229">
        <f t="shared" si="76"/>
        <v>0</v>
      </c>
      <c r="CC87" s="229">
        <f t="shared" si="76"/>
        <v>0</v>
      </c>
      <c r="CD87" s="229">
        <f t="shared" si="76"/>
        <v>0</v>
      </c>
      <c r="CE87" s="229">
        <f t="shared" si="76"/>
        <v>0</v>
      </c>
      <c r="CF87" s="229">
        <f t="shared" si="76"/>
        <v>0</v>
      </c>
      <c r="CG87" s="229">
        <f t="shared" si="76"/>
        <v>0</v>
      </c>
      <c r="CH87" s="229">
        <f t="shared" si="76"/>
        <v>0</v>
      </c>
      <c r="CI87" s="229">
        <f t="shared" si="76"/>
        <v>0</v>
      </c>
      <c r="CJ87" s="229">
        <f t="shared" si="76"/>
        <v>0</v>
      </c>
      <c r="CK87" s="229">
        <f t="shared" si="76"/>
        <v>0</v>
      </c>
      <c r="CL87" s="229">
        <f t="shared" si="76"/>
        <v>0</v>
      </c>
      <c r="CM87" s="229">
        <f t="shared" si="76"/>
        <v>0</v>
      </c>
      <c r="CN87" s="229">
        <f t="shared" si="76"/>
        <v>0</v>
      </c>
      <c r="CO87" s="229">
        <f t="shared" si="76"/>
        <v>0</v>
      </c>
      <c r="CP87" s="229">
        <f t="shared" si="76"/>
        <v>0</v>
      </c>
      <c r="CQ87" s="229">
        <f t="shared" si="76"/>
        <v>0</v>
      </c>
      <c r="CR87" s="229">
        <f t="shared" si="76"/>
        <v>0</v>
      </c>
      <c r="CS87" s="230"/>
      <c r="CT87" s="231"/>
      <c r="CU87" s="231"/>
      <c r="CV87" s="231"/>
      <c r="CW87" s="231"/>
      <c r="CX87" s="231" t="e">
        <f t="shared" ca="1" si="62"/>
        <v>#N/A</v>
      </c>
      <c r="CY87" s="231"/>
      <c r="CZ87" s="231"/>
      <c r="DA87" s="231" t="e">
        <f ca="1">IF(SUM(DA$32:DA86)&gt;=DA$22,0,DA$22/(DA$13*4))</f>
        <v>#N/A</v>
      </c>
      <c r="DB87" s="231">
        <f>IF(SUM(DB$24:DB86)=DB$22,0,IF(AND($K87&gt;=DB$15,$K87&lt;(DB$16+1)),DB$22/(DB$16-DB$15+1),0))</f>
        <v>0</v>
      </c>
      <c r="DC87" s="231">
        <f t="shared" si="70"/>
        <v>0</v>
      </c>
      <c r="DD87" s="231">
        <f t="shared" si="70"/>
        <v>0</v>
      </c>
      <c r="DE87" s="231">
        <f t="shared" si="70"/>
        <v>0</v>
      </c>
      <c r="DF87" s="231">
        <f t="shared" si="70"/>
        <v>0</v>
      </c>
      <c r="DG87" s="231">
        <f t="shared" si="70"/>
        <v>0</v>
      </c>
      <c r="DH87" s="231">
        <f t="shared" si="70"/>
        <v>0</v>
      </c>
      <c r="DI87" s="231">
        <f t="shared" si="70"/>
        <v>0</v>
      </c>
      <c r="DJ87" s="231">
        <f t="shared" si="70"/>
        <v>0</v>
      </c>
      <c r="DK87" s="231">
        <f t="shared" si="70"/>
        <v>0</v>
      </c>
      <c r="DL87" s="231">
        <f t="shared" si="70"/>
        <v>0</v>
      </c>
      <c r="DM87" s="231">
        <f t="shared" si="70"/>
        <v>0</v>
      </c>
      <c r="DN87" s="231">
        <f t="shared" si="70"/>
        <v>0</v>
      </c>
      <c r="DO87" s="231">
        <f t="shared" si="70"/>
        <v>0</v>
      </c>
      <c r="DP87" s="231">
        <f>'Offshore CF'!DR87</f>
        <v>0</v>
      </c>
      <c r="DQ87" s="231">
        <f>'Offshore CF'!DS87</f>
        <v>0.29866666666666669</v>
      </c>
      <c r="DR87" s="231">
        <f ca="1">IF(SUM(DR$24:DR86)=DR$22,0,IF(AND($K87&gt;=DR$15,$K87&lt;(DR$16+1)),DR$22/(DR$16-DR$15+1),0))</f>
        <v>0</v>
      </c>
      <c r="DS87" s="231" t="e">
        <f ca="1">IF(SUM(DS$24:DS86)=DS$22,0,IF(AND($K87&gt;=DS$15,$K87&lt;(DS$16+1)),DS$22/(DS$16-DS$15+1),0))</f>
        <v>#REF!</v>
      </c>
      <c r="DT87" s="231" t="e">
        <f ca="1">IF(SUM(DT$24:DT86)=DT$22,0,IF(AND(K87&gt;=DT$15,K87&lt;(DT$16+1)),DT$22/(DT$16-DT$15+1),0))</f>
        <v>#REF!</v>
      </c>
      <c r="DU87" s="231" t="e">
        <f ca="1">IF(SUM(DU$24:DU86)=DU$22,0,IF(AND($K87&gt;=DU$15,$K87&lt;(DU$16+1)),DU$22/(DU$16-DU$15+1),0))</f>
        <v>#REF!</v>
      </c>
      <c r="DV87" s="231">
        <f ca="1">IF(SUM(DV$24:DV86)=DV$22,0,IF(AND($K87&gt;=DV$15,$K87&lt;(DV$16+1)),DV$22/(DV$16-DV$15+1),0))</f>
        <v>0</v>
      </c>
      <c r="DW87" s="231">
        <f ca="1">IF(SUM(DW$24:DW86)=DW$22,0,IF(AND($K87&gt;=DW$15,$K87&lt;(DW$16+1)),DW$22/(DW$16-DW$15+1),0))</f>
        <v>0</v>
      </c>
      <c r="DX87" s="231">
        <f ca="1">IF(SUM(DX$24:DX86)=DX$22,0,IF(AND($K87&gt;=DX$15,$K87&lt;(DX$16+1)),DX$22/(DX$16-DX$15+1),0))</f>
        <v>0</v>
      </c>
      <c r="DY87" s="231">
        <f ca="1">IF(SUM(DY$24:DY86)=DY$22,0,IF(AND($K87&gt;=DY$15,$K87&lt;(DY$16+1)),DY$22/(DY$16-DY$15+1),0))</f>
        <v>0</v>
      </c>
      <c r="EA87" s="749">
        <f t="shared" si="51"/>
        <v>64</v>
      </c>
      <c r="EB87" s="749" t="e">
        <f t="shared" ca="1" si="52"/>
        <v>#N/A</v>
      </c>
      <c r="EC87" s="750" t="e">
        <f t="shared" ca="1" si="53"/>
        <v>#N/A</v>
      </c>
      <c r="ED87" s="749" t="e">
        <f t="shared" ca="1" si="28"/>
        <v>#N/A</v>
      </c>
      <c r="EE87" s="749"/>
      <c r="EF87" s="749"/>
      <c r="EG87" s="749"/>
      <c r="EH87" s="749"/>
      <c r="EI87" s="714" t="e">
        <f t="shared" ca="1" si="19"/>
        <v>#N/A</v>
      </c>
      <c r="EJ87" s="231" t="e">
        <f ca="1">IF(SUM(EJ$24:EJ86)=EJ$22,0,IF(AND($K87&gt;=EJ$15,$K87&lt;(EJ$16+1)),EJ$22/(EJ$16-EJ$15+1),0))</f>
        <v>#REF!</v>
      </c>
      <c r="EK87" s="714" t="e">
        <f t="shared" ca="1" si="54"/>
        <v>#N/A</v>
      </c>
      <c r="EM87" s="60"/>
      <c r="EN87" s="60"/>
    </row>
    <row r="88" spans="1:144">
      <c r="A88" s="220"/>
      <c r="B88" s="236">
        <f t="shared" si="20"/>
        <v>65</v>
      </c>
      <c r="C88" s="221">
        <f t="shared" si="21"/>
        <v>45417.668800000101</v>
      </c>
      <c r="D88" s="746" t="e">
        <f t="shared" ca="1" si="22"/>
        <v>#DIV/0!</v>
      </c>
      <c r="E88" s="747" t="e">
        <f t="shared" ca="1" si="25"/>
        <v>#DIV/0!</v>
      </c>
      <c r="F88" s="748" t="e">
        <f ca="1">IF(F87=0,0,SUM($G$24:G88))</f>
        <v>#DIV/0!</v>
      </c>
      <c r="G88" s="225" t="e">
        <f t="shared" ref="G88:G119" ca="1" si="77">IF(G$3=0,0,H88/H$155)</f>
        <v>#DIV/0!</v>
      </c>
      <c r="H88" s="746">
        <f t="shared" ca="1" si="23"/>
        <v>0</v>
      </c>
      <c r="I88" s="60"/>
      <c r="J88" s="228"/>
      <c r="K88" s="228">
        <f t="shared" ref="K88:K119" si="78">B88</f>
        <v>65</v>
      </c>
      <c r="L88" s="221">
        <f t="shared" ref="L88:L119" si="79">C88</f>
        <v>45417.668800000101</v>
      </c>
      <c r="M88" s="229">
        <f t="shared" si="72"/>
        <v>0</v>
      </c>
      <c r="N88" s="229">
        <f t="shared" si="72"/>
        <v>0</v>
      </c>
      <c r="O88" s="229">
        <f t="shared" si="72"/>
        <v>0</v>
      </c>
      <c r="P88" s="229">
        <f t="shared" si="72"/>
        <v>0</v>
      </c>
      <c r="Q88" s="229">
        <f t="shared" si="72"/>
        <v>0</v>
      </c>
      <c r="R88" s="229">
        <f t="shared" si="71"/>
        <v>0</v>
      </c>
      <c r="S88" s="229">
        <f t="shared" si="71"/>
        <v>0</v>
      </c>
      <c r="T88" s="229">
        <f t="shared" si="71"/>
        <v>0</v>
      </c>
      <c r="U88" s="229">
        <f t="shared" si="72"/>
        <v>0</v>
      </c>
      <c r="V88" s="229">
        <f t="shared" si="72"/>
        <v>0</v>
      </c>
      <c r="W88" s="229">
        <f t="shared" si="72"/>
        <v>0</v>
      </c>
      <c r="X88" s="229">
        <f t="shared" si="72"/>
        <v>0</v>
      </c>
      <c r="Y88" s="229">
        <f t="shared" si="72"/>
        <v>0</v>
      </c>
      <c r="Z88" s="229">
        <f t="shared" si="72"/>
        <v>0</v>
      </c>
      <c r="AA88" s="229">
        <f t="shared" si="72"/>
        <v>0</v>
      </c>
      <c r="AB88" s="229">
        <f t="shared" si="72"/>
        <v>0</v>
      </c>
      <c r="AC88" s="229">
        <f t="shared" si="72"/>
        <v>0</v>
      </c>
      <c r="AD88" s="229">
        <f t="shared" si="72"/>
        <v>0</v>
      </c>
      <c r="AE88" s="229">
        <f t="shared" si="72"/>
        <v>0</v>
      </c>
      <c r="AF88" s="229">
        <f t="shared" si="72"/>
        <v>0</v>
      </c>
      <c r="AG88" s="229">
        <f t="shared" si="72"/>
        <v>0</v>
      </c>
      <c r="AH88" s="229">
        <f t="shared" si="72"/>
        <v>0</v>
      </c>
      <c r="AI88" s="229">
        <f t="shared" si="72"/>
        <v>0</v>
      </c>
      <c r="AJ88" s="229">
        <f t="shared" si="72"/>
        <v>0</v>
      </c>
      <c r="AK88" s="229">
        <f t="shared" si="72"/>
        <v>0</v>
      </c>
      <c r="AL88" s="229">
        <f t="shared" si="72"/>
        <v>0</v>
      </c>
      <c r="AM88" s="229">
        <f t="shared" si="72"/>
        <v>0</v>
      </c>
      <c r="AN88" s="229">
        <f t="shared" si="72"/>
        <v>0</v>
      </c>
      <c r="AO88" s="229">
        <f t="shared" si="72"/>
        <v>0</v>
      </c>
      <c r="AP88" s="229">
        <f t="shared" si="72"/>
        <v>0</v>
      </c>
      <c r="AQ88" s="229">
        <f t="shared" si="72"/>
        <v>0</v>
      </c>
      <c r="AR88" s="229">
        <f t="shared" si="73"/>
        <v>0</v>
      </c>
      <c r="AS88" s="229">
        <f t="shared" si="73"/>
        <v>0</v>
      </c>
      <c r="AT88" s="229">
        <f t="shared" si="73"/>
        <v>0</v>
      </c>
      <c r="AU88" s="229">
        <f t="shared" si="73"/>
        <v>0</v>
      </c>
      <c r="AV88" s="229">
        <f t="shared" si="73"/>
        <v>0</v>
      </c>
      <c r="AW88" s="229">
        <f t="shared" si="73"/>
        <v>0</v>
      </c>
      <c r="AX88" s="229">
        <f t="shared" si="73"/>
        <v>0</v>
      </c>
      <c r="AY88" s="229">
        <f t="shared" si="73"/>
        <v>0</v>
      </c>
      <c r="AZ88" s="229">
        <f t="shared" si="73"/>
        <v>0</v>
      </c>
      <c r="BA88" s="229">
        <f t="shared" si="73"/>
        <v>0</v>
      </c>
      <c r="BB88" s="229">
        <f t="shared" si="73"/>
        <v>0</v>
      </c>
      <c r="BC88" s="229">
        <f t="shared" si="74"/>
        <v>0</v>
      </c>
      <c r="BD88" s="229">
        <f t="shared" si="74"/>
        <v>0</v>
      </c>
      <c r="BE88" s="229">
        <f t="shared" si="74"/>
        <v>0</v>
      </c>
      <c r="BF88" s="229">
        <f t="shared" si="74"/>
        <v>0</v>
      </c>
      <c r="BG88" s="229">
        <f t="shared" si="74"/>
        <v>0</v>
      </c>
      <c r="BH88" s="229">
        <f t="shared" si="74"/>
        <v>0</v>
      </c>
      <c r="BI88" s="229">
        <f t="shared" si="74"/>
        <v>0</v>
      </c>
      <c r="BJ88" s="229">
        <f t="shared" si="74"/>
        <v>0</v>
      </c>
      <c r="BK88" s="229">
        <f t="shared" si="74"/>
        <v>0</v>
      </c>
      <c r="BL88" s="229">
        <f t="shared" si="74"/>
        <v>0</v>
      </c>
      <c r="BM88" s="229">
        <f t="shared" si="75"/>
        <v>0</v>
      </c>
      <c r="BN88" s="229">
        <f t="shared" si="75"/>
        <v>0</v>
      </c>
      <c r="BO88" s="229">
        <f t="shared" si="75"/>
        <v>0</v>
      </c>
      <c r="BP88" s="229">
        <f t="shared" si="75"/>
        <v>0</v>
      </c>
      <c r="BQ88" s="229">
        <f t="shared" si="75"/>
        <v>0</v>
      </c>
      <c r="BR88" s="229">
        <f t="shared" si="75"/>
        <v>0</v>
      </c>
      <c r="BS88" s="229">
        <f t="shared" si="75"/>
        <v>0</v>
      </c>
      <c r="BT88" s="229">
        <f t="shared" si="75"/>
        <v>0</v>
      </c>
      <c r="BU88" s="229">
        <f t="shared" si="75"/>
        <v>0</v>
      </c>
      <c r="BV88" s="229">
        <f t="shared" si="75"/>
        <v>0</v>
      </c>
      <c r="BW88" s="229">
        <f t="shared" si="75"/>
        <v>0</v>
      </c>
      <c r="BX88" s="229">
        <f t="shared" si="75"/>
        <v>0</v>
      </c>
      <c r="BY88" s="229">
        <f t="shared" si="75"/>
        <v>0</v>
      </c>
      <c r="BZ88" s="229">
        <f t="shared" si="75"/>
        <v>0</v>
      </c>
      <c r="CA88" s="229">
        <f t="shared" si="75"/>
        <v>0</v>
      </c>
      <c r="CB88" s="229">
        <f t="shared" si="76"/>
        <v>0</v>
      </c>
      <c r="CC88" s="229">
        <f t="shared" si="76"/>
        <v>0</v>
      </c>
      <c r="CD88" s="229">
        <f t="shared" si="76"/>
        <v>0</v>
      </c>
      <c r="CE88" s="229">
        <f t="shared" si="76"/>
        <v>0</v>
      </c>
      <c r="CF88" s="229">
        <f t="shared" si="76"/>
        <v>0</v>
      </c>
      <c r="CG88" s="229">
        <f t="shared" si="76"/>
        <v>0</v>
      </c>
      <c r="CH88" s="229">
        <f t="shared" si="76"/>
        <v>0</v>
      </c>
      <c r="CI88" s="229">
        <f t="shared" si="76"/>
        <v>0</v>
      </c>
      <c r="CJ88" s="229">
        <f t="shared" si="76"/>
        <v>0</v>
      </c>
      <c r="CK88" s="229">
        <f t="shared" si="76"/>
        <v>0</v>
      </c>
      <c r="CL88" s="229">
        <f t="shared" si="76"/>
        <v>0</v>
      </c>
      <c r="CM88" s="229">
        <f t="shared" si="76"/>
        <v>0</v>
      </c>
      <c r="CN88" s="229">
        <f t="shared" si="76"/>
        <v>0</v>
      </c>
      <c r="CO88" s="229">
        <f t="shared" si="76"/>
        <v>0</v>
      </c>
      <c r="CP88" s="229">
        <f t="shared" si="76"/>
        <v>0</v>
      </c>
      <c r="CQ88" s="229">
        <f t="shared" si="76"/>
        <v>0</v>
      </c>
      <c r="CR88" s="229">
        <f t="shared" si="76"/>
        <v>0</v>
      </c>
      <c r="CS88" s="230"/>
      <c r="CT88" s="231"/>
      <c r="CU88" s="231"/>
      <c r="CV88" s="231"/>
      <c r="CW88" s="231"/>
      <c r="CX88" s="231" t="e">
        <f t="shared" ca="1" si="62"/>
        <v>#N/A</v>
      </c>
      <c r="CY88" s="231"/>
      <c r="CZ88" s="231"/>
      <c r="DA88" s="231"/>
      <c r="DB88" s="231">
        <f>IF(SUM(DB$24:DB87)=DB$22,0,IF(AND($K88&gt;=DB$15,$K88&lt;(DB$16+1)),DB$22/(DB$16-DB$15+1),0))</f>
        <v>0</v>
      </c>
      <c r="DC88" s="231">
        <f t="shared" si="70"/>
        <v>0</v>
      </c>
      <c r="DD88" s="231">
        <f t="shared" si="70"/>
        <v>0</v>
      </c>
      <c r="DE88" s="231">
        <f t="shared" si="70"/>
        <v>0</v>
      </c>
      <c r="DF88" s="231">
        <f t="shared" si="70"/>
        <v>0</v>
      </c>
      <c r="DG88" s="231">
        <f t="shared" si="70"/>
        <v>0</v>
      </c>
      <c r="DH88" s="231">
        <f t="shared" si="70"/>
        <v>0</v>
      </c>
      <c r="DI88" s="231">
        <f t="shared" si="70"/>
        <v>0</v>
      </c>
      <c r="DJ88" s="231">
        <f t="shared" si="70"/>
        <v>0</v>
      </c>
      <c r="DK88" s="231">
        <f t="shared" si="70"/>
        <v>0</v>
      </c>
      <c r="DL88" s="231">
        <f t="shared" si="70"/>
        <v>0</v>
      </c>
      <c r="DM88" s="231">
        <f t="shared" si="70"/>
        <v>0</v>
      </c>
      <c r="DN88" s="231">
        <f t="shared" si="70"/>
        <v>0</v>
      </c>
      <c r="DO88" s="231">
        <f t="shared" si="70"/>
        <v>0</v>
      </c>
      <c r="DP88" s="231">
        <f>'Offshore CF'!DR88</f>
        <v>0</v>
      </c>
      <c r="DQ88" s="231">
        <f>'Offshore CF'!DS88</f>
        <v>0</v>
      </c>
      <c r="DR88" s="231">
        <f ca="1">IF(SUM(DR$24:DR87)=DR$22,0,IF(AND($K88&gt;=DR$15,$K88&lt;(DR$16+1)),DR$22/(DR$16-DR$15+1),0))</f>
        <v>0</v>
      </c>
      <c r="DS88" s="231" t="e">
        <f ca="1">IF(SUM(DS$24:DS87)=DS$22,0,IF(AND($K88&gt;=DS$15,$K88&lt;(DS$16+1)),DS$22/(DS$16-DS$15+1),0))</f>
        <v>#REF!</v>
      </c>
      <c r="DT88" s="231" t="e">
        <f ca="1">IF(SUM(DT$24:DT87)=DT$22,0,IF(AND(K88&gt;=DT$15,K88&lt;(DT$16+1)),DT$22/(DT$16-DT$15+1),0))</f>
        <v>#REF!</v>
      </c>
      <c r="DU88" s="231" t="e">
        <f ca="1">IF(SUM(DU$24:DU87)=DU$22,0,IF(AND($K88&gt;=DU$15,$K88&lt;(DU$16+1)),DU$22/(DU$16-DU$15+1),0))</f>
        <v>#REF!</v>
      </c>
      <c r="DV88" s="231">
        <f ca="1">IF(SUM(DV$24:DV87)=DV$22,0,IF(AND($K88&gt;=DV$15,$K88&lt;(DV$16+1)),DV$22/(DV$16-DV$15+1),0))</f>
        <v>0</v>
      </c>
      <c r="DW88" s="231">
        <f ca="1">IF(SUM(DW$24:DW87)=DW$22,0,IF(AND($K88&gt;=DW$15,$K88&lt;(DW$16+1)),DW$22/(DW$16-DW$15+1),0))</f>
        <v>0</v>
      </c>
      <c r="DX88" s="231">
        <f ca="1">IF(SUM(DX$24:DX87)=DX$22,0,IF(AND($K88&gt;=DX$15,$K88&lt;(DX$16+1)),DX$22/(DX$16-DX$15+1),0))</f>
        <v>0</v>
      </c>
      <c r="DY88" s="231">
        <f ca="1">IF(SUM(DY$24:DY87)=DY$22,0,IF(AND($K88&gt;=DY$15,$K88&lt;(DY$16+1)),DY$22/(DY$16-DY$15+1),0))</f>
        <v>0</v>
      </c>
      <c r="EA88" s="749">
        <f t="shared" ref="EA88:EA119" si="80">K88</f>
        <v>65</v>
      </c>
      <c r="EB88" s="749" t="e">
        <f t="shared" ref="EB88:EB119" ca="1" si="81">SUM(M88:DY88)</f>
        <v>#N/A</v>
      </c>
      <c r="EC88" s="750" t="e">
        <f t="shared" ref="EC88:EC151" ca="1" si="82">EB88/EB$22</f>
        <v>#N/A</v>
      </c>
      <c r="ED88" s="749" t="e">
        <f t="shared" ca="1" si="28"/>
        <v>#N/A</v>
      </c>
      <c r="EE88" s="749"/>
      <c r="EF88" s="749"/>
      <c r="EG88" s="749"/>
      <c r="EH88" s="749"/>
      <c r="EI88" s="714" t="e">
        <f t="shared" ref="EI88:EI151" ca="1" si="83">SUM(EB88,ED88:EH88)</f>
        <v>#N/A</v>
      </c>
      <c r="EJ88" s="231" t="e">
        <f ca="1">IF(SUM(EJ$24:EJ87)=EJ$22,0,IF(AND($K88&gt;=EJ$15,$K88&lt;(EJ$16+1)),EJ$22/(EJ$16-EJ$15+1),0))</f>
        <v>#REF!</v>
      </c>
      <c r="EK88" s="714" t="e">
        <f t="shared" ca="1" si="54"/>
        <v>#N/A</v>
      </c>
      <c r="EM88" s="60"/>
      <c r="EN88" s="60"/>
    </row>
    <row r="89" spans="1:144">
      <c r="A89" s="220"/>
      <c r="B89" s="236">
        <f t="shared" ref="B89:B152" si="84">B88+1</f>
        <v>66</v>
      </c>
      <c r="C89" s="221">
        <f t="shared" ref="C89:C152" si="85">C88+30.4167</f>
        <v>45448.085500000103</v>
      </c>
      <c r="D89" s="746" t="e">
        <f t="shared" ref="D89:D152" ca="1" si="86">E89*G$3</f>
        <v>#DIV/0!</v>
      </c>
      <c r="E89" s="747" t="e">
        <f t="shared" ca="1" si="25"/>
        <v>#DIV/0!</v>
      </c>
      <c r="F89" s="748" t="e">
        <f ca="1">IF(F88=0,0,SUM($G$24:G89))</f>
        <v>#DIV/0!</v>
      </c>
      <c r="G89" s="225" t="e">
        <f t="shared" ca="1" si="77"/>
        <v>#DIV/0!</v>
      </c>
      <c r="H89" s="746">
        <f t="shared" ref="H89:H152" ca="1" si="87">IF(ISERROR(SUM(EK89)),0,SUM(EK89))</f>
        <v>0</v>
      </c>
      <c r="I89" s="60"/>
      <c r="J89" s="228"/>
      <c r="K89" s="228">
        <f t="shared" si="78"/>
        <v>66</v>
      </c>
      <c r="L89" s="221">
        <f t="shared" si="79"/>
        <v>45448.085500000103</v>
      </c>
      <c r="M89" s="229">
        <f t="shared" si="72"/>
        <v>0</v>
      </c>
      <c r="N89" s="229">
        <f t="shared" si="72"/>
        <v>0</v>
      </c>
      <c r="O89" s="229">
        <f t="shared" si="72"/>
        <v>0</v>
      </c>
      <c r="P89" s="229">
        <f t="shared" si="72"/>
        <v>0</v>
      </c>
      <c r="Q89" s="229">
        <f t="shared" si="72"/>
        <v>0</v>
      </c>
      <c r="R89" s="229">
        <f t="shared" si="71"/>
        <v>0</v>
      </c>
      <c r="S89" s="229">
        <f t="shared" si="71"/>
        <v>0</v>
      </c>
      <c r="T89" s="229">
        <f t="shared" si="71"/>
        <v>0</v>
      </c>
      <c r="U89" s="229">
        <f t="shared" si="72"/>
        <v>0</v>
      </c>
      <c r="V89" s="229">
        <f t="shared" si="72"/>
        <v>0</v>
      </c>
      <c r="W89" s="229">
        <f t="shared" si="72"/>
        <v>0</v>
      </c>
      <c r="X89" s="229">
        <f t="shared" si="72"/>
        <v>0</v>
      </c>
      <c r="Y89" s="229">
        <f t="shared" si="72"/>
        <v>0</v>
      </c>
      <c r="Z89" s="229">
        <f t="shared" si="72"/>
        <v>0</v>
      </c>
      <c r="AA89" s="229">
        <f t="shared" si="72"/>
        <v>0</v>
      </c>
      <c r="AB89" s="229">
        <f t="shared" si="72"/>
        <v>0</v>
      </c>
      <c r="AC89" s="229">
        <f t="shared" si="72"/>
        <v>0</v>
      </c>
      <c r="AD89" s="229">
        <f t="shared" si="72"/>
        <v>0</v>
      </c>
      <c r="AE89" s="229">
        <f t="shared" si="72"/>
        <v>0</v>
      </c>
      <c r="AF89" s="229">
        <f t="shared" si="72"/>
        <v>0</v>
      </c>
      <c r="AG89" s="229">
        <f t="shared" si="72"/>
        <v>0</v>
      </c>
      <c r="AH89" s="229">
        <f t="shared" si="72"/>
        <v>0</v>
      </c>
      <c r="AI89" s="229">
        <f t="shared" si="72"/>
        <v>0</v>
      </c>
      <c r="AJ89" s="229">
        <f t="shared" si="72"/>
        <v>0</v>
      </c>
      <c r="AK89" s="229">
        <f t="shared" si="72"/>
        <v>0</v>
      </c>
      <c r="AL89" s="229">
        <f t="shared" si="72"/>
        <v>0</v>
      </c>
      <c r="AM89" s="229">
        <f t="shared" si="72"/>
        <v>0</v>
      </c>
      <c r="AN89" s="229">
        <f t="shared" si="72"/>
        <v>0</v>
      </c>
      <c r="AO89" s="229">
        <f t="shared" si="72"/>
        <v>0</v>
      </c>
      <c r="AP89" s="229">
        <f t="shared" si="72"/>
        <v>0</v>
      </c>
      <c r="AQ89" s="229">
        <f t="shared" si="72"/>
        <v>0</v>
      </c>
      <c r="AR89" s="229">
        <f t="shared" si="73"/>
        <v>0</v>
      </c>
      <c r="AS89" s="229">
        <f t="shared" si="73"/>
        <v>0</v>
      </c>
      <c r="AT89" s="229">
        <f t="shared" si="73"/>
        <v>0</v>
      </c>
      <c r="AU89" s="229">
        <f t="shared" si="73"/>
        <v>0</v>
      </c>
      <c r="AV89" s="229">
        <f t="shared" si="73"/>
        <v>0</v>
      </c>
      <c r="AW89" s="229">
        <f t="shared" si="73"/>
        <v>0</v>
      </c>
      <c r="AX89" s="229">
        <f t="shared" si="73"/>
        <v>0</v>
      </c>
      <c r="AY89" s="229">
        <f t="shared" si="73"/>
        <v>0</v>
      </c>
      <c r="AZ89" s="229">
        <f t="shared" si="73"/>
        <v>0</v>
      </c>
      <c r="BA89" s="229">
        <f t="shared" si="73"/>
        <v>0</v>
      </c>
      <c r="BB89" s="229">
        <f t="shared" si="73"/>
        <v>0</v>
      </c>
      <c r="BC89" s="229">
        <f t="shared" si="74"/>
        <v>0</v>
      </c>
      <c r="BD89" s="229">
        <f t="shared" si="74"/>
        <v>0</v>
      </c>
      <c r="BE89" s="229">
        <f t="shared" si="74"/>
        <v>0</v>
      </c>
      <c r="BF89" s="229">
        <f t="shared" si="74"/>
        <v>0</v>
      </c>
      <c r="BG89" s="229">
        <f t="shared" si="74"/>
        <v>0</v>
      </c>
      <c r="BH89" s="229">
        <f t="shared" si="74"/>
        <v>0</v>
      </c>
      <c r="BI89" s="229">
        <f t="shared" si="74"/>
        <v>0</v>
      </c>
      <c r="BJ89" s="229">
        <f t="shared" si="74"/>
        <v>0</v>
      </c>
      <c r="BK89" s="229">
        <f t="shared" si="74"/>
        <v>0</v>
      </c>
      <c r="BL89" s="229">
        <f t="shared" si="74"/>
        <v>0</v>
      </c>
      <c r="BM89" s="229">
        <f t="shared" si="75"/>
        <v>0</v>
      </c>
      <c r="BN89" s="229">
        <f t="shared" si="75"/>
        <v>0</v>
      </c>
      <c r="BO89" s="229">
        <f t="shared" si="75"/>
        <v>0</v>
      </c>
      <c r="BP89" s="229">
        <f t="shared" si="75"/>
        <v>0</v>
      </c>
      <c r="BQ89" s="229">
        <f t="shared" si="75"/>
        <v>0</v>
      </c>
      <c r="BR89" s="229">
        <f t="shared" si="75"/>
        <v>0</v>
      </c>
      <c r="BS89" s="229">
        <f t="shared" si="75"/>
        <v>0</v>
      </c>
      <c r="BT89" s="229">
        <f t="shared" si="75"/>
        <v>0</v>
      </c>
      <c r="BU89" s="229">
        <f t="shared" si="75"/>
        <v>0</v>
      </c>
      <c r="BV89" s="229">
        <f t="shared" si="75"/>
        <v>0</v>
      </c>
      <c r="BW89" s="229">
        <f t="shared" si="75"/>
        <v>0</v>
      </c>
      <c r="BX89" s="229">
        <f t="shared" si="75"/>
        <v>0</v>
      </c>
      <c r="BY89" s="229">
        <f t="shared" si="75"/>
        <v>0</v>
      </c>
      <c r="BZ89" s="229">
        <f t="shared" si="75"/>
        <v>0</v>
      </c>
      <c r="CA89" s="229">
        <f t="shared" si="75"/>
        <v>0</v>
      </c>
      <c r="CB89" s="229">
        <f t="shared" si="76"/>
        <v>0</v>
      </c>
      <c r="CC89" s="229">
        <f t="shared" si="76"/>
        <v>0</v>
      </c>
      <c r="CD89" s="229">
        <f t="shared" si="76"/>
        <v>0</v>
      </c>
      <c r="CE89" s="229">
        <f t="shared" si="76"/>
        <v>0</v>
      </c>
      <c r="CF89" s="229">
        <f t="shared" si="76"/>
        <v>0</v>
      </c>
      <c r="CG89" s="229">
        <f t="shared" si="76"/>
        <v>0</v>
      </c>
      <c r="CH89" s="229">
        <f t="shared" si="76"/>
        <v>0</v>
      </c>
      <c r="CI89" s="229">
        <f t="shared" si="76"/>
        <v>0</v>
      </c>
      <c r="CJ89" s="229">
        <f t="shared" si="76"/>
        <v>0</v>
      </c>
      <c r="CK89" s="229">
        <f t="shared" si="76"/>
        <v>0</v>
      </c>
      <c r="CL89" s="229">
        <f t="shared" si="76"/>
        <v>0</v>
      </c>
      <c r="CM89" s="229">
        <f t="shared" si="76"/>
        <v>0</v>
      </c>
      <c r="CN89" s="229">
        <f t="shared" si="76"/>
        <v>0</v>
      </c>
      <c r="CO89" s="229">
        <f t="shared" si="76"/>
        <v>0</v>
      </c>
      <c r="CP89" s="229">
        <f t="shared" si="76"/>
        <v>0</v>
      </c>
      <c r="CQ89" s="229">
        <f t="shared" si="76"/>
        <v>0</v>
      </c>
      <c r="CR89" s="229">
        <f t="shared" si="76"/>
        <v>0</v>
      </c>
      <c r="CS89" s="230"/>
      <c r="CT89" s="231"/>
      <c r="CU89" s="231"/>
      <c r="CV89" s="231"/>
      <c r="CW89" s="231"/>
      <c r="CX89" s="231" t="e">
        <f t="shared" ca="1" si="62"/>
        <v>#N/A</v>
      </c>
      <c r="CY89" s="231"/>
      <c r="CZ89" s="231"/>
      <c r="DA89" s="231"/>
      <c r="DB89" s="231">
        <f>IF(SUM(DB$24:DB88)=DB$22,0,IF(AND($K89&gt;=DB$15,$K89&lt;(DB$16+1)),DB$22/(DB$16-DB$15+1),0))</f>
        <v>0</v>
      </c>
      <c r="DC89" s="231">
        <f t="shared" si="70"/>
        <v>0</v>
      </c>
      <c r="DD89" s="231">
        <f t="shared" si="70"/>
        <v>0</v>
      </c>
      <c r="DE89" s="231">
        <f t="shared" si="70"/>
        <v>0</v>
      </c>
      <c r="DF89" s="231">
        <f t="shared" si="70"/>
        <v>0</v>
      </c>
      <c r="DG89" s="231">
        <f t="shared" si="70"/>
        <v>0</v>
      </c>
      <c r="DH89" s="231">
        <f t="shared" si="70"/>
        <v>0</v>
      </c>
      <c r="DI89" s="231">
        <f t="shared" si="70"/>
        <v>0</v>
      </c>
      <c r="DJ89" s="231">
        <f t="shared" si="70"/>
        <v>0</v>
      </c>
      <c r="DK89" s="231">
        <f t="shared" si="70"/>
        <v>0</v>
      </c>
      <c r="DL89" s="231">
        <f t="shared" si="70"/>
        <v>0</v>
      </c>
      <c r="DM89" s="231">
        <f t="shared" si="70"/>
        <v>0</v>
      </c>
      <c r="DN89" s="231">
        <f t="shared" si="70"/>
        <v>0</v>
      </c>
      <c r="DO89" s="231">
        <f t="shared" si="70"/>
        <v>0</v>
      </c>
      <c r="DP89" s="231">
        <f>'Offshore CF'!DR89</f>
        <v>0</v>
      </c>
      <c r="DQ89" s="231">
        <f>'Offshore CF'!DS89</f>
        <v>0</v>
      </c>
      <c r="DR89" s="231">
        <f ca="1">IF(SUM(DR$24:DR88)=DR$22,0,IF(AND($K89&gt;=DR$15,$K89&lt;(DR$16+1)),DR$22/(DR$16-DR$15+1),0))</f>
        <v>0</v>
      </c>
      <c r="DS89" s="231" t="e">
        <f ca="1">IF(SUM(DS$24:DS88)=DS$22,0,IF(AND($K89&gt;=DS$15,$K89&lt;(DS$16+1)),DS$22/(DS$16-DS$15+1),0))</f>
        <v>#REF!</v>
      </c>
      <c r="DT89" s="231" t="e">
        <f ca="1">IF(SUM(DT$24:DT88)=DT$22,0,IF(AND(K89&gt;=DT$15,K89&lt;(DT$16+1)),DT$22/(DT$16-DT$15+1),0))</f>
        <v>#REF!</v>
      </c>
      <c r="DU89" s="231" t="e">
        <f ca="1">IF(SUM(DU$24:DU88)=DU$22,0,IF(AND($K89&gt;=DU$15,$K89&lt;(DU$16+1)),DU$22/(DU$16-DU$15+1),0))</f>
        <v>#REF!</v>
      </c>
      <c r="DV89" s="231">
        <f ca="1">IF(SUM(DV$24:DV88)=DV$22,0,IF(AND($K89&gt;=DV$15,$K89&lt;(DV$16+1)),DV$22/(DV$16-DV$15+1),0))</f>
        <v>0</v>
      </c>
      <c r="DW89" s="231">
        <f ca="1">IF(SUM(DW$24:DW88)=DW$22,0,IF(AND($K89&gt;=DW$15,$K89&lt;(DW$16+1)),DW$22/(DW$16-DW$15+1),0))</f>
        <v>0</v>
      </c>
      <c r="DX89" s="231">
        <f ca="1">IF(SUM(DX$24:DX88)=DX$22,0,IF(AND($K89&gt;=DX$15,$K89&lt;(DX$16+1)),DX$22/(DX$16-DX$15+1),0))</f>
        <v>0</v>
      </c>
      <c r="DY89" s="231">
        <f ca="1">IF(SUM(DY$24:DY88)=DY$22,0,IF(AND($K89&gt;=DY$15,$K89&lt;(DY$16+1)),DY$22/(DY$16-DY$15+1),0))</f>
        <v>0</v>
      </c>
      <c r="EA89" s="749">
        <f t="shared" si="80"/>
        <v>66</v>
      </c>
      <c r="EB89" s="749" t="e">
        <f t="shared" ca="1" si="81"/>
        <v>#N/A</v>
      </c>
      <c r="EC89" s="750" t="e">
        <f t="shared" ca="1" si="82"/>
        <v>#N/A</v>
      </c>
      <c r="ED89" s="749" t="e">
        <f t="shared" ca="1" si="28"/>
        <v>#N/A</v>
      </c>
      <c r="EE89" s="749"/>
      <c r="EF89" s="749"/>
      <c r="EG89" s="749"/>
      <c r="EH89" s="749"/>
      <c r="EI89" s="714" t="e">
        <f t="shared" ca="1" si="83"/>
        <v>#N/A</v>
      </c>
      <c r="EJ89" s="231" t="e">
        <f ca="1">IF(SUM(EJ$24:EJ88)=EJ$22,0,IF(AND($K89&gt;=EJ$15,$K89&lt;(EJ$16+1)),EJ$22/(EJ$16-EJ$15+1),0))</f>
        <v>#REF!</v>
      </c>
      <c r="EK89" s="714" t="e">
        <f t="shared" ca="1" si="54"/>
        <v>#N/A</v>
      </c>
      <c r="EM89" s="60"/>
      <c r="EN89" s="60"/>
    </row>
    <row r="90" spans="1:144">
      <c r="A90" s="220"/>
      <c r="B90" s="236">
        <f t="shared" si="84"/>
        <v>67</v>
      </c>
      <c r="C90" s="221">
        <f t="shared" si="85"/>
        <v>45478.502200000104</v>
      </c>
      <c r="D90" s="746" t="e">
        <f t="shared" ca="1" si="86"/>
        <v>#DIV/0!</v>
      </c>
      <c r="E90" s="747" t="e">
        <f t="shared" ref="E90:E153" ca="1" si="88">IF(E89&gt;=1,1,ROUND(F90*100,0)/100+0.02)</f>
        <v>#DIV/0!</v>
      </c>
      <c r="F90" s="748" t="e">
        <f ca="1">IF(F89=0,0,SUM($G$24:G90))</f>
        <v>#DIV/0!</v>
      </c>
      <c r="G90" s="225" t="e">
        <f t="shared" ca="1" si="77"/>
        <v>#DIV/0!</v>
      </c>
      <c r="H90" s="746">
        <f t="shared" ca="1" si="87"/>
        <v>0</v>
      </c>
      <c r="I90" s="60"/>
      <c r="J90" s="228"/>
      <c r="K90" s="228">
        <f t="shared" si="78"/>
        <v>67</v>
      </c>
      <c r="L90" s="221">
        <f t="shared" si="79"/>
        <v>45478.502200000104</v>
      </c>
      <c r="M90" s="229">
        <f t="shared" si="72"/>
        <v>0</v>
      </c>
      <c r="N90" s="229">
        <f t="shared" si="72"/>
        <v>0</v>
      </c>
      <c r="O90" s="229">
        <f t="shared" si="72"/>
        <v>0</v>
      </c>
      <c r="P90" s="229">
        <f t="shared" si="72"/>
        <v>0</v>
      </c>
      <c r="Q90" s="229">
        <f t="shared" si="72"/>
        <v>0</v>
      </c>
      <c r="R90" s="229">
        <f t="shared" si="71"/>
        <v>0</v>
      </c>
      <c r="S90" s="229">
        <f t="shared" si="71"/>
        <v>0</v>
      </c>
      <c r="T90" s="229">
        <f t="shared" si="71"/>
        <v>0</v>
      </c>
      <c r="U90" s="229">
        <f t="shared" si="72"/>
        <v>0</v>
      </c>
      <c r="V90" s="229">
        <f t="shared" si="72"/>
        <v>0</v>
      </c>
      <c r="W90" s="229">
        <f t="shared" si="72"/>
        <v>0</v>
      </c>
      <c r="X90" s="229">
        <f t="shared" si="72"/>
        <v>0</v>
      </c>
      <c r="Y90" s="229">
        <f t="shared" si="72"/>
        <v>0</v>
      </c>
      <c r="Z90" s="229">
        <f t="shared" si="72"/>
        <v>0</v>
      </c>
      <c r="AA90" s="229">
        <f t="shared" si="72"/>
        <v>0</v>
      </c>
      <c r="AB90" s="229">
        <f t="shared" si="72"/>
        <v>0</v>
      </c>
      <c r="AC90" s="229">
        <f t="shared" si="72"/>
        <v>0</v>
      </c>
      <c r="AD90" s="229">
        <f t="shared" si="72"/>
        <v>0</v>
      </c>
      <c r="AE90" s="229">
        <f t="shared" si="72"/>
        <v>0</v>
      </c>
      <c r="AF90" s="229">
        <f t="shared" si="72"/>
        <v>0</v>
      </c>
      <c r="AG90" s="229">
        <f t="shared" si="72"/>
        <v>0</v>
      </c>
      <c r="AH90" s="229">
        <f t="shared" si="72"/>
        <v>0</v>
      </c>
      <c r="AI90" s="229">
        <f t="shared" si="72"/>
        <v>0</v>
      </c>
      <c r="AJ90" s="229">
        <f t="shared" si="72"/>
        <v>0</v>
      </c>
      <c r="AK90" s="229">
        <f t="shared" si="72"/>
        <v>0</v>
      </c>
      <c r="AL90" s="229">
        <f t="shared" si="72"/>
        <v>0</v>
      </c>
      <c r="AM90" s="229">
        <f t="shared" si="72"/>
        <v>0</v>
      </c>
      <c r="AN90" s="229">
        <f t="shared" si="72"/>
        <v>0</v>
      </c>
      <c r="AO90" s="229">
        <f t="shared" si="72"/>
        <v>0</v>
      </c>
      <c r="AP90" s="229">
        <f t="shared" si="72"/>
        <v>0</v>
      </c>
      <c r="AQ90" s="229">
        <f t="shared" si="72"/>
        <v>0</v>
      </c>
      <c r="AR90" s="229">
        <f t="shared" si="73"/>
        <v>0</v>
      </c>
      <c r="AS90" s="229">
        <f t="shared" si="73"/>
        <v>0</v>
      </c>
      <c r="AT90" s="229">
        <f t="shared" si="73"/>
        <v>0</v>
      </c>
      <c r="AU90" s="229">
        <f t="shared" si="73"/>
        <v>0</v>
      </c>
      <c r="AV90" s="229">
        <f t="shared" si="73"/>
        <v>0</v>
      </c>
      <c r="AW90" s="229">
        <f t="shared" si="73"/>
        <v>0</v>
      </c>
      <c r="AX90" s="229">
        <f t="shared" si="73"/>
        <v>0</v>
      </c>
      <c r="AY90" s="229">
        <f t="shared" si="73"/>
        <v>0</v>
      </c>
      <c r="AZ90" s="229">
        <f t="shared" si="73"/>
        <v>0</v>
      </c>
      <c r="BA90" s="229">
        <f t="shared" si="73"/>
        <v>0</v>
      </c>
      <c r="BB90" s="229">
        <f t="shared" si="73"/>
        <v>0</v>
      </c>
      <c r="BC90" s="229">
        <f t="shared" si="74"/>
        <v>0</v>
      </c>
      <c r="BD90" s="229">
        <f t="shared" si="74"/>
        <v>0</v>
      </c>
      <c r="BE90" s="229">
        <f t="shared" si="74"/>
        <v>0</v>
      </c>
      <c r="BF90" s="229">
        <f t="shared" si="74"/>
        <v>0</v>
      </c>
      <c r="BG90" s="229">
        <f t="shared" si="74"/>
        <v>0</v>
      </c>
      <c r="BH90" s="229">
        <f t="shared" si="74"/>
        <v>0</v>
      </c>
      <c r="BI90" s="229">
        <f t="shared" si="74"/>
        <v>0</v>
      </c>
      <c r="BJ90" s="229">
        <f t="shared" si="74"/>
        <v>0</v>
      </c>
      <c r="BK90" s="229">
        <f t="shared" si="74"/>
        <v>0</v>
      </c>
      <c r="BL90" s="229">
        <f t="shared" si="74"/>
        <v>0</v>
      </c>
      <c r="BM90" s="229">
        <f t="shared" si="75"/>
        <v>0</v>
      </c>
      <c r="BN90" s="229">
        <f t="shared" si="75"/>
        <v>0</v>
      </c>
      <c r="BO90" s="229">
        <f t="shared" si="75"/>
        <v>0</v>
      </c>
      <c r="BP90" s="229">
        <f t="shared" si="75"/>
        <v>0</v>
      </c>
      <c r="BQ90" s="229">
        <f t="shared" si="75"/>
        <v>0</v>
      </c>
      <c r="BR90" s="229">
        <f t="shared" si="75"/>
        <v>0</v>
      </c>
      <c r="BS90" s="229">
        <f t="shared" si="75"/>
        <v>0</v>
      </c>
      <c r="BT90" s="229">
        <f t="shared" si="75"/>
        <v>0</v>
      </c>
      <c r="BU90" s="229">
        <f t="shared" si="75"/>
        <v>0</v>
      </c>
      <c r="BV90" s="229">
        <f t="shared" si="75"/>
        <v>0</v>
      </c>
      <c r="BW90" s="229">
        <f t="shared" si="75"/>
        <v>0</v>
      </c>
      <c r="BX90" s="229">
        <f t="shared" si="75"/>
        <v>0</v>
      </c>
      <c r="BY90" s="229">
        <f t="shared" si="75"/>
        <v>0</v>
      </c>
      <c r="BZ90" s="229">
        <f t="shared" si="75"/>
        <v>0</v>
      </c>
      <c r="CA90" s="229">
        <f t="shared" si="75"/>
        <v>0</v>
      </c>
      <c r="CB90" s="229">
        <f t="shared" si="76"/>
        <v>0</v>
      </c>
      <c r="CC90" s="229">
        <f t="shared" si="76"/>
        <v>0</v>
      </c>
      <c r="CD90" s="229">
        <f t="shared" si="76"/>
        <v>0</v>
      </c>
      <c r="CE90" s="229">
        <f t="shared" si="76"/>
        <v>0</v>
      </c>
      <c r="CF90" s="229">
        <f t="shared" si="76"/>
        <v>0</v>
      </c>
      <c r="CG90" s="229">
        <f t="shared" si="76"/>
        <v>0</v>
      </c>
      <c r="CH90" s="229">
        <f t="shared" si="76"/>
        <v>0</v>
      </c>
      <c r="CI90" s="229">
        <f t="shared" si="76"/>
        <v>0</v>
      </c>
      <c r="CJ90" s="229">
        <f t="shared" si="76"/>
        <v>0</v>
      </c>
      <c r="CK90" s="229">
        <f t="shared" si="76"/>
        <v>0</v>
      </c>
      <c r="CL90" s="229">
        <f t="shared" si="76"/>
        <v>0</v>
      </c>
      <c r="CM90" s="229">
        <f t="shared" si="76"/>
        <v>0</v>
      </c>
      <c r="CN90" s="229">
        <f t="shared" si="76"/>
        <v>0</v>
      </c>
      <c r="CO90" s="229">
        <f t="shared" si="76"/>
        <v>0</v>
      </c>
      <c r="CP90" s="229">
        <f t="shared" si="76"/>
        <v>0</v>
      </c>
      <c r="CQ90" s="229">
        <f t="shared" si="76"/>
        <v>0</v>
      </c>
      <c r="CR90" s="229">
        <f t="shared" si="76"/>
        <v>0</v>
      </c>
      <c r="CS90" s="230"/>
      <c r="CT90" s="231"/>
      <c r="CU90" s="231"/>
      <c r="CV90" s="231"/>
      <c r="CW90" s="231"/>
      <c r="CX90" s="231" t="e">
        <f t="shared" ca="1" si="62"/>
        <v>#N/A</v>
      </c>
      <c r="CY90" s="231"/>
      <c r="CZ90" s="231"/>
      <c r="DA90" s="231" t="e">
        <f ca="1">IF(SUM(DA$32:DA89)&gt;=DA$22,0,DA$22/(DA$13*4))</f>
        <v>#N/A</v>
      </c>
      <c r="DB90" s="231">
        <f>IF(SUM(DB$24:DB89)=DB$22,0,IF(AND($K90&gt;=DB$15,$K90&lt;(DB$16+1)),DB$22/(DB$16-DB$15+1),0))</f>
        <v>0</v>
      </c>
      <c r="DC90" s="231">
        <f t="shared" ref="DC90:DO99" si="89">IF(AND($K90&gt;=DC$15,$K90&lt;(DC$16+1)),DC$22/(DC$16-DC$15+1),0)</f>
        <v>0</v>
      </c>
      <c r="DD90" s="231">
        <f t="shared" si="89"/>
        <v>0</v>
      </c>
      <c r="DE90" s="231">
        <f t="shared" si="89"/>
        <v>0</v>
      </c>
      <c r="DF90" s="231">
        <f t="shared" si="89"/>
        <v>0</v>
      </c>
      <c r="DG90" s="231">
        <f t="shared" si="89"/>
        <v>0</v>
      </c>
      <c r="DH90" s="231">
        <f t="shared" si="89"/>
        <v>0</v>
      </c>
      <c r="DI90" s="231">
        <f t="shared" si="89"/>
        <v>0</v>
      </c>
      <c r="DJ90" s="231">
        <f t="shared" si="89"/>
        <v>0</v>
      </c>
      <c r="DK90" s="231">
        <f t="shared" si="89"/>
        <v>0</v>
      </c>
      <c r="DL90" s="231">
        <f t="shared" si="89"/>
        <v>0</v>
      </c>
      <c r="DM90" s="231">
        <f t="shared" si="89"/>
        <v>0</v>
      </c>
      <c r="DN90" s="231">
        <f t="shared" si="89"/>
        <v>0</v>
      </c>
      <c r="DO90" s="231">
        <f t="shared" si="89"/>
        <v>0</v>
      </c>
      <c r="DP90" s="231">
        <f>'Offshore CF'!DR90</f>
        <v>0</v>
      </c>
      <c r="DQ90" s="231">
        <f>'Offshore CF'!DS90</f>
        <v>0</v>
      </c>
      <c r="DR90" s="231">
        <f ca="1">IF(SUM(DR$24:DR89)=DR$22,0,IF(AND($K90&gt;=DR$15,$K90&lt;(DR$16+1)),DR$22/(DR$16-DR$15+1),0))</f>
        <v>0</v>
      </c>
      <c r="DS90" s="231" t="e">
        <f ca="1">IF(SUM(DS$24:DS89)=DS$22,0,IF(AND($K90&gt;=DS$15,$K90&lt;(DS$16+1)),DS$22/(DS$16-DS$15+1),0))</f>
        <v>#REF!</v>
      </c>
      <c r="DT90" s="231" t="e">
        <f ca="1">IF(SUM(DT$24:DT89)=DT$22,0,IF(AND(K90&gt;=DT$15,K90&lt;(DT$16+1)),DT$22/(DT$16-DT$15+1),0))</f>
        <v>#REF!</v>
      </c>
      <c r="DU90" s="231" t="e">
        <f ca="1">IF(SUM(DU$24:DU89)=DU$22,0,IF(AND($K90&gt;=DU$15,$K90&lt;(DU$16+1)),DU$22/(DU$16-DU$15+1),0))</f>
        <v>#REF!</v>
      </c>
      <c r="DV90" s="231">
        <f ca="1">IF(SUM(DV$24:DV89)=DV$22,0,IF(AND($K90&gt;=DV$15,$K90&lt;(DV$16+1)),DV$22/(DV$16-DV$15+1),0))</f>
        <v>0</v>
      </c>
      <c r="DW90" s="231">
        <f ca="1">IF(SUM(DW$24:DW89)=DW$22,0,IF(AND($K90&gt;=DW$15,$K90&lt;(DW$16+1)),DW$22/(DW$16-DW$15+1),0))</f>
        <v>0</v>
      </c>
      <c r="DX90" s="231">
        <f ca="1">IF(SUM(DX$24:DX89)=DX$22,0,IF(AND($K90&gt;=DX$15,$K90&lt;(DX$16+1)),DX$22/(DX$16-DX$15+1),0))</f>
        <v>0</v>
      </c>
      <c r="DY90" s="231">
        <f ca="1">IF(SUM(DY$24:DY89)=DY$22,0,IF(AND($K90&gt;=DY$15,$K90&lt;(DY$16+1)),DY$22/(DY$16-DY$15+1),0))</f>
        <v>0</v>
      </c>
      <c r="EA90" s="749">
        <f t="shared" si="80"/>
        <v>67</v>
      </c>
      <c r="EB90" s="749" t="e">
        <f t="shared" ca="1" si="81"/>
        <v>#N/A</v>
      </c>
      <c r="EC90" s="750" t="e">
        <f t="shared" ca="1" si="82"/>
        <v>#N/A</v>
      </c>
      <c r="ED90" s="749" t="e">
        <f t="shared" ca="1" si="28"/>
        <v>#N/A</v>
      </c>
      <c r="EE90" s="749"/>
      <c r="EF90" s="749"/>
      <c r="EG90" s="749"/>
      <c r="EH90" s="749"/>
      <c r="EI90" s="714" t="e">
        <f t="shared" ca="1" si="83"/>
        <v>#N/A</v>
      </c>
      <c r="EJ90" s="231" t="e">
        <f ca="1">IF(SUM(EJ$24:EJ89)=EJ$22,0,IF(AND($K90&gt;=EJ$15,$K90&lt;(EJ$16+1)),EJ$22/(EJ$16-EJ$15+1),0))</f>
        <v>#REF!</v>
      </c>
      <c r="EK90" s="714" t="e">
        <f t="shared" ca="1" si="54"/>
        <v>#N/A</v>
      </c>
      <c r="EM90" s="60"/>
      <c r="EN90" s="60"/>
    </row>
    <row r="91" spans="1:144">
      <c r="A91" s="255"/>
      <c r="B91" s="256">
        <f t="shared" si="84"/>
        <v>68</v>
      </c>
      <c r="C91" s="221">
        <f t="shared" si="85"/>
        <v>45508.918900000106</v>
      </c>
      <c r="D91" s="746" t="e">
        <f t="shared" ca="1" si="86"/>
        <v>#DIV/0!</v>
      </c>
      <c r="E91" s="747" t="e">
        <f t="shared" ca="1" si="88"/>
        <v>#DIV/0!</v>
      </c>
      <c r="F91" s="748" t="e">
        <f ca="1">IF(F90=0,0,SUM($G$24:G91))</f>
        <v>#DIV/0!</v>
      </c>
      <c r="G91" s="225" t="e">
        <f t="shared" ca="1" si="77"/>
        <v>#DIV/0!</v>
      </c>
      <c r="H91" s="746">
        <f t="shared" ca="1" si="87"/>
        <v>0</v>
      </c>
      <c r="I91" s="60"/>
      <c r="J91" s="228"/>
      <c r="K91" s="228">
        <f t="shared" si="78"/>
        <v>68</v>
      </c>
      <c r="L91" s="221">
        <f t="shared" si="79"/>
        <v>45508.918900000106</v>
      </c>
      <c r="M91" s="229">
        <f t="shared" si="72"/>
        <v>0</v>
      </c>
      <c r="N91" s="229">
        <f t="shared" si="72"/>
        <v>0</v>
      </c>
      <c r="O91" s="229">
        <f t="shared" si="72"/>
        <v>0</v>
      </c>
      <c r="P91" s="229">
        <f t="shared" si="72"/>
        <v>0</v>
      </c>
      <c r="Q91" s="229">
        <f t="shared" si="72"/>
        <v>0</v>
      </c>
      <c r="R91" s="229">
        <f t="shared" si="71"/>
        <v>0</v>
      </c>
      <c r="S91" s="229">
        <f t="shared" si="71"/>
        <v>0</v>
      </c>
      <c r="T91" s="229">
        <f t="shared" si="71"/>
        <v>0</v>
      </c>
      <c r="U91" s="229">
        <f t="shared" si="72"/>
        <v>0</v>
      </c>
      <c r="V91" s="229">
        <f t="shared" si="72"/>
        <v>0</v>
      </c>
      <c r="W91" s="229">
        <f t="shared" si="72"/>
        <v>0</v>
      </c>
      <c r="X91" s="229">
        <f t="shared" si="72"/>
        <v>0</v>
      </c>
      <c r="Y91" s="229">
        <f t="shared" si="72"/>
        <v>0</v>
      </c>
      <c r="Z91" s="229">
        <f t="shared" si="72"/>
        <v>0</v>
      </c>
      <c r="AA91" s="229">
        <f t="shared" si="72"/>
        <v>0</v>
      </c>
      <c r="AB91" s="229">
        <f t="shared" si="72"/>
        <v>0</v>
      </c>
      <c r="AC91" s="229">
        <f t="shared" si="72"/>
        <v>0</v>
      </c>
      <c r="AD91" s="229">
        <f t="shared" ref="P91:AD101" si="90">IF($K91=AD$13,AD$22*AD$3,IF($K91=AD$14,AD$22*AD$4,IF($K91=AD$15,AD$22*AD$5,IF($K91=AD$16,AD$22*AD$6,IF($K91=AD$17,AD$22*AD$7,IF($K91=AD$18,AD$22*AD$8,IF($K91=AD$19,AD$22*AD$9,IF($K91=AD$20,AD$22*AD$10,0))))))))</f>
        <v>0</v>
      </c>
      <c r="AE91" s="229">
        <f t="shared" si="72"/>
        <v>0</v>
      </c>
      <c r="AF91" s="229">
        <f t="shared" si="72"/>
        <v>0</v>
      </c>
      <c r="AG91" s="229">
        <f t="shared" si="72"/>
        <v>0</v>
      </c>
      <c r="AH91" s="229">
        <f t="shared" si="72"/>
        <v>0</v>
      </c>
      <c r="AI91" s="229">
        <f t="shared" si="72"/>
        <v>0</v>
      </c>
      <c r="AJ91" s="229">
        <f t="shared" si="72"/>
        <v>0</v>
      </c>
      <c r="AK91" s="229">
        <f t="shared" si="72"/>
        <v>0</v>
      </c>
      <c r="AL91" s="229">
        <f t="shared" si="72"/>
        <v>0</v>
      </c>
      <c r="AM91" s="229">
        <f t="shared" si="72"/>
        <v>0</v>
      </c>
      <c r="AN91" s="229">
        <f t="shared" si="72"/>
        <v>0</v>
      </c>
      <c r="AO91" s="229">
        <f t="shared" si="72"/>
        <v>0</v>
      </c>
      <c r="AP91" s="229">
        <f t="shared" si="72"/>
        <v>0</v>
      </c>
      <c r="AQ91" s="229">
        <f t="shared" si="72"/>
        <v>0</v>
      </c>
      <c r="AR91" s="229">
        <f t="shared" si="73"/>
        <v>0</v>
      </c>
      <c r="AS91" s="229">
        <f t="shared" si="73"/>
        <v>0</v>
      </c>
      <c r="AT91" s="229">
        <f t="shared" si="73"/>
        <v>0</v>
      </c>
      <c r="AU91" s="229">
        <f t="shared" si="73"/>
        <v>0</v>
      </c>
      <c r="AV91" s="229">
        <f t="shared" si="73"/>
        <v>0</v>
      </c>
      <c r="AW91" s="229">
        <f t="shared" si="73"/>
        <v>0</v>
      </c>
      <c r="AX91" s="229">
        <f t="shared" si="73"/>
        <v>0</v>
      </c>
      <c r="AY91" s="229">
        <f t="shared" si="73"/>
        <v>0</v>
      </c>
      <c r="AZ91" s="229">
        <f t="shared" si="73"/>
        <v>0</v>
      </c>
      <c r="BA91" s="229">
        <f t="shared" si="73"/>
        <v>0</v>
      </c>
      <c r="BB91" s="229">
        <f t="shared" si="73"/>
        <v>0</v>
      </c>
      <c r="BC91" s="229">
        <f t="shared" si="74"/>
        <v>0</v>
      </c>
      <c r="BD91" s="229">
        <f t="shared" si="74"/>
        <v>0</v>
      </c>
      <c r="BE91" s="229">
        <f t="shared" si="74"/>
        <v>0</v>
      </c>
      <c r="BF91" s="229">
        <f t="shared" si="74"/>
        <v>0</v>
      </c>
      <c r="BG91" s="229">
        <f t="shared" si="74"/>
        <v>0</v>
      </c>
      <c r="BH91" s="229">
        <f t="shared" si="74"/>
        <v>0</v>
      </c>
      <c r="BI91" s="229">
        <f t="shared" si="74"/>
        <v>0</v>
      </c>
      <c r="BJ91" s="229">
        <f t="shared" si="74"/>
        <v>0</v>
      </c>
      <c r="BK91" s="229">
        <f t="shared" si="74"/>
        <v>0</v>
      </c>
      <c r="BL91" s="229">
        <f t="shared" si="74"/>
        <v>0</v>
      </c>
      <c r="BM91" s="229">
        <f t="shared" si="75"/>
        <v>0</v>
      </c>
      <c r="BN91" s="229">
        <f t="shared" si="75"/>
        <v>0</v>
      </c>
      <c r="BO91" s="229">
        <f t="shared" si="75"/>
        <v>0</v>
      </c>
      <c r="BP91" s="229">
        <f t="shared" si="75"/>
        <v>0</v>
      </c>
      <c r="BQ91" s="229">
        <f t="shared" si="75"/>
        <v>0</v>
      </c>
      <c r="BR91" s="229">
        <f t="shared" si="75"/>
        <v>0</v>
      </c>
      <c r="BS91" s="229">
        <f t="shared" si="75"/>
        <v>0</v>
      </c>
      <c r="BT91" s="229">
        <f t="shared" si="75"/>
        <v>0</v>
      </c>
      <c r="BU91" s="229">
        <f t="shared" si="75"/>
        <v>0</v>
      </c>
      <c r="BV91" s="229">
        <f t="shared" si="75"/>
        <v>0</v>
      </c>
      <c r="BW91" s="229">
        <f t="shared" si="75"/>
        <v>0</v>
      </c>
      <c r="BX91" s="229">
        <f t="shared" si="75"/>
        <v>0</v>
      </c>
      <c r="BY91" s="229">
        <f t="shared" si="75"/>
        <v>0</v>
      </c>
      <c r="BZ91" s="229">
        <f t="shared" si="75"/>
        <v>0</v>
      </c>
      <c r="CA91" s="229">
        <f t="shared" si="75"/>
        <v>0</v>
      </c>
      <c r="CB91" s="229">
        <f t="shared" si="76"/>
        <v>0</v>
      </c>
      <c r="CC91" s="229">
        <f t="shared" si="76"/>
        <v>0</v>
      </c>
      <c r="CD91" s="229">
        <f t="shared" si="76"/>
        <v>0</v>
      </c>
      <c r="CE91" s="229">
        <f t="shared" si="76"/>
        <v>0</v>
      </c>
      <c r="CF91" s="229">
        <f t="shared" si="76"/>
        <v>0</v>
      </c>
      <c r="CG91" s="229">
        <f t="shared" si="76"/>
        <v>0</v>
      </c>
      <c r="CH91" s="229">
        <f t="shared" si="76"/>
        <v>0</v>
      </c>
      <c r="CI91" s="229">
        <f t="shared" si="76"/>
        <v>0</v>
      </c>
      <c r="CJ91" s="229">
        <f t="shared" si="76"/>
        <v>0</v>
      </c>
      <c r="CK91" s="229">
        <f t="shared" si="76"/>
        <v>0</v>
      </c>
      <c r="CL91" s="229">
        <f t="shared" si="76"/>
        <v>0</v>
      </c>
      <c r="CM91" s="229">
        <f t="shared" si="76"/>
        <v>0</v>
      </c>
      <c r="CN91" s="229">
        <f t="shared" si="76"/>
        <v>0</v>
      </c>
      <c r="CO91" s="229">
        <f t="shared" si="76"/>
        <v>0</v>
      </c>
      <c r="CP91" s="229">
        <f t="shared" si="76"/>
        <v>0</v>
      </c>
      <c r="CQ91" s="229">
        <f t="shared" si="76"/>
        <v>0</v>
      </c>
      <c r="CR91" s="229">
        <f t="shared" si="76"/>
        <v>0</v>
      </c>
      <c r="CS91" s="230"/>
      <c r="CT91" s="231"/>
      <c r="CU91" s="231"/>
      <c r="CV91" s="231"/>
      <c r="CW91" s="231"/>
      <c r="CX91" s="231" t="e">
        <f t="shared" ca="1" si="62"/>
        <v>#N/A</v>
      </c>
      <c r="CY91" s="231"/>
      <c r="CZ91" s="231"/>
      <c r="DA91" s="231"/>
      <c r="DB91" s="231">
        <f>IF(SUM(DB$24:DB90)=DB$22,0,IF(AND($K91&gt;=DB$15,$K91&lt;(DB$16+1)),DB$22/(DB$16-DB$15+1),0))</f>
        <v>0</v>
      </c>
      <c r="DC91" s="231">
        <f t="shared" si="89"/>
        <v>0</v>
      </c>
      <c r="DD91" s="231">
        <f t="shared" si="89"/>
        <v>0</v>
      </c>
      <c r="DE91" s="231">
        <f t="shared" si="89"/>
        <v>0</v>
      </c>
      <c r="DF91" s="231">
        <f t="shared" si="89"/>
        <v>0</v>
      </c>
      <c r="DG91" s="231">
        <f t="shared" si="89"/>
        <v>0</v>
      </c>
      <c r="DH91" s="231">
        <f t="shared" si="89"/>
        <v>0</v>
      </c>
      <c r="DI91" s="231">
        <f t="shared" si="89"/>
        <v>0</v>
      </c>
      <c r="DJ91" s="231">
        <f t="shared" si="89"/>
        <v>0</v>
      </c>
      <c r="DK91" s="231">
        <f t="shared" si="89"/>
        <v>0</v>
      </c>
      <c r="DL91" s="231">
        <f t="shared" si="89"/>
        <v>0</v>
      </c>
      <c r="DM91" s="231">
        <f t="shared" si="89"/>
        <v>0</v>
      </c>
      <c r="DN91" s="231">
        <f t="shared" si="89"/>
        <v>0</v>
      </c>
      <c r="DO91" s="231">
        <f t="shared" si="89"/>
        <v>0</v>
      </c>
      <c r="DP91" s="231">
        <f>'Offshore CF'!DR91</f>
        <v>0</v>
      </c>
      <c r="DQ91" s="231">
        <f>'Offshore CF'!DS91</f>
        <v>0</v>
      </c>
      <c r="DR91" s="231">
        <f ca="1">IF(SUM(DR$24:DR90)=DR$22,0,IF(AND($K91&gt;=DR$15,$K91&lt;(DR$16+1)),DR$22/(DR$16-DR$15+1),0))</f>
        <v>0</v>
      </c>
      <c r="DS91" s="231" t="e">
        <f ca="1">IF(SUM(DS$24:DS90)=DS$22,0,IF(AND($K91&gt;=DS$15,$K91&lt;(DS$16+1)),DS$22/(DS$16-DS$15+1),0))</f>
        <v>#REF!</v>
      </c>
      <c r="DT91" s="231" t="e">
        <f ca="1">IF(SUM(DT$24:DT90)=DT$22,0,IF(AND(K91&gt;=DT$15,K91&lt;(DT$16+1)),DT$22/(DT$16-DT$15+1),0))</f>
        <v>#REF!</v>
      </c>
      <c r="DU91" s="231" t="e">
        <f ca="1">IF(SUM(DU$24:DU90)=DU$22,0,IF(AND($K91&gt;=DU$15,$K91&lt;(DU$16+1)),DU$22/(DU$16-DU$15+1),0))</f>
        <v>#REF!</v>
      </c>
      <c r="DV91" s="231">
        <f ca="1">IF(SUM(DV$24:DV90)=DV$22,0,IF(AND($K91&gt;=DV$15,$K91&lt;(DV$16+1)),DV$22/(DV$16-DV$15+1),0))</f>
        <v>0</v>
      </c>
      <c r="DW91" s="231">
        <f ca="1">IF(SUM(DW$24:DW90)=DW$22,0,IF(AND($K91&gt;=DW$15,$K91&lt;(DW$16+1)),DW$22/(DW$16-DW$15+1),0))</f>
        <v>0</v>
      </c>
      <c r="DX91" s="231">
        <f ca="1">IF(SUM(DX$24:DX90)=DX$22,0,IF(AND($K91&gt;=DX$15,$K91&lt;(DX$16+1)),DX$22/(DX$16-DX$15+1),0))</f>
        <v>0</v>
      </c>
      <c r="DY91" s="231">
        <f ca="1">IF(SUM(DY$24:DY90)=DY$22,0,IF(AND($K91&gt;=DY$15,$K91&lt;(DY$16+1)),DY$22/(DY$16-DY$15+1),0))</f>
        <v>0</v>
      </c>
      <c r="EA91" s="749">
        <f t="shared" si="80"/>
        <v>68</v>
      </c>
      <c r="EB91" s="749" t="e">
        <f t="shared" ca="1" si="81"/>
        <v>#N/A</v>
      </c>
      <c r="EC91" s="750" t="e">
        <f t="shared" ca="1" si="82"/>
        <v>#N/A</v>
      </c>
      <c r="ED91" s="749" t="e">
        <f t="shared" ca="1" si="28"/>
        <v>#N/A</v>
      </c>
      <c r="EE91" s="749"/>
      <c r="EF91" s="749"/>
      <c r="EG91" s="749"/>
      <c r="EH91" s="749"/>
      <c r="EI91" s="714" t="e">
        <f t="shared" ca="1" si="83"/>
        <v>#N/A</v>
      </c>
      <c r="EJ91" s="231" t="e">
        <f ca="1">IF(SUM(EJ$24:EJ90)=EJ$22,0,IF(AND($K91&gt;=EJ$15,$K91&lt;(EJ$16+1)),EJ$22/(EJ$16-EJ$15+1),0))</f>
        <v>#REF!</v>
      </c>
      <c r="EK91" s="714" t="e">
        <f t="shared" ca="1" si="54"/>
        <v>#N/A</v>
      </c>
      <c r="EM91" s="60"/>
      <c r="EN91" s="60"/>
    </row>
    <row r="92" spans="1:144">
      <c r="A92" s="255"/>
      <c r="B92" s="256">
        <f t="shared" si="84"/>
        <v>69</v>
      </c>
      <c r="C92" s="221">
        <f t="shared" si="85"/>
        <v>45539.335600000108</v>
      </c>
      <c r="D92" s="746" t="e">
        <f t="shared" ca="1" si="86"/>
        <v>#DIV/0!</v>
      </c>
      <c r="E92" s="747" t="e">
        <f t="shared" ca="1" si="88"/>
        <v>#DIV/0!</v>
      </c>
      <c r="F92" s="748" t="e">
        <f ca="1">IF(F91=0,0,SUM($G$24:G92))</f>
        <v>#DIV/0!</v>
      </c>
      <c r="G92" s="225" t="e">
        <f t="shared" ca="1" si="77"/>
        <v>#DIV/0!</v>
      </c>
      <c r="H92" s="746">
        <f t="shared" ca="1" si="87"/>
        <v>0</v>
      </c>
      <c r="I92" s="60"/>
      <c r="J92" s="228"/>
      <c r="K92" s="228">
        <f t="shared" si="78"/>
        <v>69</v>
      </c>
      <c r="L92" s="221">
        <f t="shared" si="79"/>
        <v>45539.335600000108</v>
      </c>
      <c r="M92" s="229">
        <f t="shared" si="72"/>
        <v>0</v>
      </c>
      <c r="N92" s="229">
        <f t="shared" si="72"/>
        <v>0</v>
      </c>
      <c r="O92" s="229">
        <f t="shared" si="72"/>
        <v>0</v>
      </c>
      <c r="P92" s="229">
        <f t="shared" si="90"/>
        <v>0</v>
      </c>
      <c r="Q92" s="229">
        <f t="shared" si="90"/>
        <v>0</v>
      </c>
      <c r="R92" s="229">
        <f t="shared" si="90"/>
        <v>0</v>
      </c>
      <c r="S92" s="229">
        <f t="shared" si="90"/>
        <v>0</v>
      </c>
      <c r="T92" s="229">
        <f t="shared" si="90"/>
        <v>0</v>
      </c>
      <c r="U92" s="229">
        <f t="shared" si="90"/>
        <v>0</v>
      </c>
      <c r="V92" s="229">
        <f t="shared" si="90"/>
        <v>0</v>
      </c>
      <c r="W92" s="229">
        <f t="shared" si="90"/>
        <v>0</v>
      </c>
      <c r="X92" s="229">
        <f t="shared" si="90"/>
        <v>0</v>
      </c>
      <c r="Y92" s="229">
        <f t="shared" si="90"/>
        <v>0</v>
      </c>
      <c r="Z92" s="229">
        <f t="shared" si="90"/>
        <v>0</v>
      </c>
      <c r="AA92" s="229">
        <f t="shared" si="90"/>
        <v>0</v>
      </c>
      <c r="AB92" s="229">
        <f t="shared" si="90"/>
        <v>0</v>
      </c>
      <c r="AC92" s="229">
        <f t="shared" si="90"/>
        <v>0</v>
      </c>
      <c r="AD92" s="229">
        <f t="shared" si="90"/>
        <v>0</v>
      </c>
      <c r="AE92" s="229">
        <f t="shared" si="72"/>
        <v>0</v>
      </c>
      <c r="AF92" s="229">
        <f t="shared" si="72"/>
        <v>0</v>
      </c>
      <c r="AG92" s="229">
        <f t="shared" si="72"/>
        <v>0</v>
      </c>
      <c r="AH92" s="229">
        <f t="shared" si="72"/>
        <v>0</v>
      </c>
      <c r="AI92" s="229">
        <f t="shared" si="72"/>
        <v>0</v>
      </c>
      <c r="AJ92" s="229">
        <f t="shared" si="72"/>
        <v>0</v>
      </c>
      <c r="AK92" s="229">
        <f t="shared" si="72"/>
        <v>0</v>
      </c>
      <c r="AL92" s="229">
        <f t="shared" si="72"/>
        <v>0</v>
      </c>
      <c r="AM92" s="229">
        <f t="shared" si="72"/>
        <v>0</v>
      </c>
      <c r="AN92" s="229">
        <f t="shared" si="72"/>
        <v>0</v>
      </c>
      <c r="AO92" s="229">
        <f t="shared" si="72"/>
        <v>0</v>
      </c>
      <c r="AP92" s="229">
        <f t="shared" si="72"/>
        <v>0</v>
      </c>
      <c r="AQ92" s="229">
        <f t="shared" si="72"/>
        <v>0</v>
      </c>
      <c r="AR92" s="229">
        <f t="shared" si="73"/>
        <v>0</v>
      </c>
      <c r="AS92" s="229">
        <f t="shared" si="73"/>
        <v>0</v>
      </c>
      <c r="AT92" s="229">
        <f t="shared" si="73"/>
        <v>0</v>
      </c>
      <c r="AU92" s="229">
        <f t="shared" si="73"/>
        <v>0</v>
      </c>
      <c r="AV92" s="229">
        <f t="shared" si="73"/>
        <v>0</v>
      </c>
      <c r="AW92" s="229">
        <f t="shared" si="73"/>
        <v>0</v>
      </c>
      <c r="AX92" s="229">
        <f t="shared" si="73"/>
        <v>0</v>
      </c>
      <c r="AY92" s="229">
        <f t="shared" si="73"/>
        <v>0</v>
      </c>
      <c r="AZ92" s="229">
        <f t="shared" si="73"/>
        <v>0</v>
      </c>
      <c r="BA92" s="229">
        <f t="shared" si="73"/>
        <v>0</v>
      </c>
      <c r="BB92" s="229">
        <f t="shared" si="73"/>
        <v>0</v>
      </c>
      <c r="BC92" s="229">
        <f t="shared" si="74"/>
        <v>0</v>
      </c>
      <c r="BD92" s="229">
        <f t="shared" si="74"/>
        <v>0</v>
      </c>
      <c r="BE92" s="229">
        <f t="shared" si="74"/>
        <v>0</v>
      </c>
      <c r="BF92" s="229">
        <f t="shared" si="74"/>
        <v>0</v>
      </c>
      <c r="BG92" s="229">
        <f t="shared" si="74"/>
        <v>0</v>
      </c>
      <c r="BH92" s="229">
        <f t="shared" si="74"/>
        <v>0</v>
      </c>
      <c r="BI92" s="229">
        <f t="shared" si="74"/>
        <v>0</v>
      </c>
      <c r="BJ92" s="229">
        <f t="shared" si="74"/>
        <v>0</v>
      </c>
      <c r="BK92" s="229">
        <f t="shared" si="74"/>
        <v>0</v>
      </c>
      <c r="BL92" s="229">
        <f t="shared" si="74"/>
        <v>0</v>
      </c>
      <c r="BM92" s="229">
        <f t="shared" si="75"/>
        <v>0</v>
      </c>
      <c r="BN92" s="229">
        <f t="shared" si="75"/>
        <v>0</v>
      </c>
      <c r="BO92" s="229">
        <f t="shared" si="75"/>
        <v>0</v>
      </c>
      <c r="BP92" s="229">
        <f t="shared" si="75"/>
        <v>0</v>
      </c>
      <c r="BQ92" s="229">
        <f t="shared" si="75"/>
        <v>0</v>
      </c>
      <c r="BR92" s="229">
        <f t="shared" si="75"/>
        <v>0</v>
      </c>
      <c r="BS92" s="229">
        <f t="shared" si="75"/>
        <v>0</v>
      </c>
      <c r="BT92" s="229">
        <f t="shared" si="75"/>
        <v>0</v>
      </c>
      <c r="BU92" s="229">
        <f t="shared" si="75"/>
        <v>0</v>
      </c>
      <c r="BV92" s="229">
        <f t="shared" si="75"/>
        <v>0</v>
      </c>
      <c r="BW92" s="229">
        <f t="shared" si="75"/>
        <v>0</v>
      </c>
      <c r="BX92" s="229">
        <f t="shared" si="75"/>
        <v>0</v>
      </c>
      <c r="BY92" s="229">
        <f t="shared" si="75"/>
        <v>0</v>
      </c>
      <c r="BZ92" s="229">
        <f t="shared" si="75"/>
        <v>0</v>
      </c>
      <c r="CA92" s="229">
        <f t="shared" si="75"/>
        <v>0</v>
      </c>
      <c r="CB92" s="229">
        <f t="shared" si="76"/>
        <v>0</v>
      </c>
      <c r="CC92" s="229">
        <f t="shared" si="76"/>
        <v>0</v>
      </c>
      <c r="CD92" s="229">
        <f t="shared" si="76"/>
        <v>0</v>
      </c>
      <c r="CE92" s="229">
        <f t="shared" si="76"/>
        <v>0</v>
      </c>
      <c r="CF92" s="229">
        <f t="shared" si="76"/>
        <v>0</v>
      </c>
      <c r="CG92" s="229">
        <f t="shared" si="76"/>
        <v>0</v>
      </c>
      <c r="CH92" s="229">
        <f t="shared" si="76"/>
        <v>0</v>
      </c>
      <c r="CI92" s="229">
        <f t="shared" si="76"/>
        <v>0</v>
      </c>
      <c r="CJ92" s="229">
        <f t="shared" si="76"/>
        <v>0</v>
      </c>
      <c r="CK92" s="229">
        <f t="shared" si="76"/>
        <v>0</v>
      </c>
      <c r="CL92" s="229">
        <f t="shared" si="76"/>
        <v>0</v>
      </c>
      <c r="CM92" s="229">
        <f t="shared" si="76"/>
        <v>0</v>
      </c>
      <c r="CN92" s="229">
        <f t="shared" si="76"/>
        <v>0</v>
      </c>
      <c r="CO92" s="229">
        <f t="shared" si="76"/>
        <v>0</v>
      </c>
      <c r="CP92" s="229">
        <f t="shared" si="76"/>
        <v>0</v>
      </c>
      <c r="CQ92" s="229">
        <f t="shared" si="76"/>
        <v>0</v>
      </c>
      <c r="CR92" s="229">
        <f t="shared" si="76"/>
        <v>0</v>
      </c>
      <c r="CS92" s="230"/>
      <c r="CT92" s="231"/>
      <c r="CU92" s="231"/>
      <c r="CV92" s="231"/>
      <c r="CW92" s="231"/>
      <c r="CX92" s="231"/>
      <c r="CY92" s="231"/>
      <c r="CZ92" s="231"/>
      <c r="DA92" s="231"/>
      <c r="DB92" s="231">
        <f>IF(SUM(DB$24:DB91)=DB$22,0,IF(AND($K92&gt;=DB$15,$K92&lt;(DB$16+1)),DB$22/(DB$16-DB$15+1),0))</f>
        <v>0</v>
      </c>
      <c r="DC92" s="231">
        <f t="shared" si="89"/>
        <v>0</v>
      </c>
      <c r="DD92" s="231">
        <f t="shared" si="89"/>
        <v>0</v>
      </c>
      <c r="DE92" s="231">
        <f t="shared" si="89"/>
        <v>0</v>
      </c>
      <c r="DF92" s="231">
        <f t="shared" si="89"/>
        <v>0</v>
      </c>
      <c r="DG92" s="231">
        <f t="shared" si="89"/>
        <v>0</v>
      </c>
      <c r="DH92" s="231">
        <f t="shared" si="89"/>
        <v>0</v>
      </c>
      <c r="DI92" s="231">
        <f t="shared" si="89"/>
        <v>0</v>
      </c>
      <c r="DJ92" s="231">
        <f t="shared" si="89"/>
        <v>0</v>
      </c>
      <c r="DK92" s="231">
        <f t="shared" si="89"/>
        <v>0</v>
      </c>
      <c r="DL92" s="231">
        <f t="shared" si="89"/>
        <v>0</v>
      </c>
      <c r="DM92" s="231">
        <f t="shared" si="89"/>
        <v>0</v>
      </c>
      <c r="DN92" s="231">
        <f t="shared" si="89"/>
        <v>0</v>
      </c>
      <c r="DO92" s="231">
        <f t="shared" si="89"/>
        <v>0</v>
      </c>
      <c r="DP92" s="231">
        <f>'Offshore CF'!DR92</f>
        <v>0</v>
      </c>
      <c r="DQ92" s="231">
        <f>'Offshore CF'!DS92</f>
        <v>0</v>
      </c>
      <c r="DR92" s="231">
        <f ca="1">IF(SUM(DR$24:DR91)=DR$22,0,IF(AND($K92&gt;=DR$15,$K92&lt;(DR$16+1)),DR$22/(DR$16-DR$15+1),0))</f>
        <v>0</v>
      </c>
      <c r="DS92" s="231" t="e">
        <f ca="1">IF(SUM(DS$24:DS91)=DS$22,0,IF(AND($K92&gt;=DS$15,$K92&lt;(DS$16+1)),DS$22/(DS$16-DS$15+1),0))</f>
        <v>#REF!</v>
      </c>
      <c r="DT92" s="231" t="e">
        <f ca="1">IF(SUM(DT$24:DT91)=DT$22,0,IF(AND(K92&gt;=DT$15,K92&lt;(DT$16+1)),DT$22/(DT$16-DT$15+1),0))</f>
        <v>#REF!</v>
      </c>
      <c r="DU92" s="231" t="e">
        <f ca="1">IF(SUM(DU$24:DU91)=DU$22,0,IF(AND($K92&gt;=DU$15,$K92&lt;(DU$16+1)),DU$22/(DU$16-DU$15+1),0))</f>
        <v>#REF!</v>
      </c>
      <c r="DV92" s="231">
        <f ca="1">IF(SUM(DV$24:DV91)=DV$22,0,IF(AND($K92&gt;=DV$15,$K92&lt;(DV$16+1)),DV$22/(DV$16-DV$15+1),0))</f>
        <v>0</v>
      </c>
      <c r="DW92" s="231">
        <f ca="1">IF(SUM(DW$24:DW91)=DW$22,0,IF(AND($K92&gt;=DW$15,$K92&lt;(DW$16+1)),DW$22/(DW$16-DW$15+1),0))</f>
        <v>0</v>
      </c>
      <c r="DX92" s="231">
        <f ca="1">IF(SUM(DX$24:DX91)=DX$22,0,IF(AND($K92&gt;=DX$15,$K92&lt;(DX$16+1)),DX$22/(DX$16-DX$15+1),0))</f>
        <v>0</v>
      </c>
      <c r="DY92" s="231">
        <f ca="1">IF(SUM(DY$24:DY91)=DY$22,0,IF(AND($K92&gt;=DY$15,$K92&lt;(DY$16+1)),DY$22/(DY$16-DY$15+1),0))</f>
        <v>0</v>
      </c>
      <c r="EA92" s="749">
        <f t="shared" si="80"/>
        <v>69</v>
      </c>
      <c r="EB92" s="749" t="e">
        <f t="shared" ca="1" si="81"/>
        <v>#REF!</v>
      </c>
      <c r="EC92" s="750" t="e">
        <f t="shared" ca="1" si="82"/>
        <v>#REF!</v>
      </c>
      <c r="ED92" s="749" t="e">
        <f t="shared" ca="1" si="28"/>
        <v>#N/A</v>
      </c>
      <c r="EE92" s="749"/>
      <c r="EF92" s="749"/>
      <c r="EG92" s="749"/>
      <c r="EH92" s="749"/>
      <c r="EI92" s="714" t="e">
        <f t="shared" ca="1" si="83"/>
        <v>#REF!</v>
      </c>
      <c r="EJ92" s="231" t="e">
        <f ca="1">IF(SUM(EJ$24:EJ91)=EJ$22,0,IF(AND($K92&gt;=EJ$15,$K92&lt;(EJ$16+1)),EJ$22/(EJ$16-EJ$15+1),0))</f>
        <v>#REF!</v>
      </c>
      <c r="EK92" s="714" t="e">
        <f t="shared" ca="1" si="54"/>
        <v>#REF!</v>
      </c>
      <c r="EM92" s="60"/>
      <c r="EN92" s="60"/>
    </row>
    <row r="93" spans="1:144">
      <c r="A93" s="220"/>
      <c r="B93" s="236">
        <f t="shared" si="84"/>
        <v>70</v>
      </c>
      <c r="C93" s="221">
        <f t="shared" si="85"/>
        <v>45569.752300000109</v>
      </c>
      <c r="D93" s="746" t="e">
        <f t="shared" ca="1" si="86"/>
        <v>#DIV/0!</v>
      </c>
      <c r="E93" s="747" t="e">
        <f t="shared" ca="1" si="88"/>
        <v>#DIV/0!</v>
      </c>
      <c r="F93" s="748" t="e">
        <f ca="1">IF(F92=0,0,SUM($G$24:G93))</f>
        <v>#DIV/0!</v>
      </c>
      <c r="G93" s="225" t="e">
        <f t="shared" ca="1" si="77"/>
        <v>#DIV/0!</v>
      </c>
      <c r="H93" s="746">
        <f t="shared" ca="1" si="87"/>
        <v>0</v>
      </c>
      <c r="I93" s="60"/>
      <c r="J93" s="228"/>
      <c r="K93" s="228">
        <f t="shared" si="78"/>
        <v>70</v>
      </c>
      <c r="L93" s="221">
        <f t="shared" si="79"/>
        <v>45569.752300000109</v>
      </c>
      <c r="M93" s="229">
        <f t="shared" si="72"/>
        <v>0</v>
      </c>
      <c r="N93" s="229">
        <f t="shared" si="72"/>
        <v>0</v>
      </c>
      <c r="O93" s="229">
        <f t="shared" si="72"/>
        <v>0</v>
      </c>
      <c r="P93" s="229">
        <f t="shared" si="90"/>
        <v>0</v>
      </c>
      <c r="Q93" s="229">
        <f t="shared" si="90"/>
        <v>0</v>
      </c>
      <c r="R93" s="229">
        <f t="shared" si="90"/>
        <v>0</v>
      </c>
      <c r="S93" s="229">
        <f t="shared" si="90"/>
        <v>0</v>
      </c>
      <c r="T93" s="229">
        <f t="shared" si="90"/>
        <v>0</v>
      </c>
      <c r="U93" s="229">
        <f t="shared" si="90"/>
        <v>0</v>
      </c>
      <c r="V93" s="229">
        <f t="shared" si="90"/>
        <v>0</v>
      </c>
      <c r="W93" s="229">
        <f t="shared" si="90"/>
        <v>0</v>
      </c>
      <c r="X93" s="229">
        <f t="shared" si="90"/>
        <v>0</v>
      </c>
      <c r="Y93" s="229">
        <f t="shared" si="90"/>
        <v>0</v>
      </c>
      <c r="Z93" s="229">
        <f t="shared" si="90"/>
        <v>0</v>
      </c>
      <c r="AA93" s="229">
        <f t="shared" si="90"/>
        <v>0</v>
      </c>
      <c r="AB93" s="229">
        <f t="shared" si="90"/>
        <v>0</v>
      </c>
      <c r="AC93" s="229">
        <f t="shared" si="90"/>
        <v>0</v>
      </c>
      <c r="AD93" s="229">
        <f t="shared" si="90"/>
        <v>0</v>
      </c>
      <c r="AE93" s="229">
        <f t="shared" si="72"/>
        <v>0</v>
      </c>
      <c r="AF93" s="229">
        <f t="shared" si="72"/>
        <v>0</v>
      </c>
      <c r="AG93" s="229">
        <f t="shared" si="72"/>
        <v>0</v>
      </c>
      <c r="AH93" s="229">
        <f t="shared" si="72"/>
        <v>0</v>
      </c>
      <c r="AI93" s="229">
        <f t="shared" si="72"/>
        <v>0</v>
      </c>
      <c r="AJ93" s="229">
        <f t="shared" si="72"/>
        <v>0</v>
      </c>
      <c r="AK93" s="229">
        <f t="shared" si="72"/>
        <v>0</v>
      </c>
      <c r="AL93" s="229">
        <f t="shared" si="72"/>
        <v>0</v>
      </c>
      <c r="AM93" s="229">
        <f t="shared" si="72"/>
        <v>0</v>
      </c>
      <c r="AN93" s="229">
        <f t="shared" si="72"/>
        <v>0</v>
      </c>
      <c r="AO93" s="229">
        <f t="shared" si="72"/>
        <v>0</v>
      </c>
      <c r="AP93" s="229">
        <f t="shared" si="72"/>
        <v>0</v>
      </c>
      <c r="AQ93" s="229">
        <f t="shared" si="72"/>
        <v>0</v>
      </c>
      <c r="AR93" s="229">
        <f t="shared" si="73"/>
        <v>0</v>
      </c>
      <c r="AS93" s="229">
        <f t="shared" si="73"/>
        <v>0</v>
      </c>
      <c r="AT93" s="229">
        <f t="shared" si="73"/>
        <v>0</v>
      </c>
      <c r="AU93" s="229">
        <f t="shared" si="73"/>
        <v>0</v>
      </c>
      <c r="AV93" s="229">
        <f t="shared" si="73"/>
        <v>0</v>
      </c>
      <c r="AW93" s="229">
        <f t="shared" si="73"/>
        <v>0</v>
      </c>
      <c r="AX93" s="229">
        <f t="shared" si="73"/>
        <v>0</v>
      </c>
      <c r="AY93" s="229">
        <f t="shared" si="73"/>
        <v>0</v>
      </c>
      <c r="AZ93" s="229">
        <f t="shared" si="73"/>
        <v>0</v>
      </c>
      <c r="BA93" s="229">
        <f t="shared" si="73"/>
        <v>0</v>
      </c>
      <c r="BB93" s="229">
        <f t="shared" si="73"/>
        <v>0</v>
      </c>
      <c r="BC93" s="229">
        <f t="shared" si="74"/>
        <v>0</v>
      </c>
      <c r="BD93" s="229">
        <f t="shared" si="74"/>
        <v>0</v>
      </c>
      <c r="BE93" s="229">
        <f t="shared" si="74"/>
        <v>0</v>
      </c>
      <c r="BF93" s="229">
        <f t="shared" si="74"/>
        <v>0</v>
      </c>
      <c r="BG93" s="229">
        <f t="shared" si="74"/>
        <v>0</v>
      </c>
      <c r="BH93" s="229">
        <f t="shared" si="74"/>
        <v>0</v>
      </c>
      <c r="BI93" s="229">
        <f t="shared" si="74"/>
        <v>0</v>
      </c>
      <c r="BJ93" s="229">
        <f t="shared" si="74"/>
        <v>0</v>
      </c>
      <c r="BK93" s="229">
        <f t="shared" si="74"/>
        <v>0</v>
      </c>
      <c r="BL93" s="229">
        <f t="shared" si="74"/>
        <v>0</v>
      </c>
      <c r="BM93" s="229">
        <f t="shared" si="75"/>
        <v>0</v>
      </c>
      <c r="BN93" s="229">
        <f t="shared" si="75"/>
        <v>0</v>
      </c>
      <c r="BO93" s="229">
        <f t="shared" si="75"/>
        <v>0</v>
      </c>
      <c r="BP93" s="229">
        <f t="shared" si="75"/>
        <v>0</v>
      </c>
      <c r="BQ93" s="229">
        <f t="shared" si="75"/>
        <v>0</v>
      </c>
      <c r="BR93" s="229">
        <f t="shared" si="75"/>
        <v>0</v>
      </c>
      <c r="BS93" s="229">
        <f t="shared" si="75"/>
        <v>0</v>
      </c>
      <c r="BT93" s="229">
        <f t="shared" si="75"/>
        <v>0</v>
      </c>
      <c r="BU93" s="229">
        <f t="shared" si="75"/>
        <v>0</v>
      </c>
      <c r="BV93" s="229">
        <f t="shared" si="75"/>
        <v>0</v>
      </c>
      <c r="BW93" s="229">
        <f t="shared" si="75"/>
        <v>0</v>
      </c>
      <c r="BX93" s="229">
        <f t="shared" si="75"/>
        <v>0</v>
      </c>
      <c r="BY93" s="229">
        <f t="shared" si="75"/>
        <v>0</v>
      </c>
      <c r="BZ93" s="229">
        <f t="shared" si="75"/>
        <v>0</v>
      </c>
      <c r="CA93" s="229">
        <f t="shared" si="75"/>
        <v>0</v>
      </c>
      <c r="CB93" s="229">
        <f t="shared" si="76"/>
        <v>0</v>
      </c>
      <c r="CC93" s="229">
        <f t="shared" si="76"/>
        <v>0</v>
      </c>
      <c r="CD93" s="229">
        <f t="shared" si="76"/>
        <v>0</v>
      </c>
      <c r="CE93" s="229">
        <f t="shared" si="76"/>
        <v>0</v>
      </c>
      <c r="CF93" s="229">
        <f t="shared" si="76"/>
        <v>0</v>
      </c>
      <c r="CG93" s="229">
        <f t="shared" si="76"/>
        <v>0</v>
      </c>
      <c r="CH93" s="229">
        <f t="shared" si="76"/>
        <v>0</v>
      </c>
      <c r="CI93" s="229">
        <f t="shared" si="76"/>
        <v>0</v>
      </c>
      <c r="CJ93" s="229">
        <f t="shared" si="76"/>
        <v>0</v>
      </c>
      <c r="CK93" s="229">
        <f t="shared" si="76"/>
        <v>0</v>
      </c>
      <c r="CL93" s="229">
        <f t="shared" si="76"/>
        <v>0</v>
      </c>
      <c r="CM93" s="229">
        <f t="shared" si="76"/>
        <v>0</v>
      </c>
      <c r="CN93" s="229">
        <f t="shared" si="76"/>
        <v>0</v>
      </c>
      <c r="CO93" s="229">
        <f t="shared" si="76"/>
        <v>0</v>
      </c>
      <c r="CP93" s="229">
        <f t="shared" si="76"/>
        <v>0</v>
      </c>
      <c r="CQ93" s="229">
        <f t="shared" si="76"/>
        <v>0</v>
      </c>
      <c r="CR93" s="229">
        <f t="shared" si="76"/>
        <v>0</v>
      </c>
      <c r="CS93" s="230"/>
      <c r="CT93" s="231"/>
      <c r="CU93" s="231"/>
      <c r="CV93" s="231"/>
      <c r="CW93" s="231"/>
      <c r="CX93" s="231"/>
      <c r="CY93" s="231"/>
      <c r="CZ93" s="231"/>
      <c r="DA93" s="231" t="e">
        <f ca="1">IF(SUM(DA$32:DA92)&gt;=DA$22,0,DA$22/(DA$13*4))</f>
        <v>#N/A</v>
      </c>
      <c r="DB93" s="231">
        <f>IF(SUM(DB$24:DB92)=DB$22,0,IF(AND($K93&gt;=DB$15,$K93&lt;(DB$16+1)),DB$22/(DB$16-DB$15+1),0))</f>
        <v>0</v>
      </c>
      <c r="DC93" s="231">
        <f t="shared" si="89"/>
        <v>0</v>
      </c>
      <c r="DD93" s="231">
        <f t="shared" si="89"/>
        <v>0</v>
      </c>
      <c r="DE93" s="231">
        <f t="shared" si="89"/>
        <v>0</v>
      </c>
      <c r="DF93" s="231">
        <f t="shared" si="89"/>
        <v>0</v>
      </c>
      <c r="DG93" s="231">
        <f t="shared" si="89"/>
        <v>0</v>
      </c>
      <c r="DH93" s="231">
        <f t="shared" si="89"/>
        <v>0</v>
      </c>
      <c r="DI93" s="231">
        <f t="shared" si="89"/>
        <v>0</v>
      </c>
      <c r="DJ93" s="231">
        <f t="shared" si="89"/>
        <v>0</v>
      </c>
      <c r="DK93" s="231">
        <f t="shared" si="89"/>
        <v>0</v>
      </c>
      <c r="DL93" s="231">
        <f t="shared" si="89"/>
        <v>0</v>
      </c>
      <c r="DM93" s="231">
        <f t="shared" si="89"/>
        <v>0</v>
      </c>
      <c r="DN93" s="231">
        <f t="shared" si="89"/>
        <v>0</v>
      </c>
      <c r="DO93" s="231">
        <f t="shared" si="89"/>
        <v>0</v>
      </c>
      <c r="DP93" s="231">
        <f>'Offshore CF'!DR93</f>
        <v>0</v>
      </c>
      <c r="DQ93" s="231">
        <f>'Offshore CF'!DS93</f>
        <v>0</v>
      </c>
      <c r="DR93" s="231">
        <f ca="1">IF(SUM(DR$24:DR92)=DR$22,0,IF(AND($K93&gt;=DR$15,$K93&lt;(DR$16+1)),DR$22/(DR$16-DR$15+1),0))</f>
        <v>0</v>
      </c>
      <c r="DS93" s="231" t="e">
        <f ca="1">IF(SUM(DS$24:DS92)=DS$22,0,IF(AND($K93&gt;=DS$15,$K93&lt;(DS$16+1)),DS$22/(DS$16-DS$15+1),0))</f>
        <v>#REF!</v>
      </c>
      <c r="DT93" s="231" t="e">
        <f ca="1">IF(SUM(DT$24:DT92)=DT$22,0,IF(AND(K93&gt;=DT$15,K93&lt;(DT$16+1)),DT$22/(DT$16-DT$15+1),0))</f>
        <v>#REF!</v>
      </c>
      <c r="DU93" s="231" t="e">
        <f ca="1">IF(SUM(DU$24:DU92)=DU$22,0,IF(AND($K93&gt;=DU$15,$K93&lt;(DU$16+1)),DU$22/(DU$16-DU$15+1),0))</f>
        <v>#REF!</v>
      </c>
      <c r="DV93" s="231">
        <f ca="1">IF(SUM(DV$24:DV92)=DV$22,0,IF(AND($K93&gt;=DV$15,$K93&lt;(DV$16+1)),DV$22/(DV$16-DV$15+1),0))</f>
        <v>0</v>
      </c>
      <c r="DW93" s="231">
        <f ca="1">IF(SUM(DW$24:DW92)=DW$22,0,IF(AND($K93&gt;=DW$15,$K93&lt;(DW$16+1)),DW$22/(DW$16-DW$15+1),0))</f>
        <v>0</v>
      </c>
      <c r="DX93" s="231">
        <f ca="1">IF(SUM(DX$24:DX92)=DX$22,0,IF(AND($K93&gt;=DX$15,$K93&lt;(DX$16+1)),DX$22/(DX$16-DX$15+1),0))</f>
        <v>0</v>
      </c>
      <c r="DY93" s="231">
        <f ca="1">IF(SUM(DY$24:DY92)=DY$22,0,IF(AND($K93&gt;=DY$15,$K93&lt;(DY$16+1)),DY$22/(DY$16-DY$15+1),0))</f>
        <v>0</v>
      </c>
      <c r="EA93" s="749">
        <f t="shared" si="80"/>
        <v>70</v>
      </c>
      <c r="EB93" s="749" t="e">
        <f t="shared" ca="1" si="81"/>
        <v>#N/A</v>
      </c>
      <c r="EC93" s="750" t="e">
        <f t="shared" ca="1" si="82"/>
        <v>#N/A</v>
      </c>
      <c r="ED93" s="749" t="e">
        <f t="shared" ca="1" si="28"/>
        <v>#N/A</v>
      </c>
      <c r="EE93" s="749"/>
      <c r="EF93" s="749"/>
      <c r="EG93" s="749"/>
      <c r="EH93" s="749"/>
      <c r="EI93" s="714" t="e">
        <f t="shared" ca="1" si="83"/>
        <v>#N/A</v>
      </c>
      <c r="EJ93" s="231" t="e">
        <f ca="1">IF(SUM(EJ$24:EJ92)=EJ$22,0,IF(AND($K93&gt;=EJ$15,$K93&lt;(EJ$16+1)),EJ$22/(EJ$16-EJ$15+1),0))</f>
        <v>#REF!</v>
      </c>
      <c r="EK93" s="714" t="e">
        <f t="shared" ca="1" si="54"/>
        <v>#N/A</v>
      </c>
      <c r="EM93" s="60"/>
      <c r="EN93" s="60"/>
    </row>
    <row r="94" spans="1:144" ht="13.9" customHeight="1">
      <c r="A94" s="220"/>
      <c r="B94" s="236">
        <f t="shared" si="84"/>
        <v>71</v>
      </c>
      <c r="C94" s="221">
        <f t="shared" si="85"/>
        <v>45600.169000000111</v>
      </c>
      <c r="D94" s="746" t="e">
        <f t="shared" ca="1" si="86"/>
        <v>#DIV/0!</v>
      </c>
      <c r="E94" s="747" t="e">
        <f t="shared" ca="1" si="88"/>
        <v>#DIV/0!</v>
      </c>
      <c r="F94" s="748" t="e">
        <f ca="1">IF(F93=0,0,SUM($G$24:G94))</f>
        <v>#DIV/0!</v>
      </c>
      <c r="G94" s="225" t="e">
        <f t="shared" ca="1" si="77"/>
        <v>#DIV/0!</v>
      </c>
      <c r="H94" s="746">
        <f t="shared" ca="1" si="87"/>
        <v>0</v>
      </c>
      <c r="I94" s="60"/>
      <c r="J94" s="228"/>
      <c r="K94" s="228">
        <f t="shared" si="78"/>
        <v>71</v>
      </c>
      <c r="L94" s="221">
        <f t="shared" si="79"/>
        <v>45600.169000000111</v>
      </c>
      <c r="M94" s="229">
        <f t="shared" ref="M94:AQ103" si="91">IF($K94=M$13,M$22*M$3,IF($K94=M$14,M$22*M$4,IF($K94=M$15,M$22*M$5,IF($K94=M$16,M$22*M$6,IF($K94=M$17,M$22*M$7,IF($K94=M$18,M$22*M$8,IF($K94=M$19,M$22*M$9,IF($K94=M$20,M$22*M$10,0))))))))</f>
        <v>0</v>
      </c>
      <c r="N94" s="229">
        <f t="shared" si="91"/>
        <v>0</v>
      </c>
      <c r="O94" s="229">
        <f t="shared" si="91"/>
        <v>0</v>
      </c>
      <c r="P94" s="229">
        <f t="shared" si="91"/>
        <v>0</v>
      </c>
      <c r="Q94" s="229">
        <f t="shared" si="91"/>
        <v>0</v>
      </c>
      <c r="R94" s="229">
        <f t="shared" si="90"/>
        <v>0</v>
      </c>
      <c r="S94" s="229">
        <f t="shared" si="90"/>
        <v>0</v>
      </c>
      <c r="T94" s="229">
        <f t="shared" si="90"/>
        <v>0</v>
      </c>
      <c r="U94" s="229">
        <f t="shared" si="91"/>
        <v>0</v>
      </c>
      <c r="V94" s="229">
        <f t="shared" si="91"/>
        <v>0</v>
      </c>
      <c r="W94" s="229">
        <f t="shared" si="91"/>
        <v>0</v>
      </c>
      <c r="X94" s="229">
        <f t="shared" si="91"/>
        <v>0</v>
      </c>
      <c r="Y94" s="229">
        <f t="shared" si="91"/>
        <v>0</v>
      </c>
      <c r="Z94" s="229">
        <f t="shared" si="91"/>
        <v>0</v>
      </c>
      <c r="AA94" s="229">
        <f t="shared" si="91"/>
        <v>0</v>
      </c>
      <c r="AB94" s="229">
        <f t="shared" si="91"/>
        <v>0</v>
      </c>
      <c r="AC94" s="229">
        <f t="shared" si="91"/>
        <v>0</v>
      </c>
      <c r="AD94" s="229">
        <f t="shared" si="91"/>
        <v>0</v>
      </c>
      <c r="AE94" s="229">
        <f t="shared" si="91"/>
        <v>0</v>
      </c>
      <c r="AF94" s="229">
        <f t="shared" si="91"/>
        <v>0</v>
      </c>
      <c r="AG94" s="229">
        <f t="shared" si="91"/>
        <v>0</v>
      </c>
      <c r="AH94" s="229">
        <f t="shared" si="91"/>
        <v>0</v>
      </c>
      <c r="AI94" s="229">
        <f t="shared" si="91"/>
        <v>0</v>
      </c>
      <c r="AJ94" s="229">
        <f t="shared" si="91"/>
        <v>0</v>
      </c>
      <c r="AK94" s="229">
        <f t="shared" si="91"/>
        <v>0</v>
      </c>
      <c r="AL94" s="229">
        <f t="shared" si="91"/>
        <v>0</v>
      </c>
      <c r="AM94" s="229">
        <f t="shared" si="91"/>
        <v>0</v>
      </c>
      <c r="AN94" s="229">
        <f t="shared" si="91"/>
        <v>0</v>
      </c>
      <c r="AO94" s="229">
        <f t="shared" si="91"/>
        <v>0</v>
      </c>
      <c r="AP94" s="229">
        <f t="shared" si="91"/>
        <v>0</v>
      </c>
      <c r="AQ94" s="229">
        <f t="shared" si="91"/>
        <v>0</v>
      </c>
      <c r="AR94" s="229">
        <f t="shared" ref="AR94:BB103" si="92">IF($K94=AR$13,AR$22*AR$3,IF($K94=AR$14,AR$22*AR$4,IF($K94=AR$15,AR$22*AR$5,IF($K94=AR$16,AR$22*AR$6,IF($K94=AR$17,AR$22*AR$7,IF($K94=AR$18,AR$22*AR$8,IF($K94=AR$19,AR$22*AR$9,IF($K94=AR$20,AR$22*AR$10,0))))))))</f>
        <v>0</v>
      </c>
      <c r="AS94" s="229">
        <f t="shared" si="92"/>
        <v>0</v>
      </c>
      <c r="AT94" s="229">
        <f t="shared" si="92"/>
        <v>0</v>
      </c>
      <c r="AU94" s="229">
        <f t="shared" si="92"/>
        <v>0</v>
      </c>
      <c r="AV94" s="229">
        <f t="shared" si="92"/>
        <v>0</v>
      </c>
      <c r="AW94" s="229">
        <f t="shared" si="92"/>
        <v>0</v>
      </c>
      <c r="AX94" s="229">
        <f t="shared" si="92"/>
        <v>0</v>
      </c>
      <c r="AY94" s="229">
        <f t="shared" si="92"/>
        <v>0</v>
      </c>
      <c r="AZ94" s="229">
        <f t="shared" si="92"/>
        <v>0</v>
      </c>
      <c r="BA94" s="229">
        <f t="shared" si="92"/>
        <v>0</v>
      </c>
      <c r="BB94" s="229">
        <f t="shared" si="92"/>
        <v>0</v>
      </c>
      <c r="BC94" s="229">
        <f t="shared" ref="BC94:BL103" si="93">IF($K94=BC$13,BC$22*BC$3,IF($K94=BC$14,BC$22*BC$4,IF($K94=BC$15,BC$22*BC$5,IF($K94=BC$16,BC$22*BC$6,IF($K94=BC$17,BC$22*BC$7,IF($K94=BC$18,BC$22*BC$8,IF($K94=BC$19,BC$22*BC$9,IF($K94=BC$20,BC$22*BC$10,0))))))))</f>
        <v>0</v>
      </c>
      <c r="BD94" s="229">
        <f t="shared" si="93"/>
        <v>0</v>
      </c>
      <c r="BE94" s="229">
        <f t="shared" si="93"/>
        <v>0</v>
      </c>
      <c r="BF94" s="229">
        <f t="shared" si="93"/>
        <v>0</v>
      </c>
      <c r="BG94" s="229">
        <f t="shared" si="93"/>
        <v>0</v>
      </c>
      <c r="BH94" s="229">
        <f t="shared" si="93"/>
        <v>0</v>
      </c>
      <c r="BI94" s="229">
        <f t="shared" si="93"/>
        <v>0</v>
      </c>
      <c r="BJ94" s="229">
        <f t="shared" si="93"/>
        <v>0</v>
      </c>
      <c r="BK94" s="229">
        <f t="shared" si="93"/>
        <v>0</v>
      </c>
      <c r="BL94" s="229">
        <f t="shared" si="93"/>
        <v>0</v>
      </c>
      <c r="BM94" s="229">
        <f t="shared" ref="BM94:CA103" si="94">IF($K94=BM$13,BM$22*BM$3,IF($K94=BM$14,BM$22*BM$4,IF($K94=BM$15,BM$22*BM$5,IF($K94=BM$16,BM$22*BM$6,IF($K94=BM$17,BM$22*BM$7,IF($K94=BM$18,BM$22*BM$8,IF($K94=BM$19,BM$22*BM$9,IF($K94=BM$20,BM$22*BM$10,0))))))))</f>
        <v>0</v>
      </c>
      <c r="BN94" s="229">
        <f t="shared" si="94"/>
        <v>0</v>
      </c>
      <c r="BO94" s="229">
        <f t="shared" si="94"/>
        <v>0</v>
      </c>
      <c r="BP94" s="229">
        <f t="shared" si="94"/>
        <v>0</v>
      </c>
      <c r="BQ94" s="229">
        <f t="shared" si="94"/>
        <v>0</v>
      </c>
      <c r="BR94" s="229">
        <f t="shared" si="94"/>
        <v>0</v>
      </c>
      <c r="BS94" s="229">
        <f t="shared" si="94"/>
        <v>0</v>
      </c>
      <c r="BT94" s="229">
        <f t="shared" si="94"/>
        <v>0</v>
      </c>
      <c r="BU94" s="229">
        <f t="shared" si="94"/>
        <v>0</v>
      </c>
      <c r="BV94" s="229">
        <f t="shared" si="94"/>
        <v>0</v>
      </c>
      <c r="BW94" s="229">
        <f t="shared" si="94"/>
        <v>0</v>
      </c>
      <c r="BX94" s="229">
        <f t="shared" si="94"/>
        <v>0</v>
      </c>
      <c r="BY94" s="229">
        <f t="shared" si="94"/>
        <v>0</v>
      </c>
      <c r="BZ94" s="229">
        <f t="shared" si="94"/>
        <v>0</v>
      </c>
      <c r="CA94" s="229">
        <f t="shared" si="94"/>
        <v>0</v>
      </c>
      <c r="CB94" s="229">
        <f t="shared" ref="CB94:CR103" si="95">IF($K94=CB$13,CB$22*CB$3,IF($K94=CB$14,CB$22*CB$4,IF($K94=CB$15,CB$22*CB$5,IF($K94=CB$16,CB$22*CB$6,IF($K94=CB$17,CB$22*CB$7,IF($K94=CB$18,CB$22*CB$8,IF($K94=CB$19,CB$22*CB$9,IF($K94=CB$20,CB$22*CB$10,0))))))))</f>
        <v>0</v>
      </c>
      <c r="CC94" s="229">
        <f t="shared" si="95"/>
        <v>0</v>
      </c>
      <c r="CD94" s="229">
        <f t="shared" si="95"/>
        <v>0</v>
      </c>
      <c r="CE94" s="229">
        <f t="shared" si="95"/>
        <v>0</v>
      </c>
      <c r="CF94" s="229">
        <f t="shared" si="95"/>
        <v>0</v>
      </c>
      <c r="CG94" s="229">
        <f t="shared" si="95"/>
        <v>0</v>
      </c>
      <c r="CH94" s="229">
        <f t="shared" si="95"/>
        <v>0</v>
      </c>
      <c r="CI94" s="229">
        <f t="shared" si="95"/>
        <v>0</v>
      </c>
      <c r="CJ94" s="229">
        <f t="shared" si="95"/>
        <v>0</v>
      </c>
      <c r="CK94" s="229">
        <f t="shared" si="95"/>
        <v>0</v>
      </c>
      <c r="CL94" s="229">
        <f t="shared" si="95"/>
        <v>0</v>
      </c>
      <c r="CM94" s="229">
        <f t="shared" si="95"/>
        <v>0</v>
      </c>
      <c r="CN94" s="229">
        <f t="shared" si="95"/>
        <v>0</v>
      </c>
      <c r="CO94" s="229">
        <f t="shared" si="95"/>
        <v>0</v>
      </c>
      <c r="CP94" s="229">
        <f t="shared" si="95"/>
        <v>0</v>
      </c>
      <c r="CQ94" s="229">
        <f t="shared" si="95"/>
        <v>0</v>
      </c>
      <c r="CR94" s="229">
        <f t="shared" si="95"/>
        <v>0</v>
      </c>
      <c r="CS94" s="230"/>
      <c r="CT94" s="231"/>
      <c r="CU94" s="231"/>
      <c r="CV94" s="231"/>
      <c r="CW94" s="231"/>
      <c r="CX94" s="231"/>
      <c r="CY94" s="231"/>
      <c r="CZ94" s="231"/>
      <c r="DA94" s="231"/>
      <c r="DB94" s="231">
        <f>IF(SUM(DB$24:DB93)=DB$22,0,IF(AND($K94&gt;=DB$15,$K94&lt;(DB$16+1)),DB$22/(DB$16-DB$15+1),0))</f>
        <v>0</v>
      </c>
      <c r="DC94" s="231">
        <f t="shared" si="89"/>
        <v>0</v>
      </c>
      <c r="DD94" s="231">
        <f t="shared" si="89"/>
        <v>0</v>
      </c>
      <c r="DE94" s="231">
        <f t="shared" si="89"/>
        <v>0</v>
      </c>
      <c r="DF94" s="231">
        <f t="shared" si="89"/>
        <v>0</v>
      </c>
      <c r="DG94" s="231">
        <f t="shared" si="89"/>
        <v>0</v>
      </c>
      <c r="DH94" s="231">
        <f t="shared" si="89"/>
        <v>0</v>
      </c>
      <c r="DI94" s="231">
        <f t="shared" si="89"/>
        <v>0</v>
      </c>
      <c r="DJ94" s="231">
        <f t="shared" si="89"/>
        <v>0</v>
      </c>
      <c r="DK94" s="231">
        <f t="shared" si="89"/>
        <v>0</v>
      </c>
      <c r="DL94" s="231">
        <f t="shared" si="89"/>
        <v>0</v>
      </c>
      <c r="DM94" s="231">
        <f t="shared" si="89"/>
        <v>0</v>
      </c>
      <c r="DN94" s="231">
        <f t="shared" si="89"/>
        <v>0</v>
      </c>
      <c r="DO94" s="231">
        <f t="shared" si="89"/>
        <v>0</v>
      </c>
      <c r="DP94" s="231">
        <f>'Offshore CF'!DR94</f>
        <v>0</v>
      </c>
      <c r="DQ94" s="231">
        <f>'Offshore CF'!DS94</f>
        <v>0</v>
      </c>
      <c r="DR94" s="231">
        <f ca="1">IF(SUM(DR$24:DR93)=DR$22,0,IF(AND($K94&gt;=DR$15,$K94&lt;(DR$16+1)),DR$22/(DR$16-DR$15+1),0))</f>
        <v>0</v>
      </c>
      <c r="DS94" s="231" t="e">
        <f ca="1">IF(SUM(DS$24:DS93)=DS$22,0,IF(AND($K94&gt;=DS$15,$K94&lt;(DS$16+1)),DS$22/(DS$16-DS$15+1),0))</f>
        <v>#REF!</v>
      </c>
      <c r="DT94" s="231" t="e">
        <f ca="1">IF(SUM(DT$24:DT93)=DT$22,0,IF(AND(K94&gt;=DT$15,K94&lt;(DT$16+1)),DT$22/(DT$16-DT$15+1),0))</f>
        <v>#REF!</v>
      </c>
      <c r="DU94" s="231" t="e">
        <f ca="1">IF(SUM(DU$24:DU93)=DU$22,0,IF(AND($K94&gt;=DU$15,$K94&lt;(DU$16+1)),DU$22/(DU$16-DU$15+1),0))</f>
        <v>#REF!</v>
      </c>
      <c r="DV94" s="231">
        <f ca="1">IF(SUM(DV$24:DV93)=DV$22,0,IF(AND($K94&gt;=DV$15,$K94&lt;(DV$16+1)),DV$22/(DV$16-DV$15+1),0))</f>
        <v>0</v>
      </c>
      <c r="DW94" s="231">
        <f ca="1">IF(SUM(DW$24:DW93)=DW$22,0,IF(AND($K94&gt;=DW$15,$K94&lt;(DW$16+1)),DW$22/(DW$16-DW$15+1),0))</f>
        <v>0</v>
      </c>
      <c r="DX94" s="231">
        <f ca="1">IF(SUM(DX$24:DX93)=DX$22,0,IF(AND($K94&gt;=DX$15,$K94&lt;(DX$16+1)),DX$22/(DX$16-DX$15+1),0))</f>
        <v>0</v>
      </c>
      <c r="DY94" s="231">
        <f ca="1">IF(SUM(DY$24:DY93)=DY$22,0,IF(AND($K94&gt;=DY$15,$K94&lt;(DY$16+1)),DY$22/(DY$16-DY$15+1),0))</f>
        <v>0</v>
      </c>
      <c r="EA94" s="749">
        <f t="shared" si="80"/>
        <v>71</v>
      </c>
      <c r="EB94" s="749" t="e">
        <f t="shared" ca="1" si="81"/>
        <v>#REF!</v>
      </c>
      <c r="EC94" s="750" t="e">
        <f t="shared" ca="1" si="82"/>
        <v>#REF!</v>
      </c>
      <c r="ED94" s="749" t="e">
        <f t="shared" ca="1" si="28"/>
        <v>#REF!</v>
      </c>
      <c r="EE94" s="749"/>
      <c r="EF94" s="749"/>
      <c r="EG94" s="749"/>
      <c r="EH94" s="749"/>
      <c r="EI94" s="714" t="e">
        <f t="shared" ca="1" si="83"/>
        <v>#REF!</v>
      </c>
      <c r="EJ94" s="231" t="e">
        <f ca="1">IF(SUM(EJ$24:EJ93)=EJ$22,0,IF(AND($K94&gt;=EJ$15,$K94&lt;(EJ$16+1)),EJ$22/(EJ$16-EJ$15+1),0))</f>
        <v>#REF!</v>
      </c>
      <c r="EK94" s="714" t="e">
        <f t="shared" ca="1" si="54"/>
        <v>#REF!</v>
      </c>
      <c r="EM94" s="60"/>
      <c r="EN94" s="60"/>
    </row>
    <row r="95" spans="1:144" ht="13.9" customHeight="1">
      <c r="A95" s="220"/>
      <c r="B95" s="236">
        <f t="shared" si="84"/>
        <v>72</v>
      </c>
      <c r="C95" s="221">
        <f t="shared" si="85"/>
        <v>45630.585700000112</v>
      </c>
      <c r="D95" s="746" t="e">
        <f t="shared" ca="1" si="86"/>
        <v>#DIV/0!</v>
      </c>
      <c r="E95" s="747" t="e">
        <f t="shared" ca="1" si="88"/>
        <v>#DIV/0!</v>
      </c>
      <c r="F95" s="748" t="e">
        <f ca="1">IF(F94=0,0,SUM($G$24:G95))</f>
        <v>#DIV/0!</v>
      </c>
      <c r="G95" s="225" t="e">
        <f t="shared" ca="1" si="77"/>
        <v>#DIV/0!</v>
      </c>
      <c r="H95" s="746">
        <f t="shared" ca="1" si="87"/>
        <v>0</v>
      </c>
      <c r="I95" s="60"/>
      <c r="J95" s="228"/>
      <c r="K95" s="228">
        <f t="shared" si="78"/>
        <v>72</v>
      </c>
      <c r="L95" s="221">
        <f t="shared" si="79"/>
        <v>45630.585700000112</v>
      </c>
      <c r="M95" s="229">
        <f t="shared" si="91"/>
        <v>0</v>
      </c>
      <c r="N95" s="229">
        <f t="shared" si="91"/>
        <v>0</v>
      </c>
      <c r="O95" s="229">
        <f t="shared" si="91"/>
        <v>0</v>
      </c>
      <c r="P95" s="229">
        <f t="shared" si="91"/>
        <v>0</v>
      </c>
      <c r="Q95" s="229">
        <f t="shared" si="91"/>
        <v>0</v>
      </c>
      <c r="R95" s="229">
        <f t="shared" si="90"/>
        <v>0</v>
      </c>
      <c r="S95" s="229">
        <f t="shared" si="90"/>
        <v>0</v>
      </c>
      <c r="T95" s="229">
        <f t="shared" si="90"/>
        <v>0</v>
      </c>
      <c r="U95" s="229">
        <f t="shared" si="91"/>
        <v>0</v>
      </c>
      <c r="V95" s="229">
        <f t="shared" si="91"/>
        <v>0</v>
      </c>
      <c r="W95" s="229">
        <f t="shared" si="91"/>
        <v>0</v>
      </c>
      <c r="X95" s="229">
        <f t="shared" si="91"/>
        <v>0</v>
      </c>
      <c r="Y95" s="229">
        <f t="shared" si="91"/>
        <v>0</v>
      </c>
      <c r="Z95" s="229">
        <f t="shared" si="91"/>
        <v>0</v>
      </c>
      <c r="AA95" s="229">
        <f t="shared" si="91"/>
        <v>0</v>
      </c>
      <c r="AB95" s="229">
        <f t="shared" si="91"/>
        <v>0</v>
      </c>
      <c r="AC95" s="229">
        <f t="shared" si="91"/>
        <v>0</v>
      </c>
      <c r="AD95" s="229">
        <f t="shared" si="91"/>
        <v>0</v>
      </c>
      <c r="AE95" s="229">
        <f t="shared" si="91"/>
        <v>0</v>
      </c>
      <c r="AF95" s="229">
        <f t="shared" si="91"/>
        <v>0</v>
      </c>
      <c r="AG95" s="229">
        <f t="shared" si="91"/>
        <v>0</v>
      </c>
      <c r="AH95" s="229">
        <f t="shared" si="91"/>
        <v>0</v>
      </c>
      <c r="AI95" s="229">
        <f t="shared" si="91"/>
        <v>0</v>
      </c>
      <c r="AJ95" s="229">
        <f t="shared" si="91"/>
        <v>0</v>
      </c>
      <c r="AK95" s="229">
        <f t="shared" si="91"/>
        <v>0</v>
      </c>
      <c r="AL95" s="229">
        <f t="shared" si="91"/>
        <v>0</v>
      </c>
      <c r="AM95" s="229">
        <f t="shared" si="91"/>
        <v>0</v>
      </c>
      <c r="AN95" s="229">
        <f t="shared" si="91"/>
        <v>0</v>
      </c>
      <c r="AO95" s="229">
        <f t="shared" si="91"/>
        <v>0</v>
      </c>
      <c r="AP95" s="229">
        <f t="shared" si="91"/>
        <v>0</v>
      </c>
      <c r="AQ95" s="229">
        <f t="shared" si="91"/>
        <v>0</v>
      </c>
      <c r="AR95" s="229">
        <f t="shared" si="92"/>
        <v>0</v>
      </c>
      <c r="AS95" s="229">
        <f t="shared" si="92"/>
        <v>0</v>
      </c>
      <c r="AT95" s="229">
        <f t="shared" si="92"/>
        <v>0</v>
      </c>
      <c r="AU95" s="229">
        <f t="shared" si="92"/>
        <v>0</v>
      </c>
      <c r="AV95" s="229">
        <f t="shared" si="92"/>
        <v>0</v>
      </c>
      <c r="AW95" s="229">
        <f t="shared" si="92"/>
        <v>0</v>
      </c>
      <c r="AX95" s="229">
        <f t="shared" si="92"/>
        <v>0</v>
      </c>
      <c r="AY95" s="229">
        <f t="shared" si="92"/>
        <v>0</v>
      </c>
      <c r="AZ95" s="229">
        <f t="shared" si="92"/>
        <v>0</v>
      </c>
      <c r="BA95" s="229">
        <f t="shared" si="92"/>
        <v>0</v>
      </c>
      <c r="BB95" s="229">
        <f t="shared" si="92"/>
        <v>0</v>
      </c>
      <c r="BC95" s="229">
        <f t="shared" si="93"/>
        <v>0</v>
      </c>
      <c r="BD95" s="229">
        <f t="shared" si="93"/>
        <v>0</v>
      </c>
      <c r="BE95" s="229">
        <f t="shared" si="93"/>
        <v>0</v>
      </c>
      <c r="BF95" s="229">
        <f t="shared" si="93"/>
        <v>0</v>
      </c>
      <c r="BG95" s="229">
        <f t="shared" si="93"/>
        <v>0</v>
      </c>
      <c r="BH95" s="229">
        <f t="shared" si="93"/>
        <v>0</v>
      </c>
      <c r="BI95" s="229">
        <f t="shared" si="93"/>
        <v>0</v>
      </c>
      <c r="BJ95" s="229">
        <f t="shared" si="93"/>
        <v>0</v>
      </c>
      <c r="BK95" s="229">
        <f t="shared" si="93"/>
        <v>0</v>
      </c>
      <c r="BL95" s="229">
        <f t="shared" si="93"/>
        <v>0</v>
      </c>
      <c r="BM95" s="229">
        <f t="shared" si="94"/>
        <v>0</v>
      </c>
      <c r="BN95" s="229">
        <f t="shared" si="94"/>
        <v>0</v>
      </c>
      <c r="BO95" s="229">
        <f t="shared" si="94"/>
        <v>0</v>
      </c>
      <c r="BP95" s="229">
        <f t="shared" si="94"/>
        <v>0</v>
      </c>
      <c r="BQ95" s="229">
        <f t="shared" si="94"/>
        <v>0</v>
      </c>
      <c r="BR95" s="229">
        <f t="shared" si="94"/>
        <v>0</v>
      </c>
      <c r="BS95" s="229">
        <f t="shared" si="94"/>
        <v>0</v>
      </c>
      <c r="BT95" s="229">
        <f t="shared" si="94"/>
        <v>0</v>
      </c>
      <c r="BU95" s="229">
        <f t="shared" si="94"/>
        <v>0</v>
      </c>
      <c r="BV95" s="229">
        <f t="shared" si="94"/>
        <v>0</v>
      </c>
      <c r="BW95" s="229">
        <f t="shared" si="94"/>
        <v>0</v>
      </c>
      <c r="BX95" s="229">
        <f t="shared" si="94"/>
        <v>0</v>
      </c>
      <c r="BY95" s="229">
        <f t="shared" si="94"/>
        <v>0</v>
      </c>
      <c r="BZ95" s="229">
        <f t="shared" si="94"/>
        <v>0</v>
      </c>
      <c r="CA95" s="229">
        <f t="shared" si="94"/>
        <v>0</v>
      </c>
      <c r="CB95" s="229">
        <f t="shared" si="95"/>
        <v>0</v>
      </c>
      <c r="CC95" s="229">
        <f t="shared" si="95"/>
        <v>0</v>
      </c>
      <c r="CD95" s="229">
        <f t="shared" si="95"/>
        <v>0</v>
      </c>
      <c r="CE95" s="229">
        <f t="shared" si="95"/>
        <v>0</v>
      </c>
      <c r="CF95" s="229">
        <f t="shared" si="95"/>
        <v>0</v>
      </c>
      <c r="CG95" s="229">
        <f t="shared" si="95"/>
        <v>0</v>
      </c>
      <c r="CH95" s="229">
        <f t="shared" si="95"/>
        <v>0</v>
      </c>
      <c r="CI95" s="229">
        <f t="shared" si="95"/>
        <v>0</v>
      </c>
      <c r="CJ95" s="229">
        <f t="shared" si="95"/>
        <v>0</v>
      </c>
      <c r="CK95" s="229">
        <f t="shared" si="95"/>
        <v>0</v>
      </c>
      <c r="CL95" s="229">
        <f t="shared" si="95"/>
        <v>0</v>
      </c>
      <c r="CM95" s="229">
        <f t="shared" si="95"/>
        <v>0</v>
      </c>
      <c r="CN95" s="229">
        <f t="shared" si="95"/>
        <v>0</v>
      </c>
      <c r="CO95" s="229">
        <f t="shared" si="95"/>
        <v>0</v>
      </c>
      <c r="CP95" s="229">
        <f t="shared" si="95"/>
        <v>0</v>
      </c>
      <c r="CQ95" s="229">
        <f t="shared" si="95"/>
        <v>0</v>
      </c>
      <c r="CR95" s="229">
        <f t="shared" si="95"/>
        <v>0</v>
      </c>
      <c r="CS95" s="230"/>
      <c r="CT95" s="231"/>
      <c r="CU95" s="231"/>
      <c r="CV95" s="231"/>
      <c r="CW95" s="231"/>
      <c r="CX95" s="231"/>
      <c r="CY95" s="231"/>
      <c r="CZ95" s="231"/>
      <c r="DA95" s="231"/>
      <c r="DB95" s="231">
        <f>IF(SUM(DB$24:DB94)=DB$22,0,IF(AND($K95&gt;=DB$15,$K95&lt;(DB$16+1)),DB$22/(DB$16-DB$15+1),0))</f>
        <v>0</v>
      </c>
      <c r="DC95" s="231">
        <f t="shared" si="89"/>
        <v>0</v>
      </c>
      <c r="DD95" s="231">
        <f t="shared" si="89"/>
        <v>0</v>
      </c>
      <c r="DE95" s="231">
        <f t="shared" si="89"/>
        <v>0</v>
      </c>
      <c r="DF95" s="231">
        <f t="shared" si="89"/>
        <v>0</v>
      </c>
      <c r="DG95" s="231">
        <f t="shared" si="89"/>
        <v>0</v>
      </c>
      <c r="DH95" s="231">
        <f t="shared" si="89"/>
        <v>0</v>
      </c>
      <c r="DI95" s="231">
        <f t="shared" si="89"/>
        <v>0</v>
      </c>
      <c r="DJ95" s="231">
        <f t="shared" si="89"/>
        <v>0</v>
      </c>
      <c r="DK95" s="231">
        <f t="shared" si="89"/>
        <v>0</v>
      </c>
      <c r="DL95" s="231">
        <f t="shared" si="89"/>
        <v>0</v>
      </c>
      <c r="DM95" s="231">
        <f t="shared" si="89"/>
        <v>0</v>
      </c>
      <c r="DN95" s="231">
        <f t="shared" si="89"/>
        <v>0</v>
      </c>
      <c r="DO95" s="231">
        <f t="shared" si="89"/>
        <v>0</v>
      </c>
      <c r="DP95" s="231">
        <f>'Offshore CF'!DR95</f>
        <v>0</v>
      </c>
      <c r="DQ95" s="231">
        <f>'Offshore CF'!DS95</f>
        <v>0</v>
      </c>
      <c r="DR95" s="231">
        <f ca="1">IF(SUM(DR$24:DR94)=DR$22,0,IF(AND($K95&gt;=DR$15,$K95&lt;(DR$16+1)),DR$22/(DR$16-DR$15+1),0))</f>
        <v>0</v>
      </c>
      <c r="DS95" s="231" t="e">
        <f ca="1">IF(SUM(DS$24:DS94)=DS$22,0,IF(AND($K95&gt;=DS$15,$K95&lt;(DS$16+1)),DS$22/(DS$16-DS$15+1),0))</f>
        <v>#REF!</v>
      </c>
      <c r="DT95" s="231" t="e">
        <f ca="1">IF(SUM(DT$24:DT94)=DT$22,0,IF(AND(K95&gt;=DT$15,K95&lt;(DT$16+1)),DT$22/(DT$16-DT$15+1),0))</f>
        <v>#REF!</v>
      </c>
      <c r="DU95" s="231" t="e">
        <f ca="1">IF(SUM(DU$24:DU94)=DU$22,0,IF(AND($K95&gt;=DU$15,$K95&lt;(DU$16+1)),DU$22/(DU$16-DU$15+1),0))</f>
        <v>#REF!</v>
      </c>
      <c r="DV95" s="231">
        <f ca="1">IF(SUM(DV$24:DV94)=DV$22,0,IF(AND($K95&gt;=DV$15,$K95&lt;(DV$16+1)),DV$22/(DV$16-DV$15+1),0))</f>
        <v>0</v>
      </c>
      <c r="DW95" s="231">
        <f ca="1">IF(SUM(DW$24:DW94)=DW$22,0,IF(AND($K95&gt;=DW$15,$K95&lt;(DW$16+1)),DW$22/(DW$16-DW$15+1),0))</f>
        <v>0</v>
      </c>
      <c r="DX95" s="231">
        <f ca="1">IF(SUM(DX$24:DX94)=DX$22,0,IF(AND($K95&gt;=DX$15,$K95&lt;(DX$16+1)),DX$22/(DX$16-DX$15+1),0))</f>
        <v>0</v>
      </c>
      <c r="DY95" s="231">
        <f ca="1">IF(SUM(DY$24:DY94)=DY$22,0,IF(AND($K95&gt;=DY$15,$K95&lt;(DY$16+1)),DY$22/(DY$16-DY$15+1),0))</f>
        <v>0</v>
      </c>
      <c r="EA95" s="749">
        <f t="shared" si="80"/>
        <v>72</v>
      </c>
      <c r="EB95" s="749" t="e">
        <f t="shared" ca="1" si="81"/>
        <v>#REF!</v>
      </c>
      <c r="EC95" s="750" t="e">
        <f t="shared" ca="1" si="82"/>
        <v>#REF!</v>
      </c>
      <c r="ED95" s="749" t="e">
        <f t="shared" ref="ED95:ED153" ca="1" si="96">$EC93*ED$22</f>
        <v>#N/A</v>
      </c>
      <c r="EE95" s="749"/>
      <c r="EF95" s="749"/>
      <c r="EG95" s="749"/>
      <c r="EH95" s="749"/>
      <c r="EI95" s="714" t="e">
        <f t="shared" ca="1" si="83"/>
        <v>#REF!</v>
      </c>
      <c r="EJ95" s="231" t="e">
        <f ca="1">IF(SUM(EJ$24:EJ94)=EJ$22,0,IF(AND($K95&gt;=EJ$15,$K95&lt;(EJ$16+1)),EJ$22/(EJ$16-EJ$15+1),0))</f>
        <v>#REF!</v>
      </c>
      <c r="EK95" s="714" t="e">
        <f t="shared" ca="1" si="54"/>
        <v>#REF!</v>
      </c>
      <c r="EM95" s="60"/>
      <c r="EN95" s="60"/>
    </row>
    <row r="96" spans="1:144" ht="13.9" customHeight="1">
      <c r="A96" s="220"/>
      <c r="B96" s="236">
        <f t="shared" si="84"/>
        <v>73</v>
      </c>
      <c r="C96" s="221">
        <f t="shared" si="85"/>
        <v>45661.002400000114</v>
      </c>
      <c r="D96" s="746" t="e">
        <f t="shared" ca="1" si="86"/>
        <v>#DIV/0!</v>
      </c>
      <c r="E96" s="747" t="e">
        <f t="shared" ca="1" si="88"/>
        <v>#DIV/0!</v>
      </c>
      <c r="F96" s="748" t="e">
        <f ca="1">IF(F95=0,0,SUM($G$24:G96))</f>
        <v>#DIV/0!</v>
      </c>
      <c r="G96" s="225" t="e">
        <f t="shared" ca="1" si="77"/>
        <v>#DIV/0!</v>
      </c>
      <c r="H96" s="746">
        <f t="shared" ca="1" si="87"/>
        <v>0</v>
      </c>
      <c r="I96" s="60"/>
      <c r="J96" s="228"/>
      <c r="K96" s="228">
        <f t="shared" si="78"/>
        <v>73</v>
      </c>
      <c r="L96" s="221">
        <f t="shared" si="79"/>
        <v>45661.002400000114</v>
      </c>
      <c r="M96" s="229">
        <f t="shared" si="91"/>
        <v>0</v>
      </c>
      <c r="N96" s="229">
        <f t="shared" si="91"/>
        <v>0</v>
      </c>
      <c r="O96" s="229">
        <f t="shared" si="91"/>
        <v>0</v>
      </c>
      <c r="P96" s="229">
        <f t="shared" si="91"/>
        <v>0</v>
      </c>
      <c r="Q96" s="229">
        <f t="shared" si="91"/>
        <v>0</v>
      </c>
      <c r="R96" s="229">
        <f t="shared" si="90"/>
        <v>0</v>
      </c>
      <c r="S96" s="229">
        <f t="shared" si="90"/>
        <v>0</v>
      </c>
      <c r="T96" s="229">
        <f t="shared" si="90"/>
        <v>0</v>
      </c>
      <c r="U96" s="229">
        <f t="shared" si="91"/>
        <v>0</v>
      </c>
      <c r="V96" s="229">
        <f t="shared" si="91"/>
        <v>0</v>
      </c>
      <c r="W96" s="229">
        <f t="shared" si="91"/>
        <v>0</v>
      </c>
      <c r="X96" s="229">
        <f t="shared" si="91"/>
        <v>0</v>
      </c>
      <c r="Y96" s="229">
        <f t="shared" si="91"/>
        <v>0</v>
      </c>
      <c r="Z96" s="229">
        <f t="shared" si="91"/>
        <v>0</v>
      </c>
      <c r="AA96" s="229">
        <f t="shared" si="91"/>
        <v>0</v>
      </c>
      <c r="AB96" s="229">
        <f t="shared" si="91"/>
        <v>0</v>
      </c>
      <c r="AC96" s="229">
        <f t="shared" si="91"/>
        <v>0</v>
      </c>
      <c r="AD96" s="229">
        <f t="shared" si="91"/>
        <v>0</v>
      </c>
      <c r="AE96" s="229">
        <f t="shared" si="91"/>
        <v>0</v>
      </c>
      <c r="AF96" s="229">
        <f t="shared" si="91"/>
        <v>0</v>
      </c>
      <c r="AG96" s="229">
        <f t="shared" si="91"/>
        <v>0</v>
      </c>
      <c r="AH96" s="229">
        <f t="shared" si="91"/>
        <v>0</v>
      </c>
      <c r="AI96" s="229">
        <f t="shared" si="91"/>
        <v>0</v>
      </c>
      <c r="AJ96" s="229">
        <f t="shared" si="91"/>
        <v>0</v>
      </c>
      <c r="AK96" s="229">
        <f t="shared" si="91"/>
        <v>0</v>
      </c>
      <c r="AL96" s="229">
        <f t="shared" si="91"/>
        <v>0</v>
      </c>
      <c r="AM96" s="229">
        <f t="shared" si="91"/>
        <v>0</v>
      </c>
      <c r="AN96" s="229">
        <f t="shared" si="91"/>
        <v>0</v>
      </c>
      <c r="AO96" s="229">
        <f t="shared" si="91"/>
        <v>0</v>
      </c>
      <c r="AP96" s="229">
        <f t="shared" si="91"/>
        <v>0</v>
      </c>
      <c r="AQ96" s="229">
        <f t="shared" si="91"/>
        <v>0</v>
      </c>
      <c r="AR96" s="229">
        <f t="shared" si="92"/>
        <v>0</v>
      </c>
      <c r="AS96" s="229">
        <f t="shared" si="92"/>
        <v>0</v>
      </c>
      <c r="AT96" s="229">
        <f t="shared" si="92"/>
        <v>0</v>
      </c>
      <c r="AU96" s="229">
        <f t="shared" si="92"/>
        <v>0</v>
      </c>
      <c r="AV96" s="229">
        <f t="shared" si="92"/>
        <v>0</v>
      </c>
      <c r="AW96" s="229">
        <f t="shared" si="92"/>
        <v>0</v>
      </c>
      <c r="AX96" s="229">
        <f t="shared" si="92"/>
        <v>0</v>
      </c>
      <c r="AY96" s="229">
        <f t="shared" si="92"/>
        <v>0</v>
      </c>
      <c r="AZ96" s="229">
        <f t="shared" si="92"/>
        <v>0</v>
      </c>
      <c r="BA96" s="229">
        <f t="shared" si="92"/>
        <v>0</v>
      </c>
      <c r="BB96" s="229">
        <f t="shared" si="92"/>
        <v>0</v>
      </c>
      <c r="BC96" s="229">
        <f t="shared" si="93"/>
        <v>0</v>
      </c>
      <c r="BD96" s="229">
        <f t="shared" si="93"/>
        <v>0</v>
      </c>
      <c r="BE96" s="229">
        <f t="shared" si="93"/>
        <v>0</v>
      </c>
      <c r="BF96" s="229">
        <f t="shared" si="93"/>
        <v>0</v>
      </c>
      <c r="BG96" s="229">
        <f t="shared" si="93"/>
        <v>0</v>
      </c>
      <c r="BH96" s="229">
        <f t="shared" si="93"/>
        <v>0</v>
      </c>
      <c r="BI96" s="229">
        <f t="shared" si="93"/>
        <v>0</v>
      </c>
      <c r="BJ96" s="229">
        <f t="shared" si="93"/>
        <v>0</v>
      </c>
      <c r="BK96" s="229">
        <f t="shared" si="93"/>
        <v>0</v>
      </c>
      <c r="BL96" s="229">
        <f t="shared" si="93"/>
        <v>0</v>
      </c>
      <c r="BM96" s="229">
        <f t="shared" si="94"/>
        <v>0</v>
      </c>
      <c r="BN96" s="229">
        <f t="shared" si="94"/>
        <v>0</v>
      </c>
      <c r="BO96" s="229">
        <f t="shared" si="94"/>
        <v>0</v>
      </c>
      <c r="BP96" s="229">
        <f t="shared" si="94"/>
        <v>0</v>
      </c>
      <c r="BQ96" s="229">
        <f t="shared" si="94"/>
        <v>0</v>
      </c>
      <c r="BR96" s="229">
        <f t="shared" si="94"/>
        <v>0</v>
      </c>
      <c r="BS96" s="229">
        <f t="shared" si="94"/>
        <v>0</v>
      </c>
      <c r="BT96" s="229">
        <f t="shared" si="94"/>
        <v>0</v>
      </c>
      <c r="BU96" s="229">
        <f t="shared" si="94"/>
        <v>0</v>
      </c>
      <c r="BV96" s="229">
        <f t="shared" si="94"/>
        <v>0</v>
      </c>
      <c r="BW96" s="229">
        <f t="shared" si="94"/>
        <v>0</v>
      </c>
      <c r="BX96" s="229">
        <f t="shared" si="94"/>
        <v>0</v>
      </c>
      <c r="BY96" s="229">
        <f t="shared" si="94"/>
        <v>0</v>
      </c>
      <c r="BZ96" s="229">
        <f t="shared" si="94"/>
        <v>0</v>
      </c>
      <c r="CA96" s="229">
        <f t="shared" si="94"/>
        <v>0</v>
      </c>
      <c r="CB96" s="229">
        <f t="shared" si="95"/>
        <v>0</v>
      </c>
      <c r="CC96" s="229">
        <f t="shared" si="95"/>
        <v>0</v>
      </c>
      <c r="CD96" s="229">
        <f t="shared" si="95"/>
        <v>0</v>
      </c>
      <c r="CE96" s="229">
        <f t="shared" si="95"/>
        <v>0</v>
      </c>
      <c r="CF96" s="229">
        <f t="shared" si="95"/>
        <v>0</v>
      </c>
      <c r="CG96" s="229">
        <f t="shared" si="95"/>
        <v>0</v>
      </c>
      <c r="CH96" s="229">
        <f t="shared" si="95"/>
        <v>0</v>
      </c>
      <c r="CI96" s="229">
        <f t="shared" si="95"/>
        <v>0</v>
      </c>
      <c r="CJ96" s="229">
        <f t="shared" si="95"/>
        <v>0</v>
      </c>
      <c r="CK96" s="229">
        <f t="shared" si="95"/>
        <v>0</v>
      </c>
      <c r="CL96" s="229">
        <f t="shared" si="95"/>
        <v>0</v>
      </c>
      <c r="CM96" s="229">
        <f t="shared" si="95"/>
        <v>0</v>
      </c>
      <c r="CN96" s="229">
        <f t="shared" si="95"/>
        <v>0</v>
      </c>
      <c r="CO96" s="229">
        <f t="shared" si="95"/>
        <v>0</v>
      </c>
      <c r="CP96" s="229">
        <f t="shared" si="95"/>
        <v>0</v>
      </c>
      <c r="CQ96" s="229">
        <f t="shared" si="95"/>
        <v>0</v>
      </c>
      <c r="CR96" s="229">
        <f t="shared" si="95"/>
        <v>0</v>
      </c>
      <c r="CS96" s="230"/>
      <c r="CT96" s="243">
        <f>IF(SUM(CT$24:CT95)&gt;=CT$22,0,CT$22/CT$13)</f>
        <v>0</v>
      </c>
      <c r="CU96" s="243">
        <f>IF(SUM(CU$24:CU95)&gt;=CU$22,0,CU$22/CU$13)</f>
        <v>0</v>
      </c>
      <c r="CV96" s="243">
        <f>IF(SUM(CV$24:CV95)&gt;=CV$22,0,CV$22/CV$13)</f>
        <v>0</v>
      </c>
      <c r="CW96" s="243" t="e">
        <f ca="1">IF(SUM(CW$24:CW95)&gt;=CW$22,0,CW$22/CW$13)</f>
        <v>#N/A</v>
      </c>
      <c r="CX96" s="231"/>
      <c r="CY96" s="231"/>
      <c r="CZ96" s="231"/>
      <c r="DA96" s="231" t="e">
        <f ca="1">IF(SUM(DA$32:DA95)&gt;=DA$22,0,DA$22/(DA$13*4))</f>
        <v>#N/A</v>
      </c>
      <c r="DB96" s="231">
        <f>IF(SUM(DB$24:DB95)=DB$22,0,IF(AND($K96&gt;=DB$15,$K96&lt;(DB$16+1)),DB$22/(DB$16-DB$15+1),0))</f>
        <v>0</v>
      </c>
      <c r="DC96" s="231">
        <f t="shared" si="89"/>
        <v>0</v>
      </c>
      <c r="DD96" s="231">
        <f t="shared" si="89"/>
        <v>0</v>
      </c>
      <c r="DE96" s="231">
        <f t="shared" si="89"/>
        <v>0</v>
      </c>
      <c r="DF96" s="231">
        <f t="shared" si="89"/>
        <v>0</v>
      </c>
      <c r="DG96" s="231">
        <f t="shared" si="89"/>
        <v>0</v>
      </c>
      <c r="DH96" s="231">
        <f t="shared" si="89"/>
        <v>0</v>
      </c>
      <c r="DI96" s="231">
        <f t="shared" si="89"/>
        <v>0</v>
      </c>
      <c r="DJ96" s="231">
        <f t="shared" si="89"/>
        <v>0</v>
      </c>
      <c r="DK96" s="231">
        <f t="shared" si="89"/>
        <v>0</v>
      </c>
      <c r="DL96" s="231">
        <f t="shared" si="89"/>
        <v>0</v>
      </c>
      <c r="DM96" s="231">
        <f t="shared" si="89"/>
        <v>0</v>
      </c>
      <c r="DN96" s="231">
        <f t="shared" si="89"/>
        <v>0</v>
      </c>
      <c r="DO96" s="231">
        <f t="shared" si="89"/>
        <v>0</v>
      </c>
      <c r="DP96" s="231">
        <f>'Offshore CF'!DR96</f>
        <v>0</v>
      </c>
      <c r="DQ96" s="231">
        <f>'Offshore CF'!DS96</f>
        <v>0</v>
      </c>
      <c r="DR96" s="231">
        <f ca="1">IF(SUM(DR$24:DR95)=DR$22,0,IF(AND($K96&gt;=DR$15,$K96&lt;(DR$16+1)),DR$22/(DR$16-DR$15+1),0))</f>
        <v>0</v>
      </c>
      <c r="DS96" s="231" t="e">
        <f ca="1">IF(SUM(DS$24:DS95)=DS$22,0,IF(AND($K96&gt;=DS$15,$K96&lt;(DS$16+1)),DS$22/(DS$16-DS$15+1),0))</f>
        <v>#REF!</v>
      </c>
      <c r="DT96" s="231" t="e">
        <f ca="1">IF(SUM(DT$24:DT95)=DT$22,0,IF(AND(K96&gt;=DT$15,K96&lt;(DT$16+1)),DT$22/(DT$16-DT$15+1),0))</f>
        <v>#REF!</v>
      </c>
      <c r="DU96" s="231" t="e">
        <f ca="1">IF(SUM(DU$24:DU95)=DU$22,0,IF(AND($K96&gt;=DU$15,$K96&lt;(DU$16+1)),DU$22/(DU$16-DU$15+1),0))</f>
        <v>#REF!</v>
      </c>
      <c r="DV96" s="231">
        <f ca="1">IF(SUM(DV$24:DV95)=DV$22,0,IF(AND($K96&gt;=DV$15,$K96&lt;(DV$16+1)),DV$22/(DV$16-DV$15+1),0))</f>
        <v>0</v>
      </c>
      <c r="DW96" s="231">
        <f ca="1">IF(SUM(DW$24:DW95)=DW$22,0,IF(AND($K96&gt;=DW$15,$K96&lt;(DW$16+1)),DW$22/(DW$16-DW$15+1),0))</f>
        <v>0</v>
      </c>
      <c r="DX96" s="231">
        <f ca="1">IF(SUM(DX$24:DX95)=DX$22,0,IF(AND($K96&gt;=DX$15,$K96&lt;(DX$16+1)),DX$22/(DX$16-DX$15+1),0))</f>
        <v>0</v>
      </c>
      <c r="DY96" s="231">
        <f ca="1">IF(SUM(DY$24:DY95)=DY$22,0,IF(AND($K96&gt;=DY$15,$K96&lt;(DY$16+1)),DY$22/(DY$16-DY$15+1),0))</f>
        <v>0</v>
      </c>
      <c r="EA96" s="749">
        <f t="shared" si="80"/>
        <v>73</v>
      </c>
      <c r="EB96" s="749" t="e">
        <f t="shared" ca="1" si="81"/>
        <v>#N/A</v>
      </c>
      <c r="EC96" s="750" t="e">
        <f t="shared" ca="1" si="82"/>
        <v>#N/A</v>
      </c>
      <c r="ED96" s="749" t="e">
        <f t="shared" ca="1" si="96"/>
        <v>#REF!</v>
      </c>
      <c r="EE96" s="749"/>
      <c r="EF96" s="749"/>
      <c r="EG96" s="749"/>
      <c r="EH96" s="749"/>
      <c r="EI96" s="714" t="e">
        <f t="shared" ca="1" si="83"/>
        <v>#N/A</v>
      </c>
      <c r="EJ96" s="231" t="e">
        <f ca="1">IF(SUM(EJ$24:EJ95)=EJ$22,0,IF(AND($K96&gt;=EJ$15,$K96&lt;(EJ$16+1)),EJ$22/(EJ$16-EJ$15+1),0))</f>
        <v>#REF!</v>
      </c>
      <c r="EK96" s="714" t="e">
        <f t="shared" ca="1" si="54"/>
        <v>#N/A</v>
      </c>
      <c r="EM96" s="60"/>
      <c r="EN96" s="60"/>
    </row>
    <row r="97" spans="1:144" ht="13.9" customHeight="1">
      <c r="A97" s="220"/>
      <c r="B97" s="236">
        <f t="shared" si="84"/>
        <v>74</v>
      </c>
      <c r="C97" s="221">
        <f t="shared" si="85"/>
        <v>45691.419100000116</v>
      </c>
      <c r="D97" s="746" t="e">
        <f t="shared" ca="1" si="86"/>
        <v>#DIV/0!</v>
      </c>
      <c r="E97" s="747" t="e">
        <f t="shared" ca="1" si="88"/>
        <v>#DIV/0!</v>
      </c>
      <c r="F97" s="748" t="e">
        <f ca="1">IF(F96=0,0,SUM($G$24:G97))</f>
        <v>#DIV/0!</v>
      </c>
      <c r="G97" s="225" t="e">
        <f t="shared" ca="1" si="77"/>
        <v>#DIV/0!</v>
      </c>
      <c r="H97" s="746">
        <f t="shared" ca="1" si="87"/>
        <v>0</v>
      </c>
      <c r="I97" s="60"/>
      <c r="J97" s="228"/>
      <c r="K97" s="228">
        <f t="shared" si="78"/>
        <v>74</v>
      </c>
      <c r="L97" s="221">
        <f t="shared" si="79"/>
        <v>45691.419100000116</v>
      </c>
      <c r="M97" s="229">
        <f t="shared" si="91"/>
        <v>0</v>
      </c>
      <c r="N97" s="229">
        <f t="shared" si="91"/>
        <v>0</v>
      </c>
      <c r="O97" s="229">
        <f t="shared" si="91"/>
        <v>0</v>
      </c>
      <c r="P97" s="229">
        <f t="shared" si="91"/>
        <v>0</v>
      </c>
      <c r="Q97" s="229">
        <f t="shared" si="91"/>
        <v>0</v>
      </c>
      <c r="R97" s="229">
        <f t="shared" si="90"/>
        <v>0</v>
      </c>
      <c r="S97" s="229">
        <f t="shared" si="90"/>
        <v>0</v>
      </c>
      <c r="T97" s="229">
        <f t="shared" si="90"/>
        <v>0</v>
      </c>
      <c r="U97" s="229">
        <f t="shared" si="91"/>
        <v>0</v>
      </c>
      <c r="V97" s="229">
        <f t="shared" si="91"/>
        <v>0</v>
      </c>
      <c r="W97" s="229">
        <f t="shared" si="91"/>
        <v>0</v>
      </c>
      <c r="X97" s="229">
        <f t="shared" si="91"/>
        <v>0</v>
      </c>
      <c r="Y97" s="229">
        <f t="shared" si="91"/>
        <v>0</v>
      </c>
      <c r="Z97" s="229">
        <f t="shared" si="91"/>
        <v>0</v>
      </c>
      <c r="AA97" s="229">
        <f t="shared" si="91"/>
        <v>0</v>
      </c>
      <c r="AB97" s="229">
        <f t="shared" si="91"/>
        <v>0</v>
      </c>
      <c r="AC97" s="229">
        <f t="shared" si="91"/>
        <v>0</v>
      </c>
      <c r="AD97" s="229">
        <f t="shared" si="91"/>
        <v>0</v>
      </c>
      <c r="AE97" s="229">
        <f t="shared" si="91"/>
        <v>0</v>
      </c>
      <c r="AF97" s="229">
        <f t="shared" si="91"/>
        <v>0</v>
      </c>
      <c r="AG97" s="229">
        <f t="shared" si="91"/>
        <v>0</v>
      </c>
      <c r="AH97" s="229">
        <f t="shared" si="91"/>
        <v>0</v>
      </c>
      <c r="AI97" s="229">
        <f t="shared" si="91"/>
        <v>0</v>
      </c>
      <c r="AJ97" s="229">
        <f t="shared" si="91"/>
        <v>0</v>
      </c>
      <c r="AK97" s="229">
        <f t="shared" si="91"/>
        <v>0</v>
      </c>
      <c r="AL97" s="229">
        <f t="shared" si="91"/>
        <v>0</v>
      </c>
      <c r="AM97" s="229">
        <f t="shared" si="91"/>
        <v>0</v>
      </c>
      <c r="AN97" s="229">
        <f t="shared" si="91"/>
        <v>0</v>
      </c>
      <c r="AO97" s="229">
        <f t="shared" si="91"/>
        <v>0</v>
      </c>
      <c r="AP97" s="229">
        <f t="shared" si="91"/>
        <v>0</v>
      </c>
      <c r="AQ97" s="229">
        <f t="shared" si="91"/>
        <v>0</v>
      </c>
      <c r="AR97" s="229">
        <f t="shared" si="92"/>
        <v>0</v>
      </c>
      <c r="AS97" s="229">
        <f t="shared" si="92"/>
        <v>0</v>
      </c>
      <c r="AT97" s="229">
        <f t="shared" si="92"/>
        <v>0</v>
      </c>
      <c r="AU97" s="229">
        <f t="shared" si="92"/>
        <v>0</v>
      </c>
      <c r="AV97" s="229">
        <f t="shared" si="92"/>
        <v>0</v>
      </c>
      <c r="AW97" s="229">
        <f t="shared" si="92"/>
        <v>0</v>
      </c>
      <c r="AX97" s="229">
        <f t="shared" si="92"/>
        <v>0</v>
      </c>
      <c r="AY97" s="229">
        <f t="shared" si="92"/>
        <v>0</v>
      </c>
      <c r="AZ97" s="229">
        <f t="shared" si="92"/>
        <v>0</v>
      </c>
      <c r="BA97" s="229">
        <f t="shared" si="92"/>
        <v>0</v>
      </c>
      <c r="BB97" s="229">
        <f t="shared" si="92"/>
        <v>0</v>
      </c>
      <c r="BC97" s="229">
        <f t="shared" si="93"/>
        <v>0</v>
      </c>
      <c r="BD97" s="229">
        <f t="shared" si="93"/>
        <v>0</v>
      </c>
      <c r="BE97" s="229">
        <f t="shared" si="93"/>
        <v>0</v>
      </c>
      <c r="BF97" s="229">
        <f t="shared" si="93"/>
        <v>0</v>
      </c>
      <c r="BG97" s="229">
        <f t="shared" si="93"/>
        <v>0</v>
      </c>
      <c r="BH97" s="229">
        <f t="shared" si="93"/>
        <v>0</v>
      </c>
      <c r="BI97" s="229">
        <f t="shared" si="93"/>
        <v>0</v>
      </c>
      <c r="BJ97" s="229">
        <f t="shared" si="93"/>
        <v>0</v>
      </c>
      <c r="BK97" s="229">
        <f t="shared" si="93"/>
        <v>0</v>
      </c>
      <c r="BL97" s="229">
        <f t="shared" si="93"/>
        <v>0</v>
      </c>
      <c r="BM97" s="229">
        <f t="shared" si="94"/>
        <v>0</v>
      </c>
      <c r="BN97" s="229">
        <f t="shared" si="94"/>
        <v>0</v>
      </c>
      <c r="BO97" s="229">
        <f t="shared" si="94"/>
        <v>0</v>
      </c>
      <c r="BP97" s="229">
        <f t="shared" si="94"/>
        <v>0</v>
      </c>
      <c r="BQ97" s="229">
        <f t="shared" si="94"/>
        <v>0</v>
      </c>
      <c r="BR97" s="229">
        <f t="shared" si="94"/>
        <v>0</v>
      </c>
      <c r="BS97" s="229">
        <f t="shared" si="94"/>
        <v>0</v>
      </c>
      <c r="BT97" s="229">
        <f t="shared" si="94"/>
        <v>0</v>
      </c>
      <c r="BU97" s="229">
        <f t="shared" si="94"/>
        <v>0</v>
      </c>
      <c r="BV97" s="229">
        <f t="shared" si="94"/>
        <v>0</v>
      </c>
      <c r="BW97" s="229">
        <f t="shared" si="94"/>
        <v>0</v>
      </c>
      <c r="BX97" s="229">
        <f t="shared" si="94"/>
        <v>0</v>
      </c>
      <c r="BY97" s="229">
        <f t="shared" si="94"/>
        <v>0</v>
      </c>
      <c r="BZ97" s="229">
        <f t="shared" si="94"/>
        <v>0</v>
      </c>
      <c r="CA97" s="229">
        <f t="shared" si="94"/>
        <v>0</v>
      </c>
      <c r="CB97" s="229">
        <f t="shared" si="95"/>
        <v>0</v>
      </c>
      <c r="CC97" s="229">
        <f t="shared" si="95"/>
        <v>0</v>
      </c>
      <c r="CD97" s="229">
        <f t="shared" si="95"/>
        <v>0</v>
      </c>
      <c r="CE97" s="229">
        <f t="shared" si="95"/>
        <v>0</v>
      </c>
      <c r="CF97" s="229">
        <f t="shared" si="95"/>
        <v>0</v>
      </c>
      <c r="CG97" s="229">
        <f t="shared" si="95"/>
        <v>0</v>
      </c>
      <c r="CH97" s="229">
        <f t="shared" si="95"/>
        <v>0</v>
      </c>
      <c r="CI97" s="229">
        <f t="shared" si="95"/>
        <v>0</v>
      </c>
      <c r="CJ97" s="229">
        <f t="shared" si="95"/>
        <v>0</v>
      </c>
      <c r="CK97" s="229">
        <f t="shared" si="95"/>
        <v>0</v>
      </c>
      <c r="CL97" s="229">
        <f t="shared" si="95"/>
        <v>0</v>
      </c>
      <c r="CM97" s="229">
        <f t="shared" si="95"/>
        <v>0</v>
      </c>
      <c r="CN97" s="229">
        <f t="shared" si="95"/>
        <v>0</v>
      </c>
      <c r="CO97" s="229">
        <f t="shared" si="95"/>
        <v>0</v>
      </c>
      <c r="CP97" s="229">
        <f t="shared" si="95"/>
        <v>0</v>
      </c>
      <c r="CQ97" s="229">
        <f t="shared" si="95"/>
        <v>0</v>
      </c>
      <c r="CR97" s="229">
        <f t="shared" si="95"/>
        <v>0</v>
      </c>
      <c r="CS97" s="230"/>
      <c r="CT97" s="231"/>
      <c r="CU97" s="231"/>
      <c r="CV97" s="231"/>
      <c r="CW97" s="231"/>
      <c r="CX97" s="231"/>
      <c r="CY97" s="231"/>
      <c r="CZ97" s="231"/>
      <c r="DA97" s="231"/>
      <c r="DB97" s="231">
        <f>IF(SUM(DB$24:DB96)=DB$22,0,IF(AND($K97&gt;=DB$15,$K97&lt;(DB$16+1)),DB$22/(DB$16-DB$15+1),0))</f>
        <v>0</v>
      </c>
      <c r="DC97" s="231">
        <f t="shared" si="89"/>
        <v>0</v>
      </c>
      <c r="DD97" s="231">
        <f t="shared" si="89"/>
        <v>0</v>
      </c>
      <c r="DE97" s="231">
        <f t="shared" si="89"/>
        <v>0</v>
      </c>
      <c r="DF97" s="231">
        <f t="shared" si="89"/>
        <v>0</v>
      </c>
      <c r="DG97" s="231">
        <f t="shared" si="89"/>
        <v>0</v>
      </c>
      <c r="DH97" s="231">
        <f t="shared" si="89"/>
        <v>0</v>
      </c>
      <c r="DI97" s="231">
        <f t="shared" si="89"/>
        <v>0</v>
      </c>
      <c r="DJ97" s="231">
        <f t="shared" si="89"/>
        <v>0</v>
      </c>
      <c r="DK97" s="231">
        <f t="shared" si="89"/>
        <v>0</v>
      </c>
      <c r="DL97" s="231">
        <f t="shared" si="89"/>
        <v>0</v>
      </c>
      <c r="DM97" s="231">
        <f t="shared" si="89"/>
        <v>0</v>
      </c>
      <c r="DN97" s="231">
        <f t="shared" si="89"/>
        <v>0</v>
      </c>
      <c r="DO97" s="231">
        <f t="shared" si="89"/>
        <v>0</v>
      </c>
      <c r="DP97" s="231">
        <f>'Offshore CF'!DR97</f>
        <v>0</v>
      </c>
      <c r="DQ97" s="231">
        <f>'Offshore CF'!DS97</f>
        <v>0</v>
      </c>
      <c r="DR97" s="231">
        <f ca="1">IF(SUM(DR$24:DR96)=DR$22,0,IF(AND($K97&gt;=DR$15,$K97&lt;(DR$16+1)),DR$22/(DR$16-DR$15+1),0))</f>
        <v>0</v>
      </c>
      <c r="DS97" s="231" t="e">
        <f ca="1">IF(SUM(DS$24:DS96)=DS$22,0,IF(AND($K97&gt;=DS$15,$K97&lt;(DS$16+1)),DS$22/(DS$16-DS$15+1),0))</f>
        <v>#REF!</v>
      </c>
      <c r="DT97" s="231" t="e">
        <f ca="1">IF(SUM(DT$24:DT96)=DT$22,0,IF(AND(K97&gt;=DT$15,K97&lt;(DT$16+1)),DT$22/(DT$16-DT$15+1),0))</f>
        <v>#REF!</v>
      </c>
      <c r="DU97" s="231" t="e">
        <f ca="1">IF(SUM(DU$24:DU96)=DU$22,0,IF(AND($K97&gt;=DU$15,$K97&lt;(DU$16+1)),DU$22/(DU$16-DU$15+1),0))</f>
        <v>#REF!</v>
      </c>
      <c r="DV97" s="231">
        <f ca="1">IF(SUM(DV$24:DV96)=DV$22,0,IF(AND($K97&gt;=DV$15,$K97&lt;(DV$16+1)),DV$22/(DV$16-DV$15+1),0))</f>
        <v>0</v>
      </c>
      <c r="DW97" s="231">
        <f ca="1">IF(SUM(DW$24:DW96)=DW$22,0,IF(AND($K97&gt;=DW$15,$K97&lt;(DW$16+1)),DW$22/(DW$16-DW$15+1),0))</f>
        <v>0</v>
      </c>
      <c r="DX97" s="231">
        <f ca="1">IF(SUM(DX$24:DX96)=DX$22,0,IF(AND($K97&gt;=DX$15,$K97&lt;(DX$16+1)),DX$22/(DX$16-DX$15+1),0))</f>
        <v>0</v>
      </c>
      <c r="DY97" s="231">
        <f ca="1">IF(SUM(DY$24:DY96)=DY$22,0,IF(AND($K97&gt;=DY$15,$K97&lt;(DY$16+1)),DY$22/(DY$16-DY$15+1),0))</f>
        <v>0</v>
      </c>
      <c r="EA97" s="749">
        <f t="shared" si="80"/>
        <v>74</v>
      </c>
      <c r="EB97" s="749" t="e">
        <f t="shared" ca="1" si="81"/>
        <v>#REF!</v>
      </c>
      <c r="EC97" s="750" t="e">
        <f t="shared" ca="1" si="82"/>
        <v>#REF!</v>
      </c>
      <c r="ED97" s="749" t="e">
        <f t="shared" ca="1" si="96"/>
        <v>#REF!</v>
      </c>
      <c r="EE97" s="749"/>
      <c r="EF97" s="749"/>
      <c r="EG97" s="749"/>
      <c r="EH97" s="749"/>
      <c r="EI97" s="714" t="e">
        <f t="shared" ca="1" si="83"/>
        <v>#REF!</v>
      </c>
      <c r="EJ97" s="231" t="e">
        <f ca="1">IF(SUM(EJ$24:EJ96)=EJ$22,0,IF(AND($K97&gt;=EJ$15,$K97&lt;(EJ$16+1)),EJ$22/(EJ$16-EJ$15+1),0))</f>
        <v>#REF!</v>
      </c>
      <c r="EK97" s="714" t="e">
        <f t="shared" ca="1" si="54"/>
        <v>#REF!</v>
      </c>
      <c r="EM97" s="60"/>
      <c r="EN97" s="60"/>
    </row>
    <row r="98" spans="1:144" ht="13.9" customHeight="1">
      <c r="A98" s="220"/>
      <c r="B98" s="236">
        <f t="shared" si="84"/>
        <v>75</v>
      </c>
      <c r="C98" s="221">
        <f t="shared" si="85"/>
        <v>45721.835800000117</v>
      </c>
      <c r="D98" s="746" t="e">
        <f t="shared" ca="1" si="86"/>
        <v>#DIV/0!</v>
      </c>
      <c r="E98" s="747" t="e">
        <f t="shared" ca="1" si="88"/>
        <v>#DIV/0!</v>
      </c>
      <c r="F98" s="748" t="e">
        <f ca="1">IF(F97=0,0,SUM($G$24:G98))</f>
        <v>#DIV/0!</v>
      </c>
      <c r="G98" s="225" t="e">
        <f t="shared" ca="1" si="77"/>
        <v>#DIV/0!</v>
      </c>
      <c r="H98" s="746">
        <f t="shared" ca="1" si="87"/>
        <v>0</v>
      </c>
      <c r="I98" s="60"/>
      <c r="J98" s="228"/>
      <c r="K98" s="228">
        <f t="shared" si="78"/>
        <v>75</v>
      </c>
      <c r="L98" s="221">
        <f t="shared" si="79"/>
        <v>45721.835800000117</v>
      </c>
      <c r="M98" s="229">
        <f t="shared" si="91"/>
        <v>0</v>
      </c>
      <c r="N98" s="229">
        <f t="shared" si="91"/>
        <v>0</v>
      </c>
      <c r="O98" s="229">
        <f t="shared" si="91"/>
        <v>0</v>
      </c>
      <c r="P98" s="229">
        <f t="shared" si="91"/>
        <v>0</v>
      </c>
      <c r="Q98" s="229">
        <f t="shared" si="91"/>
        <v>0</v>
      </c>
      <c r="R98" s="229">
        <f t="shared" si="90"/>
        <v>0</v>
      </c>
      <c r="S98" s="229">
        <f t="shared" si="90"/>
        <v>0</v>
      </c>
      <c r="T98" s="229">
        <f t="shared" si="90"/>
        <v>0</v>
      </c>
      <c r="U98" s="229">
        <f t="shared" si="91"/>
        <v>0</v>
      </c>
      <c r="V98" s="229">
        <f t="shared" si="91"/>
        <v>0</v>
      </c>
      <c r="W98" s="229">
        <f t="shared" si="91"/>
        <v>0</v>
      </c>
      <c r="X98" s="229">
        <f t="shared" si="91"/>
        <v>0</v>
      </c>
      <c r="Y98" s="229">
        <f t="shared" si="91"/>
        <v>0</v>
      </c>
      <c r="Z98" s="229">
        <f t="shared" si="91"/>
        <v>0</v>
      </c>
      <c r="AA98" s="229">
        <f t="shared" si="91"/>
        <v>0</v>
      </c>
      <c r="AB98" s="229">
        <f t="shared" si="91"/>
        <v>0</v>
      </c>
      <c r="AC98" s="229">
        <f t="shared" si="91"/>
        <v>0</v>
      </c>
      <c r="AD98" s="229">
        <f t="shared" si="91"/>
        <v>0</v>
      </c>
      <c r="AE98" s="229">
        <f t="shared" si="91"/>
        <v>0</v>
      </c>
      <c r="AF98" s="229">
        <f t="shared" si="91"/>
        <v>0</v>
      </c>
      <c r="AG98" s="229">
        <f t="shared" si="91"/>
        <v>0</v>
      </c>
      <c r="AH98" s="229">
        <f t="shared" si="91"/>
        <v>0</v>
      </c>
      <c r="AI98" s="229">
        <f t="shared" si="91"/>
        <v>0</v>
      </c>
      <c r="AJ98" s="229">
        <f t="shared" si="91"/>
        <v>0</v>
      </c>
      <c r="AK98" s="229">
        <f t="shared" si="91"/>
        <v>0</v>
      </c>
      <c r="AL98" s="229">
        <f t="shared" si="91"/>
        <v>0</v>
      </c>
      <c r="AM98" s="229">
        <f t="shared" si="91"/>
        <v>0</v>
      </c>
      <c r="AN98" s="229">
        <f t="shared" si="91"/>
        <v>0</v>
      </c>
      <c r="AO98" s="229">
        <f t="shared" si="91"/>
        <v>0</v>
      </c>
      <c r="AP98" s="229">
        <f t="shared" si="91"/>
        <v>0</v>
      </c>
      <c r="AQ98" s="229">
        <f t="shared" si="91"/>
        <v>0</v>
      </c>
      <c r="AR98" s="229">
        <f t="shared" si="92"/>
        <v>0</v>
      </c>
      <c r="AS98" s="229">
        <f t="shared" si="92"/>
        <v>0</v>
      </c>
      <c r="AT98" s="229">
        <f t="shared" si="92"/>
        <v>0</v>
      </c>
      <c r="AU98" s="229">
        <f t="shared" si="92"/>
        <v>0</v>
      </c>
      <c r="AV98" s="229">
        <f t="shared" si="92"/>
        <v>0</v>
      </c>
      <c r="AW98" s="229">
        <f t="shared" si="92"/>
        <v>0</v>
      </c>
      <c r="AX98" s="229">
        <f t="shared" si="92"/>
        <v>0</v>
      </c>
      <c r="AY98" s="229">
        <f t="shared" si="92"/>
        <v>0</v>
      </c>
      <c r="AZ98" s="229">
        <f t="shared" si="92"/>
        <v>0</v>
      </c>
      <c r="BA98" s="229">
        <f t="shared" si="92"/>
        <v>0</v>
      </c>
      <c r="BB98" s="229">
        <f t="shared" si="92"/>
        <v>0</v>
      </c>
      <c r="BC98" s="229">
        <f t="shared" si="93"/>
        <v>0</v>
      </c>
      <c r="BD98" s="229">
        <f t="shared" si="93"/>
        <v>0</v>
      </c>
      <c r="BE98" s="229">
        <f t="shared" si="93"/>
        <v>0</v>
      </c>
      <c r="BF98" s="229">
        <f t="shared" si="93"/>
        <v>0</v>
      </c>
      <c r="BG98" s="229">
        <f t="shared" si="93"/>
        <v>0</v>
      </c>
      <c r="BH98" s="229">
        <f t="shared" si="93"/>
        <v>0</v>
      </c>
      <c r="BI98" s="229">
        <f t="shared" si="93"/>
        <v>0</v>
      </c>
      <c r="BJ98" s="229">
        <f t="shared" si="93"/>
        <v>0</v>
      </c>
      <c r="BK98" s="229">
        <f t="shared" si="93"/>
        <v>0</v>
      </c>
      <c r="BL98" s="229">
        <f t="shared" si="93"/>
        <v>0</v>
      </c>
      <c r="BM98" s="229">
        <f t="shared" si="94"/>
        <v>0</v>
      </c>
      <c r="BN98" s="229">
        <f t="shared" si="94"/>
        <v>0</v>
      </c>
      <c r="BO98" s="229">
        <f t="shared" si="94"/>
        <v>0</v>
      </c>
      <c r="BP98" s="229">
        <f t="shared" si="94"/>
        <v>0</v>
      </c>
      <c r="BQ98" s="229">
        <f t="shared" si="94"/>
        <v>0</v>
      </c>
      <c r="BR98" s="229">
        <f t="shared" si="94"/>
        <v>0</v>
      </c>
      <c r="BS98" s="229">
        <f t="shared" si="94"/>
        <v>0</v>
      </c>
      <c r="BT98" s="229">
        <f t="shared" si="94"/>
        <v>0</v>
      </c>
      <c r="BU98" s="229">
        <f t="shared" si="94"/>
        <v>0</v>
      </c>
      <c r="BV98" s="229">
        <f t="shared" si="94"/>
        <v>0</v>
      </c>
      <c r="BW98" s="229">
        <f t="shared" si="94"/>
        <v>0</v>
      </c>
      <c r="BX98" s="229">
        <f t="shared" si="94"/>
        <v>0</v>
      </c>
      <c r="BY98" s="229">
        <f t="shared" si="94"/>
        <v>0</v>
      </c>
      <c r="BZ98" s="229">
        <f t="shared" si="94"/>
        <v>0</v>
      </c>
      <c r="CA98" s="229">
        <f t="shared" si="94"/>
        <v>0</v>
      </c>
      <c r="CB98" s="229">
        <f t="shared" si="95"/>
        <v>0</v>
      </c>
      <c r="CC98" s="229">
        <f t="shared" si="95"/>
        <v>0</v>
      </c>
      <c r="CD98" s="229">
        <f t="shared" si="95"/>
        <v>0</v>
      </c>
      <c r="CE98" s="229">
        <f t="shared" si="95"/>
        <v>0</v>
      </c>
      <c r="CF98" s="229">
        <f t="shared" si="95"/>
        <v>0</v>
      </c>
      <c r="CG98" s="229">
        <f t="shared" si="95"/>
        <v>0</v>
      </c>
      <c r="CH98" s="229">
        <f t="shared" si="95"/>
        <v>0</v>
      </c>
      <c r="CI98" s="229">
        <f t="shared" si="95"/>
        <v>0</v>
      </c>
      <c r="CJ98" s="229">
        <f t="shared" si="95"/>
        <v>0</v>
      </c>
      <c r="CK98" s="229">
        <f t="shared" si="95"/>
        <v>0</v>
      </c>
      <c r="CL98" s="229">
        <f t="shared" si="95"/>
        <v>0</v>
      </c>
      <c r="CM98" s="229">
        <f t="shared" si="95"/>
        <v>0</v>
      </c>
      <c r="CN98" s="229">
        <f t="shared" si="95"/>
        <v>0</v>
      </c>
      <c r="CO98" s="229">
        <f t="shared" si="95"/>
        <v>0</v>
      </c>
      <c r="CP98" s="229">
        <f t="shared" si="95"/>
        <v>0</v>
      </c>
      <c r="CQ98" s="229">
        <f t="shared" si="95"/>
        <v>0</v>
      </c>
      <c r="CR98" s="229">
        <f t="shared" si="95"/>
        <v>0</v>
      </c>
      <c r="CS98" s="230"/>
      <c r="CT98" s="231"/>
      <c r="CU98" s="231"/>
      <c r="CV98" s="231"/>
      <c r="CW98" s="231"/>
      <c r="CX98" s="231"/>
      <c r="CY98" s="231"/>
      <c r="CZ98" s="231"/>
      <c r="DA98" s="231"/>
      <c r="DB98" s="231">
        <f>IF(SUM(DB$24:DB97)=DB$22,0,IF(AND($K98&gt;=DB$15,$K98&lt;(DB$16+1)),DB$22/(DB$16-DB$15+1),0))</f>
        <v>0</v>
      </c>
      <c r="DC98" s="231">
        <f t="shared" si="89"/>
        <v>0</v>
      </c>
      <c r="DD98" s="231">
        <f t="shared" si="89"/>
        <v>0</v>
      </c>
      <c r="DE98" s="231">
        <f t="shared" si="89"/>
        <v>0</v>
      </c>
      <c r="DF98" s="231">
        <f t="shared" si="89"/>
        <v>0</v>
      </c>
      <c r="DG98" s="231">
        <f t="shared" si="89"/>
        <v>0</v>
      </c>
      <c r="DH98" s="231">
        <f t="shared" si="89"/>
        <v>0</v>
      </c>
      <c r="DI98" s="231">
        <f t="shared" si="89"/>
        <v>0</v>
      </c>
      <c r="DJ98" s="231">
        <f t="shared" si="89"/>
        <v>0</v>
      </c>
      <c r="DK98" s="231">
        <f t="shared" si="89"/>
        <v>0</v>
      </c>
      <c r="DL98" s="231">
        <f t="shared" si="89"/>
        <v>0</v>
      </c>
      <c r="DM98" s="231">
        <f t="shared" si="89"/>
        <v>0</v>
      </c>
      <c r="DN98" s="231">
        <f t="shared" si="89"/>
        <v>0</v>
      </c>
      <c r="DO98" s="231">
        <f t="shared" si="89"/>
        <v>0</v>
      </c>
      <c r="DP98" s="231">
        <f>'Offshore CF'!DR98</f>
        <v>0</v>
      </c>
      <c r="DQ98" s="231">
        <f>'Offshore CF'!DS98</f>
        <v>0</v>
      </c>
      <c r="DR98" s="231">
        <f ca="1">IF(SUM(DR$24:DR97)=DR$22,0,IF(AND($K98&gt;=DR$15,$K98&lt;(DR$16+1)),DR$22/(DR$16-DR$15+1),0))</f>
        <v>0</v>
      </c>
      <c r="DS98" s="231" t="e">
        <f ca="1">IF(SUM(DS$24:DS97)=DS$22,0,IF(AND($K98&gt;=DS$15,$K98&lt;(DS$16+1)),DS$22/(DS$16-DS$15+1),0))</f>
        <v>#REF!</v>
      </c>
      <c r="DT98" s="231" t="e">
        <f ca="1">IF(SUM(DT$24:DT97)=DT$22,0,IF(AND(K98&gt;=DT$15,K98&lt;(DT$16+1)),DT$22/(DT$16-DT$15+1),0))</f>
        <v>#REF!</v>
      </c>
      <c r="DU98" s="231" t="e">
        <f ca="1">IF(SUM(DU$24:DU97)=DU$22,0,IF(AND($K98&gt;=DU$15,$K98&lt;(DU$16+1)),DU$22/(DU$16-DU$15+1),0))</f>
        <v>#REF!</v>
      </c>
      <c r="DV98" s="231">
        <f ca="1">IF(SUM(DV$24:DV97)=DV$22,0,IF(AND($K98&gt;=DV$15,$K98&lt;(DV$16+1)),DV$22/(DV$16-DV$15+1),0))</f>
        <v>0</v>
      </c>
      <c r="DW98" s="231">
        <f ca="1">IF(SUM(DW$24:DW97)=DW$22,0,IF(AND($K98&gt;=DW$15,$K98&lt;(DW$16+1)),DW$22/(DW$16-DW$15+1),0))</f>
        <v>0</v>
      </c>
      <c r="DX98" s="231">
        <f ca="1">IF(SUM(DX$24:DX97)=DX$22,0,IF(AND($K98&gt;=DX$15,$K98&lt;(DX$16+1)),DX$22/(DX$16-DX$15+1),0))</f>
        <v>0</v>
      </c>
      <c r="DY98" s="231">
        <f ca="1">IF(SUM(DY$24:DY97)=DY$22,0,IF(AND($K98&gt;=DY$15,$K98&lt;(DY$16+1)),DY$22/(DY$16-DY$15+1),0))</f>
        <v>0</v>
      </c>
      <c r="EA98" s="749">
        <f t="shared" si="80"/>
        <v>75</v>
      </c>
      <c r="EB98" s="749" t="e">
        <f t="shared" ca="1" si="81"/>
        <v>#REF!</v>
      </c>
      <c r="EC98" s="750" t="e">
        <f t="shared" ca="1" si="82"/>
        <v>#REF!</v>
      </c>
      <c r="ED98" s="749" t="e">
        <f t="shared" ca="1" si="96"/>
        <v>#N/A</v>
      </c>
      <c r="EE98" s="749"/>
      <c r="EF98" s="749"/>
      <c r="EG98" s="749"/>
      <c r="EH98" s="749"/>
      <c r="EI98" s="714" t="e">
        <f t="shared" ca="1" si="83"/>
        <v>#REF!</v>
      </c>
      <c r="EJ98" s="231" t="e">
        <f ca="1">IF(SUM(EJ$24:EJ97)=EJ$22,0,IF(AND($K98&gt;=EJ$15,$K98&lt;(EJ$16+1)),EJ$22/(EJ$16-EJ$15+1),0))</f>
        <v>#REF!</v>
      </c>
      <c r="EK98" s="714" t="e">
        <f t="shared" ca="1" si="54"/>
        <v>#REF!</v>
      </c>
      <c r="EM98" s="60"/>
      <c r="EN98" s="60"/>
    </row>
    <row r="99" spans="1:144" ht="13.9" customHeight="1">
      <c r="A99" s="220"/>
      <c r="B99" s="236">
        <f t="shared" si="84"/>
        <v>76</v>
      </c>
      <c r="C99" s="221">
        <f t="shared" si="85"/>
        <v>45752.252500000119</v>
      </c>
      <c r="D99" s="746" t="e">
        <f t="shared" ca="1" si="86"/>
        <v>#DIV/0!</v>
      </c>
      <c r="E99" s="747" t="e">
        <f t="shared" ca="1" si="88"/>
        <v>#DIV/0!</v>
      </c>
      <c r="F99" s="748" t="e">
        <f ca="1">IF(F98=0,0,SUM($G$24:G99))</f>
        <v>#DIV/0!</v>
      </c>
      <c r="G99" s="225" t="e">
        <f t="shared" ca="1" si="77"/>
        <v>#DIV/0!</v>
      </c>
      <c r="H99" s="746">
        <f t="shared" ca="1" si="87"/>
        <v>0</v>
      </c>
      <c r="I99" s="60"/>
      <c r="J99" s="228"/>
      <c r="K99" s="228">
        <f t="shared" si="78"/>
        <v>76</v>
      </c>
      <c r="L99" s="221">
        <f t="shared" si="79"/>
        <v>45752.252500000119</v>
      </c>
      <c r="M99" s="229">
        <f t="shared" si="91"/>
        <v>0</v>
      </c>
      <c r="N99" s="229">
        <f t="shared" si="91"/>
        <v>0</v>
      </c>
      <c r="O99" s="229">
        <f t="shared" si="91"/>
        <v>0</v>
      </c>
      <c r="P99" s="229">
        <f t="shared" si="91"/>
        <v>0</v>
      </c>
      <c r="Q99" s="229">
        <f t="shared" si="91"/>
        <v>0</v>
      </c>
      <c r="R99" s="229">
        <f t="shared" si="90"/>
        <v>0</v>
      </c>
      <c r="S99" s="229">
        <f t="shared" si="90"/>
        <v>0</v>
      </c>
      <c r="T99" s="229">
        <f t="shared" si="90"/>
        <v>0</v>
      </c>
      <c r="U99" s="229">
        <f t="shared" si="91"/>
        <v>0</v>
      </c>
      <c r="V99" s="229">
        <f t="shared" si="91"/>
        <v>0</v>
      </c>
      <c r="W99" s="229">
        <f t="shared" si="91"/>
        <v>0</v>
      </c>
      <c r="X99" s="229">
        <f t="shared" si="91"/>
        <v>0</v>
      </c>
      <c r="Y99" s="229">
        <f t="shared" si="91"/>
        <v>0</v>
      </c>
      <c r="Z99" s="229">
        <f t="shared" si="91"/>
        <v>0</v>
      </c>
      <c r="AA99" s="229">
        <f t="shared" si="91"/>
        <v>0</v>
      </c>
      <c r="AB99" s="229">
        <f t="shared" si="91"/>
        <v>0</v>
      </c>
      <c r="AC99" s="229">
        <f t="shared" si="91"/>
        <v>0</v>
      </c>
      <c r="AD99" s="229">
        <f t="shared" si="91"/>
        <v>0</v>
      </c>
      <c r="AE99" s="229">
        <f t="shared" si="91"/>
        <v>0</v>
      </c>
      <c r="AF99" s="229">
        <f t="shared" si="91"/>
        <v>0</v>
      </c>
      <c r="AG99" s="229">
        <f t="shared" si="91"/>
        <v>0</v>
      </c>
      <c r="AH99" s="229">
        <f t="shared" si="91"/>
        <v>0</v>
      </c>
      <c r="AI99" s="229">
        <f t="shared" si="91"/>
        <v>0</v>
      </c>
      <c r="AJ99" s="229">
        <f t="shared" si="91"/>
        <v>0</v>
      </c>
      <c r="AK99" s="229">
        <f t="shared" si="91"/>
        <v>0</v>
      </c>
      <c r="AL99" s="229">
        <f t="shared" si="91"/>
        <v>0</v>
      </c>
      <c r="AM99" s="229">
        <f t="shared" si="91"/>
        <v>0</v>
      </c>
      <c r="AN99" s="229">
        <f t="shared" si="91"/>
        <v>0</v>
      </c>
      <c r="AO99" s="229">
        <f t="shared" si="91"/>
        <v>0</v>
      </c>
      <c r="AP99" s="229">
        <f t="shared" si="91"/>
        <v>0</v>
      </c>
      <c r="AQ99" s="229">
        <f t="shared" si="91"/>
        <v>0</v>
      </c>
      <c r="AR99" s="229">
        <f t="shared" si="92"/>
        <v>0</v>
      </c>
      <c r="AS99" s="229">
        <f t="shared" si="92"/>
        <v>0</v>
      </c>
      <c r="AT99" s="229">
        <f t="shared" si="92"/>
        <v>0</v>
      </c>
      <c r="AU99" s="229">
        <f t="shared" si="92"/>
        <v>0</v>
      </c>
      <c r="AV99" s="229">
        <f t="shared" si="92"/>
        <v>0</v>
      </c>
      <c r="AW99" s="229">
        <f t="shared" si="92"/>
        <v>0</v>
      </c>
      <c r="AX99" s="229">
        <f t="shared" si="92"/>
        <v>0</v>
      </c>
      <c r="AY99" s="229">
        <f t="shared" si="92"/>
        <v>0</v>
      </c>
      <c r="AZ99" s="229">
        <f t="shared" si="92"/>
        <v>0</v>
      </c>
      <c r="BA99" s="229">
        <f t="shared" si="92"/>
        <v>0</v>
      </c>
      <c r="BB99" s="229">
        <f t="shared" si="92"/>
        <v>0</v>
      </c>
      <c r="BC99" s="229">
        <f t="shared" si="93"/>
        <v>0</v>
      </c>
      <c r="BD99" s="229">
        <f t="shared" si="93"/>
        <v>0</v>
      </c>
      <c r="BE99" s="229">
        <f t="shared" si="93"/>
        <v>0</v>
      </c>
      <c r="BF99" s="229">
        <f t="shared" si="93"/>
        <v>0</v>
      </c>
      <c r="BG99" s="229">
        <f t="shared" si="93"/>
        <v>0</v>
      </c>
      <c r="BH99" s="229">
        <f t="shared" si="93"/>
        <v>0</v>
      </c>
      <c r="BI99" s="229">
        <f t="shared" si="93"/>
        <v>0</v>
      </c>
      <c r="BJ99" s="229">
        <f t="shared" si="93"/>
        <v>0</v>
      </c>
      <c r="BK99" s="229">
        <f t="shared" si="93"/>
        <v>0</v>
      </c>
      <c r="BL99" s="229">
        <f t="shared" si="93"/>
        <v>0</v>
      </c>
      <c r="BM99" s="229">
        <f t="shared" si="94"/>
        <v>0</v>
      </c>
      <c r="BN99" s="229">
        <f t="shared" si="94"/>
        <v>0</v>
      </c>
      <c r="BO99" s="229">
        <f t="shared" si="94"/>
        <v>0</v>
      </c>
      <c r="BP99" s="229">
        <f t="shared" si="94"/>
        <v>0</v>
      </c>
      <c r="BQ99" s="229">
        <f t="shared" si="94"/>
        <v>0</v>
      </c>
      <c r="BR99" s="229">
        <f t="shared" si="94"/>
        <v>0</v>
      </c>
      <c r="BS99" s="229">
        <f t="shared" si="94"/>
        <v>0</v>
      </c>
      <c r="BT99" s="229">
        <f t="shared" si="94"/>
        <v>0</v>
      </c>
      <c r="BU99" s="229">
        <f t="shared" si="94"/>
        <v>0</v>
      </c>
      <c r="BV99" s="229">
        <f t="shared" si="94"/>
        <v>0</v>
      </c>
      <c r="BW99" s="229">
        <f t="shared" si="94"/>
        <v>0</v>
      </c>
      <c r="BX99" s="229">
        <f t="shared" si="94"/>
        <v>0</v>
      </c>
      <c r="BY99" s="229">
        <f t="shared" si="94"/>
        <v>0</v>
      </c>
      <c r="BZ99" s="229">
        <f t="shared" si="94"/>
        <v>0</v>
      </c>
      <c r="CA99" s="229">
        <f t="shared" si="94"/>
        <v>0</v>
      </c>
      <c r="CB99" s="229">
        <f t="shared" si="95"/>
        <v>0</v>
      </c>
      <c r="CC99" s="229">
        <f t="shared" si="95"/>
        <v>0</v>
      </c>
      <c r="CD99" s="229">
        <f t="shared" si="95"/>
        <v>0</v>
      </c>
      <c r="CE99" s="229">
        <f t="shared" si="95"/>
        <v>0</v>
      </c>
      <c r="CF99" s="229">
        <f t="shared" si="95"/>
        <v>0</v>
      </c>
      <c r="CG99" s="229">
        <f t="shared" si="95"/>
        <v>0</v>
      </c>
      <c r="CH99" s="229">
        <f t="shared" si="95"/>
        <v>0</v>
      </c>
      <c r="CI99" s="229">
        <f t="shared" si="95"/>
        <v>0</v>
      </c>
      <c r="CJ99" s="229">
        <f t="shared" si="95"/>
        <v>0</v>
      </c>
      <c r="CK99" s="229">
        <f t="shared" si="95"/>
        <v>0</v>
      </c>
      <c r="CL99" s="229">
        <f t="shared" si="95"/>
        <v>0</v>
      </c>
      <c r="CM99" s="229">
        <f t="shared" si="95"/>
        <v>0</v>
      </c>
      <c r="CN99" s="229">
        <f t="shared" si="95"/>
        <v>0</v>
      </c>
      <c r="CO99" s="229">
        <f t="shared" si="95"/>
        <v>0</v>
      </c>
      <c r="CP99" s="229">
        <f t="shared" si="95"/>
        <v>0</v>
      </c>
      <c r="CQ99" s="229">
        <f t="shared" si="95"/>
        <v>0</v>
      </c>
      <c r="CR99" s="229">
        <f t="shared" si="95"/>
        <v>0</v>
      </c>
      <c r="CS99" s="230"/>
      <c r="CT99" s="231"/>
      <c r="CU99" s="231"/>
      <c r="CV99" s="231"/>
      <c r="CW99" s="231"/>
      <c r="CX99" s="231"/>
      <c r="CY99" s="231"/>
      <c r="CZ99" s="231"/>
      <c r="DA99" s="231" t="e">
        <f ca="1">IF(SUM(DA$32:DA98)&gt;=DA$22,0,DA$22/(DA$13*4))</f>
        <v>#N/A</v>
      </c>
      <c r="DB99" s="231">
        <f>IF(SUM(DB$24:DB98)=DB$22,0,IF(AND($K99&gt;=DB$15,$K99&lt;(DB$16+1)),DB$22/(DB$16-DB$15+1),0))</f>
        <v>0</v>
      </c>
      <c r="DC99" s="231">
        <f t="shared" si="89"/>
        <v>0</v>
      </c>
      <c r="DD99" s="231">
        <f t="shared" si="89"/>
        <v>0</v>
      </c>
      <c r="DE99" s="231">
        <f t="shared" si="89"/>
        <v>0</v>
      </c>
      <c r="DF99" s="231">
        <f t="shared" si="89"/>
        <v>0</v>
      </c>
      <c r="DG99" s="231">
        <f t="shared" si="89"/>
        <v>0</v>
      </c>
      <c r="DH99" s="231">
        <f t="shared" si="89"/>
        <v>0</v>
      </c>
      <c r="DI99" s="231">
        <f t="shared" si="89"/>
        <v>0</v>
      </c>
      <c r="DJ99" s="231">
        <f t="shared" si="89"/>
        <v>0</v>
      </c>
      <c r="DK99" s="231">
        <f t="shared" si="89"/>
        <v>0</v>
      </c>
      <c r="DL99" s="231">
        <f t="shared" si="89"/>
        <v>0</v>
      </c>
      <c r="DM99" s="231">
        <f t="shared" si="89"/>
        <v>0</v>
      </c>
      <c r="DN99" s="231">
        <f t="shared" si="89"/>
        <v>0</v>
      </c>
      <c r="DO99" s="231">
        <f t="shared" si="89"/>
        <v>0</v>
      </c>
      <c r="DP99" s="231">
        <f>'Offshore CF'!DR99</f>
        <v>0</v>
      </c>
      <c r="DQ99" s="231">
        <f>'Offshore CF'!DS99</f>
        <v>0</v>
      </c>
      <c r="DR99" s="231">
        <f ca="1">IF(SUM(DR$24:DR98)=DR$22,0,IF(AND($K99&gt;=DR$15,$K99&lt;(DR$16+1)),DR$22/(DR$16-DR$15+1),0))</f>
        <v>0</v>
      </c>
      <c r="DS99" s="231" t="e">
        <f ca="1">IF(SUM(DS$24:DS98)=DS$22,0,IF(AND($K99&gt;=DS$15,$K99&lt;(DS$16+1)),DS$22/(DS$16-DS$15+1),0))</f>
        <v>#REF!</v>
      </c>
      <c r="DT99" s="231" t="e">
        <f ca="1">IF(SUM(DT$24:DT98)=DT$22,0,IF(AND(K99&gt;=DT$15,K99&lt;(DT$16+1)),DT$22/(DT$16-DT$15+1),0))</f>
        <v>#REF!</v>
      </c>
      <c r="DU99" s="231" t="e">
        <f ca="1">IF(SUM(DU$24:DU98)=DU$22,0,IF(AND($K99&gt;=DU$15,$K99&lt;(DU$16+1)),DU$22/(DU$16-DU$15+1),0))</f>
        <v>#REF!</v>
      </c>
      <c r="DV99" s="231">
        <f ca="1">IF(SUM(DV$24:DV98)=DV$22,0,IF(AND($K99&gt;=DV$15,$K99&lt;(DV$16+1)),DV$22/(DV$16-DV$15+1),0))</f>
        <v>0</v>
      </c>
      <c r="DW99" s="231">
        <f ca="1">IF(SUM(DW$24:DW98)=DW$22,0,IF(AND($K99&gt;=DW$15,$K99&lt;(DW$16+1)),DW$22/(DW$16-DW$15+1),0))</f>
        <v>0</v>
      </c>
      <c r="DX99" s="231">
        <f ca="1">IF(SUM(DX$24:DX98)=DX$22,0,IF(AND($K99&gt;=DX$15,$K99&lt;(DX$16+1)),DX$22/(DX$16-DX$15+1),0))</f>
        <v>0</v>
      </c>
      <c r="DY99" s="231">
        <f ca="1">IF(SUM(DY$24:DY98)=DY$22,0,IF(AND($K99&gt;=DY$15,$K99&lt;(DY$16+1)),DY$22/(DY$16-DY$15+1),0))</f>
        <v>0</v>
      </c>
      <c r="EA99" s="749">
        <f t="shared" si="80"/>
        <v>76</v>
      </c>
      <c r="EB99" s="749" t="e">
        <f t="shared" ca="1" si="81"/>
        <v>#N/A</v>
      </c>
      <c r="EC99" s="750" t="e">
        <f t="shared" ca="1" si="82"/>
        <v>#N/A</v>
      </c>
      <c r="ED99" s="749" t="e">
        <f t="shared" ca="1" si="96"/>
        <v>#REF!</v>
      </c>
      <c r="EE99" s="749"/>
      <c r="EF99" s="749"/>
      <c r="EG99" s="749"/>
      <c r="EH99" s="749"/>
      <c r="EI99" s="714" t="e">
        <f t="shared" ca="1" si="83"/>
        <v>#N/A</v>
      </c>
      <c r="EJ99" s="231" t="e">
        <f ca="1">IF(SUM(EJ$24:EJ98)=EJ$22,0,IF(AND($K99&gt;=EJ$15,$K99&lt;(EJ$16+1)),EJ$22/(EJ$16-EJ$15+1),0))</f>
        <v>#REF!</v>
      </c>
      <c r="EK99" s="714" t="e">
        <f t="shared" ca="1" si="54"/>
        <v>#N/A</v>
      </c>
      <c r="EM99" s="60"/>
      <c r="EN99" s="60"/>
    </row>
    <row r="100" spans="1:144" ht="13.9" customHeight="1">
      <c r="A100" s="220"/>
      <c r="B100" s="236">
        <f t="shared" si="84"/>
        <v>77</v>
      </c>
      <c r="C100" s="221">
        <f t="shared" si="85"/>
        <v>45782.66920000012</v>
      </c>
      <c r="D100" s="746" t="e">
        <f t="shared" ca="1" si="86"/>
        <v>#DIV/0!</v>
      </c>
      <c r="E100" s="747" t="e">
        <f t="shared" ca="1" si="88"/>
        <v>#DIV/0!</v>
      </c>
      <c r="F100" s="748" t="e">
        <f ca="1">IF(F99=0,0,SUM($G$24:G100))</f>
        <v>#DIV/0!</v>
      </c>
      <c r="G100" s="225" t="e">
        <f t="shared" ca="1" si="77"/>
        <v>#DIV/0!</v>
      </c>
      <c r="H100" s="746">
        <f t="shared" ca="1" si="87"/>
        <v>0</v>
      </c>
      <c r="I100" s="60"/>
      <c r="J100" s="228"/>
      <c r="K100" s="228">
        <f t="shared" si="78"/>
        <v>77</v>
      </c>
      <c r="L100" s="221">
        <f t="shared" si="79"/>
        <v>45782.66920000012</v>
      </c>
      <c r="M100" s="229">
        <f t="shared" si="91"/>
        <v>0</v>
      </c>
      <c r="N100" s="229">
        <f t="shared" si="91"/>
        <v>0</v>
      </c>
      <c r="O100" s="229">
        <f t="shared" si="91"/>
        <v>0</v>
      </c>
      <c r="P100" s="229">
        <f t="shared" si="91"/>
        <v>0</v>
      </c>
      <c r="Q100" s="229">
        <f t="shared" si="91"/>
        <v>0</v>
      </c>
      <c r="R100" s="229">
        <f t="shared" si="90"/>
        <v>0</v>
      </c>
      <c r="S100" s="229">
        <f t="shared" si="90"/>
        <v>0</v>
      </c>
      <c r="T100" s="229">
        <f t="shared" si="90"/>
        <v>0</v>
      </c>
      <c r="U100" s="229">
        <f t="shared" si="91"/>
        <v>0</v>
      </c>
      <c r="V100" s="229">
        <f t="shared" si="91"/>
        <v>0</v>
      </c>
      <c r="W100" s="229">
        <f t="shared" si="91"/>
        <v>0</v>
      </c>
      <c r="X100" s="229">
        <f t="shared" si="91"/>
        <v>0</v>
      </c>
      <c r="Y100" s="229">
        <f t="shared" si="91"/>
        <v>0</v>
      </c>
      <c r="Z100" s="229">
        <f t="shared" si="91"/>
        <v>0</v>
      </c>
      <c r="AA100" s="229">
        <f t="shared" si="91"/>
        <v>0</v>
      </c>
      <c r="AB100" s="229">
        <f t="shared" si="91"/>
        <v>0</v>
      </c>
      <c r="AC100" s="229">
        <f t="shared" si="91"/>
        <v>0</v>
      </c>
      <c r="AD100" s="229">
        <f t="shared" si="91"/>
        <v>0</v>
      </c>
      <c r="AE100" s="229">
        <f t="shared" si="91"/>
        <v>0</v>
      </c>
      <c r="AF100" s="229">
        <f t="shared" si="91"/>
        <v>0</v>
      </c>
      <c r="AG100" s="229">
        <f t="shared" si="91"/>
        <v>0</v>
      </c>
      <c r="AH100" s="229">
        <f t="shared" si="91"/>
        <v>0</v>
      </c>
      <c r="AI100" s="229">
        <f t="shared" si="91"/>
        <v>0</v>
      </c>
      <c r="AJ100" s="229">
        <f t="shared" si="91"/>
        <v>0</v>
      </c>
      <c r="AK100" s="229">
        <f t="shared" si="91"/>
        <v>0</v>
      </c>
      <c r="AL100" s="229">
        <f t="shared" si="91"/>
        <v>0</v>
      </c>
      <c r="AM100" s="229">
        <f t="shared" si="91"/>
        <v>0</v>
      </c>
      <c r="AN100" s="229">
        <f t="shared" si="91"/>
        <v>0</v>
      </c>
      <c r="AO100" s="229">
        <f t="shared" si="91"/>
        <v>0</v>
      </c>
      <c r="AP100" s="229">
        <f t="shared" si="91"/>
        <v>0</v>
      </c>
      <c r="AQ100" s="229">
        <f t="shared" si="91"/>
        <v>0</v>
      </c>
      <c r="AR100" s="229">
        <f t="shared" si="92"/>
        <v>0</v>
      </c>
      <c r="AS100" s="229">
        <f t="shared" si="92"/>
        <v>0</v>
      </c>
      <c r="AT100" s="229">
        <f t="shared" si="92"/>
        <v>0</v>
      </c>
      <c r="AU100" s="229">
        <f t="shared" si="92"/>
        <v>0</v>
      </c>
      <c r="AV100" s="229">
        <f t="shared" si="92"/>
        <v>0</v>
      </c>
      <c r="AW100" s="229">
        <f t="shared" si="92"/>
        <v>0</v>
      </c>
      <c r="AX100" s="229">
        <f t="shared" si="92"/>
        <v>0</v>
      </c>
      <c r="AY100" s="229">
        <f t="shared" si="92"/>
        <v>0</v>
      </c>
      <c r="AZ100" s="229">
        <f t="shared" si="92"/>
        <v>0</v>
      </c>
      <c r="BA100" s="229">
        <f t="shared" si="92"/>
        <v>0</v>
      </c>
      <c r="BB100" s="229">
        <f t="shared" si="92"/>
        <v>0</v>
      </c>
      <c r="BC100" s="229">
        <f t="shared" si="93"/>
        <v>0</v>
      </c>
      <c r="BD100" s="229">
        <f t="shared" si="93"/>
        <v>0</v>
      </c>
      <c r="BE100" s="229">
        <f t="shared" si="93"/>
        <v>0</v>
      </c>
      <c r="BF100" s="229">
        <f t="shared" si="93"/>
        <v>0</v>
      </c>
      <c r="BG100" s="229">
        <f t="shared" si="93"/>
        <v>0</v>
      </c>
      <c r="BH100" s="229">
        <f t="shared" si="93"/>
        <v>0</v>
      </c>
      <c r="BI100" s="229">
        <f t="shared" si="93"/>
        <v>0</v>
      </c>
      <c r="BJ100" s="229">
        <f t="shared" si="93"/>
        <v>0</v>
      </c>
      <c r="BK100" s="229">
        <f t="shared" si="93"/>
        <v>0</v>
      </c>
      <c r="BL100" s="229">
        <f t="shared" si="93"/>
        <v>0</v>
      </c>
      <c r="BM100" s="229">
        <f t="shared" si="94"/>
        <v>0</v>
      </c>
      <c r="BN100" s="229">
        <f t="shared" si="94"/>
        <v>0</v>
      </c>
      <c r="BO100" s="229">
        <f t="shared" si="94"/>
        <v>0</v>
      </c>
      <c r="BP100" s="229">
        <f t="shared" si="94"/>
        <v>0</v>
      </c>
      <c r="BQ100" s="229">
        <f t="shared" si="94"/>
        <v>0</v>
      </c>
      <c r="BR100" s="229">
        <f t="shared" si="94"/>
        <v>0</v>
      </c>
      <c r="BS100" s="229">
        <f t="shared" si="94"/>
        <v>0</v>
      </c>
      <c r="BT100" s="229">
        <f t="shared" si="94"/>
        <v>0</v>
      </c>
      <c r="BU100" s="229">
        <f t="shared" si="94"/>
        <v>0</v>
      </c>
      <c r="BV100" s="229">
        <f t="shared" si="94"/>
        <v>0</v>
      </c>
      <c r="BW100" s="229">
        <f t="shared" si="94"/>
        <v>0</v>
      </c>
      <c r="BX100" s="229">
        <f t="shared" si="94"/>
        <v>0</v>
      </c>
      <c r="BY100" s="229">
        <f t="shared" si="94"/>
        <v>0</v>
      </c>
      <c r="BZ100" s="229">
        <f t="shared" si="94"/>
        <v>0</v>
      </c>
      <c r="CA100" s="229">
        <f t="shared" si="94"/>
        <v>0</v>
      </c>
      <c r="CB100" s="229">
        <f t="shared" si="95"/>
        <v>0</v>
      </c>
      <c r="CC100" s="229">
        <f t="shared" si="95"/>
        <v>0</v>
      </c>
      <c r="CD100" s="229">
        <f t="shared" si="95"/>
        <v>0</v>
      </c>
      <c r="CE100" s="229">
        <f t="shared" si="95"/>
        <v>0</v>
      </c>
      <c r="CF100" s="229">
        <f t="shared" si="95"/>
        <v>0</v>
      </c>
      <c r="CG100" s="229">
        <f t="shared" si="95"/>
        <v>0</v>
      </c>
      <c r="CH100" s="229">
        <f t="shared" si="95"/>
        <v>0</v>
      </c>
      <c r="CI100" s="229">
        <f t="shared" si="95"/>
        <v>0</v>
      </c>
      <c r="CJ100" s="229">
        <f t="shared" si="95"/>
        <v>0</v>
      </c>
      <c r="CK100" s="229">
        <f t="shared" si="95"/>
        <v>0</v>
      </c>
      <c r="CL100" s="229">
        <f t="shared" si="95"/>
        <v>0</v>
      </c>
      <c r="CM100" s="229">
        <f t="shared" si="95"/>
        <v>0</v>
      </c>
      <c r="CN100" s="229">
        <f t="shared" si="95"/>
        <v>0</v>
      </c>
      <c r="CO100" s="229">
        <f t="shared" si="95"/>
        <v>0</v>
      </c>
      <c r="CP100" s="229">
        <f t="shared" si="95"/>
        <v>0</v>
      </c>
      <c r="CQ100" s="229">
        <f t="shared" si="95"/>
        <v>0</v>
      </c>
      <c r="CR100" s="229">
        <f t="shared" si="95"/>
        <v>0</v>
      </c>
      <c r="CS100" s="230"/>
      <c r="CT100" s="231"/>
      <c r="CU100" s="231"/>
      <c r="CV100" s="231"/>
      <c r="CW100" s="231"/>
      <c r="CX100" s="231"/>
      <c r="CY100" s="231"/>
      <c r="CZ100" s="231"/>
      <c r="DA100" s="231"/>
      <c r="DB100" s="231">
        <f>IF(SUM(DB$24:DB99)=DB$22,0,IF(AND($K100&gt;=DB$15,$K100&lt;(DB$16+1)),DB$22/(DB$16-DB$15+1),0))</f>
        <v>0</v>
      </c>
      <c r="DC100" s="231">
        <f t="shared" ref="DC100:DO109" si="97">IF(AND($K100&gt;=DC$15,$K100&lt;(DC$16+1)),DC$22/(DC$16-DC$15+1),0)</f>
        <v>0</v>
      </c>
      <c r="DD100" s="231">
        <f t="shared" si="97"/>
        <v>0</v>
      </c>
      <c r="DE100" s="231">
        <f t="shared" si="97"/>
        <v>0</v>
      </c>
      <c r="DF100" s="231">
        <f t="shared" si="97"/>
        <v>0</v>
      </c>
      <c r="DG100" s="231">
        <f t="shared" si="97"/>
        <v>0</v>
      </c>
      <c r="DH100" s="231">
        <f t="shared" si="97"/>
        <v>0</v>
      </c>
      <c r="DI100" s="231">
        <f t="shared" si="97"/>
        <v>0</v>
      </c>
      <c r="DJ100" s="231">
        <f t="shared" si="97"/>
        <v>0</v>
      </c>
      <c r="DK100" s="231">
        <f t="shared" si="97"/>
        <v>0</v>
      </c>
      <c r="DL100" s="231">
        <f t="shared" si="97"/>
        <v>0</v>
      </c>
      <c r="DM100" s="231">
        <f t="shared" si="97"/>
        <v>0</v>
      </c>
      <c r="DN100" s="231">
        <f t="shared" si="97"/>
        <v>0</v>
      </c>
      <c r="DO100" s="231">
        <f t="shared" si="97"/>
        <v>0</v>
      </c>
      <c r="DP100" s="231">
        <f>'Offshore CF'!DR100</f>
        <v>0</v>
      </c>
      <c r="DQ100" s="231">
        <f>'Offshore CF'!DS100</f>
        <v>0</v>
      </c>
      <c r="DR100" s="231">
        <f ca="1">IF(SUM(DR$24:DR99)=DR$22,0,IF(AND($K100&gt;=DR$15,$K100&lt;(DR$16+1)),DR$22/(DR$16-DR$15+1),0))</f>
        <v>0</v>
      </c>
      <c r="DS100" s="231" t="e">
        <f ca="1">IF(SUM(DS$24:DS99)=DS$22,0,IF(AND($K100&gt;=DS$15,$K100&lt;(DS$16+1)),DS$22/(DS$16-DS$15+1),0))</f>
        <v>#REF!</v>
      </c>
      <c r="DT100" s="231" t="e">
        <f ca="1">IF(SUM(DT$24:DT99)=DT$22,0,IF(AND(K100&gt;=DT$15,K100&lt;(DT$16+1)),DT$22/(DT$16-DT$15+1),0))</f>
        <v>#REF!</v>
      </c>
      <c r="DU100" s="231" t="e">
        <f ca="1">IF(SUM(DU$24:DU99)=DU$22,0,IF(AND($K100&gt;=DU$15,$K100&lt;(DU$16+1)),DU$22/(DU$16-DU$15+1),0))</f>
        <v>#REF!</v>
      </c>
      <c r="DV100" s="231">
        <f ca="1">IF(SUM(DV$24:DV99)=DV$22,0,IF(AND($K100&gt;=DV$15,$K100&lt;(DV$16+1)),DV$22/(DV$16-DV$15+1),0))</f>
        <v>0</v>
      </c>
      <c r="DW100" s="231">
        <f ca="1">IF(SUM(DW$24:DW99)=DW$22,0,IF(AND($K100&gt;=DW$15,$K100&lt;(DW$16+1)),DW$22/(DW$16-DW$15+1),0))</f>
        <v>0</v>
      </c>
      <c r="DX100" s="231">
        <f ca="1">IF(SUM(DX$24:DX99)=DX$22,0,IF(AND($K100&gt;=DX$15,$K100&lt;(DX$16+1)),DX$22/(DX$16-DX$15+1),0))</f>
        <v>0</v>
      </c>
      <c r="DY100" s="231">
        <f ca="1">IF(SUM(DY$24:DY99)=DY$22,0,IF(AND($K100&gt;=DY$15,$K100&lt;(DY$16+1)),DY$22/(DY$16-DY$15+1),0))</f>
        <v>0</v>
      </c>
      <c r="EA100" s="749">
        <f t="shared" si="80"/>
        <v>77</v>
      </c>
      <c r="EB100" s="749" t="e">
        <f t="shared" ca="1" si="81"/>
        <v>#REF!</v>
      </c>
      <c r="EC100" s="750" t="e">
        <f t="shared" ca="1" si="82"/>
        <v>#REF!</v>
      </c>
      <c r="ED100" s="749" t="e">
        <f t="shared" ca="1" si="96"/>
        <v>#REF!</v>
      </c>
      <c r="EE100" s="749"/>
      <c r="EF100" s="749"/>
      <c r="EG100" s="749"/>
      <c r="EH100" s="749"/>
      <c r="EI100" s="714" t="e">
        <f t="shared" ca="1" si="83"/>
        <v>#REF!</v>
      </c>
      <c r="EJ100" s="231" t="e">
        <f ca="1">IF(SUM(EJ$24:EJ99)=EJ$22,0,IF(AND($K100&gt;=EJ$15,$K100&lt;(EJ$16+1)),EJ$22/(EJ$16-EJ$15+1),0))</f>
        <v>#REF!</v>
      </c>
      <c r="EK100" s="714" t="e">
        <f t="shared" ca="1" si="54"/>
        <v>#REF!</v>
      </c>
      <c r="EM100" s="60"/>
      <c r="EN100" s="60"/>
    </row>
    <row r="101" spans="1:144" ht="13.9" customHeight="1">
      <c r="A101" s="220"/>
      <c r="B101" s="236">
        <f t="shared" si="84"/>
        <v>78</v>
      </c>
      <c r="C101" s="221">
        <f t="shared" si="85"/>
        <v>45813.085900000122</v>
      </c>
      <c r="D101" s="746" t="e">
        <f t="shared" ca="1" si="86"/>
        <v>#DIV/0!</v>
      </c>
      <c r="E101" s="747" t="e">
        <f t="shared" ca="1" si="88"/>
        <v>#DIV/0!</v>
      </c>
      <c r="F101" s="748" t="e">
        <f ca="1">IF(F100=0,0,SUM($G$24:G101))</f>
        <v>#DIV/0!</v>
      </c>
      <c r="G101" s="225" t="e">
        <f t="shared" ca="1" si="77"/>
        <v>#DIV/0!</v>
      </c>
      <c r="H101" s="746">
        <f t="shared" ca="1" si="87"/>
        <v>0</v>
      </c>
      <c r="I101" s="60"/>
      <c r="J101" s="228"/>
      <c r="K101" s="228">
        <f t="shared" si="78"/>
        <v>78</v>
      </c>
      <c r="L101" s="221">
        <f t="shared" si="79"/>
        <v>45813.085900000122</v>
      </c>
      <c r="M101" s="229">
        <f t="shared" si="91"/>
        <v>0</v>
      </c>
      <c r="N101" s="229">
        <f t="shared" si="91"/>
        <v>0</v>
      </c>
      <c r="O101" s="229">
        <f t="shared" si="91"/>
        <v>0</v>
      </c>
      <c r="P101" s="229">
        <f t="shared" si="91"/>
        <v>0</v>
      </c>
      <c r="Q101" s="229">
        <f t="shared" si="91"/>
        <v>0</v>
      </c>
      <c r="R101" s="229">
        <f t="shared" si="90"/>
        <v>0</v>
      </c>
      <c r="S101" s="229">
        <f t="shared" si="90"/>
        <v>0</v>
      </c>
      <c r="T101" s="229">
        <f t="shared" si="90"/>
        <v>0</v>
      </c>
      <c r="U101" s="229">
        <f t="shared" si="91"/>
        <v>0</v>
      </c>
      <c r="V101" s="229">
        <f t="shared" si="91"/>
        <v>0</v>
      </c>
      <c r="W101" s="229">
        <f t="shared" si="91"/>
        <v>0</v>
      </c>
      <c r="X101" s="229">
        <f t="shared" si="91"/>
        <v>0</v>
      </c>
      <c r="Y101" s="229">
        <f t="shared" si="91"/>
        <v>0</v>
      </c>
      <c r="Z101" s="229">
        <f t="shared" si="91"/>
        <v>0</v>
      </c>
      <c r="AA101" s="229">
        <f t="shared" si="91"/>
        <v>0</v>
      </c>
      <c r="AB101" s="229">
        <f t="shared" si="91"/>
        <v>0</v>
      </c>
      <c r="AC101" s="229">
        <f t="shared" si="91"/>
        <v>0</v>
      </c>
      <c r="AD101" s="229">
        <f t="shared" ref="P101:AD111" si="98">IF($K101=AD$13,AD$22*AD$3,IF($K101=AD$14,AD$22*AD$4,IF($K101=AD$15,AD$22*AD$5,IF($K101=AD$16,AD$22*AD$6,IF($K101=AD$17,AD$22*AD$7,IF($K101=AD$18,AD$22*AD$8,IF($K101=AD$19,AD$22*AD$9,IF($K101=AD$20,AD$22*AD$10,0))))))))</f>
        <v>0</v>
      </c>
      <c r="AE101" s="229">
        <f t="shared" si="91"/>
        <v>0</v>
      </c>
      <c r="AF101" s="229">
        <f t="shared" si="91"/>
        <v>0</v>
      </c>
      <c r="AG101" s="229">
        <f t="shared" si="91"/>
        <v>0</v>
      </c>
      <c r="AH101" s="229">
        <f t="shared" si="91"/>
        <v>0</v>
      </c>
      <c r="AI101" s="229">
        <f t="shared" si="91"/>
        <v>0</v>
      </c>
      <c r="AJ101" s="229">
        <f t="shared" si="91"/>
        <v>0</v>
      </c>
      <c r="AK101" s="229">
        <f t="shared" si="91"/>
        <v>0</v>
      </c>
      <c r="AL101" s="229">
        <f t="shared" si="91"/>
        <v>0</v>
      </c>
      <c r="AM101" s="229">
        <f t="shared" si="91"/>
        <v>0</v>
      </c>
      <c r="AN101" s="229">
        <f t="shared" si="91"/>
        <v>0</v>
      </c>
      <c r="AO101" s="229">
        <f t="shared" si="91"/>
        <v>0</v>
      </c>
      <c r="AP101" s="229">
        <f t="shared" si="91"/>
        <v>0</v>
      </c>
      <c r="AQ101" s="229">
        <f t="shared" si="91"/>
        <v>0</v>
      </c>
      <c r="AR101" s="229">
        <f t="shared" si="92"/>
        <v>0</v>
      </c>
      <c r="AS101" s="229">
        <f t="shared" si="92"/>
        <v>0</v>
      </c>
      <c r="AT101" s="229">
        <f t="shared" si="92"/>
        <v>0</v>
      </c>
      <c r="AU101" s="229">
        <f t="shared" si="92"/>
        <v>0</v>
      </c>
      <c r="AV101" s="229">
        <f t="shared" si="92"/>
        <v>0</v>
      </c>
      <c r="AW101" s="229">
        <f t="shared" si="92"/>
        <v>0</v>
      </c>
      <c r="AX101" s="229">
        <f t="shared" si="92"/>
        <v>0</v>
      </c>
      <c r="AY101" s="229">
        <f t="shared" si="92"/>
        <v>0</v>
      </c>
      <c r="AZ101" s="229">
        <f t="shared" si="92"/>
        <v>0</v>
      </c>
      <c r="BA101" s="229">
        <f t="shared" si="92"/>
        <v>0</v>
      </c>
      <c r="BB101" s="229">
        <f t="shared" si="92"/>
        <v>0</v>
      </c>
      <c r="BC101" s="229">
        <f t="shared" si="93"/>
        <v>0</v>
      </c>
      <c r="BD101" s="229">
        <f t="shared" si="93"/>
        <v>0</v>
      </c>
      <c r="BE101" s="229">
        <f t="shared" si="93"/>
        <v>0</v>
      </c>
      <c r="BF101" s="229">
        <f t="shared" si="93"/>
        <v>0</v>
      </c>
      <c r="BG101" s="229">
        <f t="shared" si="93"/>
        <v>0</v>
      </c>
      <c r="BH101" s="229">
        <f t="shared" si="93"/>
        <v>0</v>
      </c>
      <c r="BI101" s="229">
        <f t="shared" si="93"/>
        <v>0</v>
      </c>
      <c r="BJ101" s="229">
        <f t="shared" si="93"/>
        <v>0</v>
      </c>
      <c r="BK101" s="229">
        <f t="shared" si="93"/>
        <v>0</v>
      </c>
      <c r="BL101" s="229">
        <f t="shared" si="93"/>
        <v>0</v>
      </c>
      <c r="BM101" s="229">
        <f t="shared" si="94"/>
        <v>0</v>
      </c>
      <c r="BN101" s="229">
        <f t="shared" si="94"/>
        <v>0</v>
      </c>
      <c r="BO101" s="229">
        <f t="shared" si="94"/>
        <v>0</v>
      </c>
      <c r="BP101" s="229">
        <f t="shared" si="94"/>
        <v>0</v>
      </c>
      <c r="BQ101" s="229">
        <f t="shared" si="94"/>
        <v>0</v>
      </c>
      <c r="BR101" s="229">
        <f t="shared" si="94"/>
        <v>0</v>
      </c>
      <c r="BS101" s="229">
        <f t="shared" si="94"/>
        <v>0</v>
      </c>
      <c r="BT101" s="229">
        <f t="shared" si="94"/>
        <v>0</v>
      </c>
      <c r="BU101" s="229">
        <f t="shared" si="94"/>
        <v>0</v>
      </c>
      <c r="BV101" s="229">
        <f t="shared" si="94"/>
        <v>0</v>
      </c>
      <c r="BW101" s="229">
        <f t="shared" si="94"/>
        <v>0</v>
      </c>
      <c r="BX101" s="229">
        <f t="shared" si="94"/>
        <v>0</v>
      </c>
      <c r="BY101" s="229">
        <f t="shared" si="94"/>
        <v>0</v>
      </c>
      <c r="BZ101" s="229">
        <f t="shared" si="94"/>
        <v>0</v>
      </c>
      <c r="CA101" s="229">
        <f t="shared" si="94"/>
        <v>0</v>
      </c>
      <c r="CB101" s="229">
        <f t="shared" si="95"/>
        <v>0</v>
      </c>
      <c r="CC101" s="229">
        <f t="shared" si="95"/>
        <v>0</v>
      </c>
      <c r="CD101" s="229">
        <f t="shared" si="95"/>
        <v>0</v>
      </c>
      <c r="CE101" s="229">
        <f t="shared" si="95"/>
        <v>0</v>
      </c>
      <c r="CF101" s="229">
        <f t="shared" si="95"/>
        <v>0</v>
      </c>
      <c r="CG101" s="229">
        <f t="shared" si="95"/>
        <v>0</v>
      </c>
      <c r="CH101" s="229">
        <f t="shared" si="95"/>
        <v>0</v>
      </c>
      <c r="CI101" s="229">
        <f t="shared" si="95"/>
        <v>0</v>
      </c>
      <c r="CJ101" s="229">
        <f t="shared" si="95"/>
        <v>0</v>
      </c>
      <c r="CK101" s="229">
        <f t="shared" si="95"/>
        <v>0</v>
      </c>
      <c r="CL101" s="229">
        <f t="shared" si="95"/>
        <v>0</v>
      </c>
      <c r="CM101" s="229">
        <f t="shared" si="95"/>
        <v>0</v>
      </c>
      <c r="CN101" s="229">
        <f t="shared" si="95"/>
        <v>0</v>
      </c>
      <c r="CO101" s="229">
        <f t="shared" si="95"/>
        <v>0</v>
      </c>
      <c r="CP101" s="229">
        <f t="shared" si="95"/>
        <v>0</v>
      </c>
      <c r="CQ101" s="229">
        <f t="shared" si="95"/>
        <v>0</v>
      </c>
      <c r="CR101" s="229">
        <f t="shared" si="95"/>
        <v>0</v>
      </c>
      <c r="CS101" s="230"/>
      <c r="CT101" s="231"/>
      <c r="CU101" s="231"/>
      <c r="CV101" s="231"/>
      <c r="CW101" s="231"/>
      <c r="CX101" s="231"/>
      <c r="CY101" s="231"/>
      <c r="CZ101" s="231"/>
      <c r="DA101" s="231"/>
      <c r="DB101" s="231">
        <f>IF(SUM(DB$24:DB100)=DB$22,0,IF(AND($K101&gt;=DB$15,$K101&lt;(DB$16+1)),DB$22/(DB$16-DB$15+1),0))</f>
        <v>0</v>
      </c>
      <c r="DC101" s="231">
        <f t="shared" si="97"/>
        <v>0</v>
      </c>
      <c r="DD101" s="231">
        <f t="shared" si="97"/>
        <v>0</v>
      </c>
      <c r="DE101" s="231">
        <f t="shared" si="97"/>
        <v>0</v>
      </c>
      <c r="DF101" s="231">
        <f t="shared" si="97"/>
        <v>0</v>
      </c>
      <c r="DG101" s="231">
        <f t="shared" si="97"/>
        <v>0</v>
      </c>
      <c r="DH101" s="231">
        <f t="shared" si="97"/>
        <v>0</v>
      </c>
      <c r="DI101" s="231">
        <f t="shared" si="97"/>
        <v>0</v>
      </c>
      <c r="DJ101" s="231">
        <f t="shared" si="97"/>
        <v>0</v>
      </c>
      <c r="DK101" s="231">
        <f t="shared" si="97"/>
        <v>0</v>
      </c>
      <c r="DL101" s="231">
        <f t="shared" si="97"/>
        <v>0</v>
      </c>
      <c r="DM101" s="231">
        <f t="shared" si="97"/>
        <v>0</v>
      </c>
      <c r="DN101" s="231">
        <f t="shared" si="97"/>
        <v>0</v>
      </c>
      <c r="DO101" s="231">
        <f t="shared" si="97"/>
        <v>0</v>
      </c>
      <c r="DP101" s="231">
        <f>'Offshore CF'!DR101</f>
        <v>0</v>
      </c>
      <c r="DQ101" s="231">
        <f>'Offshore CF'!DS101</f>
        <v>0</v>
      </c>
      <c r="DR101" s="231">
        <f ca="1">IF(SUM(DR$24:DR100)=DR$22,0,IF(AND($K101&gt;=DR$15,$K101&lt;(DR$16+1)),DR$22/(DR$16-DR$15+1),0))</f>
        <v>0</v>
      </c>
      <c r="DS101" s="231" t="e">
        <f ca="1">IF(SUM(DS$24:DS100)=DS$22,0,IF(AND($K101&gt;=DS$15,$K101&lt;(DS$16+1)),DS$22/(DS$16-DS$15+1),0))</f>
        <v>#REF!</v>
      </c>
      <c r="DT101" s="231" t="e">
        <f ca="1">IF(SUM(DT$24:DT100)=DT$22,0,IF(AND(K101&gt;=DT$15,K101&lt;(DT$16+1)),DT$22/(DT$16-DT$15+1),0))</f>
        <v>#REF!</v>
      </c>
      <c r="DU101" s="231" t="e">
        <f ca="1">IF(SUM(DU$24:DU100)=DU$22,0,IF(AND($K101&gt;=DU$15,$K101&lt;(DU$16+1)),DU$22/(DU$16-DU$15+1),0))</f>
        <v>#REF!</v>
      </c>
      <c r="DV101" s="231">
        <f ca="1">IF(SUM(DV$24:DV100)=DV$22,0,IF(AND($K101&gt;=DV$15,$K101&lt;(DV$16+1)),DV$22/(DV$16-DV$15+1),0))</f>
        <v>0</v>
      </c>
      <c r="DW101" s="231">
        <f ca="1">IF(SUM(DW$24:DW100)=DW$22,0,IF(AND($K101&gt;=DW$15,$K101&lt;(DW$16+1)),DW$22/(DW$16-DW$15+1),0))</f>
        <v>0</v>
      </c>
      <c r="DX101" s="231">
        <f ca="1">IF(SUM(DX$24:DX100)=DX$22,0,IF(AND($K101&gt;=DX$15,$K101&lt;(DX$16+1)),DX$22/(DX$16-DX$15+1),0))</f>
        <v>0</v>
      </c>
      <c r="DY101" s="231">
        <f ca="1">IF(SUM(DY$24:DY100)=DY$22,0,IF(AND($K101&gt;=DY$15,$K101&lt;(DY$16+1)),DY$22/(DY$16-DY$15+1),0))</f>
        <v>0</v>
      </c>
      <c r="EA101" s="749">
        <f t="shared" si="80"/>
        <v>78</v>
      </c>
      <c r="EB101" s="749" t="e">
        <f t="shared" ca="1" si="81"/>
        <v>#REF!</v>
      </c>
      <c r="EC101" s="750" t="e">
        <f t="shared" ca="1" si="82"/>
        <v>#REF!</v>
      </c>
      <c r="ED101" s="749" t="e">
        <f t="shared" ca="1" si="96"/>
        <v>#N/A</v>
      </c>
      <c r="EE101" s="749"/>
      <c r="EF101" s="749"/>
      <c r="EG101" s="749"/>
      <c r="EH101" s="749"/>
      <c r="EI101" s="714" t="e">
        <f t="shared" ca="1" si="83"/>
        <v>#REF!</v>
      </c>
      <c r="EJ101" s="231" t="e">
        <f ca="1">IF(SUM(EJ$24:EJ100)=EJ$22,0,IF(AND($K101&gt;=EJ$15,$K101&lt;(EJ$16+1)),EJ$22/(EJ$16-EJ$15+1),0))</f>
        <v>#REF!</v>
      </c>
      <c r="EK101" s="714" t="e">
        <f t="shared" ca="1" si="54"/>
        <v>#REF!</v>
      </c>
      <c r="EM101" s="60"/>
      <c r="EN101" s="60"/>
    </row>
    <row r="102" spans="1:144" ht="13.9" customHeight="1">
      <c r="A102" s="220"/>
      <c r="B102" s="236">
        <f t="shared" si="84"/>
        <v>79</v>
      </c>
      <c r="C102" s="221">
        <f t="shared" si="85"/>
        <v>45843.502600000123</v>
      </c>
      <c r="D102" s="746" t="e">
        <f t="shared" ca="1" si="86"/>
        <v>#DIV/0!</v>
      </c>
      <c r="E102" s="747" t="e">
        <f t="shared" ca="1" si="88"/>
        <v>#DIV/0!</v>
      </c>
      <c r="F102" s="748" t="e">
        <f ca="1">IF(F101=0,0,SUM($G$24:G102))</f>
        <v>#DIV/0!</v>
      </c>
      <c r="G102" s="225" t="e">
        <f t="shared" ca="1" si="77"/>
        <v>#DIV/0!</v>
      </c>
      <c r="H102" s="746">
        <f t="shared" ca="1" si="87"/>
        <v>0</v>
      </c>
      <c r="I102" s="60"/>
      <c r="J102" s="228"/>
      <c r="K102" s="228">
        <f t="shared" si="78"/>
        <v>79</v>
      </c>
      <c r="L102" s="221">
        <f t="shared" si="79"/>
        <v>45843.502600000123</v>
      </c>
      <c r="M102" s="229">
        <f t="shared" si="91"/>
        <v>0</v>
      </c>
      <c r="N102" s="229">
        <f t="shared" si="91"/>
        <v>0</v>
      </c>
      <c r="O102" s="229">
        <f t="shared" si="91"/>
        <v>0</v>
      </c>
      <c r="P102" s="229">
        <f t="shared" si="98"/>
        <v>0</v>
      </c>
      <c r="Q102" s="229">
        <f t="shared" si="98"/>
        <v>0</v>
      </c>
      <c r="R102" s="229">
        <f t="shared" si="98"/>
        <v>0</v>
      </c>
      <c r="S102" s="229">
        <f t="shared" si="98"/>
        <v>0</v>
      </c>
      <c r="T102" s="229">
        <f t="shared" si="98"/>
        <v>0</v>
      </c>
      <c r="U102" s="229">
        <f t="shared" si="98"/>
        <v>0</v>
      </c>
      <c r="V102" s="229">
        <f t="shared" si="98"/>
        <v>0</v>
      </c>
      <c r="W102" s="229">
        <f t="shared" si="98"/>
        <v>0</v>
      </c>
      <c r="X102" s="229">
        <f t="shared" si="98"/>
        <v>0</v>
      </c>
      <c r="Y102" s="229">
        <f t="shared" si="98"/>
        <v>0</v>
      </c>
      <c r="Z102" s="229">
        <f t="shared" si="98"/>
        <v>0</v>
      </c>
      <c r="AA102" s="229">
        <f t="shared" si="98"/>
        <v>0</v>
      </c>
      <c r="AB102" s="229">
        <f t="shared" si="98"/>
        <v>0</v>
      </c>
      <c r="AC102" s="229">
        <f t="shared" si="98"/>
        <v>0</v>
      </c>
      <c r="AD102" s="229">
        <f t="shared" si="98"/>
        <v>0</v>
      </c>
      <c r="AE102" s="229">
        <f t="shared" si="91"/>
        <v>0</v>
      </c>
      <c r="AF102" s="229">
        <f t="shared" si="91"/>
        <v>0</v>
      </c>
      <c r="AG102" s="229">
        <f t="shared" si="91"/>
        <v>0</v>
      </c>
      <c r="AH102" s="229">
        <f t="shared" si="91"/>
        <v>0</v>
      </c>
      <c r="AI102" s="229">
        <f t="shared" si="91"/>
        <v>0</v>
      </c>
      <c r="AJ102" s="229">
        <f t="shared" si="91"/>
        <v>0</v>
      </c>
      <c r="AK102" s="229">
        <f t="shared" si="91"/>
        <v>0</v>
      </c>
      <c r="AL102" s="229">
        <f t="shared" si="91"/>
        <v>0</v>
      </c>
      <c r="AM102" s="229">
        <f t="shared" si="91"/>
        <v>0</v>
      </c>
      <c r="AN102" s="229">
        <f t="shared" si="91"/>
        <v>0</v>
      </c>
      <c r="AO102" s="229">
        <f t="shared" si="91"/>
        <v>0</v>
      </c>
      <c r="AP102" s="229">
        <f t="shared" si="91"/>
        <v>0</v>
      </c>
      <c r="AQ102" s="229">
        <f t="shared" si="91"/>
        <v>0</v>
      </c>
      <c r="AR102" s="229">
        <f t="shared" si="92"/>
        <v>0</v>
      </c>
      <c r="AS102" s="229">
        <f t="shared" si="92"/>
        <v>0</v>
      </c>
      <c r="AT102" s="229">
        <f t="shared" si="92"/>
        <v>0</v>
      </c>
      <c r="AU102" s="229">
        <f t="shared" si="92"/>
        <v>0</v>
      </c>
      <c r="AV102" s="229">
        <f t="shared" si="92"/>
        <v>0</v>
      </c>
      <c r="AW102" s="229">
        <f t="shared" si="92"/>
        <v>0</v>
      </c>
      <c r="AX102" s="229">
        <f t="shared" si="92"/>
        <v>0</v>
      </c>
      <c r="AY102" s="229">
        <f t="shared" si="92"/>
        <v>0</v>
      </c>
      <c r="AZ102" s="229">
        <f t="shared" si="92"/>
        <v>0</v>
      </c>
      <c r="BA102" s="229">
        <f t="shared" si="92"/>
        <v>0</v>
      </c>
      <c r="BB102" s="229">
        <f t="shared" si="92"/>
        <v>0</v>
      </c>
      <c r="BC102" s="229">
        <f t="shared" si="93"/>
        <v>0</v>
      </c>
      <c r="BD102" s="229">
        <f t="shared" si="93"/>
        <v>0</v>
      </c>
      <c r="BE102" s="229">
        <f t="shared" si="93"/>
        <v>0</v>
      </c>
      <c r="BF102" s="229">
        <f t="shared" si="93"/>
        <v>0</v>
      </c>
      <c r="BG102" s="229">
        <f t="shared" si="93"/>
        <v>0</v>
      </c>
      <c r="BH102" s="229">
        <f t="shared" si="93"/>
        <v>0</v>
      </c>
      <c r="BI102" s="229">
        <f t="shared" si="93"/>
        <v>0</v>
      </c>
      <c r="BJ102" s="229">
        <f t="shared" si="93"/>
        <v>0</v>
      </c>
      <c r="BK102" s="229">
        <f t="shared" si="93"/>
        <v>0</v>
      </c>
      <c r="BL102" s="229">
        <f t="shared" si="93"/>
        <v>0</v>
      </c>
      <c r="BM102" s="229">
        <f t="shared" si="94"/>
        <v>0</v>
      </c>
      <c r="BN102" s="229">
        <f t="shared" si="94"/>
        <v>0</v>
      </c>
      <c r="BO102" s="229">
        <f t="shared" si="94"/>
        <v>0</v>
      </c>
      <c r="BP102" s="229">
        <f t="shared" si="94"/>
        <v>0</v>
      </c>
      <c r="BQ102" s="229">
        <f t="shared" si="94"/>
        <v>0</v>
      </c>
      <c r="BR102" s="229">
        <f t="shared" si="94"/>
        <v>0</v>
      </c>
      <c r="BS102" s="229">
        <f t="shared" si="94"/>
        <v>0</v>
      </c>
      <c r="BT102" s="229">
        <f t="shared" si="94"/>
        <v>0</v>
      </c>
      <c r="BU102" s="229">
        <f t="shared" si="94"/>
        <v>0</v>
      </c>
      <c r="BV102" s="229">
        <f t="shared" si="94"/>
        <v>0</v>
      </c>
      <c r="BW102" s="229">
        <f t="shared" si="94"/>
        <v>0</v>
      </c>
      <c r="BX102" s="229">
        <f t="shared" si="94"/>
        <v>0</v>
      </c>
      <c r="BY102" s="229">
        <f t="shared" si="94"/>
        <v>0</v>
      </c>
      <c r="BZ102" s="229">
        <f t="shared" si="94"/>
        <v>0</v>
      </c>
      <c r="CA102" s="229">
        <f t="shared" si="94"/>
        <v>0</v>
      </c>
      <c r="CB102" s="229">
        <f t="shared" si="95"/>
        <v>0</v>
      </c>
      <c r="CC102" s="229">
        <f t="shared" si="95"/>
        <v>0</v>
      </c>
      <c r="CD102" s="229">
        <f t="shared" si="95"/>
        <v>0</v>
      </c>
      <c r="CE102" s="229">
        <f t="shared" si="95"/>
        <v>0</v>
      </c>
      <c r="CF102" s="229">
        <f t="shared" si="95"/>
        <v>0</v>
      </c>
      <c r="CG102" s="229">
        <f t="shared" si="95"/>
        <v>0</v>
      </c>
      <c r="CH102" s="229">
        <f t="shared" si="95"/>
        <v>0</v>
      </c>
      <c r="CI102" s="229">
        <f t="shared" si="95"/>
        <v>0</v>
      </c>
      <c r="CJ102" s="229">
        <f t="shared" si="95"/>
        <v>0</v>
      </c>
      <c r="CK102" s="229">
        <f t="shared" si="95"/>
        <v>0</v>
      </c>
      <c r="CL102" s="229">
        <f t="shared" si="95"/>
        <v>0</v>
      </c>
      <c r="CM102" s="229">
        <f t="shared" si="95"/>
        <v>0</v>
      </c>
      <c r="CN102" s="229">
        <f t="shared" si="95"/>
        <v>0</v>
      </c>
      <c r="CO102" s="229">
        <f t="shared" si="95"/>
        <v>0</v>
      </c>
      <c r="CP102" s="229">
        <f t="shared" si="95"/>
        <v>0</v>
      </c>
      <c r="CQ102" s="229">
        <f t="shared" si="95"/>
        <v>0</v>
      </c>
      <c r="CR102" s="229">
        <f t="shared" si="95"/>
        <v>0</v>
      </c>
      <c r="CS102" s="230"/>
      <c r="CT102" s="231"/>
      <c r="CU102" s="231"/>
      <c r="CV102" s="231"/>
      <c r="CW102" s="231"/>
      <c r="CX102" s="231"/>
      <c r="CY102" s="231"/>
      <c r="CZ102" s="231"/>
      <c r="DA102" s="231" t="e">
        <f ca="1">IF(SUM(DA$32:DA101)&gt;=DA$22,0,DA$22/(DA$13*4))</f>
        <v>#N/A</v>
      </c>
      <c r="DB102" s="231">
        <f>IF(SUM(DB$24:DB101)=DB$22,0,IF(AND($K102&gt;=DB$15,$K102&lt;(DB$16+1)),DB$22/(DB$16-DB$15+1),0))</f>
        <v>0</v>
      </c>
      <c r="DC102" s="231">
        <f t="shared" si="97"/>
        <v>0</v>
      </c>
      <c r="DD102" s="231">
        <f t="shared" si="97"/>
        <v>0</v>
      </c>
      <c r="DE102" s="231">
        <f t="shared" si="97"/>
        <v>0</v>
      </c>
      <c r="DF102" s="231">
        <f t="shared" si="97"/>
        <v>0</v>
      </c>
      <c r="DG102" s="231">
        <f t="shared" si="97"/>
        <v>0</v>
      </c>
      <c r="DH102" s="231">
        <f t="shared" si="97"/>
        <v>0</v>
      </c>
      <c r="DI102" s="231">
        <f t="shared" si="97"/>
        <v>0</v>
      </c>
      <c r="DJ102" s="231">
        <f t="shared" si="97"/>
        <v>0</v>
      </c>
      <c r="DK102" s="231">
        <f t="shared" si="97"/>
        <v>0</v>
      </c>
      <c r="DL102" s="231">
        <f t="shared" si="97"/>
        <v>0</v>
      </c>
      <c r="DM102" s="231">
        <f t="shared" si="97"/>
        <v>0</v>
      </c>
      <c r="DN102" s="231">
        <f t="shared" si="97"/>
        <v>0</v>
      </c>
      <c r="DO102" s="231">
        <f t="shared" si="97"/>
        <v>0</v>
      </c>
      <c r="DP102" s="231">
        <f>'Offshore CF'!DR102</f>
        <v>0</v>
      </c>
      <c r="DQ102" s="231">
        <f>'Offshore CF'!DS102</f>
        <v>0</v>
      </c>
      <c r="DR102" s="231">
        <f ca="1">IF(SUM(DR$24:DR101)=DR$22,0,IF(AND($K102&gt;=DR$15,$K102&lt;(DR$16+1)),DR$22/(DR$16-DR$15+1),0))</f>
        <v>0</v>
      </c>
      <c r="DS102" s="231" t="e">
        <f ca="1">IF(SUM(DS$24:DS101)=DS$22,0,IF(AND($K102&gt;=DS$15,$K102&lt;(DS$16+1)),DS$22/(DS$16-DS$15+1),0))</f>
        <v>#REF!</v>
      </c>
      <c r="DT102" s="231" t="e">
        <f ca="1">IF(SUM(DT$24:DT101)=DT$22,0,IF(AND(K102&gt;=DT$15,K102&lt;(DT$16+1)),DT$22/(DT$16-DT$15+1),0))</f>
        <v>#REF!</v>
      </c>
      <c r="DU102" s="231" t="e">
        <f ca="1">IF(SUM(DU$24:DU101)=DU$22,0,IF(AND($K102&gt;=DU$15,$K102&lt;(DU$16+1)),DU$22/(DU$16-DU$15+1),0))</f>
        <v>#REF!</v>
      </c>
      <c r="DV102" s="231">
        <f ca="1">IF(SUM(DV$24:DV101)=DV$22,0,IF(AND($K102&gt;=DV$15,$K102&lt;(DV$16+1)),DV$22/(DV$16-DV$15+1),0))</f>
        <v>0</v>
      </c>
      <c r="DW102" s="231">
        <f ca="1">IF(SUM(DW$24:DW101)=DW$22,0,IF(AND($K102&gt;=DW$15,$K102&lt;(DW$16+1)),DW$22/(DW$16-DW$15+1),0))</f>
        <v>0</v>
      </c>
      <c r="DX102" s="231">
        <f ca="1">IF(SUM(DX$24:DX101)=DX$22,0,IF(AND($K102&gt;=DX$15,$K102&lt;(DX$16+1)),DX$22/(DX$16-DX$15+1),0))</f>
        <v>0</v>
      </c>
      <c r="DY102" s="231">
        <f ca="1">IF(SUM(DY$24:DY101)=DY$22,0,IF(AND($K102&gt;=DY$15,$K102&lt;(DY$16+1)),DY$22/(DY$16-DY$15+1),0))</f>
        <v>0</v>
      </c>
      <c r="EA102" s="749">
        <f t="shared" si="80"/>
        <v>79</v>
      </c>
      <c r="EB102" s="749" t="e">
        <f t="shared" ca="1" si="81"/>
        <v>#N/A</v>
      </c>
      <c r="EC102" s="750" t="e">
        <f t="shared" ca="1" si="82"/>
        <v>#N/A</v>
      </c>
      <c r="ED102" s="749" t="e">
        <f t="shared" ca="1" si="96"/>
        <v>#REF!</v>
      </c>
      <c r="EE102" s="749"/>
      <c r="EF102" s="749"/>
      <c r="EG102" s="749"/>
      <c r="EH102" s="749"/>
      <c r="EI102" s="714" t="e">
        <f t="shared" ca="1" si="83"/>
        <v>#N/A</v>
      </c>
      <c r="EJ102" s="231" t="e">
        <f ca="1">IF(SUM(EJ$24:EJ101)=EJ$22,0,IF(AND($K102&gt;=EJ$15,$K102&lt;(EJ$16+1)),EJ$22/(EJ$16-EJ$15+1),0))</f>
        <v>#REF!</v>
      </c>
      <c r="EK102" s="714" t="e">
        <f t="shared" ca="1" si="54"/>
        <v>#N/A</v>
      </c>
      <c r="EM102" s="60"/>
      <c r="EN102" s="60"/>
    </row>
    <row r="103" spans="1:144" ht="13.9" customHeight="1">
      <c r="A103" s="220"/>
      <c r="B103" s="236">
        <f t="shared" si="84"/>
        <v>80</v>
      </c>
      <c r="C103" s="221">
        <f t="shared" si="85"/>
        <v>45873.919300000125</v>
      </c>
      <c r="D103" s="746" t="e">
        <f t="shared" ca="1" si="86"/>
        <v>#DIV/0!</v>
      </c>
      <c r="E103" s="747" t="e">
        <f t="shared" ca="1" si="88"/>
        <v>#DIV/0!</v>
      </c>
      <c r="F103" s="748" t="e">
        <f ca="1">IF(F102=0,0,SUM($G$24:G103))</f>
        <v>#DIV/0!</v>
      </c>
      <c r="G103" s="225" t="e">
        <f t="shared" ca="1" si="77"/>
        <v>#DIV/0!</v>
      </c>
      <c r="H103" s="746">
        <f t="shared" ca="1" si="87"/>
        <v>0</v>
      </c>
      <c r="I103" s="60"/>
      <c r="J103" s="228"/>
      <c r="K103" s="228">
        <f t="shared" si="78"/>
        <v>80</v>
      </c>
      <c r="L103" s="221">
        <f t="shared" si="79"/>
        <v>45873.919300000125</v>
      </c>
      <c r="M103" s="229">
        <f t="shared" si="91"/>
        <v>0</v>
      </c>
      <c r="N103" s="229">
        <f t="shared" si="91"/>
        <v>0</v>
      </c>
      <c r="O103" s="229">
        <f t="shared" si="91"/>
        <v>0</v>
      </c>
      <c r="P103" s="229">
        <f t="shared" si="98"/>
        <v>0</v>
      </c>
      <c r="Q103" s="229">
        <f t="shared" si="98"/>
        <v>0</v>
      </c>
      <c r="R103" s="229">
        <f t="shared" si="98"/>
        <v>0</v>
      </c>
      <c r="S103" s="229">
        <f t="shared" si="98"/>
        <v>0</v>
      </c>
      <c r="T103" s="229">
        <f t="shared" si="98"/>
        <v>0</v>
      </c>
      <c r="U103" s="229">
        <f t="shared" si="98"/>
        <v>0</v>
      </c>
      <c r="V103" s="229">
        <f t="shared" si="98"/>
        <v>0</v>
      </c>
      <c r="W103" s="229">
        <f t="shared" si="98"/>
        <v>0</v>
      </c>
      <c r="X103" s="229">
        <f t="shared" si="98"/>
        <v>0</v>
      </c>
      <c r="Y103" s="229">
        <f t="shared" si="98"/>
        <v>0</v>
      </c>
      <c r="Z103" s="229">
        <f t="shared" si="98"/>
        <v>0</v>
      </c>
      <c r="AA103" s="229">
        <f t="shared" si="98"/>
        <v>0</v>
      </c>
      <c r="AB103" s="229">
        <f t="shared" si="98"/>
        <v>0</v>
      </c>
      <c r="AC103" s="229">
        <f t="shared" si="98"/>
        <v>0</v>
      </c>
      <c r="AD103" s="229">
        <f t="shared" si="98"/>
        <v>0</v>
      </c>
      <c r="AE103" s="229">
        <f t="shared" si="91"/>
        <v>0</v>
      </c>
      <c r="AF103" s="229">
        <f t="shared" si="91"/>
        <v>0</v>
      </c>
      <c r="AG103" s="229">
        <f t="shared" si="91"/>
        <v>0</v>
      </c>
      <c r="AH103" s="229">
        <f t="shared" si="91"/>
        <v>0</v>
      </c>
      <c r="AI103" s="229">
        <f t="shared" si="91"/>
        <v>0</v>
      </c>
      <c r="AJ103" s="229">
        <f t="shared" si="91"/>
        <v>0</v>
      </c>
      <c r="AK103" s="229">
        <f t="shared" si="91"/>
        <v>0</v>
      </c>
      <c r="AL103" s="229">
        <f t="shared" si="91"/>
        <v>0</v>
      </c>
      <c r="AM103" s="229">
        <f t="shared" si="91"/>
        <v>0</v>
      </c>
      <c r="AN103" s="229">
        <f t="shared" si="91"/>
        <v>0</v>
      </c>
      <c r="AO103" s="229">
        <f t="shared" si="91"/>
        <v>0</v>
      </c>
      <c r="AP103" s="229">
        <f t="shared" si="91"/>
        <v>0</v>
      </c>
      <c r="AQ103" s="229">
        <f t="shared" si="91"/>
        <v>0</v>
      </c>
      <c r="AR103" s="229">
        <f t="shared" si="92"/>
        <v>0</v>
      </c>
      <c r="AS103" s="229">
        <f t="shared" si="92"/>
        <v>0</v>
      </c>
      <c r="AT103" s="229">
        <f t="shared" si="92"/>
        <v>0</v>
      </c>
      <c r="AU103" s="229">
        <f t="shared" si="92"/>
        <v>0</v>
      </c>
      <c r="AV103" s="229">
        <f t="shared" si="92"/>
        <v>0</v>
      </c>
      <c r="AW103" s="229">
        <f t="shared" si="92"/>
        <v>0</v>
      </c>
      <c r="AX103" s="229">
        <f t="shared" si="92"/>
        <v>0</v>
      </c>
      <c r="AY103" s="229">
        <f t="shared" si="92"/>
        <v>0</v>
      </c>
      <c r="AZ103" s="229">
        <f t="shared" si="92"/>
        <v>0</v>
      </c>
      <c r="BA103" s="229">
        <f t="shared" si="92"/>
        <v>0</v>
      </c>
      <c r="BB103" s="229">
        <f t="shared" si="92"/>
        <v>0</v>
      </c>
      <c r="BC103" s="229">
        <f t="shared" si="93"/>
        <v>0</v>
      </c>
      <c r="BD103" s="229">
        <f t="shared" si="93"/>
        <v>0</v>
      </c>
      <c r="BE103" s="229">
        <f t="shared" si="93"/>
        <v>0</v>
      </c>
      <c r="BF103" s="229">
        <f t="shared" si="93"/>
        <v>0</v>
      </c>
      <c r="BG103" s="229">
        <f t="shared" si="93"/>
        <v>0</v>
      </c>
      <c r="BH103" s="229">
        <f t="shared" si="93"/>
        <v>0</v>
      </c>
      <c r="BI103" s="229">
        <f t="shared" si="93"/>
        <v>0</v>
      </c>
      <c r="BJ103" s="229">
        <f t="shared" si="93"/>
        <v>0</v>
      </c>
      <c r="BK103" s="229">
        <f t="shared" si="93"/>
        <v>0</v>
      </c>
      <c r="BL103" s="229">
        <f t="shared" si="93"/>
        <v>0</v>
      </c>
      <c r="BM103" s="229">
        <f t="shared" si="94"/>
        <v>0</v>
      </c>
      <c r="BN103" s="229">
        <f t="shared" si="94"/>
        <v>0</v>
      </c>
      <c r="BO103" s="229">
        <f t="shared" si="94"/>
        <v>0</v>
      </c>
      <c r="BP103" s="229">
        <f t="shared" si="94"/>
        <v>0</v>
      </c>
      <c r="BQ103" s="229">
        <f t="shared" si="94"/>
        <v>0</v>
      </c>
      <c r="BR103" s="229">
        <f t="shared" si="94"/>
        <v>0</v>
      </c>
      <c r="BS103" s="229">
        <f t="shared" si="94"/>
        <v>0</v>
      </c>
      <c r="BT103" s="229">
        <f t="shared" si="94"/>
        <v>0</v>
      </c>
      <c r="BU103" s="229">
        <f t="shared" si="94"/>
        <v>0</v>
      </c>
      <c r="BV103" s="229">
        <f t="shared" si="94"/>
        <v>0</v>
      </c>
      <c r="BW103" s="229">
        <f t="shared" si="94"/>
        <v>0</v>
      </c>
      <c r="BX103" s="229">
        <f t="shared" si="94"/>
        <v>0</v>
      </c>
      <c r="BY103" s="229">
        <f t="shared" si="94"/>
        <v>0</v>
      </c>
      <c r="BZ103" s="229">
        <f t="shared" si="94"/>
        <v>0</v>
      </c>
      <c r="CA103" s="229">
        <f t="shared" si="94"/>
        <v>0</v>
      </c>
      <c r="CB103" s="229">
        <f t="shared" si="95"/>
        <v>0</v>
      </c>
      <c r="CC103" s="229">
        <f t="shared" si="95"/>
        <v>0</v>
      </c>
      <c r="CD103" s="229">
        <f t="shared" si="95"/>
        <v>0</v>
      </c>
      <c r="CE103" s="229">
        <f t="shared" si="95"/>
        <v>0</v>
      </c>
      <c r="CF103" s="229">
        <f t="shared" si="95"/>
        <v>0</v>
      </c>
      <c r="CG103" s="229">
        <f t="shared" si="95"/>
        <v>0</v>
      </c>
      <c r="CH103" s="229">
        <f t="shared" si="95"/>
        <v>0</v>
      </c>
      <c r="CI103" s="229">
        <f t="shared" si="95"/>
        <v>0</v>
      </c>
      <c r="CJ103" s="229">
        <f t="shared" si="95"/>
        <v>0</v>
      </c>
      <c r="CK103" s="229">
        <f t="shared" si="95"/>
        <v>0</v>
      </c>
      <c r="CL103" s="229">
        <f t="shared" si="95"/>
        <v>0</v>
      </c>
      <c r="CM103" s="229">
        <f t="shared" si="95"/>
        <v>0</v>
      </c>
      <c r="CN103" s="229">
        <f t="shared" si="95"/>
        <v>0</v>
      </c>
      <c r="CO103" s="229">
        <f t="shared" si="95"/>
        <v>0</v>
      </c>
      <c r="CP103" s="229">
        <f t="shared" si="95"/>
        <v>0</v>
      </c>
      <c r="CQ103" s="229">
        <f t="shared" si="95"/>
        <v>0</v>
      </c>
      <c r="CR103" s="229">
        <f t="shared" si="95"/>
        <v>0</v>
      </c>
      <c r="CS103" s="230"/>
      <c r="CT103" s="231"/>
      <c r="CU103" s="231"/>
      <c r="CV103" s="231"/>
      <c r="CW103" s="231"/>
      <c r="CX103" s="231"/>
      <c r="CY103" s="231"/>
      <c r="CZ103" s="231"/>
      <c r="DA103" s="231"/>
      <c r="DB103" s="231">
        <f>IF(SUM(DB$24:DB102)=DB$22,0,IF(AND($K103&gt;=DB$15,$K103&lt;(DB$16+1)),DB$22/(DB$16-DB$15+1),0))</f>
        <v>0</v>
      </c>
      <c r="DC103" s="231">
        <f t="shared" si="97"/>
        <v>0</v>
      </c>
      <c r="DD103" s="231">
        <f t="shared" si="97"/>
        <v>0</v>
      </c>
      <c r="DE103" s="231">
        <f t="shared" si="97"/>
        <v>0</v>
      </c>
      <c r="DF103" s="231">
        <f t="shared" si="97"/>
        <v>0</v>
      </c>
      <c r="DG103" s="231">
        <f t="shared" si="97"/>
        <v>0</v>
      </c>
      <c r="DH103" s="231">
        <f t="shared" si="97"/>
        <v>0</v>
      </c>
      <c r="DI103" s="231">
        <f t="shared" si="97"/>
        <v>0</v>
      </c>
      <c r="DJ103" s="231">
        <f t="shared" si="97"/>
        <v>0</v>
      </c>
      <c r="DK103" s="231">
        <f t="shared" si="97"/>
        <v>0</v>
      </c>
      <c r="DL103" s="231">
        <f t="shared" si="97"/>
        <v>0</v>
      </c>
      <c r="DM103" s="231">
        <f t="shared" si="97"/>
        <v>0</v>
      </c>
      <c r="DN103" s="231">
        <f t="shared" si="97"/>
        <v>0</v>
      </c>
      <c r="DO103" s="231">
        <f t="shared" si="97"/>
        <v>0</v>
      </c>
      <c r="DP103" s="231">
        <f>'Offshore CF'!DR103</f>
        <v>0</v>
      </c>
      <c r="DQ103" s="231">
        <f>'Offshore CF'!DS103</f>
        <v>0</v>
      </c>
      <c r="DR103" s="231">
        <f ca="1">IF(SUM(DR$24:DR102)=DR$22,0,IF(AND($K103&gt;=DR$15,$K103&lt;(DR$16+1)),DR$22/(DR$16-DR$15+1),0))</f>
        <v>0</v>
      </c>
      <c r="DS103" s="231" t="e">
        <f ca="1">IF(SUM(DS$24:DS102)=DS$22,0,IF(AND($K103&gt;=DS$15,$K103&lt;(DS$16+1)),DS$22/(DS$16-DS$15+1),0))</f>
        <v>#REF!</v>
      </c>
      <c r="DT103" s="231" t="e">
        <f ca="1">IF(SUM(DT$24:DT102)=DT$22,0,IF(AND(K103&gt;=DT$15,K103&lt;(DT$16+1)),DT$22/(DT$16-DT$15+1),0))</f>
        <v>#REF!</v>
      </c>
      <c r="DU103" s="231" t="e">
        <f ca="1">IF(SUM(DU$24:DU102)=DU$22,0,IF(AND($K103&gt;=DU$15,$K103&lt;(DU$16+1)),DU$22/(DU$16-DU$15+1),0))</f>
        <v>#REF!</v>
      </c>
      <c r="DV103" s="231">
        <f ca="1">IF(SUM(DV$24:DV102)=DV$22,0,IF(AND($K103&gt;=DV$15,$K103&lt;(DV$16+1)),DV$22/(DV$16-DV$15+1),0))</f>
        <v>0</v>
      </c>
      <c r="DW103" s="231">
        <f ca="1">IF(SUM(DW$24:DW102)=DW$22,0,IF(AND($K103&gt;=DW$15,$K103&lt;(DW$16+1)),DW$22/(DW$16-DW$15+1),0))</f>
        <v>0</v>
      </c>
      <c r="DX103" s="231">
        <f ca="1">IF(SUM(DX$24:DX102)=DX$22,0,IF(AND($K103&gt;=DX$15,$K103&lt;(DX$16+1)),DX$22/(DX$16-DX$15+1),0))</f>
        <v>0</v>
      </c>
      <c r="DY103" s="231">
        <f ca="1">IF(SUM(DY$24:DY102)=DY$22,0,IF(AND($K103&gt;=DY$15,$K103&lt;(DY$16+1)),DY$22/(DY$16-DY$15+1),0))</f>
        <v>0</v>
      </c>
      <c r="EA103" s="749">
        <f t="shared" si="80"/>
        <v>80</v>
      </c>
      <c r="EB103" s="749" t="e">
        <f t="shared" ca="1" si="81"/>
        <v>#REF!</v>
      </c>
      <c r="EC103" s="750" t="e">
        <f t="shared" ca="1" si="82"/>
        <v>#REF!</v>
      </c>
      <c r="ED103" s="749" t="e">
        <f t="shared" ca="1" si="96"/>
        <v>#REF!</v>
      </c>
      <c r="EE103" s="749"/>
      <c r="EF103" s="749"/>
      <c r="EG103" s="749"/>
      <c r="EH103" s="749"/>
      <c r="EI103" s="714" t="e">
        <f t="shared" ca="1" si="83"/>
        <v>#REF!</v>
      </c>
      <c r="EJ103" s="231" t="e">
        <f ca="1">IF(SUM(EJ$24:EJ102)=EJ$22,0,IF(AND($K103&gt;=EJ$15,$K103&lt;(EJ$16+1)),EJ$22/(EJ$16-EJ$15+1),0))</f>
        <v>#REF!</v>
      </c>
      <c r="EK103" s="714" t="e">
        <f t="shared" ca="1" si="54"/>
        <v>#REF!</v>
      </c>
      <c r="EM103" s="60"/>
      <c r="EN103" s="60"/>
    </row>
    <row r="104" spans="1:144" ht="13.9" customHeight="1">
      <c r="A104" s="220"/>
      <c r="B104" s="236">
        <f t="shared" si="84"/>
        <v>81</v>
      </c>
      <c r="C104" s="221">
        <f t="shared" si="85"/>
        <v>45904.336000000127</v>
      </c>
      <c r="D104" s="746" t="e">
        <f t="shared" ca="1" si="86"/>
        <v>#DIV/0!</v>
      </c>
      <c r="E104" s="747" t="e">
        <f t="shared" ca="1" si="88"/>
        <v>#DIV/0!</v>
      </c>
      <c r="F104" s="748" t="e">
        <f ca="1">IF(F103=0,0,SUM($G$24:G104))</f>
        <v>#DIV/0!</v>
      </c>
      <c r="G104" s="225" t="e">
        <f t="shared" ca="1" si="77"/>
        <v>#DIV/0!</v>
      </c>
      <c r="H104" s="746">
        <f t="shared" ca="1" si="87"/>
        <v>0</v>
      </c>
      <c r="I104" s="60"/>
      <c r="J104" s="228"/>
      <c r="K104" s="228">
        <f t="shared" si="78"/>
        <v>81</v>
      </c>
      <c r="L104" s="221">
        <f t="shared" si="79"/>
        <v>45904.336000000127</v>
      </c>
      <c r="M104" s="229">
        <f t="shared" ref="M104:AQ113" si="99">IF($K104=M$13,M$22*M$3,IF($K104=M$14,M$22*M$4,IF($K104=M$15,M$22*M$5,IF($K104=M$16,M$22*M$6,IF($K104=M$17,M$22*M$7,IF($K104=M$18,M$22*M$8,IF($K104=M$19,M$22*M$9,IF($K104=M$20,M$22*M$10,0))))))))</f>
        <v>0</v>
      </c>
      <c r="N104" s="229">
        <f t="shared" si="99"/>
        <v>0</v>
      </c>
      <c r="O104" s="229">
        <f t="shared" si="99"/>
        <v>0</v>
      </c>
      <c r="P104" s="229">
        <f t="shared" si="99"/>
        <v>0</v>
      </c>
      <c r="Q104" s="229">
        <f t="shared" si="99"/>
        <v>0</v>
      </c>
      <c r="R104" s="229">
        <f t="shared" si="98"/>
        <v>0</v>
      </c>
      <c r="S104" s="229">
        <f t="shared" si="98"/>
        <v>0</v>
      </c>
      <c r="T104" s="229">
        <f t="shared" si="98"/>
        <v>0</v>
      </c>
      <c r="U104" s="229">
        <f t="shared" si="99"/>
        <v>0</v>
      </c>
      <c r="V104" s="229">
        <f t="shared" si="99"/>
        <v>0</v>
      </c>
      <c r="W104" s="229">
        <f t="shared" si="99"/>
        <v>0</v>
      </c>
      <c r="X104" s="229">
        <f t="shared" si="99"/>
        <v>0</v>
      </c>
      <c r="Y104" s="229">
        <f t="shared" si="99"/>
        <v>0</v>
      </c>
      <c r="Z104" s="229">
        <f t="shared" si="99"/>
        <v>0</v>
      </c>
      <c r="AA104" s="229">
        <f t="shared" si="99"/>
        <v>0</v>
      </c>
      <c r="AB104" s="229">
        <f t="shared" si="99"/>
        <v>0</v>
      </c>
      <c r="AC104" s="229">
        <f t="shared" si="99"/>
        <v>0</v>
      </c>
      <c r="AD104" s="229">
        <f t="shared" si="99"/>
        <v>0</v>
      </c>
      <c r="AE104" s="229">
        <f t="shared" si="99"/>
        <v>0</v>
      </c>
      <c r="AF104" s="229">
        <f t="shared" si="99"/>
        <v>0</v>
      </c>
      <c r="AG104" s="229">
        <f t="shared" si="99"/>
        <v>0</v>
      </c>
      <c r="AH104" s="229">
        <f t="shared" si="99"/>
        <v>0</v>
      </c>
      <c r="AI104" s="229">
        <f t="shared" si="99"/>
        <v>0</v>
      </c>
      <c r="AJ104" s="229">
        <f t="shared" si="99"/>
        <v>0</v>
      </c>
      <c r="AK104" s="229">
        <f t="shared" si="99"/>
        <v>0</v>
      </c>
      <c r="AL104" s="229">
        <f t="shared" si="99"/>
        <v>0</v>
      </c>
      <c r="AM104" s="229">
        <f t="shared" si="99"/>
        <v>0</v>
      </c>
      <c r="AN104" s="229">
        <f t="shared" si="99"/>
        <v>0</v>
      </c>
      <c r="AO104" s="229">
        <f t="shared" si="99"/>
        <v>0</v>
      </c>
      <c r="AP104" s="229">
        <f t="shared" si="99"/>
        <v>0</v>
      </c>
      <c r="AQ104" s="229">
        <f t="shared" si="99"/>
        <v>0</v>
      </c>
      <c r="AR104" s="229">
        <f t="shared" ref="AR104:BB113" si="100">IF($K104=AR$13,AR$22*AR$3,IF($K104=AR$14,AR$22*AR$4,IF($K104=AR$15,AR$22*AR$5,IF($K104=AR$16,AR$22*AR$6,IF($K104=AR$17,AR$22*AR$7,IF($K104=AR$18,AR$22*AR$8,IF($K104=AR$19,AR$22*AR$9,IF($K104=AR$20,AR$22*AR$10,0))))))))</f>
        <v>0</v>
      </c>
      <c r="AS104" s="229">
        <f t="shared" si="100"/>
        <v>0</v>
      </c>
      <c r="AT104" s="229">
        <f t="shared" si="100"/>
        <v>0</v>
      </c>
      <c r="AU104" s="229">
        <f t="shared" si="100"/>
        <v>0</v>
      </c>
      <c r="AV104" s="229">
        <f t="shared" si="100"/>
        <v>0</v>
      </c>
      <c r="AW104" s="229">
        <f t="shared" si="100"/>
        <v>0</v>
      </c>
      <c r="AX104" s="229">
        <f t="shared" si="100"/>
        <v>0</v>
      </c>
      <c r="AY104" s="229">
        <f t="shared" si="100"/>
        <v>0</v>
      </c>
      <c r="AZ104" s="229">
        <f t="shared" si="100"/>
        <v>0</v>
      </c>
      <c r="BA104" s="229">
        <f t="shared" si="100"/>
        <v>0</v>
      </c>
      <c r="BB104" s="229">
        <f t="shared" si="100"/>
        <v>0</v>
      </c>
      <c r="BC104" s="229">
        <f t="shared" ref="BC104:BL113" si="101">IF($K104=BC$13,BC$22*BC$3,IF($K104=BC$14,BC$22*BC$4,IF($K104=BC$15,BC$22*BC$5,IF($K104=BC$16,BC$22*BC$6,IF($K104=BC$17,BC$22*BC$7,IF($K104=BC$18,BC$22*BC$8,IF($K104=BC$19,BC$22*BC$9,IF($K104=BC$20,BC$22*BC$10,0))))))))</f>
        <v>0</v>
      </c>
      <c r="BD104" s="229">
        <f t="shared" si="101"/>
        <v>0</v>
      </c>
      <c r="BE104" s="229">
        <f t="shared" si="101"/>
        <v>0</v>
      </c>
      <c r="BF104" s="229">
        <f t="shared" si="101"/>
        <v>0</v>
      </c>
      <c r="BG104" s="229">
        <f t="shared" si="101"/>
        <v>0</v>
      </c>
      <c r="BH104" s="229">
        <f t="shared" si="101"/>
        <v>0</v>
      </c>
      <c r="BI104" s="229">
        <f t="shared" si="101"/>
        <v>0</v>
      </c>
      <c r="BJ104" s="229">
        <f t="shared" si="101"/>
        <v>0</v>
      </c>
      <c r="BK104" s="229">
        <f t="shared" si="101"/>
        <v>0</v>
      </c>
      <c r="BL104" s="229">
        <f t="shared" si="101"/>
        <v>0</v>
      </c>
      <c r="BM104" s="229">
        <f t="shared" ref="BM104:CA113" si="102">IF($K104=BM$13,BM$22*BM$3,IF($K104=BM$14,BM$22*BM$4,IF($K104=BM$15,BM$22*BM$5,IF($K104=BM$16,BM$22*BM$6,IF($K104=BM$17,BM$22*BM$7,IF($K104=BM$18,BM$22*BM$8,IF($K104=BM$19,BM$22*BM$9,IF($K104=BM$20,BM$22*BM$10,0))))))))</f>
        <v>0</v>
      </c>
      <c r="BN104" s="229">
        <f t="shared" si="102"/>
        <v>0</v>
      </c>
      <c r="BO104" s="229">
        <f t="shared" si="102"/>
        <v>0</v>
      </c>
      <c r="BP104" s="229">
        <f t="shared" si="102"/>
        <v>0</v>
      </c>
      <c r="BQ104" s="229">
        <f t="shared" si="102"/>
        <v>0</v>
      </c>
      <c r="BR104" s="229">
        <f t="shared" si="102"/>
        <v>0</v>
      </c>
      <c r="BS104" s="229">
        <f t="shared" si="102"/>
        <v>0</v>
      </c>
      <c r="BT104" s="229">
        <f t="shared" si="102"/>
        <v>0</v>
      </c>
      <c r="BU104" s="229">
        <f t="shared" si="102"/>
        <v>0</v>
      </c>
      <c r="BV104" s="229">
        <f t="shared" si="102"/>
        <v>0</v>
      </c>
      <c r="BW104" s="229">
        <f t="shared" si="102"/>
        <v>0</v>
      </c>
      <c r="BX104" s="229">
        <f t="shared" si="102"/>
        <v>0</v>
      </c>
      <c r="BY104" s="229">
        <f t="shared" si="102"/>
        <v>0</v>
      </c>
      <c r="BZ104" s="229">
        <f t="shared" si="102"/>
        <v>0</v>
      </c>
      <c r="CA104" s="229">
        <f t="shared" si="102"/>
        <v>0</v>
      </c>
      <c r="CB104" s="229">
        <f t="shared" ref="CB104:CR113" si="103">IF($K104=CB$13,CB$22*CB$3,IF($K104=CB$14,CB$22*CB$4,IF($K104=CB$15,CB$22*CB$5,IF($K104=CB$16,CB$22*CB$6,IF($K104=CB$17,CB$22*CB$7,IF($K104=CB$18,CB$22*CB$8,IF($K104=CB$19,CB$22*CB$9,IF($K104=CB$20,CB$22*CB$10,0))))))))</f>
        <v>0</v>
      </c>
      <c r="CC104" s="229">
        <f t="shared" si="103"/>
        <v>0</v>
      </c>
      <c r="CD104" s="229">
        <f t="shared" si="103"/>
        <v>0</v>
      </c>
      <c r="CE104" s="229">
        <f t="shared" si="103"/>
        <v>0</v>
      </c>
      <c r="CF104" s="229">
        <f t="shared" si="103"/>
        <v>0</v>
      </c>
      <c r="CG104" s="229">
        <f t="shared" si="103"/>
        <v>0</v>
      </c>
      <c r="CH104" s="229">
        <f t="shared" si="103"/>
        <v>0</v>
      </c>
      <c r="CI104" s="229">
        <f t="shared" si="103"/>
        <v>0</v>
      </c>
      <c r="CJ104" s="229">
        <f t="shared" si="103"/>
        <v>0</v>
      </c>
      <c r="CK104" s="229">
        <f t="shared" si="103"/>
        <v>0</v>
      </c>
      <c r="CL104" s="229">
        <f t="shared" si="103"/>
        <v>0</v>
      </c>
      <c r="CM104" s="229">
        <f t="shared" si="103"/>
        <v>0</v>
      </c>
      <c r="CN104" s="229">
        <f t="shared" si="103"/>
        <v>0</v>
      </c>
      <c r="CO104" s="229">
        <f t="shared" si="103"/>
        <v>0</v>
      </c>
      <c r="CP104" s="229">
        <f t="shared" si="103"/>
        <v>0</v>
      </c>
      <c r="CQ104" s="229">
        <f t="shared" si="103"/>
        <v>0</v>
      </c>
      <c r="CR104" s="229">
        <f t="shared" si="103"/>
        <v>0</v>
      </c>
      <c r="CS104" s="230"/>
      <c r="CT104" s="231"/>
      <c r="CU104" s="231"/>
      <c r="CV104" s="231"/>
      <c r="CW104" s="231"/>
      <c r="CY104" s="231"/>
      <c r="CZ104" s="231"/>
      <c r="DA104" s="231"/>
      <c r="DB104" s="231">
        <f>IF(SUM(DB$24:DB103)=DB$22,0,IF(AND($K104&gt;=DB$15,$K104&lt;(DB$16+1)),DB$22/(DB$16-DB$15+1),0))</f>
        <v>0</v>
      </c>
      <c r="DC104" s="231">
        <f t="shared" si="97"/>
        <v>0</v>
      </c>
      <c r="DD104" s="231">
        <f t="shared" si="97"/>
        <v>0</v>
      </c>
      <c r="DE104" s="231">
        <f t="shared" si="97"/>
        <v>0</v>
      </c>
      <c r="DF104" s="231">
        <f t="shared" si="97"/>
        <v>0</v>
      </c>
      <c r="DG104" s="231">
        <f t="shared" si="97"/>
        <v>0</v>
      </c>
      <c r="DH104" s="231">
        <f t="shared" si="97"/>
        <v>0</v>
      </c>
      <c r="DI104" s="231">
        <f t="shared" si="97"/>
        <v>0</v>
      </c>
      <c r="DJ104" s="231">
        <f t="shared" si="97"/>
        <v>0</v>
      </c>
      <c r="DK104" s="231">
        <f t="shared" si="97"/>
        <v>0</v>
      </c>
      <c r="DL104" s="231">
        <f t="shared" si="97"/>
        <v>0</v>
      </c>
      <c r="DM104" s="231">
        <f t="shared" si="97"/>
        <v>0</v>
      </c>
      <c r="DN104" s="231">
        <f t="shared" si="97"/>
        <v>0</v>
      </c>
      <c r="DO104" s="231">
        <f t="shared" si="97"/>
        <v>0</v>
      </c>
      <c r="DP104" s="231">
        <f>'Offshore CF'!DR104</f>
        <v>0</v>
      </c>
      <c r="DQ104" s="231">
        <f>'Offshore CF'!DS104</f>
        <v>0</v>
      </c>
      <c r="DR104" s="231">
        <f ca="1">IF(SUM(DR$24:DR103)=DR$22,0,IF(AND($K104&gt;=DR$15,$K104&lt;(DR$16+1)),DR$22/(DR$16-DR$15+1),0))</f>
        <v>0</v>
      </c>
      <c r="DS104" s="231" t="e">
        <f ca="1">IF(SUM(DS$24:DS103)=DS$22,0,IF(AND($K104&gt;=DS$15,$K104&lt;(DS$16+1)),DS$22/(DS$16-DS$15+1),0))</f>
        <v>#REF!</v>
      </c>
      <c r="DT104" s="231" t="e">
        <f ca="1">IF(SUM(DT$24:DT103)=DT$22,0,IF(AND(K104&gt;=DT$15,K104&lt;(DT$16+1)),DT$22/(DT$16-DT$15+1),0))</f>
        <v>#REF!</v>
      </c>
      <c r="DU104" s="231" t="e">
        <f ca="1">IF(SUM(DU$24:DU103)=DU$22,0,IF(AND($K104&gt;=DU$15,$K104&lt;(DU$16+1)),DU$22/(DU$16-DU$15+1),0))</f>
        <v>#REF!</v>
      </c>
      <c r="DV104" s="231">
        <f ca="1">IF(SUM(DV$24:DV103)=DV$22,0,IF(AND($K104&gt;=DV$15,$K104&lt;(DV$16+1)),DV$22/(DV$16-DV$15+1),0))</f>
        <v>0</v>
      </c>
      <c r="DW104" s="231">
        <f ca="1">IF(SUM(DW$24:DW103)=DW$22,0,IF(AND($K104&gt;=DW$15,$K104&lt;(DW$16+1)),DW$22/(DW$16-DW$15+1),0))</f>
        <v>0</v>
      </c>
      <c r="DX104" s="231">
        <f ca="1">IF(SUM(DX$24:DX103)=DX$22,0,IF(AND($K104&gt;=DX$15,$K104&lt;(DX$16+1)),DX$22/(DX$16-DX$15+1),0))</f>
        <v>0</v>
      </c>
      <c r="DY104" s="231">
        <f ca="1">IF(SUM(DY$24:DY103)=DY$22,0,IF(AND($K104&gt;=DY$15,$K104&lt;(DY$16+1)),DY$22/(DY$16-DY$15+1),0))</f>
        <v>0</v>
      </c>
      <c r="EA104" s="749">
        <f t="shared" si="80"/>
        <v>81</v>
      </c>
      <c r="EB104" s="749" t="e">
        <f t="shared" ca="1" si="81"/>
        <v>#REF!</v>
      </c>
      <c r="EC104" s="750" t="e">
        <f t="shared" ca="1" si="82"/>
        <v>#REF!</v>
      </c>
      <c r="ED104" s="749" t="e">
        <f t="shared" ca="1" si="96"/>
        <v>#N/A</v>
      </c>
      <c r="EE104" s="749"/>
      <c r="EF104" s="749"/>
      <c r="EG104" s="749"/>
      <c r="EH104" s="749"/>
      <c r="EI104" s="714" t="e">
        <f t="shared" ca="1" si="83"/>
        <v>#REF!</v>
      </c>
      <c r="EJ104" s="231" t="e">
        <f ca="1">IF(SUM(EJ$24:EJ103)=EJ$22,0,IF(AND($K104&gt;=EJ$15,$K104&lt;(EJ$16+1)),EJ$22/(EJ$16-EJ$15+1),0))</f>
        <v>#REF!</v>
      </c>
      <c r="EK104" s="714" t="e">
        <f t="shared" ca="1" si="54"/>
        <v>#REF!</v>
      </c>
      <c r="EM104" s="60"/>
      <c r="EN104" s="60"/>
    </row>
    <row r="105" spans="1:144" ht="13.9" customHeight="1">
      <c r="A105" s="220"/>
      <c r="B105" s="236">
        <f t="shared" si="84"/>
        <v>82</v>
      </c>
      <c r="C105" s="221">
        <f t="shared" si="85"/>
        <v>45934.752700000128</v>
      </c>
      <c r="D105" s="746" t="e">
        <f t="shared" ca="1" si="86"/>
        <v>#DIV/0!</v>
      </c>
      <c r="E105" s="747" t="e">
        <f t="shared" ca="1" si="88"/>
        <v>#DIV/0!</v>
      </c>
      <c r="F105" s="748" t="e">
        <f ca="1">IF(F104=0,0,SUM($G$24:G105))</f>
        <v>#DIV/0!</v>
      </c>
      <c r="G105" s="225" t="e">
        <f t="shared" ca="1" si="77"/>
        <v>#DIV/0!</v>
      </c>
      <c r="H105" s="746">
        <f t="shared" ca="1" si="87"/>
        <v>0</v>
      </c>
      <c r="I105" s="60"/>
      <c r="J105" s="228"/>
      <c r="K105" s="228">
        <f t="shared" si="78"/>
        <v>82</v>
      </c>
      <c r="L105" s="221">
        <f t="shared" si="79"/>
        <v>45934.752700000128</v>
      </c>
      <c r="M105" s="229">
        <f t="shared" si="99"/>
        <v>0</v>
      </c>
      <c r="N105" s="229">
        <f t="shared" si="99"/>
        <v>0</v>
      </c>
      <c r="O105" s="229">
        <f t="shared" si="99"/>
        <v>0</v>
      </c>
      <c r="P105" s="229">
        <f t="shared" si="99"/>
        <v>0</v>
      </c>
      <c r="Q105" s="229">
        <f t="shared" si="99"/>
        <v>0</v>
      </c>
      <c r="R105" s="229">
        <f t="shared" si="98"/>
        <v>0</v>
      </c>
      <c r="S105" s="229">
        <f t="shared" si="98"/>
        <v>0</v>
      </c>
      <c r="T105" s="229">
        <f t="shared" si="98"/>
        <v>0</v>
      </c>
      <c r="U105" s="229">
        <f t="shared" si="99"/>
        <v>0</v>
      </c>
      <c r="V105" s="229">
        <f t="shared" si="99"/>
        <v>0</v>
      </c>
      <c r="W105" s="229">
        <f t="shared" si="99"/>
        <v>0</v>
      </c>
      <c r="X105" s="229">
        <f t="shared" si="99"/>
        <v>0</v>
      </c>
      <c r="Y105" s="229">
        <f t="shared" si="99"/>
        <v>0</v>
      </c>
      <c r="Z105" s="229">
        <f t="shared" si="99"/>
        <v>0</v>
      </c>
      <c r="AA105" s="229">
        <f t="shared" si="99"/>
        <v>0</v>
      </c>
      <c r="AB105" s="229">
        <f t="shared" si="99"/>
        <v>0</v>
      </c>
      <c r="AC105" s="229">
        <f t="shared" si="99"/>
        <v>0</v>
      </c>
      <c r="AD105" s="229">
        <f t="shared" si="99"/>
        <v>0</v>
      </c>
      <c r="AE105" s="229">
        <f t="shared" si="99"/>
        <v>0</v>
      </c>
      <c r="AF105" s="229">
        <f t="shared" si="99"/>
        <v>0</v>
      </c>
      <c r="AG105" s="229">
        <f t="shared" si="99"/>
        <v>0</v>
      </c>
      <c r="AH105" s="229">
        <f t="shared" si="99"/>
        <v>0</v>
      </c>
      <c r="AI105" s="229">
        <f t="shared" si="99"/>
        <v>0</v>
      </c>
      <c r="AJ105" s="229">
        <f t="shared" si="99"/>
        <v>0</v>
      </c>
      <c r="AK105" s="229">
        <f t="shared" si="99"/>
        <v>0</v>
      </c>
      <c r="AL105" s="229">
        <f t="shared" si="99"/>
        <v>0</v>
      </c>
      <c r="AM105" s="229">
        <f t="shared" si="99"/>
        <v>0</v>
      </c>
      <c r="AN105" s="229">
        <f t="shared" si="99"/>
        <v>0</v>
      </c>
      <c r="AO105" s="229">
        <f t="shared" si="99"/>
        <v>0</v>
      </c>
      <c r="AP105" s="229">
        <f t="shared" si="99"/>
        <v>0</v>
      </c>
      <c r="AQ105" s="229">
        <f t="shared" si="99"/>
        <v>0</v>
      </c>
      <c r="AR105" s="229">
        <f t="shared" si="100"/>
        <v>0</v>
      </c>
      <c r="AS105" s="229">
        <f t="shared" si="100"/>
        <v>0</v>
      </c>
      <c r="AT105" s="229">
        <f t="shared" si="100"/>
        <v>0</v>
      </c>
      <c r="AU105" s="229">
        <f t="shared" si="100"/>
        <v>0</v>
      </c>
      <c r="AV105" s="229">
        <f t="shared" si="100"/>
        <v>0</v>
      </c>
      <c r="AW105" s="229">
        <f t="shared" si="100"/>
        <v>0</v>
      </c>
      <c r="AX105" s="229">
        <f t="shared" si="100"/>
        <v>0</v>
      </c>
      <c r="AY105" s="229">
        <f t="shared" si="100"/>
        <v>0</v>
      </c>
      <c r="AZ105" s="229">
        <f t="shared" si="100"/>
        <v>0</v>
      </c>
      <c r="BA105" s="229">
        <f t="shared" si="100"/>
        <v>0</v>
      </c>
      <c r="BB105" s="229">
        <f t="shared" si="100"/>
        <v>0</v>
      </c>
      <c r="BC105" s="229">
        <f t="shared" si="101"/>
        <v>0</v>
      </c>
      <c r="BD105" s="229">
        <f t="shared" si="101"/>
        <v>0</v>
      </c>
      <c r="BE105" s="229">
        <f t="shared" si="101"/>
        <v>0</v>
      </c>
      <c r="BF105" s="229">
        <f t="shared" si="101"/>
        <v>0</v>
      </c>
      <c r="BG105" s="229">
        <f t="shared" si="101"/>
        <v>0</v>
      </c>
      <c r="BH105" s="229">
        <f t="shared" si="101"/>
        <v>0</v>
      </c>
      <c r="BI105" s="229">
        <f t="shared" si="101"/>
        <v>0</v>
      </c>
      <c r="BJ105" s="229">
        <f t="shared" si="101"/>
        <v>0</v>
      </c>
      <c r="BK105" s="229">
        <f t="shared" si="101"/>
        <v>0</v>
      </c>
      <c r="BL105" s="229">
        <f t="shared" si="101"/>
        <v>0</v>
      </c>
      <c r="BM105" s="229">
        <f t="shared" si="102"/>
        <v>0</v>
      </c>
      <c r="BN105" s="229">
        <f t="shared" si="102"/>
        <v>0</v>
      </c>
      <c r="BO105" s="229">
        <f t="shared" si="102"/>
        <v>0</v>
      </c>
      <c r="BP105" s="229">
        <f t="shared" si="102"/>
        <v>0</v>
      </c>
      <c r="BQ105" s="229">
        <f t="shared" si="102"/>
        <v>0</v>
      </c>
      <c r="BR105" s="229">
        <f t="shared" si="102"/>
        <v>0</v>
      </c>
      <c r="BS105" s="229">
        <f t="shared" si="102"/>
        <v>0</v>
      </c>
      <c r="BT105" s="229">
        <f t="shared" si="102"/>
        <v>0</v>
      </c>
      <c r="BU105" s="229">
        <f t="shared" si="102"/>
        <v>0</v>
      </c>
      <c r="BV105" s="229">
        <f t="shared" si="102"/>
        <v>0</v>
      </c>
      <c r="BW105" s="229">
        <f t="shared" si="102"/>
        <v>0</v>
      </c>
      <c r="BX105" s="229">
        <f t="shared" si="102"/>
        <v>0</v>
      </c>
      <c r="BY105" s="229">
        <f t="shared" si="102"/>
        <v>0</v>
      </c>
      <c r="BZ105" s="229">
        <f t="shared" si="102"/>
        <v>0</v>
      </c>
      <c r="CA105" s="229">
        <f t="shared" si="102"/>
        <v>0</v>
      </c>
      <c r="CB105" s="229">
        <f t="shared" si="103"/>
        <v>0</v>
      </c>
      <c r="CC105" s="229">
        <f t="shared" si="103"/>
        <v>0</v>
      </c>
      <c r="CD105" s="229">
        <f t="shared" si="103"/>
        <v>0</v>
      </c>
      <c r="CE105" s="229">
        <f t="shared" si="103"/>
        <v>0</v>
      </c>
      <c r="CF105" s="229">
        <f t="shared" si="103"/>
        <v>0</v>
      </c>
      <c r="CG105" s="229">
        <f t="shared" si="103"/>
        <v>0</v>
      </c>
      <c r="CH105" s="229">
        <f t="shared" si="103"/>
        <v>0</v>
      </c>
      <c r="CI105" s="229">
        <f t="shared" si="103"/>
        <v>0</v>
      </c>
      <c r="CJ105" s="229">
        <f t="shared" si="103"/>
        <v>0</v>
      </c>
      <c r="CK105" s="229">
        <f t="shared" si="103"/>
        <v>0</v>
      </c>
      <c r="CL105" s="229">
        <f t="shared" si="103"/>
        <v>0</v>
      </c>
      <c r="CM105" s="229">
        <f t="shared" si="103"/>
        <v>0</v>
      </c>
      <c r="CN105" s="229">
        <f t="shared" si="103"/>
        <v>0</v>
      </c>
      <c r="CO105" s="229">
        <f t="shared" si="103"/>
        <v>0</v>
      </c>
      <c r="CP105" s="229">
        <f t="shared" si="103"/>
        <v>0</v>
      </c>
      <c r="CQ105" s="229">
        <f t="shared" si="103"/>
        <v>0</v>
      </c>
      <c r="CR105" s="229">
        <f t="shared" si="103"/>
        <v>0</v>
      </c>
      <c r="CS105" s="230"/>
      <c r="CT105" s="231"/>
      <c r="CU105" s="231"/>
      <c r="CV105" s="231"/>
      <c r="CW105" s="231"/>
      <c r="CY105" s="231"/>
      <c r="CZ105" s="231"/>
      <c r="DA105" s="231" t="e">
        <f ca="1">IF(SUM(DA$32:DA104)&gt;=DA$22,0,DA$22/(DA$13*4))</f>
        <v>#N/A</v>
      </c>
      <c r="DB105" s="231">
        <f>IF(SUM(DB$24:DB104)=DB$22,0,IF(AND($K105&gt;=DB$15,$K105&lt;(DB$16+1)),DB$22/(DB$16-DB$15+1),0))</f>
        <v>0</v>
      </c>
      <c r="DC105" s="231">
        <f t="shared" si="97"/>
        <v>0</v>
      </c>
      <c r="DD105" s="231">
        <f t="shared" si="97"/>
        <v>0</v>
      </c>
      <c r="DE105" s="231">
        <f t="shared" si="97"/>
        <v>0</v>
      </c>
      <c r="DF105" s="231">
        <f t="shared" si="97"/>
        <v>0</v>
      </c>
      <c r="DG105" s="231">
        <f t="shared" si="97"/>
        <v>0</v>
      </c>
      <c r="DH105" s="231">
        <f t="shared" si="97"/>
        <v>0</v>
      </c>
      <c r="DI105" s="231">
        <f t="shared" si="97"/>
        <v>0</v>
      </c>
      <c r="DJ105" s="231">
        <f t="shared" si="97"/>
        <v>0</v>
      </c>
      <c r="DK105" s="231">
        <f t="shared" si="97"/>
        <v>0</v>
      </c>
      <c r="DL105" s="231">
        <f t="shared" si="97"/>
        <v>0</v>
      </c>
      <c r="DM105" s="231">
        <f t="shared" si="97"/>
        <v>0</v>
      </c>
      <c r="DN105" s="231">
        <f t="shared" si="97"/>
        <v>0</v>
      </c>
      <c r="DO105" s="231">
        <f t="shared" si="97"/>
        <v>0</v>
      </c>
      <c r="DP105" s="231">
        <f>'Offshore CF'!DR105</f>
        <v>0</v>
      </c>
      <c r="DQ105" s="231">
        <f>'Offshore CF'!DS105</f>
        <v>0</v>
      </c>
      <c r="DR105" s="231">
        <f ca="1">IF(SUM(DR$24:DR104)=DR$22,0,IF(AND($K105&gt;=DR$15,$K105&lt;(DR$16+1)),DR$22/(DR$16-DR$15+1),0))</f>
        <v>0</v>
      </c>
      <c r="DS105" s="231" t="e">
        <f ca="1">IF(SUM(DS$24:DS104)=DS$22,0,IF(AND($K105&gt;=DS$15,$K105&lt;(DS$16+1)),DS$22/(DS$16-DS$15+1),0))</f>
        <v>#REF!</v>
      </c>
      <c r="DT105" s="231" t="e">
        <f ca="1">IF(SUM(DT$24:DT104)=DT$22,0,IF(AND(K105&gt;=DT$15,K105&lt;(DT$16+1)),DT$22/(DT$16-DT$15+1),0))</f>
        <v>#REF!</v>
      </c>
      <c r="DU105" s="231" t="e">
        <f ca="1">IF(SUM(DU$24:DU104)=DU$22,0,IF(AND($K105&gt;=DU$15,$K105&lt;(DU$16+1)),DU$22/(DU$16-DU$15+1),0))</f>
        <v>#REF!</v>
      </c>
      <c r="DV105" s="231">
        <f ca="1">IF(SUM(DV$24:DV104)=DV$22,0,IF(AND($K105&gt;=DV$15,$K105&lt;(DV$16+1)),DV$22/(DV$16-DV$15+1),0))</f>
        <v>0</v>
      </c>
      <c r="DW105" s="231">
        <f ca="1">IF(SUM(DW$24:DW104)=DW$22,0,IF(AND($K105&gt;=DW$15,$K105&lt;(DW$16+1)),DW$22/(DW$16-DW$15+1),0))</f>
        <v>0</v>
      </c>
      <c r="DX105" s="231">
        <f ca="1">IF(SUM(DX$24:DX104)=DX$22,0,IF(AND($K105&gt;=DX$15,$K105&lt;(DX$16+1)),DX$22/(DX$16-DX$15+1),0))</f>
        <v>0</v>
      </c>
      <c r="DY105" s="231">
        <f ca="1">IF(SUM(DY$24:DY104)=DY$22,0,IF(AND($K105&gt;=DY$15,$K105&lt;(DY$16+1)),DY$22/(DY$16-DY$15+1),0))</f>
        <v>0</v>
      </c>
      <c r="EA105" s="749">
        <f t="shared" si="80"/>
        <v>82</v>
      </c>
      <c r="EB105" s="749" t="e">
        <f t="shared" ca="1" si="81"/>
        <v>#N/A</v>
      </c>
      <c r="EC105" s="750" t="e">
        <f t="shared" ca="1" si="82"/>
        <v>#N/A</v>
      </c>
      <c r="ED105" s="749" t="e">
        <f t="shared" ca="1" si="96"/>
        <v>#REF!</v>
      </c>
      <c r="EE105" s="749"/>
      <c r="EF105" s="749"/>
      <c r="EG105" s="749"/>
      <c r="EH105" s="749"/>
      <c r="EI105" s="714" t="e">
        <f t="shared" ca="1" si="83"/>
        <v>#N/A</v>
      </c>
      <c r="EJ105" s="231" t="e">
        <f ca="1">IF(SUM(EJ$24:EJ104)=EJ$22,0,IF(AND($K105&gt;=EJ$15,$K105&lt;(EJ$16+1)),EJ$22/(EJ$16-EJ$15+1),0))</f>
        <v>#REF!</v>
      </c>
      <c r="EK105" s="714" t="e">
        <f t="shared" ca="1" si="54"/>
        <v>#N/A</v>
      </c>
      <c r="EM105" s="60"/>
      <c r="EN105" s="60"/>
    </row>
    <row r="106" spans="1:144" ht="13.9" customHeight="1">
      <c r="A106" s="220"/>
      <c r="B106" s="236">
        <f t="shared" si="84"/>
        <v>83</v>
      </c>
      <c r="C106" s="221">
        <f t="shared" si="85"/>
        <v>45965.16940000013</v>
      </c>
      <c r="D106" s="746" t="e">
        <f t="shared" ca="1" si="86"/>
        <v>#DIV/0!</v>
      </c>
      <c r="E106" s="747" t="e">
        <f t="shared" ca="1" si="88"/>
        <v>#DIV/0!</v>
      </c>
      <c r="F106" s="748" t="e">
        <f ca="1">IF(F105=0,0,SUM($G$24:G106))</f>
        <v>#DIV/0!</v>
      </c>
      <c r="G106" s="225" t="e">
        <f t="shared" ca="1" si="77"/>
        <v>#DIV/0!</v>
      </c>
      <c r="H106" s="746">
        <f t="shared" ca="1" si="87"/>
        <v>0</v>
      </c>
      <c r="I106" s="60"/>
      <c r="J106" s="228"/>
      <c r="K106" s="228">
        <f t="shared" si="78"/>
        <v>83</v>
      </c>
      <c r="L106" s="221">
        <f t="shared" si="79"/>
        <v>45965.16940000013</v>
      </c>
      <c r="M106" s="229">
        <f t="shared" si="99"/>
        <v>0</v>
      </c>
      <c r="N106" s="229">
        <f t="shared" si="99"/>
        <v>0</v>
      </c>
      <c r="O106" s="229">
        <f t="shared" si="99"/>
        <v>0</v>
      </c>
      <c r="P106" s="229">
        <f t="shared" si="99"/>
        <v>0</v>
      </c>
      <c r="Q106" s="229">
        <f t="shared" si="99"/>
        <v>0</v>
      </c>
      <c r="R106" s="229">
        <f t="shared" si="98"/>
        <v>0</v>
      </c>
      <c r="S106" s="229">
        <f t="shared" si="98"/>
        <v>0</v>
      </c>
      <c r="T106" s="229">
        <f t="shared" si="98"/>
        <v>0</v>
      </c>
      <c r="U106" s="229">
        <f t="shared" si="99"/>
        <v>0</v>
      </c>
      <c r="V106" s="229">
        <f t="shared" si="99"/>
        <v>0</v>
      </c>
      <c r="W106" s="229">
        <f t="shared" si="99"/>
        <v>0</v>
      </c>
      <c r="X106" s="229">
        <f t="shared" si="99"/>
        <v>0</v>
      </c>
      <c r="Y106" s="229">
        <f t="shared" si="99"/>
        <v>0</v>
      </c>
      <c r="Z106" s="229">
        <f t="shared" si="99"/>
        <v>0</v>
      </c>
      <c r="AA106" s="229">
        <f t="shared" si="99"/>
        <v>0</v>
      </c>
      <c r="AB106" s="229">
        <f t="shared" si="99"/>
        <v>0</v>
      </c>
      <c r="AC106" s="229">
        <f t="shared" si="99"/>
        <v>0</v>
      </c>
      <c r="AD106" s="229">
        <f t="shared" si="99"/>
        <v>0</v>
      </c>
      <c r="AE106" s="229">
        <f t="shared" si="99"/>
        <v>0</v>
      </c>
      <c r="AF106" s="229">
        <f t="shared" si="99"/>
        <v>0</v>
      </c>
      <c r="AG106" s="229">
        <f t="shared" si="99"/>
        <v>0</v>
      </c>
      <c r="AH106" s="229">
        <f t="shared" si="99"/>
        <v>0</v>
      </c>
      <c r="AI106" s="229">
        <f t="shared" si="99"/>
        <v>0</v>
      </c>
      <c r="AJ106" s="229">
        <f t="shared" si="99"/>
        <v>0</v>
      </c>
      <c r="AK106" s="229">
        <f t="shared" si="99"/>
        <v>0</v>
      </c>
      <c r="AL106" s="229">
        <f t="shared" si="99"/>
        <v>0</v>
      </c>
      <c r="AM106" s="229">
        <f t="shared" si="99"/>
        <v>0</v>
      </c>
      <c r="AN106" s="229">
        <f t="shared" si="99"/>
        <v>0</v>
      </c>
      <c r="AO106" s="229">
        <f t="shared" si="99"/>
        <v>0</v>
      </c>
      <c r="AP106" s="229">
        <f t="shared" si="99"/>
        <v>0</v>
      </c>
      <c r="AQ106" s="229">
        <f t="shared" si="99"/>
        <v>0</v>
      </c>
      <c r="AR106" s="229">
        <f t="shared" si="100"/>
        <v>0</v>
      </c>
      <c r="AS106" s="229">
        <f t="shared" si="100"/>
        <v>0</v>
      </c>
      <c r="AT106" s="229">
        <f t="shared" si="100"/>
        <v>0</v>
      </c>
      <c r="AU106" s="229">
        <f t="shared" si="100"/>
        <v>0</v>
      </c>
      <c r="AV106" s="229">
        <f t="shared" si="100"/>
        <v>0</v>
      </c>
      <c r="AW106" s="229">
        <f t="shared" si="100"/>
        <v>0</v>
      </c>
      <c r="AX106" s="229">
        <f t="shared" si="100"/>
        <v>0</v>
      </c>
      <c r="AY106" s="229">
        <f t="shared" si="100"/>
        <v>0</v>
      </c>
      <c r="AZ106" s="229">
        <f t="shared" si="100"/>
        <v>0</v>
      </c>
      <c r="BA106" s="229">
        <f t="shared" si="100"/>
        <v>0</v>
      </c>
      <c r="BB106" s="229">
        <f t="shared" si="100"/>
        <v>0</v>
      </c>
      <c r="BC106" s="229">
        <f t="shared" si="101"/>
        <v>0</v>
      </c>
      <c r="BD106" s="229">
        <f t="shared" si="101"/>
        <v>0</v>
      </c>
      <c r="BE106" s="229">
        <f t="shared" si="101"/>
        <v>0</v>
      </c>
      <c r="BF106" s="229">
        <f t="shared" si="101"/>
        <v>0</v>
      </c>
      <c r="BG106" s="229">
        <f t="shared" si="101"/>
        <v>0</v>
      </c>
      <c r="BH106" s="229">
        <f t="shared" si="101"/>
        <v>0</v>
      </c>
      <c r="BI106" s="229">
        <f t="shared" si="101"/>
        <v>0</v>
      </c>
      <c r="BJ106" s="229">
        <f t="shared" si="101"/>
        <v>0</v>
      </c>
      <c r="BK106" s="229">
        <f t="shared" si="101"/>
        <v>0</v>
      </c>
      <c r="BL106" s="229">
        <f t="shared" si="101"/>
        <v>0</v>
      </c>
      <c r="BM106" s="229">
        <f t="shared" si="102"/>
        <v>0</v>
      </c>
      <c r="BN106" s="229">
        <f t="shared" si="102"/>
        <v>0</v>
      </c>
      <c r="BO106" s="229">
        <f t="shared" si="102"/>
        <v>0</v>
      </c>
      <c r="BP106" s="229">
        <f t="shared" si="102"/>
        <v>0</v>
      </c>
      <c r="BQ106" s="229">
        <f t="shared" si="102"/>
        <v>0</v>
      </c>
      <c r="BR106" s="229">
        <f t="shared" si="102"/>
        <v>0</v>
      </c>
      <c r="BS106" s="229">
        <f t="shared" si="102"/>
        <v>0</v>
      </c>
      <c r="BT106" s="229">
        <f t="shared" si="102"/>
        <v>0</v>
      </c>
      <c r="BU106" s="229">
        <f t="shared" si="102"/>
        <v>0</v>
      </c>
      <c r="BV106" s="229">
        <f t="shared" si="102"/>
        <v>0</v>
      </c>
      <c r="BW106" s="229">
        <f t="shared" si="102"/>
        <v>0</v>
      </c>
      <c r="BX106" s="229">
        <f t="shared" si="102"/>
        <v>0</v>
      </c>
      <c r="BY106" s="229">
        <f t="shared" si="102"/>
        <v>0</v>
      </c>
      <c r="BZ106" s="229">
        <f t="shared" si="102"/>
        <v>0</v>
      </c>
      <c r="CA106" s="229">
        <f t="shared" si="102"/>
        <v>0</v>
      </c>
      <c r="CB106" s="229">
        <f t="shared" si="103"/>
        <v>0</v>
      </c>
      <c r="CC106" s="229">
        <f t="shared" si="103"/>
        <v>0</v>
      </c>
      <c r="CD106" s="229">
        <f t="shared" si="103"/>
        <v>0</v>
      </c>
      <c r="CE106" s="229">
        <f t="shared" si="103"/>
        <v>0</v>
      </c>
      <c r="CF106" s="229">
        <f t="shared" si="103"/>
        <v>0</v>
      </c>
      <c r="CG106" s="229">
        <f t="shared" si="103"/>
        <v>0</v>
      </c>
      <c r="CH106" s="229">
        <f t="shared" si="103"/>
        <v>0</v>
      </c>
      <c r="CI106" s="229">
        <f t="shared" si="103"/>
        <v>0</v>
      </c>
      <c r="CJ106" s="229">
        <f t="shared" si="103"/>
        <v>0</v>
      </c>
      <c r="CK106" s="229">
        <f t="shared" si="103"/>
        <v>0</v>
      </c>
      <c r="CL106" s="229">
        <f t="shared" si="103"/>
        <v>0</v>
      </c>
      <c r="CM106" s="229">
        <f t="shared" si="103"/>
        <v>0</v>
      </c>
      <c r="CN106" s="229">
        <f t="shared" si="103"/>
        <v>0</v>
      </c>
      <c r="CO106" s="229">
        <f t="shared" si="103"/>
        <v>0</v>
      </c>
      <c r="CP106" s="229">
        <f t="shared" si="103"/>
        <v>0</v>
      </c>
      <c r="CQ106" s="229">
        <f t="shared" si="103"/>
        <v>0</v>
      </c>
      <c r="CR106" s="229">
        <f t="shared" si="103"/>
        <v>0</v>
      </c>
      <c r="CS106" s="230"/>
      <c r="CT106" s="231"/>
      <c r="CU106" s="231"/>
      <c r="CV106" s="231"/>
      <c r="CW106" s="231"/>
      <c r="CY106" s="231"/>
      <c r="CZ106" s="231"/>
      <c r="DA106" s="231"/>
      <c r="DB106" s="231">
        <f>IF(SUM(DB$24:DB105)=DB$22,0,IF(AND($K106&gt;=DB$15,$K106&lt;(DB$16+1)),DB$22/(DB$16-DB$15+1),0))</f>
        <v>0</v>
      </c>
      <c r="DC106" s="231">
        <f t="shared" si="97"/>
        <v>0</v>
      </c>
      <c r="DD106" s="231">
        <f t="shared" si="97"/>
        <v>0</v>
      </c>
      <c r="DE106" s="231">
        <f t="shared" si="97"/>
        <v>0</v>
      </c>
      <c r="DF106" s="231">
        <f t="shared" si="97"/>
        <v>0</v>
      </c>
      <c r="DG106" s="231">
        <f t="shared" si="97"/>
        <v>0</v>
      </c>
      <c r="DH106" s="231">
        <f t="shared" si="97"/>
        <v>0</v>
      </c>
      <c r="DI106" s="231">
        <f t="shared" si="97"/>
        <v>0</v>
      </c>
      <c r="DJ106" s="231">
        <f t="shared" si="97"/>
        <v>0</v>
      </c>
      <c r="DK106" s="231">
        <f t="shared" si="97"/>
        <v>0</v>
      </c>
      <c r="DL106" s="231">
        <f t="shared" si="97"/>
        <v>0</v>
      </c>
      <c r="DM106" s="231">
        <f t="shared" si="97"/>
        <v>0</v>
      </c>
      <c r="DN106" s="231">
        <f t="shared" si="97"/>
        <v>0</v>
      </c>
      <c r="DO106" s="231">
        <f t="shared" si="97"/>
        <v>0</v>
      </c>
      <c r="DP106" s="231">
        <f>'Offshore CF'!DR106</f>
        <v>0</v>
      </c>
      <c r="DQ106" s="231">
        <f>'Offshore CF'!DS106</f>
        <v>0</v>
      </c>
      <c r="DR106" s="231">
        <f ca="1">IF(SUM(DR$24:DR105)=DR$22,0,IF(AND($K106&gt;=DR$15,$K106&lt;(DR$16+1)),DR$22/(DR$16-DR$15+1),0))</f>
        <v>0</v>
      </c>
      <c r="DS106" s="231" t="e">
        <f ca="1">IF(SUM(DS$24:DS105)=DS$22,0,IF(AND($K106&gt;=DS$15,$K106&lt;(DS$16+1)),DS$22/(DS$16-DS$15+1),0))</f>
        <v>#REF!</v>
      </c>
      <c r="DT106" s="231" t="e">
        <f ca="1">IF(SUM(DT$24:DT105)=DT$22,0,IF(AND(K106&gt;=DT$15,K106&lt;(DT$16+1)),DT$22/(DT$16-DT$15+1),0))</f>
        <v>#REF!</v>
      </c>
      <c r="DU106" s="231" t="e">
        <f ca="1">IF(SUM(DU$24:DU105)=DU$22,0,IF(AND($K106&gt;=DU$15,$K106&lt;(DU$16+1)),DU$22/(DU$16-DU$15+1),0))</f>
        <v>#REF!</v>
      </c>
      <c r="DV106" s="231">
        <f ca="1">IF(SUM(DV$24:DV105)=DV$22,0,IF(AND($K106&gt;=DV$15,$K106&lt;(DV$16+1)),DV$22/(DV$16-DV$15+1),0))</f>
        <v>0</v>
      </c>
      <c r="DW106" s="231">
        <f ca="1">IF(SUM(DW$24:DW105)=DW$22,0,IF(AND($K106&gt;=DW$15,$K106&lt;(DW$16+1)),DW$22/(DW$16-DW$15+1),0))</f>
        <v>0</v>
      </c>
      <c r="DX106" s="231">
        <f ca="1">IF(SUM(DX$24:DX105)=DX$22,0,IF(AND($K106&gt;=DX$15,$K106&lt;(DX$16+1)),DX$22/(DX$16-DX$15+1),0))</f>
        <v>0</v>
      </c>
      <c r="DY106" s="231">
        <f ca="1">IF(SUM(DY$24:DY105)=DY$22,0,IF(AND($K106&gt;=DY$15,$K106&lt;(DY$16+1)),DY$22/(DY$16-DY$15+1),0))</f>
        <v>0</v>
      </c>
      <c r="EA106" s="749">
        <f t="shared" si="80"/>
        <v>83</v>
      </c>
      <c r="EB106" s="749" t="e">
        <f t="shared" ca="1" si="81"/>
        <v>#REF!</v>
      </c>
      <c r="EC106" s="750" t="e">
        <f t="shared" ca="1" si="82"/>
        <v>#REF!</v>
      </c>
      <c r="ED106" s="749" t="e">
        <f t="shared" ca="1" si="96"/>
        <v>#REF!</v>
      </c>
      <c r="EE106" s="749"/>
      <c r="EF106" s="749"/>
      <c r="EG106" s="749"/>
      <c r="EH106" s="749"/>
      <c r="EI106" s="714" t="e">
        <f t="shared" ca="1" si="83"/>
        <v>#REF!</v>
      </c>
      <c r="EJ106" s="231" t="e">
        <f ca="1">IF(SUM(EJ$24:EJ105)=EJ$22,0,IF(AND($K106&gt;=EJ$15,$K106&lt;(EJ$16+1)),EJ$22/(EJ$16-EJ$15+1),0))</f>
        <v>#REF!</v>
      </c>
      <c r="EK106" s="714" t="e">
        <f t="shared" ca="1" si="54"/>
        <v>#REF!</v>
      </c>
      <c r="EM106" s="60"/>
      <c r="EN106" s="60"/>
    </row>
    <row r="107" spans="1:144" ht="13.9" customHeight="1">
      <c r="A107" s="220"/>
      <c r="B107" s="236">
        <f t="shared" si="84"/>
        <v>84</v>
      </c>
      <c r="C107" s="221">
        <f t="shared" si="85"/>
        <v>45995.586100000131</v>
      </c>
      <c r="D107" s="746" t="e">
        <f t="shared" ca="1" si="86"/>
        <v>#DIV/0!</v>
      </c>
      <c r="E107" s="747" t="e">
        <f t="shared" ca="1" si="88"/>
        <v>#DIV/0!</v>
      </c>
      <c r="F107" s="748" t="e">
        <f ca="1">IF(F106=0,0,SUM($G$24:G107))</f>
        <v>#DIV/0!</v>
      </c>
      <c r="G107" s="225" t="e">
        <f t="shared" ca="1" si="77"/>
        <v>#DIV/0!</v>
      </c>
      <c r="H107" s="746">
        <f t="shared" ca="1" si="87"/>
        <v>0</v>
      </c>
      <c r="I107" s="60"/>
      <c r="J107" s="228"/>
      <c r="K107" s="228">
        <f t="shared" si="78"/>
        <v>84</v>
      </c>
      <c r="L107" s="221">
        <f t="shared" si="79"/>
        <v>45995.586100000131</v>
      </c>
      <c r="M107" s="229">
        <f t="shared" si="99"/>
        <v>0</v>
      </c>
      <c r="N107" s="229">
        <f t="shared" si="99"/>
        <v>0</v>
      </c>
      <c r="O107" s="229">
        <f t="shared" si="99"/>
        <v>0</v>
      </c>
      <c r="P107" s="229">
        <f t="shared" si="99"/>
        <v>0</v>
      </c>
      <c r="Q107" s="229">
        <f t="shared" si="99"/>
        <v>0</v>
      </c>
      <c r="R107" s="229">
        <f t="shared" si="98"/>
        <v>0</v>
      </c>
      <c r="S107" s="229">
        <f t="shared" si="98"/>
        <v>0</v>
      </c>
      <c r="T107" s="229">
        <f t="shared" si="98"/>
        <v>0</v>
      </c>
      <c r="U107" s="229">
        <f t="shared" si="99"/>
        <v>0</v>
      </c>
      <c r="V107" s="229">
        <f t="shared" si="99"/>
        <v>0</v>
      </c>
      <c r="W107" s="229">
        <f t="shared" si="99"/>
        <v>0</v>
      </c>
      <c r="X107" s="229">
        <f t="shared" si="99"/>
        <v>0</v>
      </c>
      <c r="Y107" s="229">
        <f t="shared" si="99"/>
        <v>0</v>
      </c>
      <c r="Z107" s="229">
        <f t="shared" si="99"/>
        <v>0</v>
      </c>
      <c r="AA107" s="229">
        <f t="shared" si="99"/>
        <v>0</v>
      </c>
      <c r="AB107" s="229">
        <f t="shared" si="99"/>
        <v>0</v>
      </c>
      <c r="AC107" s="229">
        <f t="shared" si="99"/>
        <v>0</v>
      </c>
      <c r="AD107" s="229">
        <f t="shared" si="99"/>
        <v>0</v>
      </c>
      <c r="AE107" s="229">
        <f t="shared" si="99"/>
        <v>0</v>
      </c>
      <c r="AF107" s="229">
        <f t="shared" si="99"/>
        <v>0</v>
      </c>
      <c r="AG107" s="229">
        <f t="shared" si="99"/>
        <v>0</v>
      </c>
      <c r="AH107" s="229">
        <f t="shared" si="99"/>
        <v>0</v>
      </c>
      <c r="AI107" s="229">
        <f t="shared" si="99"/>
        <v>0</v>
      </c>
      <c r="AJ107" s="229">
        <f t="shared" si="99"/>
        <v>0</v>
      </c>
      <c r="AK107" s="229">
        <f t="shared" si="99"/>
        <v>0</v>
      </c>
      <c r="AL107" s="229">
        <f t="shared" si="99"/>
        <v>0</v>
      </c>
      <c r="AM107" s="229">
        <f t="shared" si="99"/>
        <v>0</v>
      </c>
      <c r="AN107" s="229">
        <f t="shared" si="99"/>
        <v>0</v>
      </c>
      <c r="AO107" s="229">
        <f t="shared" si="99"/>
        <v>0</v>
      </c>
      <c r="AP107" s="229">
        <f t="shared" si="99"/>
        <v>0</v>
      </c>
      <c r="AQ107" s="229">
        <f t="shared" si="99"/>
        <v>0</v>
      </c>
      <c r="AR107" s="229">
        <f t="shared" si="100"/>
        <v>0</v>
      </c>
      <c r="AS107" s="229">
        <f t="shared" si="100"/>
        <v>0</v>
      </c>
      <c r="AT107" s="229">
        <f t="shared" si="100"/>
        <v>0</v>
      </c>
      <c r="AU107" s="229">
        <f t="shared" si="100"/>
        <v>0</v>
      </c>
      <c r="AV107" s="229">
        <f t="shared" si="100"/>
        <v>0</v>
      </c>
      <c r="AW107" s="229">
        <f t="shared" si="100"/>
        <v>0</v>
      </c>
      <c r="AX107" s="229">
        <f t="shared" si="100"/>
        <v>0</v>
      </c>
      <c r="AY107" s="229">
        <f t="shared" si="100"/>
        <v>0</v>
      </c>
      <c r="AZ107" s="229">
        <f t="shared" si="100"/>
        <v>0</v>
      </c>
      <c r="BA107" s="229">
        <f t="shared" si="100"/>
        <v>0</v>
      </c>
      <c r="BB107" s="229">
        <f t="shared" si="100"/>
        <v>0</v>
      </c>
      <c r="BC107" s="229">
        <f t="shared" si="101"/>
        <v>0</v>
      </c>
      <c r="BD107" s="229">
        <f t="shared" si="101"/>
        <v>0</v>
      </c>
      <c r="BE107" s="229">
        <f t="shared" si="101"/>
        <v>0</v>
      </c>
      <c r="BF107" s="229">
        <f t="shared" si="101"/>
        <v>0</v>
      </c>
      <c r="BG107" s="229">
        <f t="shared" si="101"/>
        <v>0</v>
      </c>
      <c r="BH107" s="229">
        <f t="shared" si="101"/>
        <v>0</v>
      </c>
      <c r="BI107" s="229">
        <f t="shared" si="101"/>
        <v>0</v>
      </c>
      <c r="BJ107" s="229">
        <f t="shared" si="101"/>
        <v>0</v>
      </c>
      <c r="BK107" s="229">
        <f t="shared" si="101"/>
        <v>0</v>
      </c>
      <c r="BL107" s="229">
        <f t="shared" si="101"/>
        <v>0</v>
      </c>
      <c r="BM107" s="229">
        <f t="shared" si="102"/>
        <v>0</v>
      </c>
      <c r="BN107" s="229">
        <f t="shared" si="102"/>
        <v>0</v>
      </c>
      <c r="BO107" s="229">
        <f t="shared" si="102"/>
        <v>0</v>
      </c>
      <c r="BP107" s="229">
        <f t="shared" si="102"/>
        <v>0</v>
      </c>
      <c r="BQ107" s="229">
        <f t="shared" si="102"/>
        <v>0</v>
      </c>
      <c r="BR107" s="229">
        <f t="shared" si="102"/>
        <v>0</v>
      </c>
      <c r="BS107" s="229">
        <f t="shared" si="102"/>
        <v>0</v>
      </c>
      <c r="BT107" s="229">
        <f t="shared" si="102"/>
        <v>0</v>
      </c>
      <c r="BU107" s="229">
        <f t="shared" si="102"/>
        <v>0</v>
      </c>
      <c r="BV107" s="229">
        <f t="shared" si="102"/>
        <v>0</v>
      </c>
      <c r="BW107" s="229">
        <f t="shared" si="102"/>
        <v>0</v>
      </c>
      <c r="BX107" s="229">
        <f t="shared" si="102"/>
        <v>0</v>
      </c>
      <c r="BY107" s="229">
        <f t="shared" si="102"/>
        <v>0</v>
      </c>
      <c r="BZ107" s="229">
        <f t="shared" si="102"/>
        <v>0</v>
      </c>
      <c r="CA107" s="229">
        <f t="shared" si="102"/>
        <v>0</v>
      </c>
      <c r="CB107" s="229">
        <f t="shared" si="103"/>
        <v>0</v>
      </c>
      <c r="CC107" s="229">
        <f t="shared" si="103"/>
        <v>0</v>
      </c>
      <c r="CD107" s="229">
        <f t="shared" si="103"/>
        <v>0</v>
      </c>
      <c r="CE107" s="229">
        <f t="shared" si="103"/>
        <v>0</v>
      </c>
      <c r="CF107" s="229">
        <f t="shared" si="103"/>
        <v>0</v>
      </c>
      <c r="CG107" s="229">
        <f t="shared" si="103"/>
        <v>0</v>
      </c>
      <c r="CH107" s="229">
        <f t="shared" si="103"/>
        <v>0</v>
      </c>
      <c r="CI107" s="229">
        <f t="shared" si="103"/>
        <v>0</v>
      </c>
      <c r="CJ107" s="229">
        <f t="shared" si="103"/>
        <v>0</v>
      </c>
      <c r="CK107" s="229">
        <f t="shared" si="103"/>
        <v>0</v>
      </c>
      <c r="CL107" s="229">
        <f t="shared" si="103"/>
        <v>0</v>
      </c>
      <c r="CM107" s="229">
        <f t="shared" si="103"/>
        <v>0</v>
      </c>
      <c r="CN107" s="229">
        <f t="shared" si="103"/>
        <v>0</v>
      </c>
      <c r="CO107" s="229">
        <f t="shared" si="103"/>
        <v>0</v>
      </c>
      <c r="CP107" s="229">
        <f t="shared" si="103"/>
        <v>0</v>
      </c>
      <c r="CQ107" s="229">
        <f t="shared" si="103"/>
        <v>0</v>
      </c>
      <c r="CR107" s="229">
        <f t="shared" si="103"/>
        <v>0</v>
      </c>
      <c r="CS107" s="230"/>
      <c r="CT107" s="231"/>
      <c r="CU107" s="231"/>
      <c r="CV107" s="231"/>
      <c r="CW107" s="231"/>
      <c r="CY107" s="231"/>
      <c r="CZ107" s="231"/>
      <c r="DA107" s="231"/>
      <c r="DB107" s="231">
        <f>IF(SUM(DB$24:DB106)=DB$22,0,IF(AND($K107&gt;=DB$15,$K107&lt;(DB$16+1)),DB$22/(DB$16-DB$15+1),0))</f>
        <v>0</v>
      </c>
      <c r="DC107" s="231">
        <f t="shared" si="97"/>
        <v>0</v>
      </c>
      <c r="DD107" s="231">
        <f t="shared" si="97"/>
        <v>0</v>
      </c>
      <c r="DE107" s="231">
        <f t="shared" si="97"/>
        <v>0</v>
      </c>
      <c r="DF107" s="231">
        <f t="shared" si="97"/>
        <v>0</v>
      </c>
      <c r="DG107" s="231">
        <f t="shared" si="97"/>
        <v>0</v>
      </c>
      <c r="DH107" s="231">
        <f t="shared" si="97"/>
        <v>0</v>
      </c>
      <c r="DI107" s="231">
        <f t="shared" si="97"/>
        <v>0</v>
      </c>
      <c r="DJ107" s="231">
        <f t="shared" si="97"/>
        <v>0</v>
      </c>
      <c r="DK107" s="231">
        <f t="shared" si="97"/>
        <v>0</v>
      </c>
      <c r="DL107" s="231">
        <f t="shared" si="97"/>
        <v>0</v>
      </c>
      <c r="DM107" s="231">
        <f t="shared" si="97"/>
        <v>0</v>
      </c>
      <c r="DN107" s="231">
        <f t="shared" si="97"/>
        <v>0</v>
      </c>
      <c r="DO107" s="231">
        <f t="shared" si="97"/>
        <v>0</v>
      </c>
      <c r="DP107" s="231">
        <f>'Offshore CF'!DR107</f>
        <v>0</v>
      </c>
      <c r="DQ107" s="231">
        <f>'Offshore CF'!DS107</f>
        <v>0</v>
      </c>
      <c r="DR107" s="231">
        <f ca="1">IF(SUM(DR$24:DR106)=DR$22,0,IF(AND($K107&gt;=DR$15,$K107&lt;(DR$16+1)),DR$22/(DR$16-DR$15+1),0))</f>
        <v>0</v>
      </c>
      <c r="DS107" s="231" t="e">
        <f ca="1">IF(SUM(DS$24:DS106)=DS$22,0,IF(AND($K107&gt;=DS$15,$K107&lt;(DS$16+1)),DS$22/(DS$16-DS$15+1),0))</f>
        <v>#REF!</v>
      </c>
      <c r="DT107" s="231" t="e">
        <f ca="1">IF(SUM(DT$24:DT106)=DT$22,0,IF(AND(K107&gt;=DT$15,K107&lt;(DT$16+1)),DT$22/(DT$16-DT$15+1),0))</f>
        <v>#REF!</v>
      </c>
      <c r="DU107" s="231" t="e">
        <f ca="1">IF(SUM(DU$24:DU106)=DU$22,0,IF(AND($K107&gt;=DU$15,$K107&lt;(DU$16+1)),DU$22/(DU$16-DU$15+1),0))</f>
        <v>#REF!</v>
      </c>
      <c r="DV107" s="231">
        <f ca="1">IF(SUM(DV$24:DV106)=DV$22,0,IF(AND($K107&gt;=DV$15,$K107&lt;(DV$16+1)),DV$22/(DV$16-DV$15+1),0))</f>
        <v>0</v>
      </c>
      <c r="DW107" s="231">
        <f ca="1">IF(SUM(DW$24:DW106)=DW$22,0,IF(AND($K107&gt;=DW$15,$K107&lt;(DW$16+1)),DW$22/(DW$16-DW$15+1),0))</f>
        <v>0</v>
      </c>
      <c r="DX107" s="231">
        <f ca="1">IF(SUM(DX$24:DX106)=DX$22,0,IF(AND($K107&gt;=DX$15,$K107&lt;(DX$16+1)),DX$22/(DX$16-DX$15+1),0))</f>
        <v>0</v>
      </c>
      <c r="DY107" s="231">
        <f ca="1">IF(SUM(DY$24:DY106)=DY$22,0,IF(AND($K107&gt;=DY$15,$K107&lt;(DY$16+1)),DY$22/(DY$16-DY$15+1),0))</f>
        <v>0</v>
      </c>
      <c r="EA107" s="749">
        <f t="shared" si="80"/>
        <v>84</v>
      </c>
      <c r="EB107" s="749" t="e">
        <f t="shared" ca="1" si="81"/>
        <v>#REF!</v>
      </c>
      <c r="EC107" s="750" t="e">
        <f t="shared" ca="1" si="82"/>
        <v>#REF!</v>
      </c>
      <c r="ED107" s="749" t="e">
        <f t="shared" ca="1" si="96"/>
        <v>#N/A</v>
      </c>
      <c r="EE107" s="749"/>
      <c r="EF107" s="749"/>
      <c r="EG107" s="749"/>
      <c r="EH107" s="749"/>
      <c r="EI107" s="714" t="e">
        <f t="shared" ca="1" si="83"/>
        <v>#REF!</v>
      </c>
      <c r="EJ107" s="231" t="e">
        <f ca="1">IF(SUM(EJ$24:EJ106)=EJ$22,0,IF(AND($K107&gt;=EJ$15,$K107&lt;(EJ$16+1)),EJ$22/(EJ$16-EJ$15+1),0))</f>
        <v>#REF!</v>
      </c>
      <c r="EK107" s="714" t="e">
        <f t="shared" ca="1" si="54"/>
        <v>#REF!</v>
      </c>
      <c r="EM107" s="60"/>
      <c r="EN107" s="60"/>
    </row>
    <row r="108" spans="1:144" ht="13.9" customHeight="1">
      <c r="A108" s="220"/>
      <c r="B108" s="236">
        <f t="shared" si="84"/>
        <v>85</v>
      </c>
      <c r="C108" s="221">
        <f t="shared" si="85"/>
        <v>46026.002800000133</v>
      </c>
      <c r="D108" s="746" t="e">
        <f t="shared" ca="1" si="86"/>
        <v>#DIV/0!</v>
      </c>
      <c r="E108" s="747" t="e">
        <f t="shared" ca="1" si="88"/>
        <v>#DIV/0!</v>
      </c>
      <c r="F108" s="748" t="e">
        <f ca="1">IF(F107=0,0,SUM($G$24:G108))</f>
        <v>#DIV/0!</v>
      </c>
      <c r="G108" s="225" t="e">
        <f t="shared" ca="1" si="77"/>
        <v>#DIV/0!</v>
      </c>
      <c r="H108" s="746">
        <f t="shared" ca="1" si="87"/>
        <v>0</v>
      </c>
      <c r="I108" s="60"/>
      <c r="J108" s="228"/>
      <c r="K108" s="228">
        <f t="shared" si="78"/>
        <v>85</v>
      </c>
      <c r="L108" s="221">
        <f t="shared" si="79"/>
        <v>46026.002800000133</v>
      </c>
      <c r="M108" s="229">
        <f t="shared" si="99"/>
        <v>0</v>
      </c>
      <c r="N108" s="229">
        <f t="shared" si="99"/>
        <v>0</v>
      </c>
      <c r="O108" s="229">
        <f t="shared" si="99"/>
        <v>0</v>
      </c>
      <c r="P108" s="229">
        <f t="shared" si="99"/>
        <v>0</v>
      </c>
      <c r="Q108" s="229">
        <f t="shared" si="99"/>
        <v>0</v>
      </c>
      <c r="R108" s="229">
        <f t="shared" si="98"/>
        <v>0</v>
      </c>
      <c r="S108" s="229">
        <f t="shared" si="98"/>
        <v>0</v>
      </c>
      <c r="T108" s="229">
        <f t="shared" si="98"/>
        <v>0</v>
      </c>
      <c r="U108" s="229">
        <f t="shared" si="99"/>
        <v>0</v>
      </c>
      <c r="V108" s="229">
        <f t="shared" si="99"/>
        <v>0</v>
      </c>
      <c r="W108" s="229">
        <f t="shared" si="99"/>
        <v>0</v>
      </c>
      <c r="X108" s="229">
        <f t="shared" si="99"/>
        <v>0</v>
      </c>
      <c r="Y108" s="229">
        <f t="shared" si="99"/>
        <v>0</v>
      </c>
      <c r="Z108" s="229">
        <f t="shared" si="99"/>
        <v>0</v>
      </c>
      <c r="AA108" s="229">
        <f t="shared" si="99"/>
        <v>0</v>
      </c>
      <c r="AB108" s="229">
        <f t="shared" si="99"/>
        <v>0</v>
      </c>
      <c r="AC108" s="229">
        <f t="shared" si="99"/>
        <v>0</v>
      </c>
      <c r="AD108" s="229">
        <f t="shared" si="99"/>
        <v>0</v>
      </c>
      <c r="AE108" s="229">
        <f t="shared" si="99"/>
        <v>0</v>
      </c>
      <c r="AF108" s="229">
        <f t="shared" si="99"/>
        <v>0</v>
      </c>
      <c r="AG108" s="229">
        <f t="shared" si="99"/>
        <v>0</v>
      </c>
      <c r="AH108" s="229">
        <f t="shared" si="99"/>
        <v>0</v>
      </c>
      <c r="AI108" s="229">
        <f t="shared" si="99"/>
        <v>0</v>
      </c>
      <c r="AJ108" s="229">
        <f t="shared" si="99"/>
        <v>0</v>
      </c>
      <c r="AK108" s="229">
        <f t="shared" si="99"/>
        <v>0</v>
      </c>
      <c r="AL108" s="229">
        <f t="shared" si="99"/>
        <v>0</v>
      </c>
      <c r="AM108" s="229">
        <f t="shared" si="99"/>
        <v>0</v>
      </c>
      <c r="AN108" s="229">
        <f t="shared" si="99"/>
        <v>0</v>
      </c>
      <c r="AO108" s="229">
        <f t="shared" si="99"/>
        <v>0</v>
      </c>
      <c r="AP108" s="229">
        <f t="shared" si="99"/>
        <v>0</v>
      </c>
      <c r="AQ108" s="229">
        <f t="shared" si="99"/>
        <v>0</v>
      </c>
      <c r="AR108" s="229">
        <f t="shared" si="100"/>
        <v>0</v>
      </c>
      <c r="AS108" s="229">
        <f t="shared" si="100"/>
        <v>0</v>
      </c>
      <c r="AT108" s="229">
        <f t="shared" si="100"/>
        <v>0</v>
      </c>
      <c r="AU108" s="229">
        <f t="shared" si="100"/>
        <v>0</v>
      </c>
      <c r="AV108" s="229">
        <f t="shared" si="100"/>
        <v>0</v>
      </c>
      <c r="AW108" s="229">
        <f t="shared" si="100"/>
        <v>0</v>
      </c>
      <c r="AX108" s="229">
        <f t="shared" si="100"/>
        <v>0</v>
      </c>
      <c r="AY108" s="229">
        <f t="shared" si="100"/>
        <v>0</v>
      </c>
      <c r="AZ108" s="229">
        <f t="shared" si="100"/>
        <v>0</v>
      </c>
      <c r="BA108" s="229">
        <f t="shared" si="100"/>
        <v>0</v>
      </c>
      <c r="BB108" s="229">
        <f t="shared" si="100"/>
        <v>0</v>
      </c>
      <c r="BC108" s="229">
        <f t="shared" si="101"/>
        <v>0</v>
      </c>
      <c r="BD108" s="229">
        <f t="shared" si="101"/>
        <v>0</v>
      </c>
      <c r="BE108" s="229">
        <f t="shared" si="101"/>
        <v>0</v>
      </c>
      <c r="BF108" s="229">
        <f t="shared" si="101"/>
        <v>0</v>
      </c>
      <c r="BG108" s="229">
        <f t="shared" si="101"/>
        <v>0</v>
      </c>
      <c r="BH108" s="229">
        <f t="shared" si="101"/>
        <v>0</v>
      </c>
      <c r="BI108" s="229">
        <f t="shared" si="101"/>
        <v>0</v>
      </c>
      <c r="BJ108" s="229">
        <f t="shared" si="101"/>
        <v>0</v>
      </c>
      <c r="BK108" s="229">
        <f t="shared" si="101"/>
        <v>0</v>
      </c>
      <c r="BL108" s="229">
        <f t="shared" si="101"/>
        <v>0</v>
      </c>
      <c r="BM108" s="229">
        <f t="shared" si="102"/>
        <v>0</v>
      </c>
      <c r="BN108" s="229">
        <f t="shared" si="102"/>
        <v>0</v>
      </c>
      <c r="BO108" s="229">
        <f t="shared" si="102"/>
        <v>0</v>
      </c>
      <c r="BP108" s="229">
        <f t="shared" si="102"/>
        <v>0</v>
      </c>
      <c r="BQ108" s="229">
        <f t="shared" si="102"/>
        <v>0</v>
      </c>
      <c r="BR108" s="229">
        <f t="shared" si="102"/>
        <v>0</v>
      </c>
      <c r="BS108" s="229">
        <f t="shared" si="102"/>
        <v>0</v>
      </c>
      <c r="BT108" s="229">
        <f t="shared" si="102"/>
        <v>0</v>
      </c>
      <c r="BU108" s="229">
        <f t="shared" si="102"/>
        <v>0</v>
      </c>
      <c r="BV108" s="229">
        <f t="shared" si="102"/>
        <v>0</v>
      </c>
      <c r="BW108" s="229">
        <f t="shared" si="102"/>
        <v>0</v>
      </c>
      <c r="BX108" s="229">
        <f t="shared" si="102"/>
        <v>0</v>
      </c>
      <c r="BY108" s="229">
        <f t="shared" si="102"/>
        <v>0</v>
      </c>
      <c r="BZ108" s="229">
        <f t="shared" si="102"/>
        <v>0</v>
      </c>
      <c r="CA108" s="229">
        <f t="shared" si="102"/>
        <v>0</v>
      </c>
      <c r="CB108" s="229">
        <f t="shared" si="103"/>
        <v>0</v>
      </c>
      <c r="CC108" s="229">
        <f t="shared" si="103"/>
        <v>0</v>
      </c>
      <c r="CD108" s="229">
        <f t="shared" si="103"/>
        <v>0</v>
      </c>
      <c r="CE108" s="229">
        <f t="shared" si="103"/>
        <v>0</v>
      </c>
      <c r="CF108" s="229">
        <f t="shared" si="103"/>
        <v>0</v>
      </c>
      <c r="CG108" s="229">
        <f t="shared" si="103"/>
        <v>0</v>
      </c>
      <c r="CH108" s="229">
        <f t="shared" si="103"/>
        <v>0</v>
      </c>
      <c r="CI108" s="229">
        <f t="shared" si="103"/>
        <v>0</v>
      </c>
      <c r="CJ108" s="229">
        <f t="shared" si="103"/>
        <v>0</v>
      </c>
      <c r="CK108" s="229">
        <f t="shared" si="103"/>
        <v>0</v>
      </c>
      <c r="CL108" s="229">
        <f t="shared" si="103"/>
        <v>0</v>
      </c>
      <c r="CM108" s="229">
        <f t="shared" si="103"/>
        <v>0</v>
      </c>
      <c r="CN108" s="229">
        <f t="shared" si="103"/>
        <v>0</v>
      </c>
      <c r="CO108" s="229">
        <f t="shared" si="103"/>
        <v>0</v>
      </c>
      <c r="CP108" s="229">
        <f t="shared" si="103"/>
        <v>0</v>
      </c>
      <c r="CQ108" s="229">
        <f t="shared" si="103"/>
        <v>0</v>
      </c>
      <c r="CR108" s="229">
        <f t="shared" si="103"/>
        <v>0</v>
      </c>
      <c r="CS108" s="230"/>
      <c r="CT108" s="243">
        <f>IF(SUM(CT$24:CT107)&gt;=CT$22,0,CT$22/CT$13)</f>
        <v>0</v>
      </c>
      <c r="CU108" s="243">
        <f>IF(SUM(CU$24:CU107)&gt;=CU$22,0,CU$22/CU$13)</f>
        <v>0</v>
      </c>
      <c r="CV108" s="243">
        <f>IF(SUM(CV$24:CV107)&gt;=CV$22,0,CV$22/CV$13)</f>
        <v>0</v>
      </c>
      <c r="CW108" s="243" t="e">
        <f ca="1">IF(SUM(CW$24:CW107)&gt;=CW$22,0,CW$22/CW$13)</f>
        <v>#N/A</v>
      </c>
      <c r="CX108" s="243"/>
      <c r="CY108" s="231"/>
      <c r="CZ108" s="231"/>
      <c r="DA108" s="231" t="e">
        <f ca="1">IF(SUM(DA$32:DA107)&gt;=DA$22,0,DA$22/(DA$13*4))</f>
        <v>#N/A</v>
      </c>
      <c r="DB108" s="231">
        <f>IF(SUM(DB$24:DB107)=DB$22,0,IF(AND($K108&gt;=DB$15,$K108&lt;(DB$16+1)),DB$22/(DB$16-DB$15+1),0))</f>
        <v>0</v>
      </c>
      <c r="DC108" s="231">
        <f t="shared" si="97"/>
        <v>0</v>
      </c>
      <c r="DD108" s="231">
        <f t="shared" si="97"/>
        <v>0</v>
      </c>
      <c r="DE108" s="231">
        <f t="shared" si="97"/>
        <v>0</v>
      </c>
      <c r="DF108" s="231">
        <f t="shared" si="97"/>
        <v>0</v>
      </c>
      <c r="DG108" s="231">
        <f t="shared" si="97"/>
        <v>0</v>
      </c>
      <c r="DH108" s="231">
        <f t="shared" si="97"/>
        <v>0</v>
      </c>
      <c r="DI108" s="231">
        <f t="shared" si="97"/>
        <v>0</v>
      </c>
      <c r="DJ108" s="231">
        <f t="shared" si="97"/>
        <v>0</v>
      </c>
      <c r="DK108" s="231">
        <f t="shared" si="97"/>
        <v>0</v>
      </c>
      <c r="DL108" s="231">
        <f t="shared" si="97"/>
        <v>0</v>
      </c>
      <c r="DM108" s="231">
        <f t="shared" si="97"/>
        <v>0</v>
      </c>
      <c r="DN108" s="231">
        <f t="shared" si="97"/>
        <v>0</v>
      </c>
      <c r="DO108" s="231">
        <f t="shared" si="97"/>
        <v>0</v>
      </c>
      <c r="DP108" s="231">
        <f>'Offshore CF'!DR108</f>
        <v>0</v>
      </c>
      <c r="DQ108" s="231">
        <f>'Offshore CF'!DS108</f>
        <v>0</v>
      </c>
      <c r="DR108" s="231">
        <f ca="1">IF(SUM(DR$24:DR107)=DR$22,0,IF(AND($K108&gt;=DR$15,$K108&lt;(DR$16+1)),DR$22/(DR$16-DR$15+1),0))</f>
        <v>0</v>
      </c>
      <c r="DS108" s="231" t="e">
        <f ca="1">IF(SUM(DS$24:DS107)=DS$22,0,IF(AND($K108&gt;=DS$15,$K108&lt;(DS$16+1)),DS$22/(DS$16-DS$15+1),0))</f>
        <v>#REF!</v>
      </c>
      <c r="DT108" s="231" t="e">
        <f ca="1">IF(SUM(DT$24:DT107)=DT$22,0,IF(AND(K108&gt;=DT$15,K108&lt;(DT$16+1)),DT$22/(DT$16-DT$15+1),0))</f>
        <v>#REF!</v>
      </c>
      <c r="DU108" s="231" t="e">
        <f ca="1">IF(SUM(DU$24:DU107)=DU$22,0,IF(AND($K108&gt;=DU$15,$K108&lt;(DU$16+1)),DU$22/(DU$16-DU$15+1),0))</f>
        <v>#REF!</v>
      </c>
      <c r="DV108" s="231">
        <f ca="1">IF(SUM(DV$24:DV107)=DV$22,0,IF(AND($K108&gt;=DV$15,$K108&lt;(DV$16+1)),DV$22/(DV$16-DV$15+1),0))</f>
        <v>0</v>
      </c>
      <c r="DW108" s="231">
        <f ca="1">IF(SUM(DW$24:DW107)=DW$22,0,IF(AND($K108&gt;=DW$15,$K108&lt;(DW$16+1)),DW$22/(DW$16-DW$15+1),0))</f>
        <v>0</v>
      </c>
      <c r="DX108" s="231">
        <f ca="1">IF(SUM(DX$24:DX107)=DX$22,0,IF(AND($K108&gt;=DX$15,$K108&lt;(DX$16+1)),DX$22/(DX$16-DX$15+1),0))</f>
        <v>0</v>
      </c>
      <c r="DY108" s="231">
        <f ca="1">IF(SUM(DY$24:DY107)=DY$22,0,IF(AND($K108&gt;=DY$15,$K108&lt;(DY$16+1)),DY$22/(DY$16-DY$15+1),0))</f>
        <v>0</v>
      </c>
      <c r="EA108" s="749">
        <f t="shared" si="80"/>
        <v>85</v>
      </c>
      <c r="EB108" s="749" t="e">
        <f t="shared" ca="1" si="81"/>
        <v>#N/A</v>
      </c>
      <c r="EC108" s="750" t="e">
        <f t="shared" ca="1" si="82"/>
        <v>#N/A</v>
      </c>
      <c r="ED108" s="749" t="e">
        <f t="shared" ca="1" si="96"/>
        <v>#REF!</v>
      </c>
      <c r="EE108" s="749"/>
      <c r="EF108" s="749"/>
      <c r="EG108" s="749"/>
      <c r="EH108" s="749"/>
      <c r="EI108" s="714" t="e">
        <f t="shared" ca="1" si="83"/>
        <v>#N/A</v>
      </c>
      <c r="EJ108" s="231" t="e">
        <f ca="1">IF(SUM(EJ$24:EJ107)=EJ$22,0,IF(AND($K108&gt;=EJ$15,$K108&lt;(EJ$16+1)),EJ$22/(EJ$16-EJ$15+1),0))</f>
        <v>#REF!</v>
      </c>
      <c r="EK108" s="714" t="e">
        <f t="shared" ca="1" si="54"/>
        <v>#N/A</v>
      </c>
      <c r="EM108" s="60"/>
      <c r="EN108" s="60"/>
    </row>
    <row r="109" spans="1:144" ht="13.9" customHeight="1">
      <c r="A109" s="220"/>
      <c r="B109" s="236">
        <f t="shared" si="84"/>
        <v>86</v>
      </c>
      <c r="C109" s="221">
        <f t="shared" si="85"/>
        <v>46056.419500000135</v>
      </c>
      <c r="D109" s="746" t="e">
        <f t="shared" ca="1" si="86"/>
        <v>#DIV/0!</v>
      </c>
      <c r="E109" s="747" t="e">
        <f t="shared" ca="1" si="88"/>
        <v>#DIV/0!</v>
      </c>
      <c r="F109" s="748" t="e">
        <f ca="1">IF(F108=0,0,SUM($G$24:G109))</f>
        <v>#DIV/0!</v>
      </c>
      <c r="G109" s="225" t="e">
        <f t="shared" ca="1" si="77"/>
        <v>#DIV/0!</v>
      </c>
      <c r="H109" s="746">
        <f t="shared" ca="1" si="87"/>
        <v>0</v>
      </c>
      <c r="I109" s="60"/>
      <c r="J109" s="228"/>
      <c r="K109" s="228">
        <f t="shared" si="78"/>
        <v>86</v>
      </c>
      <c r="L109" s="221">
        <f t="shared" si="79"/>
        <v>46056.419500000135</v>
      </c>
      <c r="M109" s="229">
        <f t="shared" si="99"/>
        <v>0</v>
      </c>
      <c r="N109" s="229">
        <f t="shared" si="99"/>
        <v>0</v>
      </c>
      <c r="O109" s="229">
        <f t="shared" si="99"/>
        <v>0</v>
      </c>
      <c r="P109" s="229">
        <f t="shared" si="99"/>
        <v>0</v>
      </c>
      <c r="Q109" s="229">
        <f t="shared" si="99"/>
        <v>0</v>
      </c>
      <c r="R109" s="229">
        <f t="shared" si="98"/>
        <v>0</v>
      </c>
      <c r="S109" s="229">
        <f t="shared" si="98"/>
        <v>0</v>
      </c>
      <c r="T109" s="229">
        <f t="shared" si="98"/>
        <v>0</v>
      </c>
      <c r="U109" s="229">
        <f t="shared" si="99"/>
        <v>0</v>
      </c>
      <c r="V109" s="229">
        <f t="shared" si="99"/>
        <v>0</v>
      </c>
      <c r="W109" s="229">
        <f t="shared" si="99"/>
        <v>0</v>
      </c>
      <c r="X109" s="229">
        <f t="shared" si="99"/>
        <v>0</v>
      </c>
      <c r="Y109" s="229">
        <f t="shared" si="99"/>
        <v>0</v>
      </c>
      <c r="Z109" s="229">
        <f t="shared" si="99"/>
        <v>0</v>
      </c>
      <c r="AA109" s="229">
        <f t="shared" si="99"/>
        <v>0</v>
      </c>
      <c r="AB109" s="229">
        <f t="shared" si="99"/>
        <v>0</v>
      </c>
      <c r="AC109" s="229">
        <f t="shared" si="99"/>
        <v>0</v>
      </c>
      <c r="AD109" s="229">
        <f t="shared" si="99"/>
        <v>0</v>
      </c>
      <c r="AE109" s="229">
        <f t="shared" si="99"/>
        <v>0</v>
      </c>
      <c r="AF109" s="229">
        <f t="shared" si="99"/>
        <v>0</v>
      </c>
      <c r="AG109" s="229">
        <f t="shared" si="99"/>
        <v>0</v>
      </c>
      <c r="AH109" s="229">
        <f t="shared" si="99"/>
        <v>0</v>
      </c>
      <c r="AI109" s="229">
        <f t="shared" si="99"/>
        <v>0</v>
      </c>
      <c r="AJ109" s="229">
        <f t="shared" si="99"/>
        <v>0</v>
      </c>
      <c r="AK109" s="229">
        <f t="shared" si="99"/>
        <v>0</v>
      </c>
      <c r="AL109" s="229">
        <f t="shared" si="99"/>
        <v>0</v>
      </c>
      <c r="AM109" s="229">
        <f t="shared" si="99"/>
        <v>0</v>
      </c>
      <c r="AN109" s="229">
        <f t="shared" si="99"/>
        <v>0</v>
      </c>
      <c r="AO109" s="229">
        <f t="shared" si="99"/>
        <v>0</v>
      </c>
      <c r="AP109" s="229">
        <f t="shared" si="99"/>
        <v>0</v>
      </c>
      <c r="AQ109" s="229">
        <f t="shared" si="99"/>
        <v>0</v>
      </c>
      <c r="AR109" s="229">
        <f t="shared" si="100"/>
        <v>0</v>
      </c>
      <c r="AS109" s="229">
        <f t="shared" si="100"/>
        <v>0</v>
      </c>
      <c r="AT109" s="229">
        <f t="shared" si="100"/>
        <v>0</v>
      </c>
      <c r="AU109" s="229">
        <f t="shared" si="100"/>
        <v>0</v>
      </c>
      <c r="AV109" s="229">
        <f t="shared" si="100"/>
        <v>0</v>
      </c>
      <c r="AW109" s="229">
        <f t="shared" si="100"/>
        <v>0</v>
      </c>
      <c r="AX109" s="229">
        <f t="shared" si="100"/>
        <v>0</v>
      </c>
      <c r="AY109" s="229">
        <f t="shared" si="100"/>
        <v>0</v>
      </c>
      <c r="AZ109" s="229">
        <f t="shared" si="100"/>
        <v>0</v>
      </c>
      <c r="BA109" s="229">
        <f t="shared" si="100"/>
        <v>0</v>
      </c>
      <c r="BB109" s="229">
        <f t="shared" si="100"/>
        <v>0</v>
      </c>
      <c r="BC109" s="229">
        <f t="shared" si="101"/>
        <v>0</v>
      </c>
      <c r="BD109" s="229">
        <f t="shared" si="101"/>
        <v>0</v>
      </c>
      <c r="BE109" s="229">
        <f t="shared" si="101"/>
        <v>0</v>
      </c>
      <c r="BF109" s="229">
        <f t="shared" si="101"/>
        <v>0</v>
      </c>
      <c r="BG109" s="229">
        <f t="shared" si="101"/>
        <v>0</v>
      </c>
      <c r="BH109" s="229">
        <f t="shared" si="101"/>
        <v>0</v>
      </c>
      <c r="BI109" s="229">
        <f t="shared" si="101"/>
        <v>0</v>
      </c>
      <c r="BJ109" s="229">
        <f t="shared" si="101"/>
        <v>0</v>
      </c>
      <c r="BK109" s="229">
        <f t="shared" si="101"/>
        <v>0</v>
      </c>
      <c r="BL109" s="229">
        <f t="shared" si="101"/>
        <v>0</v>
      </c>
      <c r="BM109" s="229">
        <f t="shared" si="102"/>
        <v>0</v>
      </c>
      <c r="BN109" s="229">
        <f t="shared" si="102"/>
        <v>0</v>
      </c>
      <c r="BO109" s="229">
        <f t="shared" si="102"/>
        <v>0</v>
      </c>
      <c r="BP109" s="229">
        <f t="shared" si="102"/>
        <v>0</v>
      </c>
      <c r="BQ109" s="229">
        <f t="shared" si="102"/>
        <v>0</v>
      </c>
      <c r="BR109" s="229">
        <f t="shared" si="102"/>
        <v>0</v>
      </c>
      <c r="BS109" s="229">
        <f t="shared" si="102"/>
        <v>0</v>
      </c>
      <c r="BT109" s="229">
        <f t="shared" si="102"/>
        <v>0</v>
      </c>
      <c r="BU109" s="229">
        <f t="shared" si="102"/>
        <v>0</v>
      </c>
      <c r="BV109" s="229">
        <f t="shared" si="102"/>
        <v>0</v>
      </c>
      <c r="BW109" s="229">
        <f t="shared" si="102"/>
        <v>0</v>
      </c>
      <c r="BX109" s="229">
        <f t="shared" si="102"/>
        <v>0</v>
      </c>
      <c r="BY109" s="229">
        <f t="shared" si="102"/>
        <v>0</v>
      </c>
      <c r="BZ109" s="229">
        <f t="shared" si="102"/>
        <v>0</v>
      </c>
      <c r="CA109" s="229">
        <f t="shared" si="102"/>
        <v>0</v>
      </c>
      <c r="CB109" s="229">
        <f t="shared" si="103"/>
        <v>0</v>
      </c>
      <c r="CC109" s="229">
        <f t="shared" si="103"/>
        <v>0</v>
      </c>
      <c r="CD109" s="229">
        <f t="shared" si="103"/>
        <v>0</v>
      </c>
      <c r="CE109" s="229">
        <f t="shared" si="103"/>
        <v>0</v>
      </c>
      <c r="CF109" s="229">
        <f t="shared" si="103"/>
        <v>0</v>
      </c>
      <c r="CG109" s="229">
        <f t="shared" si="103"/>
        <v>0</v>
      </c>
      <c r="CH109" s="229">
        <f t="shared" si="103"/>
        <v>0</v>
      </c>
      <c r="CI109" s="229">
        <f t="shared" si="103"/>
        <v>0</v>
      </c>
      <c r="CJ109" s="229">
        <f t="shared" si="103"/>
        <v>0</v>
      </c>
      <c r="CK109" s="229">
        <f t="shared" si="103"/>
        <v>0</v>
      </c>
      <c r="CL109" s="229">
        <f t="shared" si="103"/>
        <v>0</v>
      </c>
      <c r="CM109" s="229">
        <f t="shared" si="103"/>
        <v>0</v>
      </c>
      <c r="CN109" s="229">
        <f t="shared" si="103"/>
        <v>0</v>
      </c>
      <c r="CO109" s="229">
        <f t="shared" si="103"/>
        <v>0</v>
      </c>
      <c r="CP109" s="229">
        <f t="shared" si="103"/>
        <v>0</v>
      </c>
      <c r="CQ109" s="229">
        <f t="shared" si="103"/>
        <v>0</v>
      </c>
      <c r="CR109" s="229">
        <f t="shared" si="103"/>
        <v>0</v>
      </c>
      <c r="CS109" s="230"/>
      <c r="CT109" s="231"/>
      <c r="CU109" s="231"/>
      <c r="CV109" s="231"/>
      <c r="CW109" s="231"/>
      <c r="CX109" s="231"/>
      <c r="CY109" s="231"/>
      <c r="CZ109" s="231"/>
      <c r="DA109" s="231"/>
      <c r="DB109" s="231">
        <f>IF(SUM(DB$24:DB108)=DB$22,0,IF(AND($K109&gt;=DB$15,$K109&lt;(DB$16+1)),DB$22/(DB$16-DB$15+1),0))</f>
        <v>0</v>
      </c>
      <c r="DC109" s="231">
        <f t="shared" si="97"/>
        <v>0</v>
      </c>
      <c r="DD109" s="231">
        <f t="shared" si="97"/>
        <v>0</v>
      </c>
      <c r="DE109" s="231">
        <f t="shared" si="97"/>
        <v>0</v>
      </c>
      <c r="DF109" s="231">
        <f t="shared" si="97"/>
        <v>0</v>
      </c>
      <c r="DG109" s="231">
        <f t="shared" si="97"/>
        <v>0</v>
      </c>
      <c r="DH109" s="231">
        <f t="shared" si="97"/>
        <v>0</v>
      </c>
      <c r="DI109" s="231">
        <f t="shared" si="97"/>
        <v>0</v>
      </c>
      <c r="DJ109" s="231">
        <f t="shared" si="97"/>
        <v>0</v>
      </c>
      <c r="DK109" s="231">
        <f t="shared" si="97"/>
        <v>0</v>
      </c>
      <c r="DL109" s="231">
        <f t="shared" si="97"/>
        <v>0</v>
      </c>
      <c r="DM109" s="231">
        <f t="shared" si="97"/>
        <v>0</v>
      </c>
      <c r="DN109" s="231">
        <f t="shared" si="97"/>
        <v>0</v>
      </c>
      <c r="DO109" s="231">
        <f t="shared" si="97"/>
        <v>0</v>
      </c>
      <c r="DP109" s="231">
        <f>'Offshore CF'!DR109</f>
        <v>0</v>
      </c>
      <c r="DQ109" s="231">
        <f>'Offshore CF'!DS109</f>
        <v>0</v>
      </c>
      <c r="DR109" s="231">
        <f ca="1">IF(SUM(DR$24:DR108)=DR$22,0,IF(AND($K109&gt;=DR$15,$K109&lt;(DR$16+1)),DR$22/(DR$16-DR$15+1),0))</f>
        <v>0</v>
      </c>
      <c r="DS109" s="231" t="e">
        <f ca="1">IF(SUM(DS$24:DS108)=DS$22,0,IF(AND($K109&gt;=DS$15,$K109&lt;(DS$16+1)),DS$22/(DS$16-DS$15+1),0))</f>
        <v>#REF!</v>
      </c>
      <c r="DT109" s="231" t="e">
        <f ca="1">IF(SUM(DT$24:DT108)=DT$22,0,IF(AND(K109&gt;=DT$15,K109&lt;(DT$16+1)),DT$22/(DT$16-DT$15+1),0))</f>
        <v>#REF!</v>
      </c>
      <c r="DU109" s="231" t="e">
        <f ca="1">IF(SUM(DU$24:DU108)=DU$22,0,IF(AND($K109&gt;=DU$15,$K109&lt;(DU$16+1)),DU$22/(DU$16-DU$15+1),0))</f>
        <v>#REF!</v>
      </c>
      <c r="DV109" s="231">
        <f ca="1">IF(SUM(DV$24:DV108)=DV$22,0,IF(AND($K109&gt;=DV$15,$K109&lt;(DV$16+1)),DV$22/(DV$16-DV$15+1),0))</f>
        <v>0</v>
      </c>
      <c r="DW109" s="231">
        <f ca="1">IF(SUM(DW$24:DW108)=DW$22,0,IF(AND($K109&gt;=DW$15,$K109&lt;(DW$16+1)),DW$22/(DW$16-DW$15+1),0))</f>
        <v>0</v>
      </c>
      <c r="DX109" s="231">
        <f ca="1">IF(SUM(DX$24:DX108)=DX$22,0,IF(AND($K109&gt;=DX$15,$K109&lt;(DX$16+1)),DX$22/(DX$16-DX$15+1),0))</f>
        <v>0</v>
      </c>
      <c r="DY109" s="231">
        <f ca="1">IF(SUM(DY$24:DY108)=DY$22,0,IF(AND($K109&gt;=DY$15,$K109&lt;(DY$16+1)),DY$22/(DY$16-DY$15+1),0))</f>
        <v>0</v>
      </c>
      <c r="EA109" s="749">
        <f t="shared" si="80"/>
        <v>86</v>
      </c>
      <c r="EB109" s="749" t="e">
        <f t="shared" ca="1" si="81"/>
        <v>#REF!</v>
      </c>
      <c r="EC109" s="750" t="e">
        <f t="shared" ca="1" si="82"/>
        <v>#REF!</v>
      </c>
      <c r="ED109" s="749" t="e">
        <f t="shared" ca="1" si="96"/>
        <v>#REF!</v>
      </c>
      <c r="EE109" s="749"/>
      <c r="EF109" s="749"/>
      <c r="EG109" s="749"/>
      <c r="EH109" s="749"/>
      <c r="EI109" s="714" t="e">
        <f t="shared" ca="1" si="83"/>
        <v>#REF!</v>
      </c>
      <c r="EJ109" s="231" t="e">
        <f ca="1">IF(SUM(EJ$24:EJ108)=EJ$22,0,IF(AND($K109&gt;=EJ$15,$K109&lt;(EJ$16+1)),EJ$22/(EJ$16-EJ$15+1),0))</f>
        <v>#REF!</v>
      </c>
      <c r="EK109" s="714" t="e">
        <f t="shared" ca="1" si="54"/>
        <v>#REF!</v>
      </c>
      <c r="EM109" s="60"/>
      <c r="EN109" s="60"/>
    </row>
    <row r="110" spans="1:144" ht="13.9" customHeight="1">
      <c r="A110" s="220"/>
      <c r="B110" s="236">
        <f t="shared" si="84"/>
        <v>87</v>
      </c>
      <c r="C110" s="221">
        <f t="shared" si="85"/>
        <v>46086.836200000136</v>
      </c>
      <c r="D110" s="746" t="e">
        <f t="shared" ca="1" si="86"/>
        <v>#DIV/0!</v>
      </c>
      <c r="E110" s="747" t="e">
        <f t="shared" ca="1" si="88"/>
        <v>#DIV/0!</v>
      </c>
      <c r="F110" s="748" t="e">
        <f ca="1">IF(F109=0,0,SUM($G$24:G110))</f>
        <v>#DIV/0!</v>
      </c>
      <c r="G110" s="225" t="e">
        <f t="shared" ca="1" si="77"/>
        <v>#DIV/0!</v>
      </c>
      <c r="H110" s="746">
        <f t="shared" ca="1" si="87"/>
        <v>0</v>
      </c>
      <c r="I110" s="60"/>
      <c r="J110" s="228"/>
      <c r="K110" s="228">
        <f t="shared" si="78"/>
        <v>87</v>
      </c>
      <c r="L110" s="221">
        <f t="shared" si="79"/>
        <v>46086.836200000136</v>
      </c>
      <c r="M110" s="229">
        <f t="shared" si="99"/>
        <v>0</v>
      </c>
      <c r="N110" s="229">
        <f t="shared" si="99"/>
        <v>0</v>
      </c>
      <c r="O110" s="229">
        <f t="shared" si="99"/>
        <v>0</v>
      </c>
      <c r="P110" s="229">
        <f t="shared" si="99"/>
        <v>0</v>
      </c>
      <c r="Q110" s="229">
        <f t="shared" si="99"/>
        <v>0</v>
      </c>
      <c r="R110" s="229">
        <f t="shared" si="98"/>
        <v>0</v>
      </c>
      <c r="S110" s="229">
        <f t="shared" si="98"/>
        <v>0</v>
      </c>
      <c r="T110" s="229">
        <f t="shared" si="98"/>
        <v>0</v>
      </c>
      <c r="U110" s="229">
        <f t="shared" si="99"/>
        <v>0</v>
      </c>
      <c r="V110" s="229">
        <f t="shared" si="99"/>
        <v>0</v>
      </c>
      <c r="W110" s="229">
        <f t="shared" si="99"/>
        <v>0</v>
      </c>
      <c r="X110" s="229">
        <f t="shared" si="99"/>
        <v>0</v>
      </c>
      <c r="Y110" s="229">
        <f t="shared" si="99"/>
        <v>0</v>
      </c>
      <c r="Z110" s="229">
        <f t="shared" si="99"/>
        <v>0</v>
      </c>
      <c r="AA110" s="229">
        <f t="shared" si="99"/>
        <v>0</v>
      </c>
      <c r="AB110" s="229">
        <f t="shared" si="99"/>
        <v>0</v>
      </c>
      <c r="AC110" s="229">
        <f t="shared" si="99"/>
        <v>0</v>
      </c>
      <c r="AD110" s="229">
        <f t="shared" si="99"/>
        <v>0</v>
      </c>
      <c r="AE110" s="229">
        <f t="shared" si="99"/>
        <v>0</v>
      </c>
      <c r="AF110" s="229">
        <f t="shared" si="99"/>
        <v>0</v>
      </c>
      <c r="AG110" s="229">
        <f t="shared" si="99"/>
        <v>0</v>
      </c>
      <c r="AH110" s="229">
        <f t="shared" si="99"/>
        <v>0</v>
      </c>
      <c r="AI110" s="229">
        <f t="shared" si="99"/>
        <v>0</v>
      </c>
      <c r="AJ110" s="229">
        <f t="shared" si="99"/>
        <v>0</v>
      </c>
      <c r="AK110" s="229">
        <f t="shared" si="99"/>
        <v>0</v>
      </c>
      <c r="AL110" s="229">
        <f t="shared" si="99"/>
        <v>0</v>
      </c>
      <c r="AM110" s="229">
        <f t="shared" si="99"/>
        <v>0</v>
      </c>
      <c r="AN110" s="229">
        <f t="shared" si="99"/>
        <v>0</v>
      </c>
      <c r="AO110" s="229">
        <f t="shared" si="99"/>
        <v>0</v>
      </c>
      <c r="AP110" s="229">
        <f t="shared" si="99"/>
        <v>0</v>
      </c>
      <c r="AQ110" s="229">
        <f t="shared" si="99"/>
        <v>0</v>
      </c>
      <c r="AR110" s="229">
        <f t="shared" si="100"/>
        <v>0</v>
      </c>
      <c r="AS110" s="229">
        <f t="shared" si="100"/>
        <v>0</v>
      </c>
      <c r="AT110" s="229">
        <f t="shared" si="100"/>
        <v>0</v>
      </c>
      <c r="AU110" s="229">
        <f t="shared" si="100"/>
        <v>0</v>
      </c>
      <c r="AV110" s="229">
        <f t="shared" si="100"/>
        <v>0</v>
      </c>
      <c r="AW110" s="229">
        <f t="shared" si="100"/>
        <v>0</v>
      </c>
      <c r="AX110" s="229">
        <f t="shared" si="100"/>
        <v>0</v>
      </c>
      <c r="AY110" s="229">
        <f t="shared" si="100"/>
        <v>0</v>
      </c>
      <c r="AZ110" s="229">
        <f t="shared" si="100"/>
        <v>0</v>
      </c>
      <c r="BA110" s="229">
        <f t="shared" si="100"/>
        <v>0</v>
      </c>
      <c r="BB110" s="229">
        <f t="shared" si="100"/>
        <v>0</v>
      </c>
      <c r="BC110" s="229">
        <f t="shared" si="101"/>
        <v>0</v>
      </c>
      <c r="BD110" s="229">
        <f t="shared" si="101"/>
        <v>0</v>
      </c>
      <c r="BE110" s="229">
        <f t="shared" si="101"/>
        <v>0</v>
      </c>
      <c r="BF110" s="229">
        <f t="shared" si="101"/>
        <v>0</v>
      </c>
      <c r="BG110" s="229">
        <f t="shared" si="101"/>
        <v>0</v>
      </c>
      <c r="BH110" s="229">
        <f t="shared" si="101"/>
        <v>0</v>
      </c>
      <c r="BI110" s="229">
        <f t="shared" si="101"/>
        <v>0</v>
      </c>
      <c r="BJ110" s="229">
        <f t="shared" si="101"/>
        <v>0</v>
      </c>
      <c r="BK110" s="229">
        <f t="shared" si="101"/>
        <v>0</v>
      </c>
      <c r="BL110" s="229">
        <f t="shared" si="101"/>
        <v>0</v>
      </c>
      <c r="BM110" s="229">
        <f t="shared" si="102"/>
        <v>0</v>
      </c>
      <c r="BN110" s="229">
        <f t="shared" si="102"/>
        <v>0</v>
      </c>
      <c r="BO110" s="229">
        <f t="shared" si="102"/>
        <v>0</v>
      </c>
      <c r="BP110" s="229">
        <f t="shared" si="102"/>
        <v>0</v>
      </c>
      <c r="BQ110" s="229">
        <f t="shared" si="102"/>
        <v>0</v>
      </c>
      <c r="BR110" s="229">
        <f t="shared" si="102"/>
        <v>0</v>
      </c>
      <c r="BS110" s="229">
        <f t="shared" si="102"/>
        <v>0</v>
      </c>
      <c r="BT110" s="229">
        <f t="shared" si="102"/>
        <v>0</v>
      </c>
      <c r="BU110" s="229">
        <f t="shared" si="102"/>
        <v>0</v>
      </c>
      <c r="BV110" s="229">
        <f t="shared" si="102"/>
        <v>0</v>
      </c>
      <c r="BW110" s="229">
        <f t="shared" si="102"/>
        <v>0</v>
      </c>
      <c r="BX110" s="229">
        <f t="shared" si="102"/>
        <v>0</v>
      </c>
      <c r="BY110" s="229">
        <f t="shared" si="102"/>
        <v>0</v>
      </c>
      <c r="BZ110" s="229">
        <f t="shared" si="102"/>
        <v>0</v>
      </c>
      <c r="CA110" s="229">
        <f t="shared" si="102"/>
        <v>0</v>
      </c>
      <c r="CB110" s="229">
        <f t="shared" si="103"/>
        <v>0</v>
      </c>
      <c r="CC110" s="229">
        <f t="shared" si="103"/>
        <v>0</v>
      </c>
      <c r="CD110" s="229">
        <f t="shared" si="103"/>
        <v>0</v>
      </c>
      <c r="CE110" s="229">
        <f t="shared" si="103"/>
        <v>0</v>
      </c>
      <c r="CF110" s="229">
        <f t="shared" si="103"/>
        <v>0</v>
      </c>
      <c r="CG110" s="229">
        <f t="shared" si="103"/>
        <v>0</v>
      </c>
      <c r="CH110" s="229">
        <f t="shared" si="103"/>
        <v>0</v>
      </c>
      <c r="CI110" s="229">
        <f t="shared" si="103"/>
        <v>0</v>
      </c>
      <c r="CJ110" s="229">
        <f t="shared" si="103"/>
        <v>0</v>
      </c>
      <c r="CK110" s="229">
        <f t="shared" si="103"/>
        <v>0</v>
      </c>
      <c r="CL110" s="229">
        <f t="shared" si="103"/>
        <v>0</v>
      </c>
      <c r="CM110" s="229">
        <f t="shared" si="103"/>
        <v>0</v>
      </c>
      <c r="CN110" s="229">
        <f t="shared" si="103"/>
        <v>0</v>
      </c>
      <c r="CO110" s="229">
        <f t="shared" si="103"/>
        <v>0</v>
      </c>
      <c r="CP110" s="229">
        <f t="shared" si="103"/>
        <v>0</v>
      </c>
      <c r="CQ110" s="229">
        <f t="shared" si="103"/>
        <v>0</v>
      </c>
      <c r="CR110" s="229">
        <f t="shared" si="103"/>
        <v>0</v>
      </c>
      <c r="CS110" s="230"/>
      <c r="CT110" s="231"/>
      <c r="CU110" s="231"/>
      <c r="CV110" s="231"/>
      <c r="CW110" s="231"/>
      <c r="CX110" s="231"/>
      <c r="CY110" s="231"/>
      <c r="CZ110" s="231"/>
      <c r="DA110" s="231"/>
      <c r="DB110" s="231">
        <f>IF(SUM(DB$24:DB109)=DB$22,0,IF(AND($K110&gt;=DB$15,$K110&lt;(DB$16+1)),DB$22/(DB$16-DB$15+1),0))</f>
        <v>0</v>
      </c>
      <c r="DC110" s="231">
        <f t="shared" ref="DC110:DO119" si="104">IF(AND($K110&gt;=DC$15,$K110&lt;(DC$16+1)),DC$22/(DC$16-DC$15+1),0)</f>
        <v>0</v>
      </c>
      <c r="DD110" s="231">
        <f t="shared" si="104"/>
        <v>0</v>
      </c>
      <c r="DE110" s="231">
        <f t="shared" si="104"/>
        <v>0</v>
      </c>
      <c r="DF110" s="231">
        <f t="shared" si="104"/>
        <v>0</v>
      </c>
      <c r="DG110" s="231">
        <f t="shared" si="104"/>
        <v>0</v>
      </c>
      <c r="DH110" s="231">
        <f t="shared" si="104"/>
        <v>0</v>
      </c>
      <c r="DI110" s="231">
        <f t="shared" si="104"/>
        <v>0</v>
      </c>
      <c r="DJ110" s="231">
        <f t="shared" si="104"/>
        <v>0</v>
      </c>
      <c r="DK110" s="231">
        <f t="shared" si="104"/>
        <v>0</v>
      </c>
      <c r="DL110" s="231">
        <f t="shared" si="104"/>
        <v>0</v>
      </c>
      <c r="DM110" s="231">
        <f t="shared" si="104"/>
        <v>0</v>
      </c>
      <c r="DN110" s="231">
        <f t="shared" si="104"/>
        <v>0</v>
      </c>
      <c r="DO110" s="231">
        <f t="shared" si="104"/>
        <v>0</v>
      </c>
      <c r="DP110" s="231">
        <f>'Offshore CF'!DR110</f>
        <v>0</v>
      </c>
      <c r="DQ110" s="231">
        <f>'Offshore CF'!DS110</f>
        <v>0</v>
      </c>
      <c r="DR110" s="231">
        <f ca="1">IF(SUM(DR$24:DR109)=DR$22,0,IF(AND($K110&gt;=DR$15,$K110&lt;(DR$16+1)),DR$22/(DR$16-DR$15+1),0))</f>
        <v>0</v>
      </c>
      <c r="DS110" s="231" t="e">
        <f ca="1">IF(SUM(DS$24:DS109)=DS$22,0,IF(AND($K110&gt;=DS$15,$K110&lt;(DS$16+1)),DS$22/(DS$16-DS$15+1),0))</f>
        <v>#REF!</v>
      </c>
      <c r="DT110" s="231" t="e">
        <f ca="1">IF(SUM(DT$24:DT109)=DT$22,0,IF(AND(K110&gt;=DT$15,K110&lt;(DT$16+1)),DT$22/(DT$16-DT$15+1),0))</f>
        <v>#REF!</v>
      </c>
      <c r="DU110" s="231" t="e">
        <f ca="1">IF(SUM(DU$24:DU109)=DU$22,0,IF(AND($K110&gt;=DU$15,$K110&lt;(DU$16+1)),DU$22/(DU$16-DU$15+1),0))</f>
        <v>#REF!</v>
      </c>
      <c r="DV110" s="231">
        <f ca="1">IF(SUM(DV$24:DV109)=DV$22,0,IF(AND($K110&gt;=DV$15,$K110&lt;(DV$16+1)),DV$22/(DV$16-DV$15+1),0))</f>
        <v>0</v>
      </c>
      <c r="DW110" s="231">
        <f ca="1">IF(SUM(DW$24:DW109)=DW$22,0,IF(AND($K110&gt;=DW$15,$K110&lt;(DW$16+1)),DW$22/(DW$16-DW$15+1),0))</f>
        <v>0</v>
      </c>
      <c r="DX110" s="231">
        <f ca="1">IF(SUM(DX$24:DX109)=DX$22,0,IF(AND($K110&gt;=DX$15,$K110&lt;(DX$16+1)),DX$22/(DX$16-DX$15+1),0))</f>
        <v>0</v>
      </c>
      <c r="DY110" s="231">
        <f ca="1">IF(SUM(DY$24:DY109)=DY$22,0,IF(AND($K110&gt;=DY$15,$K110&lt;(DY$16+1)),DY$22/(DY$16-DY$15+1),0))</f>
        <v>0</v>
      </c>
      <c r="EA110" s="749">
        <f t="shared" si="80"/>
        <v>87</v>
      </c>
      <c r="EB110" s="749" t="e">
        <f t="shared" ca="1" si="81"/>
        <v>#REF!</v>
      </c>
      <c r="EC110" s="750" t="e">
        <f t="shared" ca="1" si="82"/>
        <v>#REF!</v>
      </c>
      <c r="ED110" s="749" t="e">
        <f t="shared" ca="1" si="96"/>
        <v>#N/A</v>
      </c>
      <c r="EE110" s="749"/>
      <c r="EF110" s="749"/>
      <c r="EG110" s="749"/>
      <c r="EH110" s="749"/>
      <c r="EI110" s="714" t="e">
        <f t="shared" ca="1" si="83"/>
        <v>#REF!</v>
      </c>
      <c r="EJ110" s="231" t="e">
        <f ca="1">IF(SUM(EJ$24:EJ109)=EJ$22,0,IF(AND($K110&gt;=EJ$15,$K110&lt;(EJ$16+1)),EJ$22/(EJ$16-EJ$15+1),0))</f>
        <v>#REF!</v>
      </c>
      <c r="EK110" s="714" t="e">
        <f t="shared" ca="1" si="54"/>
        <v>#REF!</v>
      </c>
      <c r="EM110" s="60"/>
      <c r="EN110" s="60"/>
    </row>
    <row r="111" spans="1:144" ht="13.9" customHeight="1">
      <c r="A111" s="220"/>
      <c r="B111" s="236">
        <f t="shared" si="84"/>
        <v>88</v>
      </c>
      <c r="C111" s="221">
        <f t="shared" si="85"/>
        <v>46117.252900000138</v>
      </c>
      <c r="D111" s="746" t="e">
        <f t="shared" ca="1" si="86"/>
        <v>#DIV/0!</v>
      </c>
      <c r="E111" s="747" t="e">
        <f t="shared" ca="1" si="88"/>
        <v>#DIV/0!</v>
      </c>
      <c r="F111" s="748" t="e">
        <f ca="1">IF(F110=0,0,SUM($G$24:G111))</f>
        <v>#DIV/0!</v>
      </c>
      <c r="G111" s="225" t="e">
        <f t="shared" ca="1" si="77"/>
        <v>#DIV/0!</v>
      </c>
      <c r="H111" s="746">
        <f t="shared" ca="1" si="87"/>
        <v>0</v>
      </c>
      <c r="I111" s="60"/>
      <c r="J111" s="228"/>
      <c r="K111" s="228">
        <f t="shared" si="78"/>
        <v>88</v>
      </c>
      <c r="L111" s="221">
        <f t="shared" si="79"/>
        <v>46117.252900000138</v>
      </c>
      <c r="M111" s="229">
        <f t="shared" si="99"/>
        <v>0</v>
      </c>
      <c r="N111" s="229">
        <f t="shared" si="99"/>
        <v>0</v>
      </c>
      <c r="O111" s="229">
        <f t="shared" si="99"/>
        <v>0</v>
      </c>
      <c r="P111" s="229">
        <f t="shared" si="99"/>
        <v>0</v>
      </c>
      <c r="Q111" s="229">
        <f t="shared" si="99"/>
        <v>0</v>
      </c>
      <c r="R111" s="229">
        <f t="shared" si="98"/>
        <v>0</v>
      </c>
      <c r="S111" s="229">
        <f t="shared" si="98"/>
        <v>0</v>
      </c>
      <c r="T111" s="229">
        <f t="shared" si="98"/>
        <v>0</v>
      </c>
      <c r="U111" s="229">
        <f t="shared" si="99"/>
        <v>0</v>
      </c>
      <c r="V111" s="229">
        <f t="shared" si="99"/>
        <v>0</v>
      </c>
      <c r="W111" s="229">
        <f t="shared" si="99"/>
        <v>0</v>
      </c>
      <c r="X111" s="229">
        <f t="shared" si="99"/>
        <v>0</v>
      </c>
      <c r="Y111" s="229">
        <f t="shared" si="99"/>
        <v>0</v>
      </c>
      <c r="Z111" s="229">
        <f t="shared" si="99"/>
        <v>0</v>
      </c>
      <c r="AA111" s="229">
        <f t="shared" si="99"/>
        <v>0</v>
      </c>
      <c r="AB111" s="229">
        <f t="shared" si="99"/>
        <v>0</v>
      </c>
      <c r="AC111" s="229">
        <f t="shared" si="99"/>
        <v>0</v>
      </c>
      <c r="AD111" s="229">
        <f t="shared" ref="P111:AD121" si="105">IF($K111=AD$13,AD$22*AD$3,IF($K111=AD$14,AD$22*AD$4,IF($K111=AD$15,AD$22*AD$5,IF($K111=AD$16,AD$22*AD$6,IF($K111=AD$17,AD$22*AD$7,IF($K111=AD$18,AD$22*AD$8,IF($K111=AD$19,AD$22*AD$9,IF($K111=AD$20,AD$22*AD$10,0))))))))</f>
        <v>0</v>
      </c>
      <c r="AE111" s="229">
        <f t="shared" si="99"/>
        <v>0</v>
      </c>
      <c r="AF111" s="229">
        <f t="shared" si="99"/>
        <v>0</v>
      </c>
      <c r="AG111" s="229">
        <f t="shared" si="99"/>
        <v>0</v>
      </c>
      <c r="AH111" s="229">
        <f t="shared" si="99"/>
        <v>0</v>
      </c>
      <c r="AI111" s="229">
        <f t="shared" si="99"/>
        <v>0</v>
      </c>
      <c r="AJ111" s="229">
        <f t="shared" si="99"/>
        <v>0</v>
      </c>
      <c r="AK111" s="229">
        <f t="shared" si="99"/>
        <v>0</v>
      </c>
      <c r="AL111" s="229">
        <f t="shared" si="99"/>
        <v>0</v>
      </c>
      <c r="AM111" s="229">
        <f t="shared" si="99"/>
        <v>0</v>
      </c>
      <c r="AN111" s="229">
        <f t="shared" si="99"/>
        <v>0</v>
      </c>
      <c r="AO111" s="229">
        <f t="shared" si="99"/>
        <v>0</v>
      </c>
      <c r="AP111" s="229">
        <f t="shared" si="99"/>
        <v>0</v>
      </c>
      <c r="AQ111" s="229">
        <f t="shared" si="99"/>
        <v>0</v>
      </c>
      <c r="AR111" s="229">
        <f t="shared" si="100"/>
        <v>0</v>
      </c>
      <c r="AS111" s="229">
        <f t="shared" si="100"/>
        <v>0</v>
      </c>
      <c r="AT111" s="229">
        <f t="shared" si="100"/>
        <v>0</v>
      </c>
      <c r="AU111" s="229">
        <f t="shared" si="100"/>
        <v>0</v>
      </c>
      <c r="AV111" s="229">
        <f t="shared" si="100"/>
        <v>0</v>
      </c>
      <c r="AW111" s="229">
        <f t="shared" si="100"/>
        <v>0</v>
      </c>
      <c r="AX111" s="229">
        <f t="shared" si="100"/>
        <v>0</v>
      </c>
      <c r="AY111" s="229">
        <f t="shared" si="100"/>
        <v>0</v>
      </c>
      <c r="AZ111" s="229">
        <f t="shared" si="100"/>
        <v>0</v>
      </c>
      <c r="BA111" s="229">
        <f t="shared" si="100"/>
        <v>0</v>
      </c>
      <c r="BB111" s="229">
        <f t="shared" si="100"/>
        <v>0</v>
      </c>
      <c r="BC111" s="229">
        <f t="shared" si="101"/>
        <v>0</v>
      </c>
      <c r="BD111" s="229">
        <f t="shared" si="101"/>
        <v>0</v>
      </c>
      <c r="BE111" s="229">
        <f t="shared" si="101"/>
        <v>0</v>
      </c>
      <c r="BF111" s="229">
        <f t="shared" si="101"/>
        <v>0</v>
      </c>
      <c r="BG111" s="229">
        <f t="shared" si="101"/>
        <v>0</v>
      </c>
      <c r="BH111" s="229">
        <f t="shared" si="101"/>
        <v>0</v>
      </c>
      <c r="BI111" s="229">
        <f t="shared" si="101"/>
        <v>0</v>
      </c>
      <c r="BJ111" s="229">
        <f t="shared" si="101"/>
        <v>0</v>
      </c>
      <c r="BK111" s="229">
        <f t="shared" si="101"/>
        <v>0</v>
      </c>
      <c r="BL111" s="229">
        <f t="shared" si="101"/>
        <v>0</v>
      </c>
      <c r="BM111" s="229">
        <f t="shared" si="102"/>
        <v>0</v>
      </c>
      <c r="BN111" s="229">
        <f t="shared" si="102"/>
        <v>0</v>
      </c>
      <c r="BO111" s="229">
        <f t="shared" si="102"/>
        <v>0</v>
      </c>
      <c r="BP111" s="229">
        <f t="shared" si="102"/>
        <v>0</v>
      </c>
      <c r="BQ111" s="229">
        <f t="shared" si="102"/>
        <v>0</v>
      </c>
      <c r="BR111" s="229">
        <f t="shared" si="102"/>
        <v>0</v>
      </c>
      <c r="BS111" s="229">
        <f t="shared" si="102"/>
        <v>0</v>
      </c>
      <c r="BT111" s="229">
        <f t="shared" si="102"/>
        <v>0</v>
      </c>
      <c r="BU111" s="229">
        <f t="shared" si="102"/>
        <v>0</v>
      </c>
      <c r="BV111" s="229">
        <f t="shared" si="102"/>
        <v>0</v>
      </c>
      <c r="BW111" s="229">
        <f t="shared" si="102"/>
        <v>0</v>
      </c>
      <c r="BX111" s="229">
        <f t="shared" si="102"/>
        <v>0</v>
      </c>
      <c r="BY111" s="229">
        <f t="shared" si="102"/>
        <v>0</v>
      </c>
      <c r="BZ111" s="229">
        <f t="shared" si="102"/>
        <v>0</v>
      </c>
      <c r="CA111" s="229">
        <f t="shared" si="102"/>
        <v>0</v>
      </c>
      <c r="CB111" s="229">
        <f t="shared" si="103"/>
        <v>0</v>
      </c>
      <c r="CC111" s="229">
        <f t="shared" si="103"/>
        <v>0</v>
      </c>
      <c r="CD111" s="229">
        <f t="shared" si="103"/>
        <v>0</v>
      </c>
      <c r="CE111" s="229">
        <f t="shared" si="103"/>
        <v>0</v>
      </c>
      <c r="CF111" s="229">
        <f t="shared" si="103"/>
        <v>0</v>
      </c>
      <c r="CG111" s="229">
        <f t="shared" si="103"/>
        <v>0</v>
      </c>
      <c r="CH111" s="229">
        <f t="shared" si="103"/>
        <v>0</v>
      </c>
      <c r="CI111" s="229">
        <f t="shared" si="103"/>
        <v>0</v>
      </c>
      <c r="CJ111" s="229">
        <f t="shared" si="103"/>
        <v>0</v>
      </c>
      <c r="CK111" s="229">
        <f t="shared" si="103"/>
        <v>0</v>
      </c>
      <c r="CL111" s="229">
        <f t="shared" si="103"/>
        <v>0</v>
      </c>
      <c r="CM111" s="229">
        <f t="shared" si="103"/>
        <v>0</v>
      </c>
      <c r="CN111" s="229">
        <f t="shared" si="103"/>
        <v>0</v>
      </c>
      <c r="CO111" s="229">
        <f t="shared" si="103"/>
        <v>0</v>
      </c>
      <c r="CP111" s="229">
        <f t="shared" si="103"/>
        <v>0</v>
      </c>
      <c r="CQ111" s="229">
        <f t="shared" si="103"/>
        <v>0</v>
      </c>
      <c r="CR111" s="229">
        <f t="shared" si="103"/>
        <v>0</v>
      </c>
      <c r="CS111" s="230"/>
      <c r="CT111" s="231"/>
      <c r="CU111" s="231"/>
      <c r="CV111" s="231"/>
      <c r="CW111" s="231"/>
      <c r="CX111" s="231"/>
      <c r="CY111" s="231"/>
      <c r="CZ111" s="231"/>
      <c r="DA111" s="231" t="e">
        <f ca="1">IF(SUM(DA$32:DA110)&gt;=DA$22,0,DA$22/(DA$13*4))</f>
        <v>#N/A</v>
      </c>
      <c r="DB111" s="231">
        <f>IF(SUM(DB$24:DB110)=DB$22,0,IF(AND($K111&gt;=DB$15,$K111&lt;(DB$16+1)),DB$22/(DB$16-DB$15+1),0))</f>
        <v>0</v>
      </c>
      <c r="DC111" s="231">
        <f t="shared" si="104"/>
        <v>0</v>
      </c>
      <c r="DD111" s="231">
        <f t="shared" si="104"/>
        <v>0</v>
      </c>
      <c r="DE111" s="231">
        <f t="shared" si="104"/>
        <v>0</v>
      </c>
      <c r="DF111" s="231">
        <f t="shared" si="104"/>
        <v>0</v>
      </c>
      <c r="DG111" s="231">
        <f t="shared" si="104"/>
        <v>0</v>
      </c>
      <c r="DH111" s="231">
        <f t="shared" si="104"/>
        <v>0</v>
      </c>
      <c r="DI111" s="231">
        <f t="shared" si="104"/>
        <v>0</v>
      </c>
      <c r="DJ111" s="231">
        <f t="shared" si="104"/>
        <v>0</v>
      </c>
      <c r="DK111" s="231">
        <f t="shared" si="104"/>
        <v>0</v>
      </c>
      <c r="DL111" s="231">
        <f t="shared" si="104"/>
        <v>0</v>
      </c>
      <c r="DM111" s="231">
        <f t="shared" si="104"/>
        <v>0</v>
      </c>
      <c r="DN111" s="231">
        <f t="shared" si="104"/>
        <v>0</v>
      </c>
      <c r="DO111" s="231">
        <f t="shared" si="104"/>
        <v>0</v>
      </c>
      <c r="DP111" s="231">
        <f>'Offshore CF'!DR111</f>
        <v>0</v>
      </c>
      <c r="DQ111" s="231">
        <f>'Offshore CF'!DS111</f>
        <v>0</v>
      </c>
      <c r="DR111" s="231">
        <f ca="1">IF(SUM(DR$24:DR110)=DR$22,0,IF(AND($K111&gt;=DR$15,$K111&lt;(DR$16+1)),DR$22/(DR$16-DR$15+1),0))</f>
        <v>0</v>
      </c>
      <c r="DS111" s="231" t="e">
        <f ca="1">IF(SUM(DS$24:DS110)=DS$22,0,IF(AND($K111&gt;=DS$15,$K111&lt;(DS$16+1)),DS$22/(DS$16-DS$15+1),0))</f>
        <v>#REF!</v>
      </c>
      <c r="DT111" s="231" t="e">
        <f ca="1">IF(SUM(DT$24:DT110)=DT$22,0,IF(AND(K111&gt;=DT$15,K111&lt;(DT$16+1)),DT$22/(DT$16-DT$15+1),0))</f>
        <v>#REF!</v>
      </c>
      <c r="DU111" s="231" t="e">
        <f ca="1">IF(SUM(DU$24:DU110)=DU$22,0,IF(AND($K111&gt;=DU$15,$K111&lt;(DU$16+1)),DU$22/(DU$16-DU$15+1),0))</f>
        <v>#REF!</v>
      </c>
      <c r="DV111" s="231">
        <f ca="1">IF(SUM(DV$24:DV110)=DV$22,0,IF(AND($K111&gt;=DV$15,$K111&lt;(DV$16+1)),DV$22/(DV$16-DV$15+1),0))</f>
        <v>0</v>
      </c>
      <c r="DW111" s="231">
        <f ca="1">IF(SUM(DW$24:DW110)=DW$22,0,IF(AND($K111&gt;=DW$15,$K111&lt;(DW$16+1)),DW$22/(DW$16-DW$15+1),0))</f>
        <v>0</v>
      </c>
      <c r="DX111" s="231">
        <f ca="1">IF(SUM(DX$24:DX110)=DX$22,0,IF(AND($K111&gt;=DX$15,$K111&lt;(DX$16+1)),DX$22/(DX$16-DX$15+1),0))</f>
        <v>0</v>
      </c>
      <c r="DY111" s="231">
        <f ca="1">IF(SUM(DY$24:DY110)=DY$22,0,IF(AND($K111&gt;=DY$15,$K111&lt;(DY$16+1)),DY$22/(DY$16-DY$15+1),0))</f>
        <v>0</v>
      </c>
      <c r="EA111" s="749">
        <f t="shared" si="80"/>
        <v>88</v>
      </c>
      <c r="EB111" s="749" t="e">
        <f t="shared" ca="1" si="81"/>
        <v>#N/A</v>
      </c>
      <c r="EC111" s="750" t="e">
        <f t="shared" ca="1" si="82"/>
        <v>#N/A</v>
      </c>
      <c r="ED111" s="749" t="e">
        <f t="shared" ca="1" si="96"/>
        <v>#REF!</v>
      </c>
      <c r="EE111" s="749"/>
      <c r="EF111" s="749"/>
      <c r="EG111" s="749"/>
      <c r="EH111" s="749"/>
      <c r="EI111" s="714" t="e">
        <f t="shared" ca="1" si="83"/>
        <v>#N/A</v>
      </c>
      <c r="EJ111" s="231" t="e">
        <f ca="1">IF(SUM(EJ$24:EJ110)=EJ$22,0,IF(AND($K111&gt;=EJ$15,$K111&lt;(EJ$16+1)),EJ$22/(EJ$16-EJ$15+1),0))</f>
        <v>#REF!</v>
      </c>
      <c r="EK111" s="714" t="e">
        <f t="shared" ca="1" si="54"/>
        <v>#N/A</v>
      </c>
      <c r="EM111" s="60"/>
      <c r="EN111" s="60"/>
    </row>
    <row r="112" spans="1:144" ht="13.9" customHeight="1">
      <c r="A112" s="220"/>
      <c r="B112" s="236">
        <f t="shared" si="84"/>
        <v>89</v>
      </c>
      <c r="C112" s="221">
        <f t="shared" si="85"/>
        <v>46147.669600000139</v>
      </c>
      <c r="D112" s="746" t="e">
        <f t="shared" ca="1" si="86"/>
        <v>#DIV/0!</v>
      </c>
      <c r="E112" s="747" t="e">
        <f t="shared" ca="1" si="88"/>
        <v>#DIV/0!</v>
      </c>
      <c r="F112" s="748" t="e">
        <f ca="1">IF(F111=0,0,SUM($G$24:G112))</f>
        <v>#DIV/0!</v>
      </c>
      <c r="G112" s="225" t="e">
        <f t="shared" ca="1" si="77"/>
        <v>#DIV/0!</v>
      </c>
      <c r="H112" s="746">
        <f t="shared" ca="1" si="87"/>
        <v>0</v>
      </c>
      <c r="I112" s="60"/>
      <c r="J112" s="228"/>
      <c r="K112" s="228">
        <f t="shared" si="78"/>
        <v>89</v>
      </c>
      <c r="L112" s="221">
        <f t="shared" si="79"/>
        <v>46147.669600000139</v>
      </c>
      <c r="M112" s="229">
        <f t="shared" si="99"/>
        <v>0</v>
      </c>
      <c r="N112" s="229">
        <f t="shared" si="99"/>
        <v>0</v>
      </c>
      <c r="O112" s="229">
        <f t="shared" si="99"/>
        <v>0</v>
      </c>
      <c r="P112" s="229">
        <f t="shared" si="105"/>
        <v>0</v>
      </c>
      <c r="Q112" s="229">
        <f t="shared" si="105"/>
        <v>0</v>
      </c>
      <c r="R112" s="229">
        <f t="shared" si="105"/>
        <v>0</v>
      </c>
      <c r="S112" s="229">
        <f t="shared" si="105"/>
        <v>0</v>
      </c>
      <c r="T112" s="229">
        <f t="shared" si="105"/>
        <v>0</v>
      </c>
      <c r="U112" s="229">
        <f t="shared" si="105"/>
        <v>0</v>
      </c>
      <c r="V112" s="229">
        <f t="shared" si="105"/>
        <v>0</v>
      </c>
      <c r="W112" s="229">
        <f t="shared" si="105"/>
        <v>0</v>
      </c>
      <c r="X112" s="229">
        <f t="shared" si="105"/>
        <v>0</v>
      </c>
      <c r="Y112" s="229">
        <f t="shared" si="105"/>
        <v>0</v>
      </c>
      <c r="Z112" s="229">
        <f t="shared" si="105"/>
        <v>0</v>
      </c>
      <c r="AA112" s="229">
        <f t="shared" si="105"/>
        <v>0</v>
      </c>
      <c r="AB112" s="229">
        <f t="shared" si="105"/>
        <v>0</v>
      </c>
      <c r="AC112" s="229">
        <f t="shared" si="105"/>
        <v>0</v>
      </c>
      <c r="AD112" s="229">
        <f t="shared" si="105"/>
        <v>0</v>
      </c>
      <c r="AE112" s="229">
        <f t="shared" si="99"/>
        <v>0</v>
      </c>
      <c r="AF112" s="229">
        <f t="shared" si="99"/>
        <v>0</v>
      </c>
      <c r="AG112" s="229">
        <f t="shared" si="99"/>
        <v>0</v>
      </c>
      <c r="AH112" s="229">
        <f t="shared" si="99"/>
        <v>0</v>
      </c>
      <c r="AI112" s="229">
        <f t="shared" si="99"/>
        <v>0</v>
      </c>
      <c r="AJ112" s="229">
        <f t="shared" si="99"/>
        <v>0</v>
      </c>
      <c r="AK112" s="229">
        <f t="shared" si="99"/>
        <v>0</v>
      </c>
      <c r="AL112" s="229">
        <f t="shared" si="99"/>
        <v>0</v>
      </c>
      <c r="AM112" s="229">
        <f t="shared" si="99"/>
        <v>0</v>
      </c>
      <c r="AN112" s="229">
        <f t="shared" si="99"/>
        <v>0</v>
      </c>
      <c r="AO112" s="229">
        <f t="shared" si="99"/>
        <v>0</v>
      </c>
      <c r="AP112" s="229">
        <f t="shared" si="99"/>
        <v>0</v>
      </c>
      <c r="AQ112" s="229">
        <f t="shared" si="99"/>
        <v>0</v>
      </c>
      <c r="AR112" s="229">
        <f t="shared" si="100"/>
        <v>0</v>
      </c>
      <c r="AS112" s="229">
        <f t="shared" si="100"/>
        <v>0</v>
      </c>
      <c r="AT112" s="229">
        <f t="shared" si="100"/>
        <v>0</v>
      </c>
      <c r="AU112" s="229">
        <f t="shared" si="100"/>
        <v>0</v>
      </c>
      <c r="AV112" s="229">
        <f t="shared" si="100"/>
        <v>0</v>
      </c>
      <c r="AW112" s="229">
        <f t="shared" si="100"/>
        <v>0</v>
      </c>
      <c r="AX112" s="229">
        <f t="shared" si="100"/>
        <v>0</v>
      </c>
      <c r="AY112" s="229">
        <f t="shared" si="100"/>
        <v>0</v>
      </c>
      <c r="AZ112" s="229">
        <f t="shared" si="100"/>
        <v>0</v>
      </c>
      <c r="BA112" s="229">
        <f t="shared" si="100"/>
        <v>0</v>
      </c>
      <c r="BB112" s="229">
        <f t="shared" si="100"/>
        <v>0</v>
      </c>
      <c r="BC112" s="229">
        <f t="shared" si="101"/>
        <v>0</v>
      </c>
      <c r="BD112" s="229">
        <f t="shared" si="101"/>
        <v>0</v>
      </c>
      <c r="BE112" s="229">
        <f t="shared" si="101"/>
        <v>0</v>
      </c>
      <c r="BF112" s="229">
        <f t="shared" si="101"/>
        <v>0</v>
      </c>
      <c r="BG112" s="229">
        <f t="shared" si="101"/>
        <v>0</v>
      </c>
      <c r="BH112" s="229">
        <f t="shared" si="101"/>
        <v>0</v>
      </c>
      <c r="BI112" s="229">
        <f t="shared" si="101"/>
        <v>0</v>
      </c>
      <c r="BJ112" s="229">
        <f t="shared" si="101"/>
        <v>0</v>
      </c>
      <c r="BK112" s="229">
        <f t="shared" si="101"/>
        <v>0</v>
      </c>
      <c r="BL112" s="229">
        <f t="shared" si="101"/>
        <v>0</v>
      </c>
      <c r="BM112" s="229">
        <f t="shared" si="102"/>
        <v>0</v>
      </c>
      <c r="BN112" s="229">
        <f t="shared" si="102"/>
        <v>0</v>
      </c>
      <c r="BO112" s="229">
        <f t="shared" si="102"/>
        <v>0</v>
      </c>
      <c r="BP112" s="229">
        <f t="shared" si="102"/>
        <v>0</v>
      </c>
      <c r="BQ112" s="229">
        <f t="shared" si="102"/>
        <v>0</v>
      </c>
      <c r="BR112" s="229">
        <f t="shared" si="102"/>
        <v>0</v>
      </c>
      <c r="BS112" s="229">
        <f t="shared" si="102"/>
        <v>0</v>
      </c>
      <c r="BT112" s="229">
        <f t="shared" si="102"/>
        <v>0</v>
      </c>
      <c r="BU112" s="229">
        <f t="shared" si="102"/>
        <v>0</v>
      </c>
      <c r="BV112" s="229">
        <f t="shared" si="102"/>
        <v>0</v>
      </c>
      <c r="BW112" s="229">
        <f t="shared" si="102"/>
        <v>0</v>
      </c>
      <c r="BX112" s="229">
        <f t="shared" si="102"/>
        <v>0</v>
      </c>
      <c r="BY112" s="229">
        <f t="shared" si="102"/>
        <v>0</v>
      </c>
      <c r="BZ112" s="229">
        <f t="shared" si="102"/>
        <v>0</v>
      </c>
      <c r="CA112" s="229">
        <f t="shared" si="102"/>
        <v>0</v>
      </c>
      <c r="CB112" s="229">
        <f t="shared" si="103"/>
        <v>0</v>
      </c>
      <c r="CC112" s="229">
        <f t="shared" si="103"/>
        <v>0</v>
      </c>
      <c r="CD112" s="229">
        <f t="shared" si="103"/>
        <v>0</v>
      </c>
      <c r="CE112" s="229">
        <f t="shared" si="103"/>
        <v>0</v>
      </c>
      <c r="CF112" s="229">
        <f t="shared" si="103"/>
        <v>0</v>
      </c>
      <c r="CG112" s="229">
        <f t="shared" si="103"/>
        <v>0</v>
      </c>
      <c r="CH112" s="229">
        <f t="shared" si="103"/>
        <v>0</v>
      </c>
      <c r="CI112" s="229">
        <f t="shared" si="103"/>
        <v>0</v>
      </c>
      <c r="CJ112" s="229">
        <f t="shared" si="103"/>
        <v>0</v>
      </c>
      <c r="CK112" s="229">
        <f t="shared" si="103"/>
        <v>0</v>
      </c>
      <c r="CL112" s="229">
        <f t="shared" si="103"/>
        <v>0</v>
      </c>
      <c r="CM112" s="229">
        <f t="shared" si="103"/>
        <v>0</v>
      </c>
      <c r="CN112" s="229">
        <f t="shared" si="103"/>
        <v>0</v>
      </c>
      <c r="CO112" s="229">
        <f t="shared" si="103"/>
        <v>0</v>
      </c>
      <c r="CP112" s="229">
        <f t="shared" si="103"/>
        <v>0</v>
      </c>
      <c r="CQ112" s="229">
        <f t="shared" si="103"/>
        <v>0</v>
      </c>
      <c r="CR112" s="229">
        <f t="shared" si="103"/>
        <v>0</v>
      </c>
      <c r="CS112" s="230"/>
      <c r="CT112" s="231"/>
      <c r="CU112" s="231"/>
      <c r="CV112" s="231"/>
      <c r="CW112" s="231"/>
      <c r="CX112" s="231"/>
      <c r="CY112" s="231"/>
      <c r="CZ112" s="231"/>
      <c r="DA112" s="231"/>
      <c r="DB112" s="231">
        <f>IF(SUM(DB$24:DB111)=DB$22,0,IF(AND($K112&gt;=DB$15,$K112&lt;(DB$16+1)),DB$22/(DB$16-DB$15+1),0))</f>
        <v>0</v>
      </c>
      <c r="DC112" s="231">
        <f t="shared" si="104"/>
        <v>0</v>
      </c>
      <c r="DD112" s="231">
        <f t="shared" si="104"/>
        <v>0</v>
      </c>
      <c r="DE112" s="231">
        <f t="shared" si="104"/>
        <v>0</v>
      </c>
      <c r="DF112" s="231">
        <f t="shared" si="104"/>
        <v>0</v>
      </c>
      <c r="DG112" s="231">
        <f t="shared" si="104"/>
        <v>0</v>
      </c>
      <c r="DH112" s="231">
        <f t="shared" si="104"/>
        <v>0</v>
      </c>
      <c r="DI112" s="231">
        <f t="shared" si="104"/>
        <v>0</v>
      </c>
      <c r="DJ112" s="231">
        <f t="shared" si="104"/>
        <v>0</v>
      </c>
      <c r="DK112" s="231">
        <f t="shared" si="104"/>
        <v>0</v>
      </c>
      <c r="DL112" s="231">
        <f t="shared" si="104"/>
        <v>0</v>
      </c>
      <c r="DM112" s="231">
        <f t="shared" si="104"/>
        <v>0</v>
      </c>
      <c r="DN112" s="231">
        <f t="shared" si="104"/>
        <v>0</v>
      </c>
      <c r="DO112" s="231">
        <f t="shared" si="104"/>
        <v>0</v>
      </c>
      <c r="DP112" s="231">
        <f>'Offshore CF'!DR112</f>
        <v>0</v>
      </c>
      <c r="DQ112" s="231">
        <f>'Offshore CF'!DS112</f>
        <v>0</v>
      </c>
      <c r="DR112" s="231">
        <f ca="1">IF(SUM(DR$24:DR111)=DR$22,0,IF(AND($K112&gt;=DR$15,$K112&lt;(DR$16+1)),DR$22/(DR$16-DR$15+1),0))</f>
        <v>0</v>
      </c>
      <c r="DS112" s="231" t="e">
        <f ca="1">IF(SUM(DS$24:DS111)=DS$22,0,IF(AND($K112&gt;=DS$15,$K112&lt;(DS$16+1)),DS$22/(DS$16-DS$15+1),0))</f>
        <v>#REF!</v>
      </c>
      <c r="DT112" s="231" t="e">
        <f ca="1">IF(SUM(DT$24:DT111)=DT$22,0,IF(AND(K112&gt;=DT$15,K112&lt;(DT$16+1)),DT$22/(DT$16-DT$15+1),0))</f>
        <v>#REF!</v>
      </c>
      <c r="DU112" s="231" t="e">
        <f ca="1">IF(SUM(DU$24:DU111)=DU$22,0,IF(AND($K112&gt;=DU$15,$K112&lt;(DU$16+1)),DU$22/(DU$16-DU$15+1),0))</f>
        <v>#REF!</v>
      </c>
      <c r="DV112" s="231">
        <f ca="1">IF(SUM(DV$24:DV111)=DV$22,0,IF(AND($K112&gt;=DV$15,$K112&lt;(DV$16+1)),DV$22/(DV$16-DV$15+1),0))</f>
        <v>0</v>
      </c>
      <c r="DW112" s="231">
        <f ca="1">IF(SUM(DW$24:DW111)=DW$22,0,IF(AND($K112&gt;=DW$15,$K112&lt;(DW$16+1)),DW$22/(DW$16-DW$15+1),0))</f>
        <v>0</v>
      </c>
      <c r="DX112" s="231">
        <f ca="1">IF(SUM(DX$24:DX111)=DX$22,0,IF(AND($K112&gt;=DX$15,$K112&lt;(DX$16+1)),DX$22/(DX$16-DX$15+1),0))</f>
        <v>0</v>
      </c>
      <c r="DY112" s="231">
        <f ca="1">IF(SUM(DY$24:DY111)=DY$22,0,IF(AND($K112&gt;=DY$15,$K112&lt;(DY$16+1)),DY$22/(DY$16-DY$15+1),0))</f>
        <v>0</v>
      </c>
      <c r="EA112" s="749">
        <f t="shared" si="80"/>
        <v>89</v>
      </c>
      <c r="EB112" s="749" t="e">
        <f t="shared" ca="1" si="81"/>
        <v>#REF!</v>
      </c>
      <c r="EC112" s="750" t="e">
        <f t="shared" ca="1" si="82"/>
        <v>#REF!</v>
      </c>
      <c r="ED112" s="749" t="e">
        <f t="shared" ca="1" si="96"/>
        <v>#REF!</v>
      </c>
      <c r="EE112" s="749"/>
      <c r="EF112" s="749"/>
      <c r="EG112" s="749"/>
      <c r="EH112" s="749"/>
      <c r="EI112" s="714" t="e">
        <f t="shared" ca="1" si="83"/>
        <v>#REF!</v>
      </c>
      <c r="EJ112" s="231" t="e">
        <f ca="1">IF(SUM(EJ$24:EJ111)=EJ$22,0,IF(AND($K112&gt;=EJ$15,$K112&lt;(EJ$16+1)),EJ$22/(EJ$16-EJ$15+1),0))</f>
        <v>#REF!</v>
      </c>
      <c r="EK112" s="714" t="e">
        <f t="shared" ca="1" si="54"/>
        <v>#REF!</v>
      </c>
      <c r="EM112" s="60"/>
      <c r="EN112" s="60"/>
    </row>
    <row r="113" spans="1:144" ht="13.9" customHeight="1">
      <c r="A113" s="220"/>
      <c r="B113" s="236">
        <f t="shared" si="84"/>
        <v>90</v>
      </c>
      <c r="C113" s="221">
        <f t="shared" si="85"/>
        <v>46178.086300000141</v>
      </c>
      <c r="D113" s="746" t="e">
        <f t="shared" ca="1" si="86"/>
        <v>#DIV/0!</v>
      </c>
      <c r="E113" s="747" t="e">
        <f t="shared" ca="1" si="88"/>
        <v>#DIV/0!</v>
      </c>
      <c r="F113" s="748" t="e">
        <f ca="1">IF(F112=0,0,SUM($G$24:G113))</f>
        <v>#DIV/0!</v>
      </c>
      <c r="G113" s="225" t="e">
        <f t="shared" ca="1" si="77"/>
        <v>#DIV/0!</v>
      </c>
      <c r="H113" s="746">
        <f t="shared" ca="1" si="87"/>
        <v>0</v>
      </c>
      <c r="I113" s="60"/>
      <c r="J113" s="228"/>
      <c r="K113" s="228">
        <f t="shared" si="78"/>
        <v>90</v>
      </c>
      <c r="L113" s="221">
        <f t="shared" si="79"/>
        <v>46178.086300000141</v>
      </c>
      <c r="M113" s="229">
        <f t="shared" si="99"/>
        <v>0</v>
      </c>
      <c r="N113" s="229">
        <f t="shared" si="99"/>
        <v>0</v>
      </c>
      <c r="O113" s="229">
        <f t="shared" si="99"/>
        <v>0</v>
      </c>
      <c r="P113" s="229">
        <f t="shared" si="105"/>
        <v>0</v>
      </c>
      <c r="Q113" s="229">
        <f t="shared" si="105"/>
        <v>0</v>
      </c>
      <c r="R113" s="229">
        <f t="shared" si="105"/>
        <v>0</v>
      </c>
      <c r="S113" s="229">
        <f t="shared" si="105"/>
        <v>0</v>
      </c>
      <c r="T113" s="229">
        <f t="shared" si="105"/>
        <v>0</v>
      </c>
      <c r="U113" s="229">
        <f t="shared" si="105"/>
        <v>0</v>
      </c>
      <c r="V113" s="229">
        <f t="shared" si="105"/>
        <v>0</v>
      </c>
      <c r="W113" s="229">
        <f t="shared" si="105"/>
        <v>0</v>
      </c>
      <c r="X113" s="229">
        <f t="shared" si="105"/>
        <v>0</v>
      </c>
      <c r="Y113" s="229">
        <f t="shared" si="105"/>
        <v>0</v>
      </c>
      <c r="Z113" s="229">
        <f t="shared" si="105"/>
        <v>0</v>
      </c>
      <c r="AA113" s="229">
        <f t="shared" si="105"/>
        <v>0</v>
      </c>
      <c r="AB113" s="229">
        <f t="shared" si="105"/>
        <v>0</v>
      </c>
      <c r="AC113" s="229">
        <f t="shared" si="105"/>
        <v>0</v>
      </c>
      <c r="AD113" s="229">
        <f t="shared" si="105"/>
        <v>0</v>
      </c>
      <c r="AE113" s="229">
        <f t="shared" si="99"/>
        <v>0</v>
      </c>
      <c r="AF113" s="229">
        <f t="shared" si="99"/>
        <v>0</v>
      </c>
      <c r="AG113" s="229">
        <f t="shared" si="99"/>
        <v>0</v>
      </c>
      <c r="AH113" s="229">
        <f t="shared" si="99"/>
        <v>0</v>
      </c>
      <c r="AI113" s="229">
        <f t="shared" si="99"/>
        <v>0</v>
      </c>
      <c r="AJ113" s="229">
        <f t="shared" si="99"/>
        <v>0</v>
      </c>
      <c r="AK113" s="229">
        <f t="shared" si="99"/>
        <v>0</v>
      </c>
      <c r="AL113" s="229">
        <f t="shared" si="99"/>
        <v>0</v>
      </c>
      <c r="AM113" s="229">
        <f t="shared" si="99"/>
        <v>0</v>
      </c>
      <c r="AN113" s="229">
        <f t="shared" si="99"/>
        <v>0</v>
      </c>
      <c r="AO113" s="229">
        <f t="shared" si="99"/>
        <v>0</v>
      </c>
      <c r="AP113" s="229">
        <f t="shared" si="99"/>
        <v>0</v>
      </c>
      <c r="AQ113" s="229">
        <f t="shared" si="99"/>
        <v>0</v>
      </c>
      <c r="AR113" s="229">
        <f t="shared" si="100"/>
        <v>0</v>
      </c>
      <c r="AS113" s="229">
        <f t="shared" si="100"/>
        <v>0</v>
      </c>
      <c r="AT113" s="229">
        <f t="shared" si="100"/>
        <v>0</v>
      </c>
      <c r="AU113" s="229">
        <f t="shared" si="100"/>
        <v>0</v>
      </c>
      <c r="AV113" s="229">
        <f t="shared" si="100"/>
        <v>0</v>
      </c>
      <c r="AW113" s="229">
        <f t="shared" si="100"/>
        <v>0</v>
      </c>
      <c r="AX113" s="229">
        <f t="shared" si="100"/>
        <v>0</v>
      </c>
      <c r="AY113" s="229">
        <f t="shared" si="100"/>
        <v>0</v>
      </c>
      <c r="AZ113" s="229">
        <f t="shared" si="100"/>
        <v>0</v>
      </c>
      <c r="BA113" s="229">
        <f t="shared" si="100"/>
        <v>0</v>
      </c>
      <c r="BB113" s="229">
        <f t="shared" si="100"/>
        <v>0</v>
      </c>
      <c r="BC113" s="229">
        <f t="shared" si="101"/>
        <v>0</v>
      </c>
      <c r="BD113" s="229">
        <f t="shared" si="101"/>
        <v>0</v>
      </c>
      <c r="BE113" s="229">
        <f t="shared" si="101"/>
        <v>0</v>
      </c>
      <c r="BF113" s="229">
        <f t="shared" si="101"/>
        <v>0</v>
      </c>
      <c r="BG113" s="229">
        <f t="shared" si="101"/>
        <v>0</v>
      </c>
      <c r="BH113" s="229">
        <f t="shared" si="101"/>
        <v>0</v>
      </c>
      <c r="BI113" s="229">
        <f t="shared" si="101"/>
        <v>0</v>
      </c>
      <c r="BJ113" s="229">
        <f t="shared" si="101"/>
        <v>0</v>
      </c>
      <c r="BK113" s="229">
        <f t="shared" si="101"/>
        <v>0</v>
      </c>
      <c r="BL113" s="229">
        <f t="shared" si="101"/>
        <v>0</v>
      </c>
      <c r="BM113" s="229">
        <f t="shared" si="102"/>
        <v>0</v>
      </c>
      <c r="BN113" s="229">
        <f t="shared" si="102"/>
        <v>0</v>
      </c>
      <c r="BO113" s="229">
        <f t="shared" si="102"/>
        <v>0</v>
      </c>
      <c r="BP113" s="229">
        <f t="shared" si="102"/>
        <v>0</v>
      </c>
      <c r="BQ113" s="229">
        <f t="shared" si="102"/>
        <v>0</v>
      </c>
      <c r="BR113" s="229">
        <f t="shared" si="102"/>
        <v>0</v>
      </c>
      <c r="BS113" s="229">
        <f t="shared" si="102"/>
        <v>0</v>
      </c>
      <c r="BT113" s="229">
        <f t="shared" si="102"/>
        <v>0</v>
      </c>
      <c r="BU113" s="229">
        <f t="shared" si="102"/>
        <v>0</v>
      </c>
      <c r="BV113" s="229">
        <f t="shared" si="102"/>
        <v>0</v>
      </c>
      <c r="BW113" s="229">
        <f t="shared" si="102"/>
        <v>0</v>
      </c>
      <c r="BX113" s="229">
        <f t="shared" si="102"/>
        <v>0</v>
      </c>
      <c r="BY113" s="229">
        <f t="shared" si="102"/>
        <v>0</v>
      </c>
      <c r="BZ113" s="229">
        <f t="shared" si="102"/>
        <v>0</v>
      </c>
      <c r="CA113" s="229">
        <f t="shared" si="102"/>
        <v>0</v>
      </c>
      <c r="CB113" s="229">
        <f t="shared" si="103"/>
        <v>0</v>
      </c>
      <c r="CC113" s="229">
        <f t="shared" si="103"/>
        <v>0</v>
      </c>
      <c r="CD113" s="229">
        <f t="shared" si="103"/>
        <v>0</v>
      </c>
      <c r="CE113" s="229">
        <f t="shared" si="103"/>
        <v>0</v>
      </c>
      <c r="CF113" s="229">
        <f t="shared" si="103"/>
        <v>0</v>
      </c>
      <c r="CG113" s="229">
        <f t="shared" si="103"/>
        <v>0</v>
      </c>
      <c r="CH113" s="229">
        <f t="shared" si="103"/>
        <v>0</v>
      </c>
      <c r="CI113" s="229">
        <f t="shared" si="103"/>
        <v>0</v>
      </c>
      <c r="CJ113" s="229">
        <f t="shared" si="103"/>
        <v>0</v>
      </c>
      <c r="CK113" s="229">
        <f t="shared" si="103"/>
        <v>0</v>
      </c>
      <c r="CL113" s="229">
        <f t="shared" si="103"/>
        <v>0</v>
      </c>
      <c r="CM113" s="229">
        <f t="shared" si="103"/>
        <v>0</v>
      </c>
      <c r="CN113" s="229">
        <f t="shared" si="103"/>
        <v>0</v>
      </c>
      <c r="CO113" s="229">
        <f t="shared" si="103"/>
        <v>0</v>
      </c>
      <c r="CP113" s="229">
        <f t="shared" si="103"/>
        <v>0</v>
      </c>
      <c r="CQ113" s="229">
        <f t="shared" si="103"/>
        <v>0</v>
      </c>
      <c r="CR113" s="229">
        <f t="shared" si="103"/>
        <v>0</v>
      </c>
      <c r="CS113" s="230"/>
      <c r="CT113" s="231"/>
      <c r="CU113" s="231"/>
      <c r="CV113" s="231"/>
      <c r="CW113" s="231"/>
      <c r="CX113" s="231"/>
      <c r="CY113" s="231"/>
      <c r="CZ113" s="231"/>
      <c r="DA113" s="231"/>
      <c r="DB113" s="231">
        <f>IF(SUM(DB$24:DB112)=DB$22,0,IF(AND($K113&gt;=DB$15,$K113&lt;(DB$16+1)),DB$22/(DB$16-DB$15+1),0))</f>
        <v>0</v>
      </c>
      <c r="DC113" s="231">
        <f t="shared" si="104"/>
        <v>0</v>
      </c>
      <c r="DD113" s="231">
        <f t="shared" si="104"/>
        <v>0</v>
      </c>
      <c r="DE113" s="231">
        <f t="shared" si="104"/>
        <v>0</v>
      </c>
      <c r="DF113" s="231">
        <f t="shared" si="104"/>
        <v>0</v>
      </c>
      <c r="DG113" s="231">
        <f t="shared" si="104"/>
        <v>0</v>
      </c>
      <c r="DH113" s="231">
        <f t="shared" si="104"/>
        <v>0</v>
      </c>
      <c r="DI113" s="231">
        <f t="shared" si="104"/>
        <v>0</v>
      </c>
      <c r="DJ113" s="231">
        <f t="shared" si="104"/>
        <v>0</v>
      </c>
      <c r="DK113" s="231">
        <f t="shared" si="104"/>
        <v>0</v>
      </c>
      <c r="DL113" s="231">
        <f t="shared" si="104"/>
        <v>0</v>
      </c>
      <c r="DM113" s="231">
        <f t="shared" si="104"/>
        <v>0</v>
      </c>
      <c r="DN113" s="231">
        <f t="shared" si="104"/>
        <v>0</v>
      </c>
      <c r="DO113" s="231">
        <f t="shared" si="104"/>
        <v>0</v>
      </c>
      <c r="DP113" s="231">
        <f>'Offshore CF'!DR113</f>
        <v>0</v>
      </c>
      <c r="DQ113" s="231">
        <f>'Offshore CF'!DS113</f>
        <v>0</v>
      </c>
      <c r="DR113" s="231">
        <f ca="1">IF(SUM(DR$24:DR112)=DR$22,0,IF(AND($K113&gt;=DR$15,$K113&lt;(DR$16+1)),DR$22/(DR$16-DR$15+1),0))</f>
        <v>0</v>
      </c>
      <c r="DS113" s="231" t="e">
        <f ca="1">IF(SUM(DS$24:DS112)=DS$22,0,IF(AND($K113&gt;=DS$15,$K113&lt;(DS$16+1)),DS$22/(DS$16-DS$15+1),0))</f>
        <v>#REF!</v>
      </c>
      <c r="DT113" s="231" t="e">
        <f ca="1">IF(SUM(DT$24:DT112)=DT$22,0,IF(AND(K113&gt;=DT$15,K113&lt;(DT$16+1)),DT$22/(DT$16-DT$15+1),0))</f>
        <v>#REF!</v>
      </c>
      <c r="DU113" s="231" t="e">
        <f ca="1">IF(SUM(DU$24:DU112)=DU$22,0,IF(AND($K113&gt;=DU$15,$K113&lt;(DU$16+1)),DU$22/(DU$16-DU$15+1),0))</f>
        <v>#REF!</v>
      </c>
      <c r="DV113" s="231">
        <f ca="1">IF(SUM(DV$24:DV112)=DV$22,0,IF(AND($K113&gt;=DV$15,$K113&lt;(DV$16+1)),DV$22/(DV$16-DV$15+1),0))</f>
        <v>0</v>
      </c>
      <c r="DW113" s="231">
        <f ca="1">IF(SUM(DW$24:DW112)=DW$22,0,IF(AND($K113&gt;=DW$15,$K113&lt;(DW$16+1)),DW$22/(DW$16-DW$15+1),0))</f>
        <v>0</v>
      </c>
      <c r="DX113" s="231">
        <f ca="1">IF(SUM(DX$24:DX112)=DX$22,0,IF(AND($K113&gt;=DX$15,$K113&lt;(DX$16+1)),DX$22/(DX$16-DX$15+1),0))</f>
        <v>0</v>
      </c>
      <c r="DY113" s="231">
        <f ca="1">IF(SUM(DY$24:DY112)=DY$22,0,IF(AND($K113&gt;=DY$15,$K113&lt;(DY$16+1)),DY$22/(DY$16-DY$15+1),0))</f>
        <v>0</v>
      </c>
      <c r="EA113" s="749">
        <f t="shared" si="80"/>
        <v>90</v>
      </c>
      <c r="EB113" s="749" t="e">
        <f t="shared" ca="1" si="81"/>
        <v>#REF!</v>
      </c>
      <c r="EC113" s="750" t="e">
        <f t="shared" ca="1" si="82"/>
        <v>#REF!</v>
      </c>
      <c r="ED113" s="749" t="e">
        <f t="shared" ca="1" si="96"/>
        <v>#N/A</v>
      </c>
      <c r="EE113" s="749"/>
      <c r="EF113" s="749"/>
      <c r="EG113" s="749"/>
      <c r="EH113" s="749"/>
      <c r="EI113" s="714" t="e">
        <f t="shared" ca="1" si="83"/>
        <v>#REF!</v>
      </c>
      <c r="EJ113" s="231" t="e">
        <f ca="1">IF(SUM(EJ$24:EJ112)=EJ$22,0,IF(AND($K113&gt;=EJ$15,$K113&lt;(EJ$16+1)),EJ$22/(EJ$16-EJ$15+1),0))</f>
        <v>#REF!</v>
      </c>
      <c r="EK113" s="714" t="e">
        <f t="shared" ca="1" si="54"/>
        <v>#REF!</v>
      </c>
      <c r="EM113" s="60"/>
      <c r="EN113" s="60"/>
    </row>
    <row r="114" spans="1:144" ht="13.9" customHeight="1">
      <c r="A114" s="220"/>
      <c r="B114" s="236">
        <f t="shared" si="84"/>
        <v>91</v>
      </c>
      <c r="C114" s="221">
        <f t="shared" si="85"/>
        <v>46208.503000000142</v>
      </c>
      <c r="D114" s="746" t="e">
        <f t="shared" ca="1" si="86"/>
        <v>#DIV/0!</v>
      </c>
      <c r="E114" s="747" t="e">
        <f t="shared" ca="1" si="88"/>
        <v>#DIV/0!</v>
      </c>
      <c r="F114" s="748" t="e">
        <f ca="1">IF(F113=0,0,SUM($G$24:G114))</f>
        <v>#DIV/0!</v>
      </c>
      <c r="G114" s="225" t="e">
        <f t="shared" ca="1" si="77"/>
        <v>#DIV/0!</v>
      </c>
      <c r="H114" s="746">
        <f t="shared" ca="1" si="87"/>
        <v>0</v>
      </c>
      <c r="I114" s="60"/>
      <c r="J114" s="228"/>
      <c r="K114" s="228">
        <f t="shared" si="78"/>
        <v>91</v>
      </c>
      <c r="L114" s="221">
        <f t="shared" si="79"/>
        <v>46208.503000000142</v>
      </c>
      <c r="M114" s="229">
        <f t="shared" ref="M114:AQ123" si="106">IF($K114=M$13,M$22*M$3,IF($K114=M$14,M$22*M$4,IF($K114=M$15,M$22*M$5,IF($K114=M$16,M$22*M$6,IF($K114=M$17,M$22*M$7,IF($K114=M$18,M$22*M$8,IF($K114=M$19,M$22*M$9,IF($K114=M$20,M$22*M$10,0))))))))</f>
        <v>0</v>
      </c>
      <c r="N114" s="229">
        <f t="shared" si="106"/>
        <v>0</v>
      </c>
      <c r="O114" s="229">
        <f t="shared" si="106"/>
        <v>0</v>
      </c>
      <c r="P114" s="229">
        <f t="shared" si="106"/>
        <v>0</v>
      </c>
      <c r="Q114" s="229">
        <f t="shared" si="106"/>
        <v>0</v>
      </c>
      <c r="R114" s="229">
        <f t="shared" si="105"/>
        <v>0</v>
      </c>
      <c r="S114" s="229">
        <f t="shared" si="105"/>
        <v>0</v>
      </c>
      <c r="T114" s="229">
        <f t="shared" si="105"/>
        <v>0</v>
      </c>
      <c r="U114" s="229">
        <f t="shared" si="106"/>
        <v>0</v>
      </c>
      <c r="V114" s="229">
        <f t="shared" si="106"/>
        <v>0</v>
      </c>
      <c r="W114" s="229">
        <f t="shared" si="106"/>
        <v>0</v>
      </c>
      <c r="X114" s="229">
        <f t="shared" si="106"/>
        <v>0</v>
      </c>
      <c r="Y114" s="229">
        <f t="shared" si="106"/>
        <v>0</v>
      </c>
      <c r="Z114" s="229">
        <f t="shared" si="106"/>
        <v>0</v>
      </c>
      <c r="AA114" s="229">
        <f t="shared" si="106"/>
        <v>0</v>
      </c>
      <c r="AB114" s="229">
        <f t="shared" si="106"/>
        <v>0</v>
      </c>
      <c r="AC114" s="229">
        <f t="shared" si="106"/>
        <v>0</v>
      </c>
      <c r="AD114" s="229">
        <f t="shared" si="106"/>
        <v>0</v>
      </c>
      <c r="AE114" s="229">
        <f t="shared" si="106"/>
        <v>0</v>
      </c>
      <c r="AF114" s="229">
        <f t="shared" si="106"/>
        <v>0</v>
      </c>
      <c r="AG114" s="229">
        <f t="shared" si="106"/>
        <v>0</v>
      </c>
      <c r="AH114" s="229">
        <f t="shared" si="106"/>
        <v>0</v>
      </c>
      <c r="AI114" s="229">
        <f t="shared" si="106"/>
        <v>0</v>
      </c>
      <c r="AJ114" s="229">
        <f t="shared" si="106"/>
        <v>0</v>
      </c>
      <c r="AK114" s="229">
        <f t="shared" si="106"/>
        <v>0</v>
      </c>
      <c r="AL114" s="229">
        <f t="shared" si="106"/>
        <v>0</v>
      </c>
      <c r="AM114" s="229">
        <f t="shared" si="106"/>
        <v>0</v>
      </c>
      <c r="AN114" s="229">
        <f t="shared" si="106"/>
        <v>0</v>
      </c>
      <c r="AO114" s="229">
        <f t="shared" si="106"/>
        <v>0</v>
      </c>
      <c r="AP114" s="229">
        <f t="shared" si="106"/>
        <v>0</v>
      </c>
      <c r="AQ114" s="229">
        <f t="shared" si="106"/>
        <v>0</v>
      </c>
      <c r="AR114" s="229">
        <f t="shared" ref="AR114:BB123" si="107">IF($K114=AR$13,AR$22*AR$3,IF($K114=AR$14,AR$22*AR$4,IF($K114=AR$15,AR$22*AR$5,IF($K114=AR$16,AR$22*AR$6,IF($K114=AR$17,AR$22*AR$7,IF($K114=AR$18,AR$22*AR$8,IF($K114=AR$19,AR$22*AR$9,IF($K114=AR$20,AR$22*AR$10,0))))))))</f>
        <v>0</v>
      </c>
      <c r="AS114" s="229">
        <f t="shared" si="107"/>
        <v>0</v>
      </c>
      <c r="AT114" s="229">
        <f t="shared" si="107"/>
        <v>0</v>
      </c>
      <c r="AU114" s="229">
        <f t="shared" si="107"/>
        <v>0</v>
      </c>
      <c r="AV114" s="229">
        <f t="shared" si="107"/>
        <v>0</v>
      </c>
      <c r="AW114" s="229">
        <f t="shared" si="107"/>
        <v>0</v>
      </c>
      <c r="AX114" s="229">
        <f t="shared" si="107"/>
        <v>0</v>
      </c>
      <c r="AY114" s="229">
        <f t="shared" si="107"/>
        <v>0</v>
      </c>
      <c r="AZ114" s="229">
        <f t="shared" si="107"/>
        <v>0</v>
      </c>
      <c r="BA114" s="229">
        <f t="shared" si="107"/>
        <v>0</v>
      </c>
      <c r="BB114" s="229">
        <f t="shared" si="107"/>
        <v>0</v>
      </c>
      <c r="BC114" s="229">
        <f t="shared" ref="BC114:BL123" si="108">IF($K114=BC$13,BC$22*BC$3,IF($K114=BC$14,BC$22*BC$4,IF($K114=BC$15,BC$22*BC$5,IF($K114=BC$16,BC$22*BC$6,IF($K114=BC$17,BC$22*BC$7,IF($K114=BC$18,BC$22*BC$8,IF($K114=BC$19,BC$22*BC$9,IF($K114=BC$20,BC$22*BC$10,0))))))))</f>
        <v>0</v>
      </c>
      <c r="BD114" s="229">
        <f t="shared" si="108"/>
        <v>0</v>
      </c>
      <c r="BE114" s="229">
        <f t="shared" si="108"/>
        <v>0</v>
      </c>
      <c r="BF114" s="229">
        <f t="shared" si="108"/>
        <v>0</v>
      </c>
      <c r="BG114" s="229">
        <f t="shared" si="108"/>
        <v>0</v>
      </c>
      <c r="BH114" s="229">
        <f t="shared" si="108"/>
        <v>0</v>
      </c>
      <c r="BI114" s="229">
        <f t="shared" si="108"/>
        <v>0</v>
      </c>
      <c r="BJ114" s="229">
        <f t="shared" si="108"/>
        <v>0</v>
      </c>
      <c r="BK114" s="229">
        <f t="shared" si="108"/>
        <v>0</v>
      </c>
      <c r="BL114" s="229">
        <f t="shared" si="108"/>
        <v>0</v>
      </c>
      <c r="BM114" s="229">
        <f t="shared" ref="BM114:CA123" si="109">IF($K114=BM$13,BM$22*BM$3,IF($K114=BM$14,BM$22*BM$4,IF($K114=BM$15,BM$22*BM$5,IF($K114=BM$16,BM$22*BM$6,IF($K114=BM$17,BM$22*BM$7,IF($K114=BM$18,BM$22*BM$8,IF($K114=BM$19,BM$22*BM$9,IF($K114=BM$20,BM$22*BM$10,0))))))))</f>
        <v>0</v>
      </c>
      <c r="BN114" s="229">
        <f t="shared" si="109"/>
        <v>0</v>
      </c>
      <c r="BO114" s="229">
        <f t="shared" si="109"/>
        <v>0</v>
      </c>
      <c r="BP114" s="229">
        <f t="shared" si="109"/>
        <v>0</v>
      </c>
      <c r="BQ114" s="229">
        <f t="shared" si="109"/>
        <v>0</v>
      </c>
      <c r="BR114" s="229">
        <f t="shared" si="109"/>
        <v>0</v>
      </c>
      <c r="BS114" s="229">
        <f t="shared" si="109"/>
        <v>0</v>
      </c>
      <c r="BT114" s="229">
        <f t="shared" si="109"/>
        <v>0</v>
      </c>
      <c r="BU114" s="229">
        <f t="shared" si="109"/>
        <v>0</v>
      </c>
      <c r="BV114" s="229">
        <f t="shared" si="109"/>
        <v>0</v>
      </c>
      <c r="BW114" s="229">
        <f t="shared" si="109"/>
        <v>0</v>
      </c>
      <c r="BX114" s="229">
        <f t="shared" si="109"/>
        <v>0</v>
      </c>
      <c r="BY114" s="229">
        <f t="shared" si="109"/>
        <v>0</v>
      </c>
      <c r="BZ114" s="229">
        <f t="shared" si="109"/>
        <v>0</v>
      </c>
      <c r="CA114" s="229">
        <f t="shared" si="109"/>
        <v>0</v>
      </c>
      <c r="CB114" s="229">
        <f t="shared" ref="CB114:CR123" si="110">IF($K114=CB$13,CB$22*CB$3,IF($K114=CB$14,CB$22*CB$4,IF($K114=CB$15,CB$22*CB$5,IF($K114=CB$16,CB$22*CB$6,IF($K114=CB$17,CB$22*CB$7,IF($K114=CB$18,CB$22*CB$8,IF($K114=CB$19,CB$22*CB$9,IF($K114=CB$20,CB$22*CB$10,0))))))))</f>
        <v>0</v>
      </c>
      <c r="CC114" s="229">
        <f t="shared" si="110"/>
        <v>0</v>
      </c>
      <c r="CD114" s="229">
        <f t="shared" si="110"/>
        <v>0</v>
      </c>
      <c r="CE114" s="229">
        <f t="shared" si="110"/>
        <v>0</v>
      </c>
      <c r="CF114" s="229">
        <f t="shared" si="110"/>
        <v>0</v>
      </c>
      <c r="CG114" s="229">
        <f t="shared" si="110"/>
        <v>0</v>
      </c>
      <c r="CH114" s="229">
        <f t="shared" si="110"/>
        <v>0</v>
      </c>
      <c r="CI114" s="229">
        <f t="shared" si="110"/>
        <v>0</v>
      </c>
      <c r="CJ114" s="229">
        <f t="shared" si="110"/>
        <v>0</v>
      </c>
      <c r="CK114" s="229">
        <f t="shared" si="110"/>
        <v>0</v>
      </c>
      <c r="CL114" s="229">
        <f t="shared" si="110"/>
        <v>0</v>
      </c>
      <c r="CM114" s="229">
        <f t="shared" si="110"/>
        <v>0</v>
      </c>
      <c r="CN114" s="229">
        <f t="shared" si="110"/>
        <v>0</v>
      </c>
      <c r="CO114" s="229">
        <f t="shared" si="110"/>
        <v>0</v>
      </c>
      <c r="CP114" s="229">
        <f t="shared" si="110"/>
        <v>0</v>
      </c>
      <c r="CQ114" s="229">
        <f t="shared" si="110"/>
        <v>0</v>
      </c>
      <c r="CR114" s="229">
        <f t="shared" si="110"/>
        <v>0</v>
      </c>
      <c r="CS114" s="230"/>
      <c r="CT114" s="231"/>
      <c r="CU114" s="231"/>
      <c r="CV114" s="231"/>
      <c r="CW114" s="231"/>
      <c r="CX114" s="231"/>
      <c r="CY114" s="231"/>
      <c r="CZ114" s="231"/>
      <c r="DA114" s="231" t="e">
        <f ca="1">IF(SUM(DA$32:DA113)&gt;=DA$22,0,DA$22/(DA$13*4))</f>
        <v>#N/A</v>
      </c>
      <c r="DB114" s="231">
        <f>IF(SUM(DB$24:DB113)=DB$22,0,IF(AND($K114&gt;=DB$15,$K114&lt;(DB$16+1)),DB$22/(DB$16-DB$15+1),0))</f>
        <v>0</v>
      </c>
      <c r="DC114" s="231">
        <f t="shared" si="104"/>
        <v>0</v>
      </c>
      <c r="DD114" s="231">
        <f t="shared" si="104"/>
        <v>0</v>
      </c>
      <c r="DE114" s="231">
        <f t="shared" si="104"/>
        <v>0</v>
      </c>
      <c r="DF114" s="231">
        <f t="shared" si="104"/>
        <v>0</v>
      </c>
      <c r="DG114" s="231">
        <f t="shared" si="104"/>
        <v>0</v>
      </c>
      <c r="DH114" s="231">
        <f t="shared" si="104"/>
        <v>0</v>
      </c>
      <c r="DI114" s="231">
        <f t="shared" si="104"/>
        <v>0</v>
      </c>
      <c r="DJ114" s="231">
        <f t="shared" si="104"/>
        <v>0</v>
      </c>
      <c r="DK114" s="231">
        <f t="shared" si="104"/>
        <v>0</v>
      </c>
      <c r="DL114" s="231">
        <f t="shared" si="104"/>
        <v>0</v>
      </c>
      <c r="DM114" s="231">
        <f t="shared" si="104"/>
        <v>0</v>
      </c>
      <c r="DN114" s="231">
        <f t="shared" si="104"/>
        <v>0</v>
      </c>
      <c r="DO114" s="231">
        <f t="shared" si="104"/>
        <v>0</v>
      </c>
      <c r="DP114" s="231">
        <f>'Offshore CF'!DR114</f>
        <v>0</v>
      </c>
      <c r="DQ114" s="231">
        <f>'Offshore CF'!DS114</f>
        <v>0</v>
      </c>
      <c r="DR114" s="231">
        <f ca="1">IF(SUM(DR$24:DR113)=DR$22,0,IF(AND($K114&gt;=DR$15,$K114&lt;(DR$16+1)),DR$22/(DR$16-DR$15+1),0))</f>
        <v>0</v>
      </c>
      <c r="DS114" s="231" t="e">
        <f ca="1">IF(SUM(DS$24:DS113)=DS$22,0,IF(AND($K114&gt;=DS$15,$K114&lt;(DS$16+1)),DS$22/(DS$16-DS$15+1),0))</f>
        <v>#REF!</v>
      </c>
      <c r="DT114" s="231" t="e">
        <f ca="1">IF(SUM(DT$24:DT113)=DT$22,0,IF(AND(K114&gt;=DT$15,K114&lt;(DT$16+1)),DT$22/(DT$16-DT$15+1),0))</f>
        <v>#REF!</v>
      </c>
      <c r="DU114" s="231" t="e">
        <f ca="1">IF(SUM(DU$24:DU113)=DU$22,0,IF(AND($K114&gt;=DU$15,$K114&lt;(DU$16+1)),DU$22/(DU$16-DU$15+1),0))</f>
        <v>#REF!</v>
      </c>
      <c r="DV114" s="231">
        <f ca="1">IF(SUM(DV$24:DV113)=DV$22,0,IF(AND($K114&gt;=DV$15,$K114&lt;(DV$16+1)),DV$22/(DV$16-DV$15+1),0))</f>
        <v>0</v>
      </c>
      <c r="DW114" s="231">
        <f ca="1">IF(SUM(DW$24:DW113)=DW$22,0,IF(AND($K114&gt;=DW$15,$K114&lt;(DW$16+1)),DW$22/(DW$16-DW$15+1),0))</f>
        <v>0</v>
      </c>
      <c r="DX114" s="231">
        <f ca="1">IF(SUM(DX$24:DX113)=DX$22,0,IF(AND($K114&gt;=DX$15,$K114&lt;(DX$16+1)),DX$22/(DX$16-DX$15+1),0))</f>
        <v>0</v>
      </c>
      <c r="DY114" s="231">
        <f ca="1">IF(SUM(DY$24:DY113)=DY$22,0,IF(AND($K114&gt;=DY$15,$K114&lt;(DY$16+1)),DY$22/(DY$16-DY$15+1),0))</f>
        <v>0</v>
      </c>
      <c r="EA114" s="749">
        <f t="shared" si="80"/>
        <v>91</v>
      </c>
      <c r="EB114" s="749" t="e">
        <f t="shared" ca="1" si="81"/>
        <v>#N/A</v>
      </c>
      <c r="EC114" s="750" t="e">
        <f t="shared" ca="1" si="82"/>
        <v>#N/A</v>
      </c>
      <c r="ED114" s="749" t="e">
        <f t="shared" ca="1" si="96"/>
        <v>#REF!</v>
      </c>
      <c r="EE114" s="749"/>
      <c r="EF114" s="749"/>
      <c r="EG114" s="749"/>
      <c r="EH114" s="749"/>
      <c r="EI114" s="714" t="e">
        <f t="shared" ca="1" si="83"/>
        <v>#N/A</v>
      </c>
      <c r="EJ114" s="231" t="e">
        <f ca="1">IF(SUM(EJ$24:EJ113)=EJ$22,0,IF(AND($K114&gt;=EJ$15,$K114&lt;(EJ$16+1)),EJ$22/(EJ$16-EJ$15+1),0))</f>
        <v>#REF!</v>
      </c>
      <c r="EK114" s="714" t="e">
        <f t="shared" ca="1" si="54"/>
        <v>#N/A</v>
      </c>
      <c r="EM114" s="60"/>
      <c r="EN114" s="60"/>
    </row>
    <row r="115" spans="1:144" ht="13.9" customHeight="1">
      <c r="A115" s="220"/>
      <c r="B115" s="236">
        <f t="shared" si="84"/>
        <v>92</v>
      </c>
      <c r="C115" s="221">
        <f t="shared" si="85"/>
        <v>46238.919700000144</v>
      </c>
      <c r="D115" s="746" t="e">
        <f t="shared" ca="1" si="86"/>
        <v>#DIV/0!</v>
      </c>
      <c r="E115" s="747" t="e">
        <f t="shared" ca="1" si="88"/>
        <v>#DIV/0!</v>
      </c>
      <c r="F115" s="748" t="e">
        <f ca="1">IF(F114=0,0,SUM($G$24:G115))</f>
        <v>#DIV/0!</v>
      </c>
      <c r="G115" s="225" t="e">
        <f t="shared" ca="1" si="77"/>
        <v>#DIV/0!</v>
      </c>
      <c r="H115" s="746">
        <f t="shared" ca="1" si="87"/>
        <v>0</v>
      </c>
      <c r="I115" s="60"/>
      <c r="J115" s="228"/>
      <c r="K115" s="228">
        <f t="shared" si="78"/>
        <v>92</v>
      </c>
      <c r="L115" s="221">
        <f t="shared" si="79"/>
        <v>46238.919700000144</v>
      </c>
      <c r="M115" s="229">
        <f t="shared" si="106"/>
        <v>0</v>
      </c>
      <c r="N115" s="229">
        <f t="shared" si="106"/>
        <v>0</v>
      </c>
      <c r="O115" s="229">
        <f t="shared" si="106"/>
        <v>0</v>
      </c>
      <c r="P115" s="229">
        <f t="shared" si="106"/>
        <v>0</v>
      </c>
      <c r="Q115" s="229">
        <f t="shared" si="106"/>
        <v>0</v>
      </c>
      <c r="R115" s="229">
        <f t="shared" si="105"/>
        <v>0</v>
      </c>
      <c r="S115" s="229">
        <f t="shared" si="105"/>
        <v>0</v>
      </c>
      <c r="T115" s="229">
        <f t="shared" si="105"/>
        <v>0</v>
      </c>
      <c r="U115" s="229">
        <f t="shared" si="106"/>
        <v>0</v>
      </c>
      <c r="V115" s="229">
        <f t="shared" si="106"/>
        <v>0</v>
      </c>
      <c r="W115" s="229">
        <f t="shared" si="106"/>
        <v>0</v>
      </c>
      <c r="X115" s="229">
        <f t="shared" si="106"/>
        <v>0</v>
      </c>
      <c r="Y115" s="229">
        <f t="shared" si="106"/>
        <v>0</v>
      </c>
      <c r="Z115" s="229">
        <f t="shared" si="106"/>
        <v>0</v>
      </c>
      <c r="AA115" s="229">
        <f t="shared" si="106"/>
        <v>0</v>
      </c>
      <c r="AB115" s="229">
        <f t="shared" si="106"/>
        <v>0</v>
      </c>
      <c r="AC115" s="229">
        <f t="shared" si="106"/>
        <v>0</v>
      </c>
      <c r="AD115" s="229">
        <f t="shared" si="106"/>
        <v>0</v>
      </c>
      <c r="AE115" s="229">
        <f t="shared" si="106"/>
        <v>0</v>
      </c>
      <c r="AF115" s="229">
        <f t="shared" si="106"/>
        <v>0</v>
      </c>
      <c r="AG115" s="229">
        <f t="shared" si="106"/>
        <v>0</v>
      </c>
      <c r="AH115" s="229">
        <f t="shared" si="106"/>
        <v>0</v>
      </c>
      <c r="AI115" s="229">
        <f t="shared" si="106"/>
        <v>0</v>
      </c>
      <c r="AJ115" s="229">
        <f t="shared" si="106"/>
        <v>0</v>
      </c>
      <c r="AK115" s="229">
        <f t="shared" si="106"/>
        <v>0</v>
      </c>
      <c r="AL115" s="229">
        <f t="shared" si="106"/>
        <v>0</v>
      </c>
      <c r="AM115" s="229">
        <f t="shared" si="106"/>
        <v>0</v>
      </c>
      <c r="AN115" s="229">
        <f t="shared" si="106"/>
        <v>0</v>
      </c>
      <c r="AO115" s="229">
        <f t="shared" si="106"/>
        <v>0</v>
      </c>
      <c r="AP115" s="229">
        <f t="shared" si="106"/>
        <v>0</v>
      </c>
      <c r="AQ115" s="229">
        <f t="shared" si="106"/>
        <v>0</v>
      </c>
      <c r="AR115" s="229">
        <f t="shared" si="107"/>
        <v>0</v>
      </c>
      <c r="AS115" s="229">
        <f t="shared" si="107"/>
        <v>0</v>
      </c>
      <c r="AT115" s="229">
        <f t="shared" si="107"/>
        <v>0</v>
      </c>
      <c r="AU115" s="229">
        <f t="shared" si="107"/>
        <v>0</v>
      </c>
      <c r="AV115" s="229">
        <f t="shared" si="107"/>
        <v>0</v>
      </c>
      <c r="AW115" s="229">
        <f t="shared" si="107"/>
        <v>0</v>
      </c>
      <c r="AX115" s="229">
        <f t="shared" si="107"/>
        <v>0</v>
      </c>
      <c r="AY115" s="229">
        <f t="shared" si="107"/>
        <v>0</v>
      </c>
      <c r="AZ115" s="229">
        <f t="shared" si="107"/>
        <v>0</v>
      </c>
      <c r="BA115" s="229">
        <f t="shared" si="107"/>
        <v>0</v>
      </c>
      <c r="BB115" s="229">
        <f t="shared" si="107"/>
        <v>0</v>
      </c>
      <c r="BC115" s="229">
        <f t="shared" si="108"/>
        <v>0</v>
      </c>
      <c r="BD115" s="229">
        <f t="shared" si="108"/>
        <v>0</v>
      </c>
      <c r="BE115" s="229">
        <f t="shared" si="108"/>
        <v>0</v>
      </c>
      <c r="BF115" s="229">
        <f t="shared" si="108"/>
        <v>0</v>
      </c>
      <c r="BG115" s="229">
        <f t="shared" si="108"/>
        <v>0</v>
      </c>
      <c r="BH115" s="229">
        <f t="shared" si="108"/>
        <v>0</v>
      </c>
      <c r="BI115" s="229">
        <f t="shared" si="108"/>
        <v>0</v>
      </c>
      <c r="BJ115" s="229">
        <f t="shared" si="108"/>
        <v>0</v>
      </c>
      <c r="BK115" s="229">
        <f t="shared" si="108"/>
        <v>0</v>
      </c>
      <c r="BL115" s="229">
        <f t="shared" si="108"/>
        <v>0</v>
      </c>
      <c r="BM115" s="229">
        <f t="shared" si="109"/>
        <v>0</v>
      </c>
      <c r="BN115" s="229">
        <f t="shared" si="109"/>
        <v>0</v>
      </c>
      <c r="BO115" s="229">
        <f t="shared" si="109"/>
        <v>0</v>
      </c>
      <c r="BP115" s="229">
        <f t="shared" si="109"/>
        <v>0</v>
      </c>
      <c r="BQ115" s="229">
        <f t="shared" si="109"/>
        <v>0</v>
      </c>
      <c r="BR115" s="229">
        <f t="shared" si="109"/>
        <v>0</v>
      </c>
      <c r="BS115" s="229">
        <f t="shared" si="109"/>
        <v>0</v>
      </c>
      <c r="BT115" s="229">
        <f t="shared" si="109"/>
        <v>0</v>
      </c>
      <c r="BU115" s="229">
        <f t="shared" si="109"/>
        <v>0</v>
      </c>
      <c r="BV115" s="229">
        <f t="shared" si="109"/>
        <v>0</v>
      </c>
      <c r="BW115" s="229">
        <f t="shared" si="109"/>
        <v>0</v>
      </c>
      <c r="BX115" s="229">
        <f t="shared" si="109"/>
        <v>0</v>
      </c>
      <c r="BY115" s="229">
        <f t="shared" si="109"/>
        <v>0</v>
      </c>
      <c r="BZ115" s="229">
        <f t="shared" si="109"/>
        <v>0</v>
      </c>
      <c r="CA115" s="229">
        <f t="shared" si="109"/>
        <v>0</v>
      </c>
      <c r="CB115" s="229">
        <f t="shared" si="110"/>
        <v>0</v>
      </c>
      <c r="CC115" s="229">
        <f t="shared" si="110"/>
        <v>0</v>
      </c>
      <c r="CD115" s="229">
        <f t="shared" si="110"/>
        <v>0</v>
      </c>
      <c r="CE115" s="229">
        <f t="shared" si="110"/>
        <v>0</v>
      </c>
      <c r="CF115" s="229">
        <f t="shared" si="110"/>
        <v>0</v>
      </c>
      <c r="CG115" s="229">
        <f t="shared" si="110"/>
        <v>0</v>
      </c>
      <c r="CH115" s="229">
        <f t="shared" si="110"/>
        <v>0</v>
      </c>
      <c r="CI115" s="229">
        <f t="shared" si="110"/>
        <v>0</v>
      </c>
      <c r="CJ115" s="229">
        <f t="shared" si="110"/>
        <v>0</v>
      </c>
      <c r="CK115" s="229">
        <f t="shared" si="110"/>
        <v>0</v>
      </c>
      <c r="CL115" s="229">
        <f t="shared" si="110"/>
        <v>0</v>
      </c>
      <c r="CM115" s="229">
        <f t="shared" si="110"/>
        <v>0</v>
      </c>
      <c r="CN115" s="229">
        <f t="shared" si="110"/>
        <v>0</v>
      </c>
      <c r="CO115" s="229">
        <f t="shared" si="110"/>
        <v>0</v>
      </c>
      <c r="CP115" s="229">
        <f t="shared" si="110"/>
        <v>0</v>
      </c>
      <c r="CQ115" s="229">
        <f t="shared" si="110"/>
        <v>0</v>
      </c>
      <c r="CR115" s="229">
        <f t="shared" si="110"/>
        <v>0</v>
      </c>
      <c r="CS115" s="230"/>
      <c r="CT115" s="231"/>
      <c r="CU115" s="231"/>
      <c r="CV115" s="231"/>
      <c r="CW115" s="231"/>
      <c r="CX115" s="231"/>
      <c r="CY115" s="231"/>
      <c r="CZ115" s="231"/>
      <c r="DA115" s="231"/>
      <c r="DB115" s="231">
        <f>IF(SUM(DB$24:DB114)=DB$22,0,IF(AND($K115&gt;=DB$15,$K115&lt;(DB$16+1)),DB$22/(DB$16-DB$15+1),0))</f>
        <v>0</v>
      </c>
      <c r="DC115" s="231">
        <f t="shared" si="104"/>
        <v>0</v>
      </c>
      <c r="DD115" s="231">
        <f t="shared" si="104"/>
        <v>0</v>
      </c>
      <c r="DE115" s="231">
        <f t="shared" si="104"/>
        <v>0</v>
      </c>
      <c r="DF115" s="231">
        <f t="shared" si="104"/>
        <v>0</v>
      </c>
      <c r="DG115" s="231">
        <f t="shared" si="104"/>
        <v>0</v>
      </c>
      <c r="DH115" s="231">
        <f t="shared" si="104"/>
        <v>0</v>
      </c>
      <c r="DI115" s="231">
        <f t="shared" si="104"/>
        <v>0</v>
      </c>
      <c r="DJ115" s="231">
        <f t="shared" si="104"/>
        <v>0</v>
      </c>
      <c r="DK115" s="231">
        <f t="shared" si="104"/>
        <v>0</v>
      </c>
      <c r="DL115" s="231">
        <f t="shared" si="104"/>
        <v>0</v>
      </c>
      <c r="DM115" s="231">
        <f t="shared" si="104"/>
        <v>0</v>
      </c>
      <c r="DN115" s="231">
        <f t="shared" si="104"/>
        <v>0</v>
      </c>
      <c r="DO115" s="231">
        <f t="shared" si="104"/>
        <v>0</v>
      </c>
      <c r="DP115" s="231">
        <f>'Offshore CF'!DR115</f>
        <v>0</v>
      </c>
      <c r="DQ115" s="231">
        <f>'Offshore CF'!DS115</f>
        <v>0</v>
      </c>
      <c r="DR115" s="231">
        <f ca="1">IF(SUM(DR$24:DR114)=DR$22,0,IF(AND($K115&gt;=DR$15,$K115&lt;(DR$16+1)),DR$22/(DR$16-DR$15+1),0))</f>
        <v>0</v>
      </c>
      <c r="DS115" s="231" t="e">
        <f ca="1">IF(SUM(DS$24:DS114)=DS$22,0,IF(AND($K115&gt;=DS$15,$K115&lt;(DS$16+1)),DS$22/(DS$16-DS$15+1),0))</f>
        <v>#REF!</v>
      </c>
      <c r="DT115" s="231" t="e">
        <f ca="1">IF(SUM(DT$24:DT114)=DT$22,0,IF(AND(K115&gt;=DT$15,K115&lt;(DT$16+1)),DT$22/(DT$16-DT$15+1),0))</f>
        <v>#REF!</v>
      </c>
      <c r="DU115" s="231" t="e">
        <f ca="1">IF(SUM(DU$24:DU114)=DU$22,0,IF(AND($K115&gt;=DU$15,$K115&lt;(DU$16+1)),DU$22/(DU$16-DU$15+1),0))</f>
        <v>#REF!</v>
      </c>
      <c r="DV115" s="231">
        <f ca="1">IF(SUM(DV$24:DV114)=DV$22,0,IF(AND($K115&gt;=DV$15,$K115&lt;(DV$16+1)),DV$22/(DV$16-DV$15+1),0))</f>
        <v>0</v>
      </c>
      <c r="DW115" s="231">
        <f ca="1">IF(SUM(DW$24:DW114)=DW$22,0,IF(AND($K115&gt;=DW$15,$K115&lt;(DW$16+1)),DW$22/(DW$16-DW$15+1),0))</f>
        <v>0</v>
      </c>
      <c r="DX115" s="231">
        <f ca="1">IF(SUM(DX$24:DX114)=DX$22,0,IF(AND($K115&gt;=DX$15,$K115&lt;(DX$16+1)),DX$22/(DX$16-DX$15+1),0))</f>
        <v>0</v>
      </c>
      <c r="DY115" s="231">
        <f ca="1">IF(SUM(DY$24:DY114)=DY$22,0,IF(AND($K115&gt;=DY$15,$K115&lt;(DY$16+1)),DY$22/(DY$16-DY$15+1),0))</f>
        <v>0</v>
      </c>
      <c r="EA115" s="749">
        <f t="shared" si="80"/>
        <v>92</v>
      </c>
      <c r="EB115" s="749" t="e">
        <f t="shared" ca="1" si="81"/>
        <v>#REF!</v>
      </c>
      <c r="EC115" s="750" t="e">
        <f t="shared" ca="1" si="82"/>
        <v>#REF!</v>
      </c>
      <c r="ED115" s="749" t="e">
        <f t="shared" ca="1" si="96"/>
        <v>#REF!</v>
      </c>
      <c r="EE115" s="749"/>
      <c r="EF115" s="749"/>
      <c r="EG115" s="749"/>
      <c r="EH115" s="749"/>
      <c r="EI115" s="714" t="e">
        <f t="shared" ca="1" si="83"/>
        <v>#REF!</v>
      </c>
      <c r="EJ115" s="231" t="e">
        <f ca="1">IF(SUM(EJ$24:EJ114)=EJ$22,0,IF(AND($K115&gt;=EJ$15,$K115&lt;(EJ$16+1)),EJ$22/(EJ$16-EJ$15+1),0))</f>
        <v>#REF!</v>
      </c>
      <c r="EK115" s="714" t="e">
        <f t="shared" ca="1" si="54"/>
        <v>#REF!</v>
      </c>
      <c r="EM115" s="60"/>
      <c r="EN115" s="60"/>
    </row>
    <row r="116" spans="1:144" ht="13.9" customHeight="1">
      <c r="A116" s="220"/>
      <c r="B116" s="236">
        <f t="shared" si="84"/>
        <v>93</v>
      </c>
      <c r="C116" s="221">
        <f t="shared" si="85"/>
        <v>46269.336400000146</v>
      </c>
      <c r="D116" s="746" t="e">
        <f t="shared" ca="1" si="86"/>
        <v>#DIV/0!</v>
      </c>
      <c r="E116" s="747" t="e">
        <f t="shared" ca="1" si="88"/>
        <v>#DIV/0!</v>
      </c>
      <c r="F116" s="748" t="e">
        <f ca="1">IF(F115=0,0,SUM($G$24:G116))</f>
        <v>#DIV/0!</v>
      </c>
      <c r="G116" s="225" t="e">
        <f t="shared" ca="1" si="77"/>
        <v>#DIV/0!</v>
      </c>
      <c r="H116" s="746">
        <f t="shared" ca="1" si="87"/>
        <v>0</v>
      </c>
      <c r="I116" s="60"/>
      <c r="J116" s="228"/>
      <c r="K116" s="228">
        <f t="shared" si="78"/>
        <v>93</v>
      </c>
      <c r="L116" s="221">
        <f t="shared" si="79"/>
        <v>46269.336400000146</v>
      </c>
      <c r="M116" s="229">
        <f t="shared" si="106"/>
        <v>0</v>
      </c>
      <c r="N116" s="229">
        <f t="shared" si="106"/>
        <v>0</v>
      </c>
      <c r="O116" s="229">
        <f t="shared" si="106"/>
        <v>0</v>
      </c>
      <c r="P116" s="229">
        <f t="shared" si="106"/>
        <v>0</v>
      </c>
      <c r="Q116" s="229">
        <f t="shared" si="106"/>
        <v>0</v>
      </c>
      <c r="R116" s="229">
        <f t="shared" si="105"/>
        <v>0</v>
      </c>
      <c r="S116" s="229">
        <f t="shared" si="105"/>
        <v>0</v>
      </c>
      <c r="T116" s="229">
        <f t="shared" si="105"/>
        <v>0</v>
      </c>
      <c r="U116" s="229">
        <f t="shared" si="106"/>
        <v>0</v>
      </c>
      <c r="V116" s="229">
        <f t="shared" si="106"/>
        <v>0</v>
      </c>
      <c r="W116" s="229">
        <f t="shared" si="106"/>
        <v>0</v>
      </c>
      <c r="X116" s="229">
        <f t="shared" si="106"/>
        <v>0</v>
      </c>
      <c r="Y116" s="229">
        <f t="shared" si="106"/>
        <v>0</v>
      </c>
      <c r="Z116" s="229">
        <f t="shared" si="106"/>
        <v>0</v>
      </c>
      <c r="AA116" s="229">
        <f t="shared" si="106"/>
        <v>0</v>
      </c>
      <c r="AB116" s="229">
        <f t="shared" si="106"/>
        <v>0</v>
      </c>
      <c r="AC116" s="229">
        <f t="shared" si="106"/>
        <v>0</v>
      </c>
      <c r="AD116" s="229">
        <f t="shared" si="106"/>
        <v>0</v>
      </c>
      <c r="AE116" s="229">
        <f t="shared" si="106"/>
        <v>0</v>
      </c>
      <c r="AF116" s="229">
        <f t="shared" si="106"/>
        <v>0</v>
      </c>
      <c r="AG116" s="229">
        <f t="shared" si="106"/>
        <v>0</v>
      </c>
      <c r="AH116" s="229">
        <f t="shared" si="106"/>
        <v>0</v>
      </c>
      <c r="AI116" s="229">
        <f t="shared" si="106"/>
        <v>0</v>
      </c>
      <c r="AJ116" s="229">
        <f t="shared" si="106"/>
        <v>0</v>
      </c>
      <c r="AK116" s="229">
        <f t="shared" si="106"/>
        <v>0</v>
      </c>
      <c r="AL116" s="229">
        <f t="shared" si="106"/>
        <v>0</v>
      </c>
      <c r="AM116" s="229">
        <f t="shared" si="106"/>
        <v>0</v>
      </c>
      <c r="AN116" s="229">
        <f t="shared" si="106"/>
        <v>0</v>
      </c>
      <c r="AO116" s="229">
        <f t="shared" si="106"/>
        <v>0</v>
      </c>
      <c r="AP116" s="229">
        <f t="shared" si="106"/>
        <v>0</v>
      </c>
      <c r="AQ116" s="229">
        <f t="shared" si="106"/>
        <v>0</v>
      </c>
      <c r="AR116" s="229">
        <f t="shared" si="107"/>
        <v>0</v>
      </c>
      <c r="AS116" s="229">
        <f t="shared" si="107"/>
        <v>0</v>
      </c>
      <c r="AT116" s="229">
        <f t="shared" si="107"/>
        <v>0</v>
      </c>
      <c r="AU116" s="229">
        <f t="shared" si="107"/>
        <v>0</v>
      </c>
      <c r="AV116" s="229">
        <f t="shared" si="107"/>
        <v>0</v>
      </c>
      <c r="AW116" s="229">
        <f t="shared" si="107"/>
        <v>0</v>
      </c>
      <c r="AX116" s="229">
        <f t="shared" si="107"/>
        <v>0</v>
      </c>
      <c r="AY116" s="229">
        <f t="shared" si="107"/>
        <v>0</v>
      </c>
      <c r="AZ116" s="229">
        <f t="shared" si="107"/>
        <v>0</v>
      </c>
      <c r="BA116" s="229">
        <f t="shared" si="107"/>
        <v>0</v>
      </c>
      <c r="BB116" s="229">
        <f t="shared" si="107"/>
        <v>0</v>
      </c>
      <c r="BC116" s="229">
        <f t="shared" si="108"/>
        <v>0</v>
      </c>
      <c r="BD116" s="229">
        <f t="shared" si="108"/>
        <v>0</v>
      </c>
      <c r="BE116" s="229">
        <f t="shared" si="108"/>
        <v>0</v>
      </c>
      <c r="BF116" s="229">
        <f t="shared" si="108"/>
        <v>0</v>
      </c>
      <c r="BG116" s="229">
        <f t="shared" si="108"/>
        <v>0</v>
      </c>
      <c r="BH116" s="229">
        <f t="shared" si="108"/>
        <v>0</v>
      </c>
      <c r="BI116" s="229">
        <f t="shared" si="108"/>
        <v>0</v>
      </c>
      <c r="BJ116" s="229">
        <f t="shared" si="108"/>
        <v>0</v>
      </c>
      <c r="BK116" s="229">
        <f t="shared" si="108"/>
        <v>0</v>
      </c>
      <c r="BL116" s="229">
        <f t="shared" si="108"/>
        <v>0</v>
      </c>
      <c r="BM116" s="229">
        <f t="shared" si="109"/>
        <v>0</v>
      </c>
      <c r="BN116" s="229">
        <f t="shared" si="109"/>
        <v>0</v>
      </c>
      <c r="BO116" s="229">
        <f t="shared" si="109"/>
        <v>0</v>
      </c>
      <c r="BP116" s="229">
        <f t="shared" si="109"/>
        <v>0</v>
      </c>
      <c r="BQ116" s="229">
        <f t="shared" si="109"/>
        <v>0</v>
      </c>
      <c r="BR116" s="229">
        <f t="shared" si="109"/>
        <v>0</v>
      </c>
      <c r="BS116" s="229">
        <f t="shared" si="109"/>
        <v>0</v>
      </c>
      <c r="BT116" s="229">
        <f t="shared" si="109"/>
        <v>0</v>
      </c>
      <c r="BU116" s="229">
        <f t="shared" si="109"/>
        <v>0</v>
      </c>
      <c r="BV116" s="229">
        <f t="shared" si="109"/>
        <v>0</v>
      </c>
      <c r="BW116" s="229">
        <f t="shared" si="109"/>
        <v>0</v>
      </c>
      <c r="BX116" s="229">
        <f t="shared" si="109"/>
        <v>0</v>
      </c>
      <c r="BY116" s="229">
        <f t="shared" si="109"/>
        <v>0</v>
      </c>
      <c r="BZ116" s="229">
        <f t="shared" si="109"/>
        <v>0</v>
      </c>
      <c r="CA116" s="229">
        <f t="shared" si="109"/>
        <v>0</v>
      </c>
      <c r="CB116" s="229">
        <f t="shared" si="110"/>
        <v>0</v>
      </c>
      <c r="CC116" s="229">
        <f t="shared" si="110"/>
        <v>0</v>
      </c>
      <c r="CD116" s="229">
        <f t="shared" si="110"/>
        <v>0</v>
      </c>
      <c r="CE116" s="229">
        <f t="shared" si="110"/>
        <v>0</v>
      </c>
      <c r="CF116" s="229">
        <f t="shared" si="110"/>
        <v>0</v>
      </c>
      <c r="CG116" s="229">
        <f t="shared" si="110"/>
        <v>0</v>
      </c>
      <c r="CH116" s="229">
        <f t="shared" si="110"/>
        <v>0</v>
      </c>
      <c r="CI116" s="229">
        <f t="shared" si="110"/>
        <v>0</v>
      </c>
      <c r="CJ116" s="229">
        <f t="shared" si="110"/>
        <v>0</v>
      </c>
      <c r="CK116" s="229">
        <f t="shared" si="110"/>
        <v>0</v>
      </c>
      <c r="CL116" s="229">
        <f t="shared" si="110"/>
        <v>0</v>
      </c>
      <c r="CM116" s="229">
        <f t="shared" si="110"/>
        <v>0</v>
      </c>
      <c r="CN116" s="229">
        <f t="shared" si="110"/>
        <v>0</v>
      </c>
      <c r="CO116" s="229">
        <f t="shared" si="110"/>
        <v>0</v>
      </c>
      <c r="CP116" s="229">
        <f t="shared" si="110"/>
        <v>0</v>
      </c>
      <c r="CQ116" s="229">
        <f t="shared" si="110"/>
        <v>0</v>
      </c>
      <c r="CR116" s="229">
        <f t="shared" si="110"/>
        <v>0</v>
      </c>
      <c r="CS116" s="230"/>
      <c r="CT116" s="231"/>
      <c r="CU116" s="231"/>
      <c r="CV116" s="231"/>
      <c r="CW116" s="231"/>
      <c r="CX116" s="231"/>
      <c r="CY116" s="231"/>
      <c r="CZ116" s="231"/>
      <c r="DA116" s="231"/>
      <c r="DB116" s="231">
        <f>IF(SUM(DB$24:DB115)=DB$22,0,IF(AND($K116&gt;=DB$15,$K116&lt;(DB$16+1)),DB$22/(DB$16-DB$15+1),0))</f>
        <v>0</v>
      </c>
      <c r="DC116" s="231">
        <f t="shared" si="104"/>
        <v>0</v>
      </c>
      <c r="DD116" s="231">
        <f t="shared" si="104"/>
        <v>0</v>
      </c>
      <c r="DE116" s="231">
        <f t="shared" si="104"/>
        <v>0</v>
      </c>
      <c r="DF116" s="231">
        <f t="shared" si="104"/>
        <v>0</v>
      </c>
      <c r="DG116" s="231">
        <f t="shared" si="104"/>
        <v>0</v>
      </c>
      <c r="DH116" s="231">
        <f t="shared" si="104"/>
        <v>0</v>
      </c>
      <c r="DI116" s="231">
        <f t="shared" si="104"/>
        <v>0</v>
      </c>
      <c r="DJ116" s="231">
        <f t="shared" si="104"/>
        <v>0</v>
      </c>
      <c r="DK116" s="231">
        <f t="shared" si="104"/>
        <v>0</v>
      </c>
      <c r="DL116" s="231">
        <f t="shared" si="104"/>
        <v>0</v>
      </c>
      <c r="DM116" s="231">
        <f t="shared" si="104"/>
        <v>0</v>
      </c>
      <c r="DN116" s="231">
        <f t="shared" si="104"/>
        <v>0</v>
      </c>
      <c r="DO116" s="231">
        <f t="shared" si="104"/>
        <v>0</v>
      </c>
      <c r="DP116" s="231">
        <f>'Offshore CF'!DR116</f>
        <v>0</v>
      </c>
      <c r="DQ116" s="231">
        <f>'Offshore CF'!DS116</f>
        <v>0</v>
      </c>
      <c r="DR116" s="231">
        <f ca="1">IF(SUM(DR$24:DR115)=DR$22,0,IF(AND($K116&gt;=DR$15,$K116&lt;(DR$16+1)),DR$22/(DR$16-DR$15+1),0))</f>
        <v>0</v>
      </c>
      <c r="DS116" s="231" t="e">
        <f ca="1">IF(SUM(DS$24:DS115)=DS$22,0,IF(AND($K116&gt;=DS$15,$K116&lt;(DS$16+1)),DS$22/(DS$16-DS$15+1),0))</f>
        <v>#REF!</v>
      </c>
      <c r="DT116" s="231" t="e">
        <f ca="1">IF(SUM(DT$24:DT115)=DT$22,0,IF(AND(K116&gt;=DT$15,K116&lt;(DT$16+1)),DT$22/(DT$16-DT$15+1),0))</f>
        <v>#REF!</v>
      </c>
      <c r="DU116" s="231" t="e">
        <f ca="1">IF(SUM(DU$24:DU115)=DU$22,0,IF(AND($K116&gt;=DU$15,$K116&lt;(DU$16+1)),DU$22/(DU$16-DU$15+1),0))</f>
        <v>#REF!</v>
      </c>
      <c r="DV116" s="231">
        <f ca="1">IF(SUM(DV$24:DV115)=DV$22,0,IF(AND($K116&gt;=DV$15,$K116&lt;(DV$16+1)),DV$22/(DV$16-DV$15+1),0))</f>
        <v>0</v>
      </c>
      <c r="DW116" s="231">
        <f ca="1">IF(SUM(DW$24:DW115)=DW$22,0,IF(AND($K116&gt;=DW$15,$K116&lt;(DW$16+1)),DW$22/(DW$16-DW$15+1),0))</f>
        <v>0</v>
      </c>
      <c r="DX116" s="231">
        <f ca="1">IF(SUM(DX$24:DX115)=DX$22,0,IF(AND($K116&gt;=DX$15,$K116&lt;(DX$16+1)),DX$22/(DX$16-DX$15+1),0))</f>
        <v>0</v>
      </c>
      <c r="DY116" s="231">
        <f ca="1">IF(SUM(DY$24:DY115)=DY$22,0,IF(AND($K116&gt;=DY$15,$K116&lt;(DY$16+1)),DY$22/(DY$16-DY$15+1),0))</f>
        <v>0</v>
      </c>
      <c r="EA116" s="749">
        <f t="shared" si="80"/>
        <v>93</v>
      </c>
      <c r="EB116" s="749" t="e">
        <f t="shared" ca="1" si="81"/>
        <v>#REF!</v>
      </c>
      <c r="EC116" s="750" t="e">
        <f t="shared" ca="1" si="82"/>
        <v>#REF!</v>
      </c>
      <c r="ED116" s="749" t="e">
        <f t="shared" ca="1" si="96"/>
        <v>#N/A</v>
      </c>
      <c r="EE116" s="749"/>
      <c r="EF116" s="749"/>
      <c r="EG116" s="749"/>
      <c r="EH116" s="749"/>
      <c r="EI116" s="714" t="e">
        <f t="shared" ca="1" si="83"/>
        <v>#REF!</v>
      </c>
      <c r="EJ116" s="231" t="e">
        <f ca="1">IF(SUM(EJ$24:EJ115)=EJ$22,0,IF(AND($K116&gt;=EJ$15,$K116&lt;(EJ$16+1)),EJ$22/(EJ$16-EJ$15+1),0))</f>
        <v>#REF!</v>
      </c>
      <c r="EK116" s="714" t="e">
        <f t="shared" ca="1" si="54"/>
        <v>#REF!</v>
      </c>
      <c r="EM116" s="60"/>
      <c r="EN116" s="60"/>
    </row>
    <row r="117" spans="1:144" ht="13.9" customHeight="1">
      <c r="A117" s="220"/>
      <c r="B117" s="236">
        <f t="shared" si="84"/>
        <v>94</v>
      </c>
      <c r="C117" s="221">
        <f t="shared" si="85"/>
        <v>46299.753100000147</v>
      </c>
      <c r="D117" s="746" t="e">
        <f t="shared" ca="1" si="86"/>
        <v>#DIV/0!</v>
      </c>
      <c r="E117" s="747" t="e">
        <f t="shared" ca="1" si="88"/>
        <v>#DIV/0!</v>
      </c>
      <c r="F117" s="748" t="e">
        <f ca="1">IF(F116=0,0,SUM($G$24:G117))</f>
        <v>#DIV/0!</v>
      </c>
      <c r="G117" s="225" t="e">
        <f t="shared" ca="1" si="77"/>
        <v>#DIV/0!</v>
      </c>
      <c r="H117" s="746">
        <f t="shared" ca="1" si="87"/>
        <v>0</v>
      </c>
      <c r="I117" s="60"/>
      <c r="J117" s="228"/>
      <c r="K117" s="228">
        <f t="shared" si="78"/>
        <v>94</v>
      </c>
      <c r="L117" s="221">
        <f t="shared" si="79"/>
        <v>46299.753100000147</v>
      </c>
      <c r="M117" s="229">
        <f t="shared" si="106"/>
        <v>0</v>
      </c>
      <c r="N117" s="229">
        <f t="shared" si="106"/>
        <v>0</v>
      </c>
      <c r="O117" s="229">
        <f t="shared" si="106"/>
        <v>0</v>
      </c>
      <c r="P117" s="229">
        <f t="shared" si="106"/>
        <v>0</v>
      </c>
      <c r="Q117" s="229">
        <f t="shared" si="106"/>
        <v>0</v>
      </c>
      <c r="R117" s="229">
        <f t="shared" si="105"/>
        <v>0</v>
      </c>
      <c r="S117" s="229">
        <f t="shared" si="105"/>
        <v>0</v>
      </c>
      <c r="T117" s="229">
        <f t="shared" si="105"/>
        <v>0</v>
      </c>
      <c r="U117" s="229">
        <f t="shared" si="106"/>
        <v>0</v>
      </c>
      <c r="V117" s="229">
        <f t="shared" si="106"/>
        <v>0</v>
      </c>
      <c r="W117" s="229">
        <f t="shared" si="106"/>
        <v>0</v>
      </c>
      <c r="X117" s="229">
        <f t="shared" si="106"/>
        <v>0</v>
      </c>
      <c r="Y117" s="229">
        <f t="shared" si="106"/>
        <v>0</v>
      </c>
      <c r="Z117" s="229">
        <f t="shared" si="106"/>
        <v>0</v>
      </c>
      <c r="AA117" s="229">
        <f t="shared" si="106"/>
        <v>0</v>
      </c>
      <c r="AB117" s="229">
        <f t="shared" si="106"/>
        <v>0</v>
      </c>
      <c r="AC117" s="229">
        <f t="shared" si="106"/>
        <v>0</v>
      </c>
      <c r="AD117" s="229">
        <f t="shared" si="106"/>
        <v>0</v>
      </c>
      <c r="AE117" s="229">
        <f t="shared" si="106"/>
        <v>0</v>
      </c>
      <c r="AF117" s="229">
        <f t="shared" si="106"/>
        <v>0</v>
      </c>
      <c r="AG117" s="229">
        <f t="shared" si="106"/>
        <v>0</v>
      </c>
      <c r="AH117" s="229">
        <f t="shared" si="106"/>
        <v>0</v>
      </c>
      <c r="AI117" s="229">
        <f t="shared" si="106"/>
        <v>0</v>
      </c>
      <c r="AJ117" s="229">
        <f t="shared" si="106"/>
        <v>0</v>
      </c>
      <c r="AK117" s="229">
        <f t="shared" si="106"/>
        <v>0</v>
      </c>
      <c r="AL117" s="229">
        <f t="shared" si="106"/>
        <v>0</v>
      </c>
      <c r="AM117" s="229">
        <f t="shared" si="106"/>
        <v>0</v>
      </c>
      <c r="AN117" s="229">
        <f t="shared" si="106"/>
        <v>0</v>
      </c>
      <c r="AO117" s="229">
        <f t="shared" si="106"/>
        <v>0</v>
      </c>
      <c r="AP117" s="229">
        <f t="shared" si="106"/>
        <v>0</v>
      </c>
      <c r="AQ117" s="229">
        <f t="shared" si="106"/>
        <v>0</v>
      </c>
      <c r="AR117" s="229">
        <f t="shared" si="107"/>
        <v>0</v>
      </c>
      <c r="AS117" s="229">
        <f t="shared" si="107"/>
        <v>0</v>
      </c>
      <c r="AT117" s="229">
        <f t="shared" si="107"/>
        <v>0</v>
      </c>
      <c r="AU117" s="229">
        <f t="shared" si="107"/>
        <v>0</v>
      </c>
      <c r="AV117" s="229">
        <f t="shared" si="107"/>
        <v>0</v>
      </c>
      <c r="AW117" s="229">
        <f t="shared" si="107"/>
        <v>0</v>
      </c>
      <c r="AX117" s="229">
        <f t="shared" si="107"/>
        <v>0</v>
      </c>
      <c r="AY117" s="229">
        <f t="shared" si="107"/>
        <v>0</v>
      </c>
      <c r="AZ117" s="229">
        <f t="shared" si="107"/>
        <v>0</v>
      </c>
      <c r="BA117" s="229">
        <f t="shared" si="107"/>
        <v>0</v>
      </c>
      <c r="BB117" s="229">
        <f t="shared" si="107"/>
        <v>0</v>
      </c>
      <c r="BC117" s="229">
        <f t="shared" si="108"/>
        <v>0</v>
      </c>
      <c r="BD117" s="229">
        <f t="shared" si="108"/>
        <v>0</v>
      </c>
      <c r="BE117" s="229">
        <f t="shared" si="108"/>
        <v>0</v>
      </c>
      <c r="BF117" s="229">
        <f t="shared" si="108"/>
        <v>0</v>
      </c>
      <c r="BG117" s="229">
        <f t="shared" si="108"/>
        <v>0</v>
      </c>
      <c r="BH117" s="229">
        <f t="shared" si="108"/>
        <v>0</v>
      </c>
      <c r="BI117" s="229">
        <f t="shared" si="108"/>
        <v>0</v>
      </c>
      <c r="BJ117" s="229">
        <f t="shared" si="108"/>
        <v>0</v>
      </c>
      <c r="BK117" s="229">
        <f t="shared" si="108"/>
        <v>0</v>
      </c>
      <c r="BL117" s="229">
        <f t="shared" si="108"/>
        <v>0</v>
      </c>
      <c r="BM117" s="229">
        <f t="shared" si="109"/>
        <v>0</v>
      </c>
      <c r="BN117" s="229">
        <f t="shared" si="109"/>
        <v>0</v>
      </c>
      <c r="BO117" s="229">
        <f t="shared" si="109"/>
        <v>0</v>
      </c>
      <c r="BP117" s="229">
        <f t="shared" si="109"/>
        <v>0</v>
      </c>
      <c r="BQ117" s="229">
        <f t="shared" si="109"/>
        <v>0</v>
      </c>
      <c r="BR117" s="229">
        <f t="shared" si="109"/>
        <v>0</v>
      </c>
      <c r="BS117" s="229">
        <f t="shared" si="109"/>
        <v>0</v>
      </c>
      <c r="BT117" s="229">
        <f t="shared" si="109"/>
        <v>0</v>
      </c>
      <c r="BU117" s="229">
        <f t="shared" si="109"/>
        <v>0</v>
      </c>
      <c r="BV117" s="229">
        <f t="shared" si="109"/>
        <v>0</v>
      </c>
      <c r="BW117" s="229">
        <f t="shared" si="109"/>
        <v>0</v>
      </c>
      <c r="BX117" s="229">
        <f t="shared" si="109"/>
        <v>0</v>
      </c>
      <c r="BY117" s="229">
        <f t="shared" si="109"/>
        <v>0</v>
      </c>
      <c r="BZ117" s="229">
        <f t="shared" si="109"/>
        <v>0</v>
      </c>
      <c r="CA117" s="229">
        <f t="shared" si="109"/>
        <v>0</v>
      </c>
      <c r="CB117" s="229">
        <f t="shared" si="110"/>
        <v>0</v>
      </c>
      <c r="CC117" s="229">
        <f t="shared" si="110"/>
        <v>0</v>
      </c>
      <c r="CD117" s="229">
        <f t="shared" si="110"/>
        <v>0</v>
      </c>
      <c r="CE117" s="229">
        <f t="shared" si="110"/>
        <v>0</v>
      </c>
      <c r="CF117" s="229">
        <f t="shared" si="110"/>
        <v>0</v>
      </c>
      <c r="CG117" s="229">
        <f t="shared" si="110"/>
        <v>0</v>
      </c>
      <c r="CH117" s="229">
        <f t="shared" si="110"/>
        <v>0</v>
      </c>
      <c r="CI117" s="229">
        <f t="shared" si="110"/>
        <v>0</v>
      </c>
      <c r="CJ117" s="229">
        <f t="shared" si="110"/>
        <v>0</v>
      </c>
      <c r="CK117" s="229">
        <f t="shared" si="110"/>
        <v>0</v>
      </c>
      <c r="CL117" s="229">
        <f t="shared" si="110"/>
        <v>0</v>
      </c>
      <c r="CM117" s="229">
        <f t="shared" si="110"/>
        <v>0</v>
      </c>
      <c r="CN117" s="229">
        <f t="shared" si="110"/>
        <v>0</v>
      </c>
      <c r="CO117" s="229">
        <f t="shared" si="110"/>
        <v>0</v>
      </c>
      <c r="CP117" s="229">
        <f t="shared" si="110"/>
        <v>0</v>
      </c>
      <c r="CQ117" s="229">
        <f t="shared" si="110"/>
        <v>0</v>
      </c>
      <c r="CR117" s="229">
        <f t="shared" si="110"/>
        <v>0</v>
      </c>
      <c r="CS117" s="230"/>
      <c r="CT117" s="231"/>
      <c r="CU117" s="231"/>
      <c r="CV117" s="231"/>
      <c r="CW117" s="231"/>
      <c r="CX117" s="231"/>
      <c r="CY117" s="231"/>
      <c r="CZ117" s="231"/>
      <c r="DA117" s="231" t="e">
        <f ca="1">IF(SUM(DA$32:DA116)&gt;=DA$22,0,DA$22/(DA$13*4))</f>
        <v>#N/A</v>
      </c>
      <c r="DB117" s="231">
        <f>IF(SUM(DB$24:DB116)=DB$22,0,IF(AND($K117&gt;=DB$15,$K117&lt;(DB$16+1)),DB$22/(DB$16-DB$15+1),0))</f>
        <v>0</v>
      </c>
      <c r="DC117" s="231">
        <f t="shared" si="104"/>
        <v>0</v>
      </c>
      <c r="DD117" s="231">
        <f t="shared" si="104"/>
        <v>0</v>
      </c>
      <c r="DE117" s="231">
        <f t="shared" si="104"/>
        <v>0</v>
      </c>
      <c r="DF117" s="231">
        <f t="shared" si="104"/>
        <v>0</v>
      </c>
      <c r="DG117" s="231">
        <f t="shared" si="104"/>
        <v>0</v>
      </c>
      <c r="DH117" s="231">
        <f t="shared" si="104"/>
        <v>0</v>
      </c>
      <c r="DI117" s="231">
        <f t="shared" si="104"/>
        <v>0</v>
      </c>
      <c r="DJ117" s="231">
        <f t="shared" si="104"/>
        <v>0</v>
      </c>
      <c r="DK117" s="231">
        <f t="shared" si="104"/>
        <v>0</v>
      </c>
      <c r="DL117" s="231">
        <f t="shared" si="104"/>
        <v>0</v>
      </c>
      <c r="DM117" s="231">
        <f t="shared" si="104"/>
        <v>0</v>
      </c>
      <c r="DN117" s="231">
        <f t="shared" si="104"/>
        <v>0</v>
      </c>
      <c r="DO117" s="231">
        <f t="shared" si="104"/>
        <v>0</v>
      </c>
      <c r="DP117" s="231">
        <f>'Offshore CF'!DR117</f>
        <v>0</v>
      </c>
      <c r="DQ117" s="231">
        <f>'Offshore CF'!DS117</f>
        <v>0</v>
      </c>
      <c r="DR117" s="231">
        <f ca="1">IF(SUM(DR$24:DR116)=DR$22,0,IF(AND($K117&gt;=DR$15,$K117&lt;(DR$16+1)),DR$22/(DR$16-DR$15+1),0))</f>
        <v>0</v>
      </c>
      <c r="DS117" s="231" t="e">
        <f ca="1">IF(SUM(DS$24:DS116)=DS$22,0,IF(AND($K117&gt;=DS$15,$K117&lt;(DS$16+1)),DS$22/(DS$16-DS$15+1),0))</f>
        <v>#REF!</v>
      </c>
      <c r="DT117" s="231" t="e">
        <f ca="1">IF(SUM(DT$24:DT116)=DT$22,0,IF(AND(K117&gt;=DT$15,K117&lt;(DT$16+1)),DT$22/(DT$16-DT$15+1),0))</f>
        <v>#REF!</v>
      </c>
      <c r="DU117" s="231" t="e">
        <f ca="1">IF(SUM(DU$24:DU116)=DU$22,0,IF(AND($K117&gt;=DU$15,$K117&lt;(DU$16+1)),DU$22/(DU$16-DU$15+1),0))</f>
        <v>#REF!</v>
      </c>
      <c r="DV117" s="231">
        <f ca="1">IF(SUM(DV$24:DV116)=DV$22,0,IF(AND($K117&gt;=DV$15,$K117&lt;(DV$16+1)),DV$22/(DV$16-DV$15+1),0))</f>
        <v>0</v>
      </c>
      <c r="DW117" s="231">
        <f ca="1">IF(SUM(DW$24:DW116)=DW$22,0,IF(AND($K117&gt;=DW$15,$K117&lt;(DW$16+1)),DW$22/(DW$16-DW$15+1),0))</f>
        <v>0</v>
      </c>
      <c r="DX117" s="231">
        <f ca="1">IF(SUM(DX$24:DX116)=DX$22,0,IF(AND($K117&gt;=DX$15,$K117&lt;(DX$16+1)),DX$22/(DX$16-DX$15+1),0))</f>
        <v>0</v>
      </c>
      <c r="DY117" s="231">
        <f ca="1">IF(SUM(DY$24:DY116)=DY$22,0,IF(AND($K117&gt;=DY$15,$K117&lt;(DY$16+1)),DY$22/(DY$16-DY$15+1),0))</f>
        <v>0</v>
      </c>
      <c r="EA117" s="749">
        <f t="shared" si="80"/>
        <v>94</v>
      </c>
      <c r="EB117" s="749" t="e">
        <f t="shared" ca="1" si="81"/>
        <v>#N/A</v>
      </c>
      <c r="EC117" s="750" t="e">
        <f t="shared" ca="1" si="82"/>
        <v>#N/A</v>
      </c>
      <c r="ED117" s="749" t="e">
        <f t="shared" ca="1" si="96"/>
        <v>#REF!</v>
      </c>
      <c r="EE117" s="749"/>
      <c r="EF117" s="749"/>
      <c r="EG117" s="749"/>
      <c r="EH117" s="749"/>
      <c r="EI117" s="714" t="e">
        <f t="shared" ca="1" si="83"/>
        <v>#N/A</v>
      </c>
      <c r="EJ117" s="231" t="e">
        <f ca="1">IF(SUM(EJ$24:EJ116)=EJ$22,0,IF(AND($K117&gt;=EJ$15,$K117&lt;(EJ$16+1)),EJ$22/(EJ$16-EJ$15+1),0))</f>
        <v>#REF!</v>
      </c>
      <c r="EK117" s="714" t="e">
        <f t="shared" ca="1" si="54"/>
        <v>#N/A</v>
      </c>
      <c r="EM117" s="60"/>
      <c r="EN117" s="60"/>
    </row>
    <row r="118" spans="1:144" ht="13.9" customHeight="1">
      <c r="A118" s="220"/>
      <c r="B118" s="236">
        <f t="shared" si="84"/>
        <v>95</v>
      </c>
      <c r="C118" s="221">
        <f t="shared" si="85"/>
        <v>46330.169800000149</v>
      </c>
      <c r="D118" s="746" t="e">
        <f t="shared" ca="1" si="86"/>
        <v>#DIV/0!</v>
      </c>
      <c r="E118" s="747" t="e">
        <f t="shared" ca="1" si="88"/>
        <v>#DIV/0!</v>
      </c>
      <c r="F118" s="748" t="e">
        <f ca="1">IF(F117=0,0,SUM($G$24:G118))</f>
        <v>#DIV/0!</v>
      </c>
      <c r="G118" s="225" t="e">
        <f t="shared" ca="1" si="77"/>
        <v>#DIV/0!</v>
      </c>
      <c r="H118" s="746">
        <f t="shared" ca="1" si="87"/>
        <v>0</v>
      </c>
      <c r="I118" s="60"/>
      <c r="J118" s="228"/>
      <c r="K118" s="228">
        <f t="shared" si="78"/>
        <v>95</v>
      </c>
      <c r="L118" s="221">
        <f t="shared" si="79"/>
        <v>46330.169800000149</v>
      </c>
      <c r="M118" s="229">
        <f t="shared" si="106"/>
        <v>0</v>
      </c>
      <c r="N118" s="229">
        <f t="shared" si="106"/>
        <v>0</v>
      </c>
      <c r="O118" s="229">
        <f t="shared" si="106"/>
        <v>0</v>
      </c>
      <c r="P118" s="229">
        <f t="shared" si="106"/>
        <v>0</v>
      </c>
      <c r="Q118" s="229">
        <f t="shared" si="106"/>
        <v>0</v>
      </c>
      <c r="R118" s="229">
        <f t="shared" si="105"/>
        <v>0</v>
      </c>
      <c r="S118" s="229">
        <f t="shared" si="105"/>
        <v>0</v>
      </c>
      <c r="T118" s="229">
        <f t="shared" si="105"/>
        <v>0</v>
      </c>
      <c r="U118" s="229">
        <f t="shared" si="106"/>
        <v>0</v>
      </c>
      <c r="V118" s="229">
        <f t="shared" si="106"/>
        <v>0</v>
      </c>
      <c r="W118" s="229">
        <f t="shared" si="106"/>
        <v>0</v>
      </c>
      <c r="X118" s="229">
        <f t="shared" si="106"/>
        <v>0</v>
      </c>
      <c r="Y118" s="229">
        <f t="shared" si="106"/>
        <v>0</v>
      </c>
      <c r="Z118" s="229">
        <f t="shared" si="106"/>
        <v>0</v>
      </c>
      <c r="AA118" s="229">
        <f t="shared" si="106"/>
        <v>0</v>
      </c>
      <c r="AB118" s="229">
        <f t="shared" si="106"/>
        <v>0</v>
      </c>
      <c r="AC118" s="229">
        <f t="shared" si="106"/>
        <v>0</v>
      </c>
      <c r="AD118" s="229">
        <f t="shared" si="106"/>
        <v>0</v>
      </c>
      <c r="AE118" s="229">
        <f t="shared" si="106"/>
        <v>0</v>
      </c>
      <c r="AF118" s="229">
        <f t="shared" si="106"/>
        <v>0</v>
      </c>
      <c r="AG118" s="229">
        <f t="shared" si="106"/>
        <v>0</v>
      </c>
      <c r="AH118" s="229">
        <f t="shared" si="106"/>
        <v>0</v>
      </c>
      <c r="AI118" s="229">
        <f t="shared" si="106"/>
        <v>0</v>
      </c>
      <c r="AJ118" s="229">
        <f t="shared" si="106"/>
        <v>0</v>
      </c>
      <c r="AK118" s="229">
        <f t="shared" si="106"/>
        <v>0</v>
      </c>
      <c r="AL118" s="229">
        <f t="shared" si="106"/>
        <v>0</v>
      </c>
      <c r="AM118" s="229">
        <f t="shared" si="106"/>
        <v>0</v>
      </c>
      <c r="AN118" s="229">
        <f t="shared" si="106"/>
        <v>0</v>
      </c>
      <c r="AO118" s="229">
        <f t="shared" si="106"/>
        <v>0</v>
      </c>
      <c r="AP118" s="229">
        <f t="shared" si="106"/>
        <v>0</v>
      </c>
      <c r="AQ118" s="229">
        <f t="shared" si="106"/>
        <v>0</v>
      </c>
      <c r="AR118" s="229">
        <f t="shared" si="107"/>
        <v>0</v>
      </c>
      <c r="AS118" s="229">
        <f t="shared" si="107"/>
        <v>0</v>
      </c>
      <c r="AT118" s="229">
        <f t="shared" si="107"/>
        <v>0</v>
      </c>
      <c r="AU118" s="229">
        <f t="shared" si="107"/>
        <v>0</v>
      </c>
      <c r="AV118" s="229">
        <f t="shared" si="107"/>
        <v>0</v>
      </c>
      <c r="AW118" s="229">
        <f t="shared" si="107"/>
        <v>0</v>
      </c>
      <c r="AX118" s="229">
        <f t="shared" si="107"/>
        <v>0</v>
      </c>
      <c r="AY118" s="229">
        <f t="shared" si="107"/>
        <v>0</v>
      </c>
      <c r="AZ118" s="229">
        <f t="shared" si="107"/>
        <v>0</v>
      </c>
      <c r="BA118" s="229">
        <f t="shared" si="107"/>
        <v>0</v>
      </c>
      <c r="BB118" s="229">
        <f t="shared" si="107"/>
        <v>0</v>
      </c>
      <c r="BC118" s="229">
        <f t="shared" si="108"/>
        <v>0</v>
      </c>
      <c r="BD118" s="229">
        <f t="shared" si="108"/>
        <v>0</v>
      </c>
      <c r="BE118" s="229">
        <f t="shared" si="108"/>
        <v>0</v>
      </c>
      <c r="BF118" s="229">
        <f t="shared" si="108"/>
        <v>0</v>
      </c>
      <c r="BG118" s="229">
        <f t="shared" si="108"/>
        <v>0</v>
      </c>
      <c r="BH118" s="229">
        <f t="shared" si="108"/>
        <v>0</v>
      </c>
      <c r="BI118" s="229">
        <f t="shared" si="108"/>
        <v>0</v>
      </c>
      <c r="BJ118" s="229">
        <f t="shared" si="108"/>
        <v>0</v>
      </c>
      <c r="BK118" s="229">
        <f t="shared" si="108"/>
        <v>0</v>
      </c>
      <c r="BL118" s="229">
        <f t="shared" si="108"/>
        <v>0</v>
      </c>
      <c r="BM118" s="229">
        <f t="shared" si="109"/>
        <v>0</v>
      </c>
      <c r="BN118" s="229">
        <f t="shared" si="109"/>
        <v>0</v>
      </c>
      <c r="BO118" s="229">
        <f t="shared" si="109"/>
        <v>0</v>
      </c>
      <c r="BP118" s="229">
        <f t="shared" si="109"/>
        <v>0</v>
      </c>
      <c r="BQ118" s="229">
        <f t="shared" si="109"/>
        <v>0</v>
      </c>
      <c r="BR118" s="229">
        <f t="shared" si="109"/>
        <v>0</v>
      </c>
      <c r="BS118" s="229">
        <f t="shared" si="109"/>
        <v>0</v>
      </c>
      <c r="BT118" s="229">
        <f t="shared" si="109"/>
        <v>0</v>
      </c>
      <c r="BU118" s="229">
        <f t="shared" si="109"/>
        <v>0</v>
      </c>
      <c r="BV118" s="229">
        <f t="shared" si="109"/>
        <v>0</v>
      </c>
      <c r="BW118" s="229">
        <f t="shared" si="109"/>
        <v>0</v>
      </c>
      <c r="BX118" s="229">
        <f t="shared" si="109"/>
        <v>0</v>
      </c>
      <c r="BY118" s="229">
        <f t="shared" si="109"/>
        <v>0</v>
      </c>
      <c r="BZ118" s="229">
        <f t="shared" si="109"/>
        <v>0</v>
      </c>
      <c r="CA118" s="229">
        <f t="shared" si="109"/>
        <v>0</v>
      </c>
      <c r="CB118" s="229">
        <f t="shared" si="110"/>
        <v>0</v>
      </c>
      <c r="CC118" s="229">
        <f t="shared" si="110"/>
        <v>0</v>
      </c>
      <c r="CD118" s="229">
        <f t="shared" si="110"/>
        <v>0</v>
      </c>
      <c r="CE118" s="229">
        <f t="shared" si="110"/>
        <v>0</v>
      </c>
      <c r="CF118" s="229">
        <f t="shared" si="110"/>
        <v>0</v>
      </c>
      <c r="CG118" s="229">
        <f t="shared" si="110"/>
        <v>0</v>
      </c>
      <c r="CH118" s="229">
        <f t="shared" si="110"/>
        <v>0</v>
      </c>
      <c r="CI118" s="229">
        <f t="shared" si="110"/>
        <v>0</v>
      </c>
      <c r="CJ118" s="229">
        <f t="shared" si="110"/>
        <v>0</v>
      </c>
      <c r="CK118" s="229">
        <f t="shared" si="110"/>
        <v>0</v>
      </c>
      <c r="CL118" s="229">
        <f t="shared" si="110"/>
        <v>0</v>
      </c>
      <c r="CM118" s="229">
        <f t="shared" si="110"/>
        <v>0</v>
      </c>
      <c r="CN118" s="229">
        <f t="shared" si="110"/>
        <v>0</v>
      </c>
      <c r="CO118" s="229">
        <f t="shared" si="110"/>
        <v>0</v>
      </c>
      <c r="CP118" s="229">
        <f t="shared" si="110"/>
        <v>0</v>
      </c>
      <c r="CQ118" s="229">
        <f t="shared" si="110"/>
        <v>0</v>
      </c>
      <c r="CR118" s="229">
        <f t="shared" si="110"/>
        <v>0</v>
      </c>
      <c r="CS118" s="230"/>
      <c r="CT118" s="231"/>
      <c r="CU118" s="231"/>
      <c r="CV118" s="231"/>
      <c r="CW118" s="231"/>
      <c r="CX118" s="231"/>
      <c r="CY118" s="231"/>
      <c r="CZ118" s="231"/>
      <c r="DA118" s="231"/>
      <c r="DB118" s="231">
        <f>IF(SUM(DB$24:DB117)=DB$22,0,IF(AND($K118&gt;=DB$15,$K118&lt;(DB$16+1)),DB$22/(DB$16-DB$15+1),0))</f>
        <v>0</v>
      </c>
      <c r="DC118" s="231">
        <f t="shared" si="104"/>
        <v>0</v>
      </c>
      <c r="DD118" s="231">
        <f t="shared" si="104"/>
        <v>0</v>
      </c>
      <c r="DE118" s="231">
        <f t="shared" si="104"/>
        <v>0</v>
      </c>
      <c r="DF118" s="231">
        <f t="shared" si="104"/>
        <v>0</v>
      </c>
      <c r="DG118" s="231">
        <f t="shared" si="104"/>
        <v>0</v>
      </c>
      <c r="DH118" s="231">
        <f t="shared" si="104"/>
        <v>0</v>
      </c>
      <c r="DI118" s="231">
        <f t="shared" si="104"/>
        <v>0</v>
      </c>
      <c r="DJ118" s="231">
        <f t="shared" si="104"/>
        <v>0</v>
      </c>
      <c r="DK118" s="231">
        <f t="shared" si="104"/>
        <v>0</v>
      </c>
      <c r="DL118" s="231">
        <f t="shared" si="104"/>
        <v>0</v>
      </c>
      <c r="DM118" s="231">
        <f t="shared" si="104"/>
        <v>0</v>
      </c>
      <c r="DN118" s="231">
        <f t="shared" si="104"/>
        <v>0</v>
      </c>
      <c r="DO118" s="231">
        <f t="shared" si="104"/>
        <v>0</v>
      </c>
      <c r="DP118" s="231">
        <f>'Offshore CF'!DR118</f>
        <v>0</v>
      </c>
      <c r="DQ118" s="231">
        <f>'Offshore CF'!DS118</f>
        <v>0</v>
      </c>
      <c r="DR118" s="231">
        <f ca="1">IF(SUM(DR$24:DR117)=DR$22,0,IF(AND($K118&gt;=DR$15,$K118&lt;(DR$16+1)),DR$22/(DR$16-DR$15+1),0))</f>
        <v>0</v>
      </c>
      <c r="DS118" s="231" t="e">
        <f ca="1">IF(SUM(DS$24:DS117)=DS$22,0,IF(AND($K118&gt;=DS$15,$K118&lt;(DS$16+1)),DS$22/(DS$16-DS$15+1),0))</f>
        <v>#REF!</v>
      </c>
      <c r="DT118" s="231" t="e">
        <f ca="1">IF(SUM(DT$24:DT117)=DT$22,0,IF(AND(K118&gt;=DT$15,K118&lt;(DT$16+1)),DT$22/(DT$16-DT$15+1),0))</f>
        <v>#REF!</v>
      </c>
      <c r="DU118" s="231" t="e">
        <f ca="1">IF(SUM(DU$24:DU117)=DU$22,0,IF(AND($K118&gt;=DU$15,$K118&lt;(DU$16+1)),DU$22/(DU$16-DU$15+1),0))</f>
        <v>#REF!</v>
      </c>
      <c r="DV118" s="231">
        <f ca="1">IF(SUM(DV$24:DV117)=DV$22,0,IF(AND($K118&gt;=DV$15,$K118&lt;(DV$16+1)),DV$22/(DV$16-DV$15+1),0))</f>
        <v>0</v>
      </c>
      <c r="DW118" s="231">
        <f ca="1">IF(SUM(DW$24:DW117)=DW$22,0,IF(AND($K118&gt;=DW$15,$K118&lt;(DW$16+1)),DW$22/(DW$16-DW$15+1),0))</f>
        <v>0</v>
      </c>
      <c r="DX118" s="231">
        <f ca="1">IF(SUM(DX$24:DX117)=DX$22,0,IF(AND($K118&gt;=DX$15,$K118&lt;(DX$16+1)),DX$22/(DX$16-DX$15+1),0))</f>
        <v>0</v>
      </c>
      <c r="DY118" s="231">
        <f ca="1">IF(SUM(DY$24:DY117)=DY$22,0,IF(AND($K118&gt;=DY$15,$K118&lt;(DY$16+1)),DY$22/(DY$16-DY$15+1),0))</f>
        <v>0</v>
      </c>
      <c r="EA118" s="749">
        <f t="shared" si="80"/>
        <v>95</v>
      </c>
      <c r="EB118" s="749" t="e">
        <f t="shared" ca="1" si="81"/>
        <v>#REF!</v>
      </c>
      <c r="EC118" s="750" t="e">
        <f t="shared" ca="1" si="82"/>
        <v>#REF!</v>
      </c>
      <c r="ED118" s="749" t="e">
        <f t="shared" ca="1" si="96"/>
        <v>#REF!</v>
      </c>
      <c r="EE118" s="749"/>
      <c r="EF118" s="749"/>
      <c r="EG118" s="749"/>
      <c r="EH118" s="749"/>
      <c r="EI118" s="714" t="e">
        <f t="shared" ca="1" si="83"/>
        <v>#REF!</v>
      </c>
      <c r="EJ118" s="231" t="e">
        <f ca="1">IF(SUM(EJ$24:EJ117)=EJ$22,0,IF(AND($K118&gt;=EJ$15,$K118&lt;(EJ$16+1)),EJ$22/(EJ$16-EJ$15+1),0))</f>
        <v>#REF!</v>
      </c>
      <c r="EK118" s="714" t="e">
        <f t="shared" ca="1" si="54"/>
        <v>#REF!</v>
      </c>
      <c r="EM118" s="60"/>
      <c r="EN118" s="60"/>
    </row>
    <row r="119" spans="1:144" ht="13.9" customHeight="1">
      <c r="A119" s="220"/>
      <c r="B119" s="236">
        <f t="shared" si="84"/>
        <v>96</v>
      </c>
      <c r="C119" s="221">
        <f t="shared" si="85"/>
        <v>46360.58650000015</v>
      </c>
      <c r="D119" s="746" t="e">
        <f t="shared" ca="1" si="86"/>
        <v>#DIV/0!</v>
      </c>
      <c r="E119" s="747" t="e">
        <f t="shared" ca="1" si="88"/>
        <v>#DIV/0!</v>
      </c>
      <c r="F119" s="748" t="e">
        <f ca="1">IF(F118=0,0,SUM($G$24:G119))</f>
        <v>#DIV/0!</v>
      </c>
      <c r="G119" s="225" t="e">
        <f t="shared" ca="1" si="77"/>
        <v>#DIV/0!</v>
      </c>
      <c r="H119" s="746">
        <f t="shared" ca="1" si="87"/>
        <v>0</v>
      </c>
      <c r="I119" s="60"/>
      <c r="J119" s="228"/>
      <c r="K119" s="228">
        <f t="shared" si="78"/>
        <v>96</v>
      </c>
      <c r="L119" s="221">
        <f t="shared" si="79"/>
        <v>46360.58650000015</v>
      </c>
      <c r="M119" s="229">
        <f t="shared" si="106"/>
        <v>0</v>
      </c>
      <c r="N119" s="229">
        <f t="shared" si="106"/>
        <v>0</v>
      </c>
      <c r="O119" s="229">
        <f t="shared" si="106"/>
        <v>0</v>
      </c>
      <c r="P119" s="229">
        <f t="shared" si="106"/>
        <v>0</v>
      </c>
      <c r="Q119" s="229">
        <f t="shared" si="106"/>
        <v>0</v>
      </c>
      <c r="R119" s="229">
        <f t="shared" si="105"/>
        <v>0</v>
      </c>
      <c r="S119" s="229">
        <f t="shared" si="105"/>
        <v>0</v>
      </c>
      <c r="T119" s="229">
        <f t="shared" si="105"/>
        <v>0</v>
      </c>
      <c r="U119" s="229">
        <f t="shared" si="106"/>
        <v>0</v>
      </c>
      <c r="V119" s="229">
        <f t="shared" si="106"/>
        <v>0</v>
      </c>
      <c r="W119" s="229">
        <f t="shared" si="106"/>
        <v>0</v>
      </c>
      <c r="X119" s="229">
        <f t="shared" si="106"/>
        <v>0</v>
      </c>
      <c r="Y119" s="229">
        <f t="shared" si="106"/>
        <v>0</v>
      </c>
      <c r="Z119" s="229">
        <f t="shared" si="106"/>
        <v>0</v>
      </c>
      <c r="AA119" s="229">
        <f t="shared" si="106"/>
        <v>0</v>
      </c>
      <c r="AB119" s="229">
        <f t="shared" si="106"/>
        <v>0</v>
      </c>
      <c r="AC119" s="229">
        <f t="shared" si="106"/>
        <v>0</v>
      </c>
      <c r="AD119" s="229">
        <f t="shared" si="106"/>
        <v>0</v>
      </c>
      <c r="AE119" s="229">
        <f t="shared" si="106"/>
        <v>0</v>
      </c>
      <c r="AF119" s="229">
        <f t="shared" si="106"/>
        <v>0</v>
      </c>
      <c r="AG119" s="229">
        <f t="shared" si="106"/>
        <v>0</v>
      </c>
      <c r="AH119" s="229">
        <f t="shared" si="106"/>
        <v>0</v>
      </c>
      <c r="AI119" s="229">
        <f t="shared" si="106"/>
        <v>0</v>
      </c>
      <c r="AJ119" s="229">
        <f t="shared" si="106"/>
        <v>0</v>
      </c>
      <c r="AK119" s="229">
        <f t="shared" si="106"/>
        <v>0</v>
      </c>
      <c r="AL119" s="229">
        <f t="shared" si="106"/>
        <v>0</v>
      </c>
      <c r="AM119" s="229">
        <f t="shared" si="106"/>
        <v>0</v>
      </c>
      <c r="AN119" s="229">
        <f t="shared" si="106"/>
        <v>0</v>
      </c>
      <c r="AO119" s="229">
        <f t="shared" si="106"/>
        <v>0</v>
      </c>
      <c r="AP119" s="229">
        <f t="shared" si="106"/>
        <v>0</v>
      </c>
      <c r="AQ119" s="229">
        <f t="shared" si="106"/>
        <v>0</v>
      </c>
      <c r="AR119" s="229">
        <f t="shared" si="107"/>
        <v>0</v>
      </c>
      <c r="AS119" s="229">
        <f t="shared" si="107"/>
        <v>0</v>
      </c>
      <c r="AT119" s="229">
        <f t="shared" si="107"/>
        <v>0</v>
      </c>
      <c r="AU119" s="229">
        <f t="shared" si="107"/>
        <v>0</v>
      </c>
      <c r="AV119" s="229">
        <f t="shared" si="107"/>
        <v>0</v>
      </c>
      <c r="AW119" s="229">
        <f t="shared" si="107"/>
        <v>0</v>
      </c>
      <c r="AX119" s="229">
        <f t="shared" si="107"/>
        <v>0</v>
      </c>
      <c r="AY119" s="229">
        <f t="shared" si="107"/>
        <v>0</v>
      </c>
      <c r="AZ119" s="229">
        <f t="shared" si="107"/>
        <v>0</v>
      </c>
      <c r="BA119" s="229">
        <f t="shared" si="107"/>
        <v>0</v>
      </c>
      <c r="BB119" s="229">
        <f t="shared" si="107"/>
        <v>0</v>
      </c>
      <c r="BC119" s="229">
        <f t="shared" si="108"/>
        <v>0</v>
      </c>
      <c r="BD119" s="229">
        <f t="shared" si="108"/>
        <v>0</v>
      </c>
      <c r="BE119" s="229">
        <f t="shared" si="108"/>
        <v>0</v>
      </c>
      <c r="BF119" s="229">
        <f t="shared" si="108"/>
        <v>0</v>
      </c>
      <c r="BG119" s="229">
        <f t="shared" si="108"/>
        <v>0</v>
      </c>
      <c r="BH119" s="229">
        <f t="shared" si="108"/>
        <v>0</v>
      </c>
      <c r="BI119" s="229">
        <f t="shared" si="108"/>
        <v>0</v>
      </c>
      <c r="BJ119" s="229">
        <f t="shared" si="108"/>
        <v>0</v>
      </c>
      <c r="BK119" s="229">
        <f t="shared" si="108"/>
        <v>0</v>
      </c>
      <c r="BL119" s="229">
        <f t="shared" si="108"/>
        <v>0</v>
      </c>
      <c r="BM119" s="229">
        <f t="shared" si="109"/>
        <v>0</v>
      </c>
      <c r="BN119" s="229">
        <f t="shared" si="109"/>
        <v>0</v>
      </c>
      <c r="BO119" s="229">
        <f t="shared" si="109"/>
        <v>0</v>
      </c>
      <c r="BP119" s="229">
        <f t="shared" si="109"/>
        <v>0</v>
      </c>
      <c r="BQ119" s="229">
        <f t="shared" si="109"/>
        <v>0</v>
      </c>
      <c r="BR119" s="229">
        <f t="shared" si="109"/>
        <v>0</v>
      </c>
      <c r="BS119" s="229">
        <f t="shared" si="109"/>
        <v>0</v>
      </c>
      <c r="BT119" s="229">
        <f t="shared" si="109"/>
        <v>0</v>
      </c>
      <c r="BU119" s="229">
        <f t="shared" si="109"/>
        <v>0</v>
      </c>
      <c r="BV119" s="229">
        <f t="shared" si="109"/>
        <v>0</v>
      </c>
      <c r="BW119" s="229">
        <f t="shared" si="109"/>
        <v>0</v>
      </c>
      <c r="BX119" s="229">
        <f t="shared" si="109"/>
        <v>0</v>
      </c>
      <c r="BY119" s="229">
        <f t="shared" si="109"/>
        <v>0</v>
      </c>
      <c r="BZ119" s="229">
        <f t="shared" si="109"/>
        <v>0</v>
      </c>
      <c r="CA119" s="229">
        <f t="shared" si="109"/>
        <v>0</v>
      </c>
      <c r="CB119" s="229">
        <f t="shared" si="110"/>
        <v>0</v>
      </c>
      <c r="CC119" s="229">
        <f t="shared" si="110"/>
        <v>0</v>
      </c>
      <c r="CD119" s="229">
        <f t="shared" si="110"/>
        <v>0</v>
      </c>
      <c r="CE119" s="229">
        <f t="shared" si="110"/>
        <v>0</v>
      </c>
      <c r="CF119" s="229">
        <f t="shared" si="110"/>
        <v>0</v>
      </c>
      <c r="CG119" s="229">
        <f t="shared" si="110"/>
        <v>0</v>
      </c>
      <c r="CH119" s="229">
        <f t="shared" si="110"/>
        <v>0</v>
      </c>
      <c r="CI119" s="229">
        <f t="shared" si="110"/>
        <v>0</v>
      </c>
      <c r="CJ119" s="229">
        <f t="shared" si="110"/>
        <v>0</v>
      </c>
      <c r="CK119" s="229">
        <f t="shared" si="110"/>
        <v>0</v>
      </c>
      <c r="CL119" s="229">
        <f t="shared" si="110"/>
        <v>0</v>
      </c>
      <c r="CM119" s="229">
        <f t="shared" si="110"/>
        <v>0</v>
      </c>
      <c r="CN119" s="229">
        <f t="shared" si="110"/>
        <v>0</v>
      </c>
      <c r="CO119" s="229">
        <f t="shared" si="110"/>
        <v>0</v>
      </c>
      <c r="CP119" s="229">
        <f t="shared" si="110"/>
        <v>0</v>
      </c>
      <c r="CQ119" s="229">
        <f t="shared" si="110"/>
        <v>0</v>
      </c>
      <c r="CR119" s="229">
        <f t="shared" si="110"/>
        <v>0</v>
      </c>
      <c r="CS119" s="230"/>
      <c r="CT119" s="231"/>
      <c r="CU119" s="231"/>
      <c r="CV119" s="231"/>
      <c r="CW119" s="231"/>
      <c r="CX119" s="231"/>
      <c r="CY119" s="231"/>
      <c r="CZ119" s="231"/>
      <c r="DA119" s="231"/>
      <c r="DB119" s="231">
        <f>IF(SUM(DB$24:DB118)=DB$22,0,IF(AND($K119&gt;=DB$15,$K119&lt;(DB$16+1)),DB$22/(DB$16-DB$15+1),0))</f>
        <v>0</v>
      </c>
      <c r="DC119" s="231">
        <f t="shared" si="104"/>
        <v>0</v>
      </c>
      <c r="DD119" s="231">
        <f t="shared" si="104"/>
        <v>0</v>
      </c>
      <c r="DE119" s="231">
        <f t="shared" si="104"/>
        <v>0</v>
      </c>
      <c r="DF119" s="231">
        <f t="shared" si="104"/>
        <v>0</v>
      </c>
      <c r="DG119" s="231">
        <f t="shared" si="104"/>
        <v>0</v>
      </c>
      <c r="DH119" s="231">
        <f t="shared" si="104"/>
        <v>0</v>
      </c>
      <c r="DI119" s="231">
        <f t="shared" si="104"/>
        <v>0</v>
      </c>
      <c r="DJ119" s="231">
        <f t="shared" si="104"/>
        <v>0</v>
      </c>
      <c r="DK119" s="231">
        <f t="shared" si="104"/>
        <v>0</v>
      </c>
      <c r="DL119" s="231">
        <f t="shared" si="104"/>
        <v>0</v>
      </c>
      <c r="DM119" s="231">
        <f t="shared" si="104"/>
        <v>0</v>
      </c>
      <c r="DN119" s="231">
        <f t="shared" si="104"/>
        <v>0</v>
      </c>
      <c r="DO119" s="231">
        <f t="shared" si="104"/>
        <v>0</v>
      </c>
      <c r="DP119" s="231">
        <f>'Offshore CF'!DR119</f>
        <v>0</v>
      </c>
      <c r="DQ119" s="231">
        <f>'Offshore CF'!DS119</f>
        <v>0</v>
      </c>
      <c r="DR119" s="231">
        <f ca="1">IF(SUM(DR$24:DR118)=DR$22,0,IF(AND($K119&gt;=DR$15,$K119&lt;(DR$16+1)),DR$22/(DR$16-DR$15+1),0))</f>
        <v>0</v>
      </c>
      <c r="DS119" s="231" t="e">
        <f ca="1">IF(SUM(DS$24:DS118)=DS$22,0,IF(AND($K119&gt;=DS$15,$K119&lt;(DS$16+1)),DS$22/(DS$16-DS$15+1),0))</f>
        <v>#REF!</v>
      </c>
      <c r="DT119" s="231" t="e">
        <f ca="1">IF(SUM(DT$24:DT118)=DT$22,0,IF(AND(K119&gt;=DT$15,K119&lt;(DT$16+1)),DT$22/(DT$16-DT$15+1),0))</f>
        <v>#REF!</v>
      </c>
      <c r="DU119" s="231" t="e">
        <f ca="1">IF(SUM(DU$24:DU118)=DU$22,0,IF(AND($K119&gt;=DU$15,$K119&lt;(DU$16+1)),DU$22/(DU$16-DU$15+1),0))</f>
        <v>#REF!</v>
      </c>
      <c r="DV119" s="231">
        <f ca="1">IF(SUM(DV$24:DV118)=DV$22,0,IF(AND($K119&gt;=DV$15,$K119&lt;(DV$16+1)),DV$22/(DV$16-DV$15+1),0))</f>
        <v>0</v>
      </c>
      <c r="DW119" s="231">
        <f ca="1">IF(SUM(DW$24:DW118)=DW$22,0,IF(AND($K119&gt;=DW$15,$K119&lt;(DW$16+1)),DW$22/(DW$16-DW$15+1),0))</f>
        <v>0</v>
      </c>
      <c r="DX119" s="231">
        <f ca="1">IF(SUM(DX$24:DX118)=DX$22,0,IF(AND($K119&gt;=DX$15,$K119&lt;(DX$16+1)),DX$22/(DX$16-DX$15+1),0))</f>
        <v>0</v>
      </c>
      <c r="DY119" s="231">
        <f ca="1">IF(SUM(DY$24:DY118)=DY$22,0,IF(AND($K119&gt;=DY$15,$K119&lt;(DY$16+1)),DY$22/(DY$16-DY$15+1),0))</f>
        <v>0</v>
      </c>
      <c r="EA119" s="749">
        <f t="shared" si="80"/>
        <v>96</v>
      </c>
      <c r="EB119" s="749" t="e">
        <f t="shared" ca="1" si="81"/>
        <v>#REF!</v>
      </c>
      <c r="EC119" s="750" t="e">
        <f t="shared" ca="1" si="82"/>
        <v>#REF!</v>
      </c>
      <c r="ED119" s="749" t="e">
        <f t="shared" ca="1" si="96"/>
        <v>#N/A</v>
      </c>
      <c r="EE119" s="749"/>
      <c r="EF119" s="749"/>
      <c r="EG119" s="749"/>
      <c r="EH119" s="749"/>
      <c r="EI119" s="714" t="e">
        <f t="shared" ca="1" si="83"/>
        <v>#REF!</v>
      </c>
      <c r="EJ119" s="231" t="e">
        <f ca="1">IF(SUM(EJ$24:EJ118)=EJ$22,0,IF(AND($K119&gt;=EJ$15,$K119&lt;(EJ$16+1)),EJ$22/(EJ$16-EJ$15+1),0))</f>
        <v>#REF!</v>
      </c>
      <c r="EK119" s="714" t="e">
        <f t="shared" ca="1" si="54"/>
        <v>#REF!</v>
      </c>
      <c r="EM119" s="60"/>
      <c r="EN119" s="60"/>
    </row>
    <row r="120" spans="1:144" ht="13.9" customHeight="1">
      <c r="A120" s="220"/>
      <c r="B120" s="236">
        <f t="shared" si="84"/>
        <v>97</v>
      </c>
      <c r="C120" s="221">
        <f t="shared" si="85"/>
        <v>46391.003200000152</v>
      </c>
      <c r="D120" s="746" t="e">
        <f t="shared" ca="1" si="86"/>
        <v>#DIV/0!</v>
      </c>
      <c r="E120" s="747" t="e">
        <f t="shared" ca="1" si="88"/>
        <v>#DIV/0!</v>
      </c>
      <c r="F120" s="748" t="e">
        <f ca="1">IF(F119=0,0,SUM($G$24:G120))</f>
        <v>#DIV/0!</v>
      </c>
      <c r="G120" s="225" t="e">
        <f t="shared" ref="G120:G151" ca="1" si="111">IF(G$3=0,0,H120/H$155)</f>
        <v>#DIV/0!</v>
      </c>
      <c r="H120" s="746">
        <f t="shared" ca="1" si="87"/>
        <v>0</v>
      </c>
      <c r="I120" s="60"/>
      <c r="J120" s="228"/>
      <c r="K120" s="228">
        <f t="shared" ref="K120:K153" si="112">B120</f>
        <v>97</v>
      </c>
      <c r="L120" s="221">
        <f t="shared" ref="L120:L153" si="113">C120</f>
        <v>46391.003200000152</v>
      </c>
      <c r="M120" s="229">
        <f t="shared" si="106"/>
        <v>0</v>
      </c>
      <c r="N120" s="229">
        <f t="shared" si="106"/>
        <v>0</v>
      </c>
      <c r="O120" s="229">
        <f t="shared" si="106"/>
        <v>0</v>
      </c>
      <c r="P120" s="229">
        <f t="shared" si="106"/>
        <v>0</v>
      </c>
      <c r="Q120" s="229">
        <f t="shared" si="106"/>
        <v>0</v>
      </c>
      <c r="R120" s="229">
        <f t="shared" si="105"/>
        <v>0</v>
      </c>
      <c r="S120" s="229">
        <f t="shared" si="105"/>
        <v>0</v>
      </c>
      <c r="T120" s="229">
        <f t="shared" si="105"/>
        <v>0</v>
      </c>
      <c r="U120" s="229">
        <f t="shared" si="106"/>
        <v>0</v>
      </c>
      <c r="V120" s="229">
        <f t="shared" si="106"/>
        <v>0</v>
      </c>
      <c r="W120" s="229">
        <f t="shared" si="106"/>
        <v>0</v>
      </c>
      <c r="X120" s="229">
        <f t="shared" si="106"/>
        <v>0</v>
      </c>
      <c r="Y120" s="229">
        <f t="shared" si="106"/>
        <v>0</v>
      </c>
      <c r="Z120" s="229">
        <f t="shared" si="106"/>
        <v>0</v>
      </c>
      <c r="AA120" s="229">
        <f t="shared" si="106"/>
        <v>0</v>
      </c>
      <c r="AB120" s="229">
        <f t="shared" si="106"/>
        <v>0</v>
      </c>
      <c r="AC120" s="229">
        <f t="shared" si="106"/>
        <v>0</v>
      </c>
      <c r="AD120" s="229">
        <f t="shared" si="106"/>
        <v>0</v>
      </c>
      <c r="AE120" s="229">
        <f t="shared" si="106"/>
        <v>0</v>
      </c>
      <c r="AF120" s="229">
        <f t="shared" si="106"/>
        <v>0</v>
      </c>
      <c r="AG120" s="229">
        <f t="shared" si="106"/>
        <v>0</v>
      </c>
      <c r="AH120" s="229">
        <f t="shared" si="106"/>
        <v>0</v>
      </c>
      <c r="AI120" s="229">
        <f t="shared" si="106"/>
        <v>0</v>
      </c>
      <c r="AJ120" s="229">
        <f t="shared" si="106"/>
        <v>0</v>
      </c>
      <c r="AK120" s="229">
        <f t="shared" si="106"/>
        <v>0</v>
      </c>
      <c r="AL120" s="229">
        <f t="shared" si="106"/>
        <v>0</v>
      </c>
      <c r="AM120" s="229">
        <f t="shared" si="106"/>
        <v>0</v>
      </c>
      <c r="AN120" s="229">
        <f t="shared" si="106"/>
        <v>0</v>
      </c>
      <c r="AO120" s="229">
        <f t="shared" si="106"/>
        <v>0</v>
      </c>
      <c r="AP120" s="229">
        <f t="shared" si="106"/>
        <v>0</v>
      </c>
      <c r="AQ120" s="229">
        <f t="shared" si="106"/>
        <v>0</v>
      </c>
      <c r="AR120" s="229">
        <f t="shared" si="107"/>
        <v>0</v>
      </c>
      <c r="AS120" s="229">
        <f t="shared" si="107"/>
        <v>0</v>
      </c>
      <c r="AT120" s="229">
        <f t="shared" si="107"/>
        <v>0</v>
      </c>
      <c r="AU120" s="229">
        <f t="shared" si="107"/>
        <v>0</v>
      </c>
      <c r="AV120" s="229">
        <f t="shared" si="107"/>
        <v>0</v>
      </c>
      <c r="AW120" s="229">
        <f t="shared" si="107"/>
        <v>0</v>
      </c>
      <c r="AX120" s="229">
        <f t="shared" si="107"/>
        <v>0</v>
      </c>
      <c r="AY120" s="229">
        <f t="shared" si="107"/>
        <v>0</v>
      </c>
      <c r="AZ120" s="229">
        <f t="shared" si="107"/>
        <v>0</v>
      </c>
      <c r="BA120" s="229">
        <f t="shared" si="107"/>
        <v>0</v>
      </c>
      <c r="BB120" s="229">
        <f t="shared" si="107"/>
        <v>0</v>
      </c>
      <c r="BC120" s="229">
        <f t="shared" si="108"/>
        <v>0</v>
      </c>
      <c r="BD120" s="229">
        <f t="shared" si="108"/>
        <v>0</v>
      </c>
      <c r="BE120" s="229">
        <f t="shared" si="108"/>
        <v>0</v>
      </c>
      <c r="BF120" s="229">
        <f t="shared" si="108"/>
        <v>0</v>
      </c>
      <c r="BG120" s="229">
        <f t="shared" si="108"/>
        <v>0</v>
      </c>
      <c r="BH120" s="229">
        <f t="shared" si="108"/>
        <v>0</v>
      </c>
      <c r="BI120" s="229">
        <f t="shared" si="108"/>
        <v>0</v>
      </c>
      <c r="BJ120" s="229">
        <f t="shared" si="108"/>
        <v>0</v>
      </c>
      <c r="BK120" s="229">
        <f t="shared" si="108"/>
        <v>0</v>
      </c>
      <c r="BL120" s="229">
        <f t="shared" si="108"/>
        <v>0</v>
      </c>
      <c r="BM120" s="229">
        <f t="shared" si="109"/>
        <v>0</v>
      </c>
      <c r="BN120" s="229">
        <f t="shared" si="109"/>
        <v>0</v>
      </c>
      <c r="BO120" s="229">
        <f t="shared" si="109"/>
        <v>0</v>
      </c>
      <c r="BP120" s="229">
        <f t="shared" si="109"/>
        <v>0</v>
      </c>
      <c r="BQ120" s="229">
        <f t="shared" si="109"/>
        <v>0</v>
      </c>
      <c r="BR120" s="229">
        <f t="shared" si="109"/>
        <v>0</v>
      </c>
      <c r="BS120" s="229">
        <f t="shared" si="109"/>
        <v>0</v>
      </c>
      <c r="BT120" s="229">
        <f t="shared" si="109"/>
        <v>0</v>
      </c>
      <c r="BU120" s="229">
        <f t="shared" si="109"/>
        <v>0</v>
      </c>
      <c r="BV120" s="229">
        <f t="shared" si="109"/>
        <v>0</v>
      </c>
      <c r="BW120" s="229">
        <f t="shared" si="109"/>
        <v>0</v>
      </c>
      <c r="BX120" s="229">
        <f t="shared" si="109"/>
        <v>0</v>
      </c>
      <c r="BY120" s="229">
        <f t="shared" si="109"/>
        <v>0</v>
      </c>
      <c r="BZ120" s="229">
        <f t="shared" si="109"/>
        <v>0</v>
      </c>
      <c r="CA120" s="229">
        <f t="shared" si="109"/>
        <v>0</v>
      </c>
      <c r="CB120" s="229">
        <f t="shared" si="110"/>
        <v>0</v>
      </c>
      <c r="CC120" s="229">
        <f t="shared" si="110"/>
        <v>0</v>
      </c>
      <c r="CD120" s="229">
        <f t="shared" si="110"/>
        <v>0</v>
      </c>
      <c r="CE120" s="229">
        <f t="shared" si="110"/>
        <v>0</v>
      </c>
      <c r="CF120" s="229">
        <f t="shared" si="110"/>
        <v>0</v>
      </c>
      <c r="CG120" s="229">
        <f t="shared" si="110"/>
        <v>0</v>
      </c>
      <c r="CH120" s="229">
        <f t="shared" si="110"/>
        <v>0</v>
      </c>
      <c r="CI120" s="229">
        <f t="shared" si="110"/>
        <v>0</v>
      </c>
      <c r="CJ120" s="229">
        <f t="shared" si="110"/>
        <v>0</v>
      </c>
      <c r="CK120" s="229">
        <f t="shared" si="110"/>
        <v>0</v>
      </c>
      <c r="CL120" s="229">
        <f t="shared" si="110"/>
        <v>0</v>
      </c>
      <c r="CM120" s="229">
        <f t="shared" si="110"/>
        <v>0</v>
      </c>
      <c r="CN120" s="229">
        <f t="shared" si="110"/>
        <v>0</v>
      </c>
      <c r="CO120" s="229">
        <f t="shared" si="110"/>
        <v>0</v>
      </c>
      <c r="CP120" s="229">
        <f t="shared" si="110"/>
        <v>0</v>
      </c>
      <c r="CQ120" s="229">
        <f t="shared" si="110"/>
        <v>0</v>
      </c>
      <c r="CR120" s="229">
        <f t="shared" si="110"/>
        <v>0</v>
      </c>
      <c r="CS120" s="230"/>
      <c r="CT120" s="243">
        <f>IF(SUM(CT$24:CT119)&gt;=CT$22,0,CT$22/CT$13)</f>
        <v>0</v>
      </c>
      <c r="CU120" s="243">
        <f>IF(SUM(CU$24:CU119)&gt;=CU$22,0,CU$22/CU$13)</f>
        <v>0</v>
      </c>
      <c r="CV120" s="243">
        <f>IF(SUM(CV$24:CV119)&gt;=CV$22,0,CV$22/CV$13)</f>
        <v>0</v>
      </c>
      <c r="CW120" s="243" t="e">
        <f ca="1">IF(SUM(CW$24:CW119)&gt;=CW$22,0,CW$22/CW$13)</f>
        <v>#N/A</v>
      </c>
      <c r="CX120" s="243"/>
      <c r="CY120" s="231"/>
      <c r="CZ120" s="231"/>
      <c r="DA120" s="231" t="e">
        <f ca="1">IF(SUM(DA$32:DA119)&gt;=DA$22,0,DA$22/(DA$13*4))</f>
        <v>#N/A</v>
      </c>
      <c r="DB120" s="231">
        <f>IF(SUM(DB$24:DB119)=DB$22,0,IF(AND($K120&gt;=DB$15,$K120&lt;(DB$16+1)),DB$22/(DB$16-DB$15+1),0))</f>
        <v>0</v>
      </c>
      <c r="DC120" s="231">
        <f t="shared" ref="DC120:DO129" si="114">IF(AND($K120&gt;=DC$15,$K120&lt;(DC$16+1)),DC$22/(DC$16-DC$15+1),0)</f>
        <v>0</v>
      </c>
      <c r="DD120" s="231">
        <f t="shared" si="114"/>
        <v>0</v>
      </c>
      <c r="DE120" s="231">
        <f t="shared" si="114"/>
        <v>0</v>
      </c>
      <c r="DF120" s="231">
        <f t="shared" si="114"/>
        <v>0</v>
      </c>
      <c r="DG120" s="231">
        <f t="shared" si="114"/>
        <v>0</v>
      </c>
      <c r="DH120" s="231">
        <f t="shared" si="114"/>
        <v>0</v>
      </c>
      <c r="DI120" s="231">
        <f t="shared" si="114"/>
        <v>0</v>
      </c>
      <c r="DJ120" s="231">
        <f t="shared" si="114"/>
        <v>0</v>
      </c>
      <c r="DK120" s="231">
        <f t="shared" si="114"/>
        <v>0</v>
      </c>
      <c r="DL120" s="231">
        <f t="shared" si="114"/>
        <v>0</v>
      </c>
      <c r="DM120" s="231">
        <f t="shared" si="114"/>
        <v>0</v>
      </c>
      <c r="DN120" s="231">
        <f t="shared" si="114"/>
        <v>0</v>
      </c>
      <c r="DO120" s="231">
        <f t="shared" si="114"/>
        <v>0</v>
      </c>
      <c r="DP120" s="231">
        <f>'Offshore CF'!DR120</f>
        <v>0</v>
      </c>
      <c r="DQ120" s="231">
        <f>'Offshore CF'!DS120</f>
        <v>0</v>
      </c>
      <c r="DR120" s="231">
        <f ca="1">IF(SUM(DR$24:DR119)=DR$22,0,IF(AND($K120&gt;=DR$15,$K120&lt;(DR$16+1)),DR$22/(DR$16-DR$15+1),0))</f>
        <v>0</v>
      </c>
      <c r="DS120" s="231" t="e">
        <f ca="1">IF(SUM(DS$24:DS119)=DS$22,0,IF(AND($K120&gt;=DS$15,$K120&lt;(DS$16+1)),DS$22/(DS$16-DS$15+1),0))</f>
        <v>#REF!</v>
      </c>
      <c r="DT120" s="231" t="e">
        <f ca="1">IF(SUM(DT$24:DT119)=DT$22,0,IF(AND(K120&gt;=DT$15,K120&lt;(DT$16+1)),DT$22/(DT$16-DT$15+1),0))</f>
        <v>#REF!</v>
      </c>
      <c r="DU120" s="231" t="e">
        <f ca="1">IF(SUM(DU$24:DU119)=DU$22,0,IF(AND($K120&gt;=DU$15,$K120&lt;(DU$16+1)),DU$22/(DU$16-DU$15+1),0))</f>
        <v>#REF!</v>
      </c>
      <c r="DV120" s="231">
        <f ca="1">IF(SUM(DV$24:DV119)=DV$22,0,IF(AND($K120&gt;=DV$15,$K120&lt;(DV$16+1)),DV$22/(DV$16-DV$15+1),0))</f>
        <v>0</v>
      </c>
      <c r="DW120" s="231">
        <f ca="1">IF(SUM(DW$24:DW119)=DW$22,0,IF(AND($K120&gt;=DW$15,$K120&lt;(DW$16+1)),DW$22/(DW$16-DW$15+1),0))</f>
        <v>0</v>
      </c>
      <c r="DX120" s="231">
        <f ca="1">IF(SUM(DX$24:DX119)=DX$22,0,IF(AND($K120&gt;=DX$15,$K120&lt;(DX$16+1)),DX$22/(DX$16-DX$15+1),0))</f>
        <v>0</v>
      </c>
      <c r="DY120" s="231">
        <f ca="1">IF(SUM(DY$24:DY119)=DY$22,0,IF(AND($K120&gt;=DY$15,$K120&lt;(DY$16+1)),DY$22/(DY$16-DY$15+1),0))</f>
        <v>0</v>
      </c>
      <c r="EA120" s="749">
        <f t="shared" ref="EA120:EA153" si="115">K120</f>
        <v>97</v>
      </c>
      <c r="EB120" s="749" t="e">
        <f t="shared" ref="EB120:EB153" ca="1" si="116">SUM(M120:DY120)</f>
        <v>#N/A</v>
      </c>
      <c r="EC120" s="750" t="e">
        <f t="shared" ca="1" si="82"/>
        <v>#N/A</v>
      </c>
      <c r="ED120" s="749" t="e">
        <f t="shared" ca="1" si="96"/>
        <v>#REF!</v>
      </c>
      <c r="EE120" s="749"/>
      <c r="EF120" s="749"/>
      <c r="EG120" s="749"/>
      <c r="EH120" s="749"/>
      <c r="EI120" s="714" t="e">
        <f t="shared" ca="1" si="83"/>
        <v>#N/A</v>
      </c>
      <c r="EJ120" s="231" t="e">
        <f ca="1">IF(SUM(EJ$24:EJ119)=EJ$22,0,IF(AND($K120&gt;=EJ$15,$K120&lt;(EJ$16+1)),EJ$22/(EJ$16-EJ$15+1),0))</f>
        <v>#REF!</v>
      </c>
      <c r="EK120" s="714" t="e">
        <f t="shared" ref="EK120:EK151" ca="1" si="117">SUM(EI120:EJ120)</f>
        <v>#N/A</v>
      </c>
      <c r="EM120" s="60"/>
      <c r="EN120" s="60"/>
    </row>
    <row r="121" spans="1:144" ht="13.9" customHeight="1">
      <c r="A121" s="220"/>
      <c r="B121" s="236">
        <f t="shared" si="84"/>
        <v>98</v>
      </c>
      <c r="C121" s="221">
        <f t="shared" si="85"/>
        <v>46421.419900000154</v>
      </c>
      <c r="D121" s="746" t="e">
        <f t="shared" ca="1" si="86"/>
        <v>#DIV/0!</v>
      </c>
      <c r="E121" s="747" t="e">
        <f t="shared" ca="1" si="88"/>
        <v>#DIV/0!</v>
      </c>
      <c r="F121" s="748" t="e">
        <f ca="1">IF(F120=0,0,SUM($G$24:G121))</f>
        <v>#DIV/0!</v>
      </c>
      <c r="G121" s="225" t="e">
        <f t="shared" ca="1" si="111"/>
        <v>#DIV/0!</v>
      </c>
      <c r="H121" s="746">
        <f t="shared" ca="1" si="87"/>
        <v>0</v>
      </c>
      <c r="I121" s="60"/>
      <c r="J121" s="228"/>
      <c r="K121" s="228">
        <f t="shared" si="112"/>
        <v>98</v>
      </c>
      <c r="L121" s="221">
        <f t="shared" si="113"/>
        <v>46421.419900000154</v>
      </c>
      <c r="M121" s="229">
        <f t="shared" si="106"/>
        <v>0</v>
      </c>
      <c r="N121" s="229">
        <f t="shared" si="106"/>
        <v>0</v>
      </c>
      <c r="O121" s="229">
        <f t="shared" si="106"/>
        <v>0</v>
      </c>
      <c r="P121" s="229">
        <f t="shared" si="106"/>
        <v>0</v>
      </c>
      <c r="Q121" s="229">
        <f t="shared" si="106"/>
        <v>0</v>
      </c>
      <c r="R121" s="229">
        <f t="shared" si="105"/>
        <v>0</v>
      </c>
      <c r="S121" s="229">
        <f t="shared" si="105"/>
        <v>0</v>
      </c>
      <c r="T121" s="229">
        <f t="shared" si="105"/>
        <v>0</v>
      </c>
      <c r="U121" s="229">
        <f t="shared" si="106"/>
        <v>0</v>
      </c>
      <c r="V121" s="229">
        <f t="shared" si="106"/>
        <v>0</v>
      </c>
      <c r="W121" s="229">
        <f t="shared" si="106"/>
        <v>0</v>
      </c>
      <c r="X121" s="229">
        <f t="shared" si="106"/>
        <v>0</v>
      </c>
      <c r="Y121" s="229">
        <f t="shared" si="106"/>
        <v>0</v>
      </c>
      <c r="Z121" s="229">
        <f t="shared" si="106"/>
        <v>0</v>
      </c>
      <c r="AA121" s="229">
        <f t="shared" si="106"/>
        <v>0</v>
      </c>
      <c r="AB121" s="229">
        <f t="shared" si="106"/>
        <v>0</v>
      </c>
      <c r="AC121" s="229">
        <f t="shared" si="106"/>
        <v>0</v>
      </c>
      <c r="AD121" s="229">
        <f t="shared" ref="P121:AD131" si="118">IF($K121=AD$13,AD$22*AD$3,IF($K121=AD$14,AD$22*AD$4,IF($K121=AD$15,AD$22*AD$5,IF($K121=AD$16,AD$22*AD$6,IF($K121=AD$17,AD$22*AD$7,IF($K121=AD$18,AD$22*AD$8,IF($K121=AD$19,AD$22*AD$9,IF($K121=AD$20,AD$22*AD$10,0))))))))</f>
        <v>0</v>
      </c>
      <c r="AE121" s="229">
        <f t="shared" si="106"/>
        <v>0</v>
      </c>
      <c r="AF121" s="229">
        <f t="shared" si="106"/>
        <v>0</v>
      </c>
      <c r="AG121" s="229">
        <f t="shared" si="106"/>
        <v>0</v>
      </c>
      <c r="AH121" s="229">
        <f t="shared" si="106"/>
        <v>0</v>
      </c>
      <c r="AI121" s="229">
        <f t="shared" si="106"/>
        <v>0</v>
      </c>
      <c r="AJ121" s="229">
        <f t="shared" si="106"/>
        <v>0</v>
      </c>
      <c r="AK121" s="229">
        <f t="shared" si="106"/>
        <v>0</v>
      </c>
      <c r="AL121" s="229">
        <f t="shared" si="106"/>
        <v>0</v>
      </c>
      <c r="AM121" s="229">
        <f t="shared" si="106"/>
        <v>0</v>
      </c>
      <c r="AN121" s="229">
        <f t="shared" si="106"/>
        <v>0</v>
      </c>
      <c r="AO121" s="229">
        <f t="shared" si="106"/>
        <v>0</v>
      </c>
      <c r="AP121" s="229">
        <f t="shared" si="106"/>
        <v>0</v>
      </c>
      <c r="AQ121" s="229">
        <f t="shared" si="106"/>
        <v>0</v>
      </c>
      <c r="AR121" s="229">
        <f t="shared" si="107"/>
        <v>0</v>
      </c>
      <c r="AS121" s="229">
        <f t="shared" si="107"/>
        <v>0</v>
      </c>
      <c r="AT121" s="229">
        <f t="shared" si="107"/>
        <v>0</v>
      </c>
      <c r="AU121" s="229">
        <f t="shared" si="107"/>
        <v>0</v>
      </c>
      <c r="AV121" s="229">
        <f t="shared" si="107"/>
        <v>0</v>
      </c>
      <c r="AW121" s="229">
        <f t="shared" si="107"/>
        <v>0</v>
      </c>
      <c r="AX121" s="229">
        <f t="shared" si="107"/>
        <v>0</v>
      </c>
      <c r="AY121" s="229">
        <f t="shared" si="107"/>
        <v>0</v>
      </c>
      <c r="AZ121" s="229">
        <f t="shared" si="107"/>
        <v>0</v>
      </c>
      <c r="BA121" s="229">
        <f t="shared" si="107"/>
        <v>0</v>
      </c>
      <c r="BB121" s="229">
        <f t="shared" si="107"/>
        <v>0</v>
      </c>
      <c r="BC121" s="229">
        <f t="shared" si="108"/>
        <v>0</v>
      </c>
      <c r="BD121" s="229">
        <f t="shared" si="108"/>
        <v>0</v>
      </c>
      <c r="BE121" s="229">
        <f t="shared" si="108"/>
        <v>0</v>
      </c>
      <c r="BF121" s="229">
        <f t="shared" si="108"/>
        <v>0</v>
      </c>
      <c r="BG121" s="229">
        <f t="shared" si="108"/>
        <v>0</v>
      </c>
      <c r="BH121" s="229">
        <f t="shared" si="108"/>
        <v>0</v>
      </c>
      <c r="BI121" s="229">
        <f t="shared" si="108"/>
        <v>0</v>
      </c>
      <c r="BJ121" s="229">
        <f t="shared" si="108"/>
        <v>0</v>
      </c>
      <c r="BK121" s="229">
        <f t="shared" si="108"/>
        <v>0</v>
      </c>
      <c r="BL121" s="229">
        <f t="shared" si="108"/>
        <v>0</v>
      </c>
      <c r="BM121" s="229">
        <f t="shared" si="109"/>
        <v>0</v>
      </c>
      <c r="BN121" s="229">
        <f t="shared" si="109"/>
        <v>0</v>
      </c>
      <c r="BO121" s="229">
        <f t="shared" si="109"/>
        <v>0</v>
      </c>
      <c r="BP121" s="229">
        <f t="shared" si="109"/>
        <v>0</v>
      </c>
      <c r="BQ121" s="229">
        <f t="shared" si="109"/>
        <v>0</v>
      </c>
      <c r="BR121" s="229">
        <f t="shared" si="109"/>
        <v>0</v>
      </c>
      <c r="BS121" s="229">
        <f t="shared" si="109"/>
        <v>0</v>
      </c>
      <c r="BT121" s="229">
        <f t="shared" si="109"/>
        <v>0</v>
      </c>
      <c r="BU121" s="229">
        <f t="shared" si="109"/>
        <v>0</v>
      </c>
      <c r="BV121" s="229">
        <f t="shared" si="109"/>
        <v>0</v>
      </c>
      <c r="BW121" s="229">
        <f t="shared" si="109"/>
        <v>0</v>
      </c>
      <c r="BX121" s="229">
        <f t="shared" si="109"/>
        <v>0</v>
      </c>
      <c r="BY121" s="229">
        <f t="shared" si="109"/>
        <v>0</v>
      </c>
      <c r="BZ121" s="229">
        <f t="shared" si="109"/>
        <v>0</v>
      </c>
      <c r="CA121" s="229">
        <f t="shared" si="109"/>
        <v>0</v>
      </c>
      <c r="CB121" s="229">
        <f t="shared" si="110"/>
        <v>0</v>
      </c>
      <c r="CC121" s="229">
        <f t="shared" si="110"/>
        <v>0</v>
      </c>
      <c r="CD121" s="229">
        <f t="shared" si="110"/>
        <v>0</v>
      </c>
      <c r="CE121" s="229">
        <f t="shared" si="110"/>
        <v>0</v>
      </c>
      <c r="CF121" s="229">
        <f t="shared" si="110"/>
        <v>0</v>
      </c>
      <c r="CG121" s="229">
        <f t="shared" si="110"/>
        <v>0</v>
      </c>
      <c r="CH121" s="229">
        <f t="shared" si="110"/>
        <v>0</v>
      </c>
      <c r="CI121" s="229">
        <f t="shared" si="110"/>
        <v>0</v>
      </c>
      <c r="CJ121" s="229">
        <f t="shared" si="110"/>
        <v>0</v>
      </c>
      <c r="CK121" s="229">
        <f t="shared" si="110"/>
        <v>0</v>
      </c>
      <c r="CL121" s="229">
        <f t="shared" si="110"/>
        <v>0</v>
      </c>
      <c r="CM121" s="229">
        <f t="shared" si="110"/>
        <v>0</v>
      </c>
      <c r="CN121" s="229">
        <f t="shared" si="110"/>
        <v>0</v>
      </c>
      <c r="CO121" s="229">
        <f t="shared" si="110"/>
        <v>0</v>
      </c>
      <c r="CP121" s="229">
        <f t="shared" si="110"/>
        <v>0</v>
      </c>
      <c r="CQ121" s="229">
        <f t="shared" si="110"/>
        <v>0</v>
      </c>
      <c r="CR121" s="229">
        <f t="shared" si="110"/>
        <v>0</v>
      </c>
      <c r="CS121" s="230"/>
      <c r="CT121" s="231"/>
      <c r="CU121" s="231"/>
      <c r="CV121" s="231"/>
      <c r="CW121" s="231"/>
      <c r="CX121" s="231"/>
      <c r="CY121" s="231"/>
      <c r="CZ121" s="231"/>
      <c r="DA121" s="231"/>
      <c r="DB121" s="231">
        <f>IF(SUM(DB$24:DB120)=DB$22,0,IF(AND($K121&gt;=DB$15,$K121&lt;(DB$16+1)),DB$22/(DB$16-DB$15+1),0))</f>
        <v>0</v>
      </c>
      <c r="DC121" s="231">
        <f t="shared" si="114"/>
        <v>0</v>
      </c>
      <c r="DD121" s="231">
        <f t="shared" si="114"/>
        <v>0</v>
      </c>
      <c r="DE121" s="231">
        <f t="shared" si="114"/>
        <v>0</v>
      </c>
      <c r="DF121" s="231">
        <f t="shared" si="114"/>
        <v>0</v>
      </c>
      <c r="DG121" s="231">
        <f t="shared" si="114"/>
        <v>0</v>
      </c>
      <c r="DH121" s="231">
        <f t="shared" si="114"/>
        <v>0</v>
      </c>
      <c r="DI121" s="231">
        <f t="shared" si="114"/>
        <v>0</v>
      </c>
      <c r="DJ121" s="231">
        <f t="shared" si="114"/>
        <v>0</v>
      </c>
      <c r="DK121" s="231">
        <f t="shared" si="114"/>
        <v>0</v>
      </c>
      <c r="DL121" s="231">
        <f t="shared" si="114"/>
        <v>0</v>
      </c>
      <c r="DM121" s="231">
        <f t="shared" si="114"/>
        <v>0</v>
      </c>
      <c r="DN121" s="231">
        <f t="shared" si="114"/>
        <v>0</v>
      </c>
      <c r="DO121" s="231">
        <f t="shared" si="114"/>
        <v>0</v>
      </c>
      <c r="DP121" s="231">
        <f>'Offshore CF'!DR121</f>
        <v>0</v>
      </c>
      <c r="DQ121" s="231">
        <f>'Offshore CF'!DS121</f>
        <v>0</v>
      </c>
      <c r="DR121" s="231">
        <f ca="1">IF(SUM(DR$24:DR120)=DR$22,0,IF(AND($K121&gt;=DR$15,$K121&lt;(DR$16+1)),DR$22/(DR$16-DR$15+1),0))</f>
        <v>0</v>
      </c>
      <c r="DS121" s="231" t="e">
        <f ca="1">IF(SUM(DS$24:DS120)=DS$22,0,IF(AND($K121&gt;=DS$15,$K121&lt;(DS$16+1)),DS$22/(DS$16-DS$15+1),0))</f>
        <v>#REF!</v>
      </c>
      <c r="DT121" s="231" t="e">
        <f ca="1">IF(SUM(DT$24:DT120)=DT$22,0,IF(AND(K121&gt;=DT$15,K121&lt;(DT$16+1)),DT$22/(DT$16-DT$15+1),0))</f>
        <v>#REF!</v>
      </c>
      <c r="DU121" s="231" t="e">
        <f ca="1">IF(SUM(DU$24:DU120)=DU$22,0,IF(AND($K121&gt;=DU$15,$K121&lt;(DU$16+1)),DU$22/(DU$16-DU$15+1),0))</f>
        <v>#REF!</v>
      </c>
      <c r="DV121" s="231">
        <f ca="1">IF(SUM(DV$24:DV120)=DV$22,0,IF(AND($K121&gt;=DV$15,$K121&lt;(DV$16+1)),DV$22/(DV$16-DV$15+1),0))</f>
        <v>0</v>
      </c>
      <c r="DW121" s="231">
        <f ca="1">IF(SUM(DW$24:DW120)=DW$22,0,IF(AND($K121&gt;=DW$15,$K121&lt;(DW$16+1)),DW$22/(DW$16-DW$15+1),0))</f>
        <v>0</v>
      </c>
      <c r="DX121" s="231">
        <f ca="1">IF(SUM(DX$24:DX120)=DX$22,0,IF(AND($K121&gt;=DX$15,$K121&lt;(DX$16+1)),DX$22/(DX$16-DX$15+1),0))</f>
        <v>0</v>
      </c>
      <c r="DY121" s="231">
        <f ca="1">IF(SUM(DY$24:DY120)=DY$22,0,IF(AND($K121&gt;=DY$15,$K121&lt;(DY$16+1)),DY$22/(DY$16-DY$15+1),0))</f>
        <v>0</v>
      </c>
      <c r="EA121" s="749">
        <f t="shared" si="115"/>
        <v>98</v>
      </c>
      <c r="EB121" s="749" t="e">
        <f t="shared" ca="1" si="116"/>
        <v>#REF!</v>
      </c>
      <c r="EC121" s="750" t="e">
        <f t="shared" ca="1" si="82"/>
        <v>#REF!</v>
      </c>
      <c r="ED121" s="749" t="e">
        <f t="shared" ca="1" si="96"/>
        <v>#REF!</v>
      </c>
      <c r="EE121" s="749"/>
      <c r="EF121" s="749"/>
      <c r="EG121" s="749"/>
      <c r="EH121" s="749"/>
      <c r="EI121" s="714" t="e">
        <f t="shared" ca="1" si="83"/>
        <v>#REF!</v>
      </c>
      <c r="EJ121" s="231" t="e">
        <f ca="1">IF(SUM(EJ$24:EJ120)=EJ$22,0,IF(AND($K121&gt;=EJ$15,$K121&lt;(EJ$16+1)),EJ$22/(EJ$16-EJ$15+1),0))</f>
        <v>#REF!</v>
      </c>
      <c r="EK121" s="714" t="e">
        <f t="shared" ca="1" si="117"/>
        <v>#REF!</v>
      </c>
      <c r="EM121" s="60"/>
      <c r="EN121" s="60"/>
    </row>
    <row r="122" spans="1:144" ht="13.9" customHeight="1">
      <c r="A122" s="220"/>
      <c r="B122" s="236">
        <f t="shared" si="84"/>
        <v>99</v>
      </c>
      <c r="C122" s="221">
        <f t="shared" si="85"/>
        <v>46451.836600000155</v>
      </c>
      <c r="D122" s="746" t="e">
        <f t="shared" ca="1" si="86"/>
        <v>#DIV/0!</v>
      </c>
      <c r="E122" s="747" t="e">
        <f t="shared" ca="1" si="88"/>
        <v>#DIV/0!</v>
      </c>
      <c r="F122" s="748" t="e">
        <f ca="1">IF(F121=0,0,SUM($G$24:G122))</f>
        <v>#DIV/0!</v>
      </c>
      <c r="G122" s="225" t="e">
        <f t="shared" ca="1" si="111"/>
        <v>#DIV/0!</v>
      </c>
      <c r="H122" s="746">
        <f t="shared" ca="1" si="87"/>
        <v>0</v>
      </c>
      <c r="I122" s="60"/>
      <c r="J122" s="228"/>
      <c r="K122" s="228">
        <f t="shared" si="112"/>
        <v>99</v>
      </c>
      <c r="L122" s="221">
        <f t="shared" si="113"/>
        <v>46451.836600000155</v>
      </c>
      <c r="M122" s="229">
        <f t="shared" si="106"/>
        <v>0</v>
      </c>
      <c r="N122" s="229">
        <f t="shared" si="106"/>
        <v>0</v>
      </c>
      <c r="O122" s="229">
        <f t="shared" si="106"/>
        <v>0</v>
      </c>
      <c r="P122" s="229">
        <f t="shared" si="118"/>
        <v>0</v>
      </c>
      <c r="Q122" s="229">
        <f t="shared" si="118"/>
        <v>0</v>
      </c>
      <c r="R122" s="229">
        <f t="shared" si="118"/>
        <v>0</v>
      </c>
      <c r="S122" s="229">
        <f t="shared" si="118"/>
        <v>0</v>
      </c>
      <c r="T122" s="229">
        <f t="shared" si="118"/>
        <v>0</v>
      </c>
      <c r="U122" s="229">
        <f t="shared" si="118"/>
        <v>0</v>
      </c>
      <c r="V122" s="229">
        <f t="shared" si="118"/>
        <v>0</v>
      </c>
      <c r="W122" s="229">
        <f t="shared" si="118"/>
        <v>0</v>
      </c>
      <c r="X122" s="229">
        <f t="shared" si="118"/>
        <v>0</v>
      </c>
      <c r="Y122" s="229">
        <f t="shared" si="118"/>
        <v>0</v>
      </c>
      <c r="Z122" s="229">
        <f t="shared" si="118"/>
        <v>0</v>
      </c>
      <c r="AA122" s="229">
        <f t="shared" si="118"/>
        <v>0</v>
      </c>
      <c r="AB122" s="229">
        <f t="shared" si="118"/>
        <v>0</v>
      </c>
      <c r="AC122" s="229">
        <f t="shared" si="118"/>
        <v>0</v>
      </c>
      <c r="AD122" s="229">
        <f t="shared" si="118"/>
        <v>0</v>
      </c>
      <c r="AE122" s="229">
        <f t="shared" si="106"/>
        <v>0</v>
      </c>
      <c r="AF122" s="229">
        <f t="shared" si="106"/>
        <v>0</v>
      </c>
      <c r="AG122" s="229">
        <f t="shared" si="106"/>
        <v>0</v>
      </c>
      <c r="AH122" s="229">
        <f t="shared" si="106"/>
        <v>0</v>
      </c>
      <c r="AI122" s="229">
        <f t="shared" si="106"/>
        <v>0</v>
      </c>
      <c r="AJ122" s="229">
        <f t="shared" si="106"/>
        <v>0</v>
      </c>
      <c r="AK122" s="229">
        <f t="shared" si="106"/>
        <v>0</v>
      </c>
      <c r="AL122" s="229">
        <f t="shared" si="106"/>
        <v>0</v>
      </c>
      <c r="AM122" s="229">
        <f t="shared" si="106"/>
        <v>0</v>
      </c>
      <c r="AN122" s="229">
        <f t="shared" si="106"/>
        <v>0</v>
      </c>
      <c r="AO122" s="229">
        <f t="shared" si="106"/>
        <v>0</v>
      </c>
      <c r="AP122" s="229">
        <f t="shared" si="106"/>
        <v>0</v>
      </c>
      <c r="AQ122" s="229">
        <f t="shared" si="106"/>
        <v>0</v>
      </c>
      <c r="AR122" s="229">
        <f t="shared" si="107"/>
        <v>0</v>
      </c>
      <c r="AS122" s="229">
        <f t="shared" si="107"/>
        <v>0</v>
      </c>
      <c r="AT122" s="229">
        <f t="shared" si="107"/>
        <v>0</v>
      </c>
      <c r="AU122" s="229">
        <f t="shared" si="107"/>
        <v>0</v>
      </c>
      <c r="AV122" s="229">
        <f t="shared" si="107"/>
        <v>0</v>
      </c>
      <c r="AW122" s="229">
        <f t="shared" si="107"/>
        <v>0</v>
      </c>
      <c r="AX122" s="229">
        <f t="shared" si="107"/>
        <v>0</v>
      </c>
      <c r="AY122" s="229">
        <f t="shared" si="107"/>
        <v>0</v>
      </c>
      <c r="AZ122" s="229">
        <f t="shared" si="107"/>
        <v>0</v>
      </c>
      <c r="BA122" s="229">
        <f t="shared" si="107"/>
        <v>0</v>
      </c>
      <c r="BB122" s="229">
        <f t="shared" si="107"/>
        <v>0</v>
      </c>
      <c r="BC122" s="229">
        <f t="shared" si="108"/>
        <v>0</v>
      </c>
      <c r="BD122" s="229">
        <f t="shared" si="108"/>
        <v>0</v>
      </c>
      <c r="BE122" s="229">
        <f t="shared" si="108"/>
        <v>0</v>
      </c>
      <c r="BF122" s="229">
        <f t="shared" si="108"/>
        <v>0</v>
      </c>
      <c r="BG122" s="229">
        <f t="shared" si="108"/>
        <v>0</v>
      </c>
      <c r="BH122" s="229">
        <f t="shared" si="108"/>
        <v>0</v>
      </c>
      <c r="BI122" s="229">
        <f t="shared" si="108"/>
        <v>0</v>
      </c>
      <c r="BJ122" s="229">
        <f t="shared" si="108"/>
        <v>0</v>
      </c>
      <c r="BK122" s="229">
        <f t="shared" si="108"/>
        <v>0</v>
      </c>
      <c r="BL122" s="229">
        <f t="shared" si="108"/>
        <v>0</v>
      </c>
      <c r="BM122" s="229">
        <f t="shared" si="109"/>
        <v>0</v>
      </c>
      <c r="BN122" s="229">
        <f t="shared" si="109"/>
        <v>0</v>
      </c>
      <c r="BO122" s="229">
        <f t="shared" si="109"/>
        <v>0</v>
      </c>
      <c r="BP122" s="229">
        <f t="shared" si="109"/>
        <v>0</v>
      </c>
      <c r="BQ122" s="229">
        <f t="shared" si="109"/>
        <v>0</v>
      </c>
      <c r="BR122" s="229">
        <f t="shared" si="109"/>
        <v>0</v>
      </c>
      <c r="BS122" s="229">
        <f t="shared" si="109"/>
        <v>0</v>
      </c>
      <c r="BT122" s="229">
        <f t="shared" si="109"/>
        <v>0</v>
      </c>
      <c r="BU122" s="229">
        <f t="shared" si="109"/>
        <v>0</v>
      </c>
      <c r="BV122" s="229">
        <f t="shared" si="109"/>
        <v>0</v>
      </c>
      <c r="BW122" s="229">
        <f t="shared" si="109"/>
        <v>0</v>
      </c>
      <c r="BX122" s="229">
        <f t="shared" si="109"/>
        <v>0</v>
      </c>
      <c r="BY122" s="229">
        <f t="shared" si="109"/>
        <v>0</v>
      </c>
      <c r="BZ122" s="229">
        <f t="shared" si="109"/>
        <v>0</v>
      </c>
      <c r="CA122" s="229">
        <f t="shared" si="109"/>
        <v>0</v>
      </c>
      <c r="CB122" s="229">
        <f t="shared" si="110"/>
        <v>0</v>
      </c>
      <c r="CC122" s="229">
        <f t="shared" si="110"/>
        <v>0</v>
      </c>
      <c r="CD122" s="229">
        <f t="shared" si="110"/>
        <v>0</v>
      </c>
      <c r="CE122" s="229">
        <f t="shared" si="110"/>
        <v>0</v>
      </c>
      <c r="CF122" s="229">
        <f t="shared" si="110"/>
        <v>0</v>
      </c>
      <c r="CG122" s="229">
        <f t="shared" si="110"/>
        <v>0</v>
      </c>
      <c r="CH122" s="229">
        <f t="shared" si="110"/>
        <v>0</v>
      </c>
      <c r="CI122" s="229">
        <f t="shared" si="110"/>
        <v>0</v>
      </c>
      <c r="CJ122" s="229">
        <f t="shared" si="110"/>
        <v>0</v>
      </c>
      <c r="CK122" s="229">
        <f t="shared" si="110"/>
        <v>0</v>
      </c>
      <c r="CL122" s="229">
        <f t="shared" si="110"/>
        <v>0</v>
      </c>
      <c r="CM122" s="229">
        <f t="shared" si="110"/>
        <v>0</v>
      </c>
      <c r="CN122" s="229">
        <f t="shared" si="110"/>
        <v>0</v>
      </c>
      <c r="CO122" s="229">
        <f t="shared" si="110"/>
        <v>0</v>
      </c>
      <c r="CP122" s="229">
        <f t="shared" si="110"/>
        <v>0</v>
      </c>
      <c r="CQ122" s="229">
        <f t="shared" si="110"/>
        <v>0</v>
      </c>
      <c r="CR122" s="229">
        <f t="shared" si="110"/>
        <v>0</v>
      </c>
      <c r="CS122" s="230"/>
      <c r="CT122" s="231"/>
      <c r="CU122" s="231"/>
      <c r="CV122" s="231"/>
      <c r="CW122" s="231"/>
      <c r="CX122" s="231"/>
      <c r="CY122" s="231"/>
      <c r="CZ122" s="231"/>
      <c r="DA122" s="231"/>
      <c r="DB122" s="231">
        <f>IF(SUM(DB$24:DB121)=DB$22,0,IF(AND($K122&gt;=DB$15,$K122&lt;(DB$16+1)),DB$22/(DB$16-DB$15+1),0))</f>
        <v>0</v>
      </c>
      <c r="DC122" s="231">
        <f t="shared" si="114"/>
        <v>0</v>
      </c>
      <c r="DD122" s="231">
        <f t="shared" si="114"/>
        <v>0</v>
      </c>
      <c r="DE122" s="231">
        <f t="shared" si="114"/>
        <v>0</v>
      </c>
      <c r="DF122" s="231">
        <f t="shared" si="114"/>
        <v>0</v>
      </c>
      <c r="DG122" s="231">
        <f t="shared" si="114"/>
        <v>0</v>
      </c>
      <c r="DH122" s="231">
        <f t="shared" si="114"/>
        <v>0</v>
      </c>
      <c r="DI122" s="231">
        <f t="shared" si="114"/>
        <v>0</v>
      </c>
      <c r="DJ122" s="231">
        <f t="shared" si="114"/>
        <v>0</v>
      </c>
      <c r="DK122" s="231">
        <f t="shared" si="114"/>
        <v>0</v>
      </c>
      <c r="DL122" s="231">
        <f t="shared" si="114"/>
        <v>0</v>
      </c>
      <c r="DM122" s="231">
        <f t="shared" si="114"/>
        <v>0</v>
      </c>
      <c r="DN122" s="231">
        <f t="shared" si="114"/>
        <v>0</v>
      </c>
      <c r="DO122" s="231">
        <f t="shared" si="114"/>
        <v>0</v>
      </c>
      <c r="DP122" s="231">
        <f>'Offshore CF'!DR122</f>
        <v>0</v>
      </c>
      <c r="DQ122" s="231">
        <f>'Offshore CF'!DS122</f>
        <v>0</v>
      </c>
      <c r="DR122" s="231">
        <f ca="1">IF(SUM(DR$24:DR121)=DR$22,0,IF(AND($K122&gt;=DR$15,$K122&lt;(DR$16+1)),DR$22/(DR$16-DR$15+1),0))</f>
        <v>0</v>
      </c>
      <c r="DS122" s="231" t="e">
        <f ca="1">IF(SUM(DS$24:DS121)=DS$22,0,IF(AND($K122&gt;=DS$15,$K122&lt;(DS$16+1)),DS$22/(DS$16-DS$15+1),0))</f>
        <v>#REF!</v>
      </c>
      <c r="DT122" s="231" t="e">
        <f ca="1">IF(SUM(DT$24:DT121)=DT$22,0,IF(AND(K122&gt;=DT$15,K122&lt;(DT$16+1)),DT$22/(DT$16-DT$15+1),0))</f>
        <v>#REF!</v>
      </c>
      <c r="DU122" s="231" t="e">
        <f ca="1">IF(SUM(DU$24:DU121)=DU$22,0,IF(AND($K122&gt;=DU$15,$K122&lt;(DU$16+1)),DU$22/(DU$16-DU$15+1),0))</f>
        <v>#REF!</v>
      </c>
      <c r="DV122" s="231">
        <f ca="1">IF(SUM(DV$24:DV121)=DV$22,0,IF(AND($K122&gt;=DV$15,$K122&lt;(DV$16+1)),DV$22/(DV$16-DV$15+1),0))</f>
        <v>0</v>
      </c>
      <c r="DW122" s="231">
        <f ca="1">IF(SUM(DW$24:DW121)=DW$22,0,IF(AND($K122&gt;=DW$15,$K122&lt;(DW$16+1)),DW$22/(DW$16-DW$15+1),0))</f>
        <v>0</v>
      </c>
      <c r="DX122" s="231">
        <f ca="1">IF(SUM(DX$24:DX121)=DX$22,0,IF(AND($K122&gt;=DX$15,$K122&lt;(DX$16+1)),DX$22/(DX$16-DX$15+1),0))</f>
        <v>0</v>
      </c>
      <c r="DY122" s="231">
        <f ca="1">IF(SUM(DY$24:DY121)=DY$22,0,IF(AND($K122&gt;=DY$15,$K122&lt;(DY$16+1)),DY$22/(DY$16-DY$15+1),0))</f>
        <v>0</v>
      </c>
      <c r="EA122" s="749">
        <f t="shared" si="115"/>
        <v>99</v>
      </c>
      <c r="EB122" s="749" t="e">
        <f t="shared" ca="1" si="116"/>
        <v>#REF!</v>
      </c>
      <c r="EC122" s="750" t="e">
        <f t="shared" ca="1" si="82"/>
        <v>#REF!</v>
      </c>
      <c r="ED122" s="749" t="e">
        <f t="shared" ca="1" si="96"/>
        <v>#N/A</v>
      </c>
      <c r="EE122" s="749"/>
      <c r="EF122" s="749"/>
      <c r="EG122" s="749"/>
      <c r="EH122" s="749"/>
      <c r="EI122" s="714" t="e">
        <f t="shared" ca="1" si="83"/>
        <v>#REF!</v>
      </c>
      <c r="EJ122" s="231" t="e">
        <f ca="1">IF(SUM(EJ$24:EJ121)=EJ$22,0,IF(AND($K122&gt;=EJ$15,$K122&lt;(EJ$16+1)),EJ$22/(EJ$16-EJ$15+1),0))</f>
        <v>#REF!</v>
      </c>
      <c r="EK122" s="714" t="e">
        <f t="shared" ca="1" si="117"/>
        <v>#REF!</v>
      </c>
      <c r="EM122" s="60"/>
      <c r="EN122" s="60"/>
    </row>
    <row r="123" spans="1:144" ht="13.9" customHeight="1">
      <c r="A123" s="220"/>
      <c r="B123" s="236">
        <f t="shared" si="84"/>
        <v>100</v>
      </c>
      <c r="C123" s="221">
        <f t="shared" si="85"/>
        <v>46482.253300000157</v>
      </c>
      <c r="D123" s="746" t="e">
        <f t="shared" ca="1" si="86"/>
        <v>#DIV/0!</v>
      </c>
      <c r="E123" s="747" t="e">
        <f t="shared" ca="1" si="88"/>
        <v>#DIV/0!</v>
      </c>
      <c r="F123" s="748" t="e">
        <f ca="1">IF(F122=0,0,SUM($G$24:G123))</f>
        <v>#DIV/0!</v>
      </c>
      <c r="G123" s="225" t="e">
        <f t="shared" ca="1" si="111"/>
        <v>#DIV/0!</v>
      </c>
      <c r="H123" s="746">
        <f t="shared" ca="1" si="87"/>
        <v>0</v>
      </c>
      <c r="I123" s="60"/>
      <c r="J123" s="228"/>
      <c r="K123" s="228">
        <f t="shared" si="112"/>
        <v>100</v>
      </c>
      <c r="L123" s="221">
        <f t="shared" si="113"/>
        <v>46482.253300000157</v>
      </c>
      <c r="M123" s="229">
        <f t="shared" si="106"/>
        <v>0</v>
      </c>
      <c r="N123" s="229">
        <f t="shared" si="106"/>
        <v>0</v>
      </c>
      <c r="O123" s="229">
        <f t="shared" si="106"/>
        <v>0</v>
      </c>
      <c r="P123" s="229">
        <f t="shared" si="118"/>
        <v>0</v>
      </c>
      <c r="Q123" s="229">
        <f t="shared" si="118"/>
        <v>0</v>
      </c>
      <c r="R123" s="229">
        <f t="shared" si="118"/>
        <v>0</v>
      </c>
      <c r="S123" s="229">
        <f t="shared" si="118"/>
        <v>0</v>
      </c>
      <c r="T123" s="229">
        <f t="shared" si="118"/>
        <v>0</v>
      </c>
      <c r="U123" s="229">
        <f t="shared" si="118"/>
        <v>0</v>
      </c>
      <c r="V123" s="229">
        <f t="shared" si="118"/>
        <v>0</v>
      </c>
      <c r="W123" s="229">
        <f t="shared" si="118"/>
        <v>0</v>
      </c>
      <c r="X123" s="229">
        <f t="shared" si="118"/>
        <v>0</v>
      </c>
      <c r="Y123" s="229">
        <f t="shared" si="118"/>
        <v>0</v>
      </c>
      <c r="Z123" s="229">
        <f t="shared" si="118"/>
        <v>0</v>
      </c>
      <c r="AA123" s="229">
        <f t="shared" si="118"/>
        <v>0</v>
      </c>
      <c r="AB123" s="229">
        <f t="shared" si="118"/>
        <v>0</v>
      </c>
      <c r="AC123" s="229">
        <f t="shared" si="118"/>
        <v>0</v>
      </c>
      <c r="AD123" s="229">
        <f t="shared" si="118"/>
        <v>0</v>
      </c>
      <c r="AE123" s="229">
        <f t="shared" si="106"/>
        <v>0</v>
      </c>
      <c r="AF123" s="229">
        <f t="shared" si="106"/>
        <v>0</v>
      </c>
      <c r="AG123" s="229">
        <f t="shared" si="106"/>
        <v>0</v>
      </c>
      <c r="AH123" s="229">
        <f t="shared" si="106"/>
        <v>0</v>
      </c>
      <c r="AI123" s="229">
        <f t="shared" si="106"/>
        <v>0</v>
      </c>
      <c r="AJ123" s="229">
        <f t="shared" si="106"/>
        <v>0</v>
      </c>
      <c r="AK123" s="229">
        <f t="shared" si="106"/>
        <v>0</v>
      </c>
      <c r="AL123" s="229">
        <f t="shared" si="106"/>
        <v>0</v>
      </c>
      <c r="AM123" s="229">
        <f t="shared" si="106"/>
        <v>0</v>
      </c>
      <c r="AN123" s="229">
        <f t="shared" si="106"/>
        <v>0</v>
      </c>
      <c r="AO123" s="229">
        <f t="shared" si="106"/>
        <v>0</v>
      </c>
      <c r="AP123" s="229">
        <f t="shared" si="106"/>
        <v>0</v>
      </c>
      <c r="AQ123" s="229">
        <f t="shared" si="106"/>
        <v>0</v>
      </c>
      <c r="AR123" s="229">
        <f t="shared" si="107"/>
        <v>0</v>
      </c>
      <c r="AS123" s="229">
        <f t="shared" si="107"/>
        <v>0</v>
      </c>
      <c r="AT123" s="229">
        <f t="shared" si="107"/>
        <v>0</v>
      </c>
      <c r="AU123" s="229">
        <f t="shared" si="107"/>
        <v>0</v>
      </c>
      <c r="AV123" s="229">
        <f t="shared" si="107"/>
        <v>0</v>
      </c>
      <c r="AW123" s="229">
        <f t="shared" si="107"/>
        <v>0</v>
      </c>
      <c r="AX123" s="229">
        <f t="shared" si="107"/>
        <v>0</v>
      </c>
      <c r="AY123" s="229">
        <f t="shared" si="107"/>
        <v>0</v>
      </c>
      <c r="AZ123" s="229">
        <f t="shared" si="107"/>
        <v>0</v>
      </c>
      <c r="BA123" s="229">
        <f t="shared" si="107"/>
        <v>0</v>
      </c>
      <c r="BB123" s="229">
        <f t="shared" si="107"/>
        <v>0</v>
      </c>
      <c r="BC123" s="229">
        <f t="shared" si="108"/>
        <v>0</v>
      </c>
      <c r="BD123" s="229">
        <f t="shared" si="108"/>
        <v>0</v>
      </c>
      <c r="BE123" s="229">
        <f t="shared" si="108"/>
        <v>0</v>
      </c>
      <c r="BF123" s="229">
        <f t="shared" si="108"/>
        <v>0</v>
      </c>
      <c r="BG123" s="229">
        <f t="shared" si="108"/>
        <v>0</v>
      </c>
      <c r="BH123" s="229">
        <f t="shared" si="108"/>
        <v>0</v>
      </c>
      <c r="BI123" s="229">
        <f t="shared" si="108"/>
        <v>0</v>
      </c>
      <c r="BJ123" s="229">
        <f t="shared" si="108"/>
        <v>0</v>
      </c>
      <c r="BK123" s="229">
        <f t="shared" si="108"/>
        <v>0</v>
      </c>
      <c r="BL123" s="229">
        <f t="shared" si="108"/>
        <v>0</v>
      </c>
      <c r="BM123" s="229">
        <f t="shared" si="109"/>
        <v>0</v>
      </c>
      <c r="BN123" s="229">
        <f t="shared" si="109"/>
        <v>0</v>
      </c>
      <c r="BO123" s="229">
        <f t="shared" si="109"/>
        <v>0</v>
      </c>
      <c r="BP123" s="229">
        <f t="shared" si="109"/>
        <v>0</v>
      </c>
      <c r="BQ123" s="229">
        <f t="shared" si="109"/>
        <v>0</v>
      </c>
      <c r="BR123" s="229">
        <f t="shared" si="109"/>
        <v>0</v>
      </c>
      <c r="BS123" s="229">
        <f t="shared" si="109"/>
        <v>0</v>
      </c>
      <c r="BT123" s="229">
        <f t="shared" si="109"/>
        <v>0</v>
      </c>
      <c r="BU123" s="229">
        <f t="shared" si="109"/>
        <v>0</v>
      </c>
      <c r="BV123" s="229">
        <f t="shared" si="109"/>
        <v>0</v>
      </c>
      <c r="BW123" s="229">
        <f t="shared" si="109"/>
        <v>0</v>
      </c>
      <c r="BX123" s="229">
        <f t="shared" si="109"/>
        <v>0</v>
      </c>
      <c r="BY123" s="229">
        <f t="shared" si="109"/>
        <v>0</v>
      </c>
      <c r="BZ123" s="229">
        <f t="shared" si="109"/>
        <v>0</v>
      </c>
      <c r="CA123" s="229">
        <f t="shared" si="109"/>
        <v>0</v>
      </c>
      <c r="CB123" s="229">
        <f t="shared" si="110"/>
        <v>0</v>
      </c>
      <c r="CC123" s="229">
        <f t="shared" si="110"/>
        <v>0</v>
      </c>
      <c r="CD123" s="229">
        <f t="shared" si="110"/>
        <v>0</v>
      </c>
      <c r="CE123" s="229">
        <f t="shared" si="110"/>
        <v>0</v>
      </c>
      <c r="CF123" s="229">
        <f t="shared" si="110"/>
        <v>0</v>
      </c>
      <c r="CG123" s="229">
        <f t="shared" si="110"/>
        <v>0</v>
      </c>
      <c r="CH123" s="229">
        <f t="shared" si="110"/>
        <v>0</v>
      </c>
      <c r="CI123" s="229">
        <f t="shared" si="110"/>
        <v>0</v>
      </c>
      <c r="CJ123" s="229">
        <f t="shared" si="110"/>
        <v>0</v>
      </c>
      <c r="CK123" s="229">
        <f t="shared" si="110"/>
        <v>0</v>
      </c>
      <c r="CL123" s="229">
        <f t="shared" si="110"/>
        <v>0</v>
      </c>
      <c r="CM123" s="229">
        <f t="shared" si="110"/>
        <v>0</v>
      </c>
      <c r="CN123" s="229">
        <f t="shared" si="110"/>
        <v>0</v>
      </c>
      <c r="CO123" s="229">
        <f t="shared" si="110"/>
        <v>0</v>
      </c>
      <c r="CP123" s="229">
        <f t="shared" si="110"/>
        <v>0</v>
      </c>
      <c r="CQ123" s="229">
        <f t="shared" si="110"/>
        <v>0</v>
      </c>
      <c r="CR123" s="229">
        <f t="shared" si="110"/>
        <v>0</v>
      </c>
      <c r="CS123" s="230"/>
      <c r="CT123" s="231"/>
      <c r="CU123" s="231"/>
      <c r="CV123" s="231"/>
      <c r="CW123" s="231"/>
      <c r="CX123" s="231"/>
      <c r="CY123" s="231"/>
      <c r="CZ123" s="231"/>
      <c r="DA123" s="231" t="e">
        <f ca="1">IF(SUM(DA$32:DA122)&gt;=DA$22,0,DA$22/(DA$13*4))</f>
        <v>#N/A</v>
      </c>
      <c r="DB123" s="231">
        <f>IF(SUM(DB$24:DB122)=DB$22,0,IF(AND($K123&gt;=DB$15,$K123&lt;(DB$16+1)),DB$22/(DB$16-DB$15+1),0))</f>
        <v>0</v>
      </c>
      <c r="DC123" s="231">
        <f t="shared" si="114"/>
        <v>0</v>
      </c>
      <c r="DD123" s="231">
        <f t="shared" si="114"/>
        <v>0</v>
      </c>
      <c r="DE123" s="231">
        <f t="shared" si="114"/>
        <v>0</v>
      </c>
      <c r="DF123" s="231">
        <f t="shared" si="114"/>
        <v>0</v>
      </c>
      <c r="DG123" s="231">
        <f t="shared" si="114"/>
        <v>0</v>
      </c>
      <c r="DH123" s="231">
        <f t="shared" si="114"/>
        <v>0</v>
      </c>
      <c r="DI123" s="231">
        <f t="shared" si="114"/>
        <v>0</v>
      </c>
      <c r="DJ123" s="231">
        <f t="shared" si="114"/>
        <v>0</v>
      </c>
      <c r="DK123" s="231">
        <f t="shared" si="114"/>
        <v>0</v>
      </c>
      <c r="DL123" s="231">
        <f t="shared" si="114"/>
        <v>0</v>
      </c>
      <c r="DM123" s="231">
        <f t="shared" si="114"/>
        <v>0</v>
      </c>
      <c r="DN123" s="231">
        <f t="shared" si="114"/>
        <v>0</v>
      </c>
      <c r="DO123" s="231">
        <f t="shared" si="114"/>
        <v>0</v>
      </c>
      <c r="DP123" s="231">
        <f>'Offshore CF'!DR123</f>
        <v>0</v>
      </c>
      <c r="DQ123" s="231">
        <f>'Offshore CF'!DS123</f>
        <v>0</v>
      </c>
      <c r="DR123" s="231">
        <f ca="1">IF(SUM(DR$24:DR122)=DR$22,0,IF(AND($K123&gt;=DR$15,$K123&lt;(DR$16+1)),DR$22/(DR$16-DR$15+1),0))</f>
        <v>0</v>
      </c>
      <c r="DS123" s="231" t="e">
        <f ca="1">IF(SUM(DS$24:DS122)=DS$22,0,IF(AND($K123&gt;=DS$15,$K123&lt;(DS$16+1)),DS$22/(DS$16-DS$15+1),0))</f>
        <v>#REF!</v>
      </c>
      <c r="DT123" s="231" t="e">
        <f ca="1">IF(SUM(DT$24:DT122)=DT$22,0,IF(AND(K123&gt;=DT$15,K123&lt;(DT$16+1)),DT$22/(DT$16-DT$15+1),0))</f>
        <v>#REF!</v>
      </c>
      <c r="DU123" s="231" t="e">
        <f ca="1">IF(SUM(DU$24:DU122)=DU$22,0,IF(AND($K123&gt;=DU$15,$K123&lt;(DU$16+1)),DU$22/(DU$16-DU$15+1),0))</f>
        <v>#REF!</v>
      </c>
      <c r="DV123" s="231">
        <f ca="1">IF(SUM(DV$24:DV122)=DV$22,0,IF(AND($K123&gt;=DV$15,$K123&lt;(DV$16+1)),DV$22/(DV$16-DV$15+1),0))</f>
        <v>0</v>
      </c>
      <c r="DW123" s="231">
        <f ca="1">IF(SUM(DW$24:DW122)=DW$22,0,IF(AND($K123&gt;=DW$15,$K123&lt;(DW$16+1)),DW$22/(DW$16-DW$15+1),0))</f>
        <v>0</v>
      </c>
      <c r="DX123" s="231">
        <f ca="1">IF(SUM(DX$24:DX122)=DX$22,0,IF(AND($K123&gt;=DX$15,$K123&lt;(DX$16+1)),DX$22/(DX$16-DX$15+1),0))</f>
        <v>0</v>
      </c>
      <c r="DY123" s="231">
        <f ca="1">IF(SUM(DY$24:DY122)=DY$22,0,IF(AND($K123&gt;=DY$15,$K123&lt;(DY$16+1)),DY$22/(DY$16-DY$15+1),0))</f>
        <v>0</v>
      </c>
      <c r="EA123" s="749">
        <f t="shared" si="115"/>
        <v>100</v>
      </c>
      <c r="EB123" s="749" t="e">
        <f t="shared" ca="1" si="116"/>
        <v>#N/A</v>
      </c>
      <c r="EC123" s="750" t="e">
        <f t="shared" ca="1" si="82"/>
        <v>#N/A</v>
      </c>
      <c r="ED123" s="749" t="e">
        <f t="shared" ca="1" si="96"/>
        <v>#REF!</v>
      </c>
      <c r="EE123" s="749"/>
      <c r="EF123" s="749"/>
      <c r="EG123" s="749"/>
      <c r="EH123" s="749"/>
      <c r="EI123" s="714" t="e">
        <f t="shared" ca="1" si="83"/>
        <v>#N/A</v>
      </c>
      <c r="EJ123" s="231" t="e">
        <f ca="1">IF(SUM(EJ$24:EJ122)=EJ$22,0,IF(AND($K123&gt;=EJ$15,$K123&lt;(EJ$16+1)),EJ$22/(EJ$16-EJ$15+1),0))</f>
        <v>#REF!</v>
      </c>
      <c r="EK123" s="714" t="e">
        <f t="shared" ca="1" si="117"/>
        <v>#N/A</v>
      </c>
      <c r="EM123" s="60"/>
      <c r="EN123" s="60"/>
    </row>
    <row r="124" spans="1:144" ht="13.9" customHeight="1">
      <c r="A124" s="220"/>
      <c r="B124" s="236">
        <f t="shared" si="84"/>
        <v>101</v>
      </c>
      <c r="C124" s="221">
        <f t="shared" si="85"/>
        <v>46512.670000000158</v>
      </c>
      <c r="D124" s="746" t="e">
        <f t="shared" ca="1" si="86"/>
        <v>#DIV/0!</v>
      </c>
      <c r="E124" s="747" t="e">
        <f t="shared" ca="1" si="88"/>
        <v>#DIV/0!</v>
      </c>
      <c r="F124" s="748" t="e">
        <f ca="1">IF(F123=0,0,SUM($G$24:G124))</f>
        <v>#DIV/0!</v>
      </c>
      <c r="G124" s="225" t="e">
        <f t="shared" ca="1" si="111"/>
        <v>#DIV/0!</v>
      </c>
      <c r="H124" s="746">
        <f t="shared" ca="1" si="87"/>
        <v>0</v>
      </c>
      <c r="I124" s="60"/>
      <c r="J124" s="228"/>
      <c r="K124" s="228">
        <f t="shared" si="112"/>
        <v>101</v>
      </c>
      <c r="L124" s="221">
        <f t="shared" si="113"/>
        <v>46512.670000000158</v>
      </c>
      <c r="M124" s="229">
        <f t="shared" ref="M124:AQ133" si="119">IF($K124=M$13,M$22*M$3,IF($K124=M$14,M$22*M$4,IF($K124=M$15,M$22*M$5,IF($K124=M$16,M$22*M$6,IF($K124=M$17,M$22*M$7,IF($K124=M$18,M$22*M$8,IF($K124=M$19,M$22*M$9,IF($K124=M$20,M$22*M$10,0))))))))</f>
        <v>0</v>
      </c>
      <c r="N124" s="229">
        <f t="shared" si="119"/>
        <v>0</v>
      </c>
      <c r="O124" s="229">
        <f t="shared" si="119"/>
        <v>0</v>
      </c>
      <c r="P124" s="229">
        <f t="shared" si="119"/>
        <v>0</v>
      </c>
      <c r="Q124" s="229">
        <f t="shared" si="119"/>
        <v>0</v>
      </c>
      <c r="R124" s="229">
        <f t="shared" si="118"/>
        <v>0</v>
      </c>
      <c r="S124" s="229">
        <f t="shared" si="118"/>
        <v>0</v>
      </c>
      <c r="T124" s="229">
        <f t="shared" si="118"/>
        <v>0</v>
      </c>
      <c r="U124" s="229">
        <f t="shared" si="119"/>
        <v>0</v>
      </c>
      <c r="V124" s="229">
        <f t="shared" si="119"/>
        <v>0</v>
      </c>
      <c r="W124" s="229">
        <f t="shared" si="119"/>
        <v>0</v>
      </c>
      <c r="X124" s="229">
        <f t="shared" si="119"/>
        <v>0</v>
      </c>
      <c r="Y124" s="229">
        <f t="shared" si="119"/>
        <v>0</v>
      </c>
      <c r="Z124" s="229">
        <f t="shared" si="119"/>
        <v>0</v>
      </c>
      <c r="AA124" s="229">
        <f t="shared" si="119"/>
        <v>0</v>
      </c>
      <c r="AB124" s="229">
        <f t="shared" si="119"/>
        <v>0</v>
      </c>
      <c r="AC124" s="229">
        <f t="shared" si="119"/>
        <v>0</v>
      </c>
      <c r="AD124" s="229">
        <f t="shared" si="119"/>
        <v>0</v>
      </c>
      <c r="AE124" s="229">
        <f t="shared" si="119"/>
        <v>0</v>
      </c>
      <c r="AF124" s="229">
        <f t="shared" si="119"/>
        <v>0</v>
      </c>
      <c r="AG124" s="229">
        <f t="shared" si="119"/>
        <v>0</v>
      </c>
      <c r="AH124" s="229">
        <f t="shared" si="119"/>
        <v>0</v>
      </c>
      <c r="AI124" s="229">
        <f t="shared" si="119"/>
        <v>0</v>
      </c>
      <c r="AJ124" s="229">
        <f t="shared" si="119"/>
        <v>0</v>
      </c>
      <c r="AK124" s="229">
        <f t="shared" si="119"/>
        <v>0</v>
      </c>
      <c r="AL124" s="229">
        <f t="shared" si="119"/>
        <v>0</v>
      </c>
      <c r="AM124" s="229">
        <f t="shared" si="119"/>
        <v>0</v>
      </c>
      <c r="AN124" s="229">
        <f t="shared" si="119"/>
        <v>0</v>
      </c>
      <c r="AO124" s="229">
        <f t="shared" si="119"/>
        <v>0</v>
      </c>
      <c r="AP124" s="229">
        <f t="shared" si="119"/>
        <v>0</v>
      </c>
      <c r="AQ124" s="229">
        <f t="shared" si="119"/>
        <v>0</v>
      </c>
      <c r="AR124" s="229">
        <f t="shared" ref="AR124:BB133" si="120">IF($K124=AR$13,AR$22*AR$3,IF($K124=AR$14,AR$22*AR$4,IF($K124=AR$15,AR$22*AR$5,IF($K124=AR$16,AR$22*AR$6,IF($K124=AR$17,AR$22*AR$7,IF($K124=AR$18,AR$22*AR$8,IF($K124=AR$19,AR$22*AR$9,IF($K124=AR$20,AR$22*AR$10,0))))))))</f>
        <v>0</v>
      </c>
      <c r="AS124" s="229">
        <f t="shared" si="120"/>
        <v>0</v>
      </c>
      <c r="AT124" s="229">
        <f t="shared" si="120"/>
        <v>0</v>
      </c>
      <c r="AU124" s="229">
        <f t="shared" si="120"/>
        <v>0</v>
      </c>
      <c r="AV124" s="229">
        <f t="shared" si="120"/>
        <v>0</v>
      </c>
      <c r="AW124" s="229">
        <f t="shared" si="120"/>
        <v>0</v>
      </c>
      <c r="AX124" s="229">
        <f t="shared" si="120"/>
        <v>0</v>
      </c>
      <c r="AY124" s="229">
        <f t="shared" si="120"/>
        <v>0</v>
      </c>
      <c r="AZ124" s="229">
        <f t="shared" si="120"/>
        <v>0</v>
      </c>
      <c r="BA124" s="229">
        <f t="shared" si="120"/>
        <v>0</v>
      </c>
      <c r="BB124" s="229">
        <f t="shared" si="120"/>
        <v>0</v>
      </c>
      <c r="BC124" s="229">
        <f t="shared" ref="BC124:BL133" si="121">IF($K124=BC$13,BC$22*BC$3,IF($K124=BC$14,BC$22*BC$4,IF($K124=BC$15,BC$22*BC$5,IF($K124=BC$16,BC$22*BC$6,IF($K124=BC$17,BC$22*BC$7,IF($K124=BC$18,BC$22*BC$8,IF($K124=BC$19,BC$22*BC$9,IF($K124=BC$20,BC$22*BC$10,0))))))))</f>
        <v>0</v>
      </c>
      <c r="BD124" s="229">
        <f t="shared" si="121"/>
        <v>0</v>
      </c>
      <c r="BE124" s="229">
        <f t="shared" si="121"/>
        <v>0</v>
      </c>
      <c r="BF124" s="229">
        <f t="shared" si="121"/>
        <v>0</v>
      </c>
      <c r="BG124" s="229">
        <f t="shared" si="121"/>
        <v>0</v>
      </c>
      <c r="BH124" s="229">
        <f t="shared" si="121"/>
        <v>0</v>
      </c>
      <c r="BI124" s="229">
        <f t="shared" si="121"/>
        <v>0</v>
      </c>
      <c r="BJ124" s="229">
        <f t="shared" si="121"/>
        <v>0</v>
      </c>
      <c r="BK124" s="229">
        <f t="shared" si="121"/>
        <v>0</v>
      </c>
      <c r="BL124" s="229">
        <f t="shared" si="121"/>
        <v>0</v>
      </c>
      <c r="BM124" s="229">
        <f t="shared" ref="BM124:CA133" si="122">IF($K124=BM$13,BM$22*BM$3,IF($K124=BM$14,BM$22*BM$4,IF($K124=BM$15,BM$22*BM$5,IF($K124=BM$16,BM$22*BM$6,IF($K124=BM$17,BM$22*BM$7,IF($K124=BM$18,BM$22*BM$8,IF($K124=BM$19,BM$22*BM$9,IF($K124=BM$20,BM$22*BM$10,0))))))))</f>
        <v>0</v>
      </c>
      <c r="BN124" s="229">
        <f t="shared" si="122"/>
        <v>0</v>
      </c>
      <c r="BO124" s="229">
        <f t="shared" si="122"/>
        <v>0</v>
      </c>
      <c r="BP124" s="229">
        <f t="shared" si="122"/>
        <v>0</v>
      </c>
      <c r="BQ124" s="229">
        <f t="shared" si="122"/>
        <v>0</v>
      </c>
      <c r="BR124" s="229">
        <f t="shared" si="122"/>
        <v>0</v>
      </c>
      <c r="BS124" s="229">
        <f t="shared" si="122"/>
        <v>0</v>
      </c>
      <c r="BT124" s="229">
        <f t="shared" si="122"/>
        <v>0</v>
      </c>
      <c r="BU124" s="229">
        <f t="shared" si="122"/>
        <v>0</v>
      </c>
      <c r="BV124" s="229">
        <f t="shared" si="122"/>
        <v>0</v>
      </c>
      <c r="BW124" s="229">
        <f t="shared" si="122"/>
        <v>0</v>
      </c>
      <c r="BX124" s="229">
        <f t="shared" si="122"/>
        <v>0</v>
      </c>
      <c r="BY124" s="229">
        <f t="shared" si="122"/>
        <v>0</v>
      </c>
      <c r="BZ124" s="229">
        <f t="shared" si="122"/>
        <v>0</v>
      </c>
      <c r="CA124" s="229">
        <f t="shared" si="122"/>
        <v>0</v>
      </c>
      <c r="CB124" s="229">
        <f t="shared" ref="CB124:CR133" si="123">IF($K124=CB$13,CB$22*CB$3,IF($K124=CB$14,CB$22*CB$4,IF($K124=CB$15,CB$22*CB$5,IF($K124=CB$16,CB$22*CB$6,IF($K124=CB$17,CB$22*CB$7,IF($K124=CB$18,CB$22*CB$8,IF($K124=CB$19,CB$22*CB$9,IF($K124=CB$20,CB$22*CB$10,0))))))))</f>
        <v>0</v>
      </c>
      <c r="CC124" s="229">
        <f t="shared" si="123"/>
        <v>0</v>
      </c>
      <c r="CD124" s="229">
        <f t="shared" si="123"/>
        <v>0</v>
      </c>
      <c r="CE124" s="229">
        <f t="shared" si="123"/>
        <v>0</v>
      </c>
      <c r="CF124" s="229">
        <f t="shared" si="123"/>
        <v>0</v>
      </c>
      <c r="CG124" s="229">
        <f t="shared" si="123"/>
        <v>0</v>
      </c>
      <c r="CH124" s="229">
        <f t="shared" si="123"/>
        <v>0</v>
      </c>
      <c r="CI124" s="229">
        <f t="shared" si="123"/>
        <v>0</v>
      </c>
      <c r="CJ124" s="229">
        <f t="shared" si="123"/>
        <v>0</v>
      </c>
      <c r="CK124" s="229">
        <f t="shared" si="123"/>
        <v>0</v>
      </c>
      <c r="CL124" s="229">
        <f t="shared" si="123"/>
        <v>0</v>
      </c>
      <c r="CM124" s="229">
        <f t="shared" si="123"/>
        <v>0</v>
      </c>
      <c r="CN124" s="229">
        <f t="shared" si="123"/>
        <v>0</v>
      </c>
      <c r="CO124" s="229">
        <f t="shared" si="123"/>
        <v>0</v>
      </c>
      <c r="CP124" s="229">
        <f t="shared" si="123"/>
        <v>0</v>
      </c>
      <c r="CQ124" s="229">
        <f t="shared" si="123"/>
        <v>0</v>
      </c>
      <c r="CR124" s="229">
        <f t="shared" si="123"/>
        <v>0</v>
      </c>
      <c r="CS124" s="230"/>
      <c r="CT124" s="231"/>
      <c r="CU124" s="231"/>
      <c r="CV124" s="231"/>
      <c r="CW124" s="231"/>
      <c r="CX124" s="231"/>
      <c r="CY124" s="231"/>
      <c r="CZ124" s="231"/>
      <c r="DA124" s="231"/>
      <c r="DB124" s="231">
        <f>IF(SUM(DB$24:DB123)=DB$22,0,IF(AND($K124&gt;=DB$15,$K124&lt;(DB$16+1)),DB$22/(DB$16-DB$15+1),0))</f>
        <v>0</v>
      </c>
      <c r="DC124" s="231">
        <f t="shared" si="114"/>
        <v>0</v>
      </c>
      <c r="DD124" s="231">
        <f t="shared" si="114"/>
        <v>0</v>
      </c>
      <c r="DE124" s="231">
        <f t="shared" si="114"/>
        <v>0</v>
      </c>
      <c r="DF124" s="231">
        <f t="shared" si="114"/>
        <v>0</v>
      </c>
      <c r="DG124" s="231">
        <f t="shared" si="114"/>
        <v>0</v>
      </c>
      <c r="DH124" s="231">
        <f t="shared" si="114"/>
        <v>0</v>
      </c>
      <c r="DI124" s="231">
        <f t="shared" si="114"/>
        <v>0</v>
      </c>
      <c r="DJ124" s="231">
        <f t="shared" si="114"/>
        <v>0</v>
      </c>
      <c r="DK124" s="231">
        <f t="shared" si="114"/>
        <v>0</v>
      </c>
      <c r="DL124" s="231">
        <f t="shared" si="114"/>
        <v>0</v>
      </c>
      <c r="DM124" s="231">
        <f t="shared" si="114"/>
        <v>0</v>
      </c>
      <c r="DN124" s="231">
        <f t="shared" si="114"/>
        <v>0</v>
      </c>
      <c r="DO124" s="231">
        <f t="shared" si="114"/>
        <v>0</v>
      </c>
      <c r="DP124" s="231">
        <f>'Offshore CF'!DR124</f>
        <v>0</v>
      </c>
      <c r="DQ124" s="231">
        <f>'Offshore CF'!DS124</f>
        <v>0</v>
      </c>
      <c r="DR124" s="231">
        <f ca="1">IF(SUM(DR$24:DR123)=DR$22,0,IF(AND($K124&gt;=DR$15,$K124&lt;(DR$16+1)),DR$22/(DR$16-DR$15+1),0))</f>
        <v>0</v>
      </c>
      <c r="DS124" s="231" t="e">
        <f ca="1">IF(SUM(DS$24:DS123)=DS$22,0,IF(AND($K124&gt;=DS$15,$K124&lt;(DS$16+1)),DS$22/(DS$16-DS$15+1),0))</f>
        <v>#REF!</v>
      </c>
      <c r="DT124" s="231" t="e">
        <f ca="1">IF(SUM(DT$24:DT123)=DT$22,0,IF(AND(K124&gt;=DT$15,K124&lt;(DT$16+1)),DT$22/(DT$16-DT$15+1),0))</f>
        <v>#REF!</v>
      </c>
      <c r="DU124" s="231" t="e">
        <f ca="1">IF(SUM(DU$24:DU123)=DU$22,0,IF(AND($K124&gt;=DU$15,$K124&lt;(DU$16+1)),DU$22/(DU$16-DU$15+1),0))</f>
        <v>#REF!</v>
      </c>
      <c r="DV124" s="231">
        <f ca="1">IF(SUM(DV$24:DV123)=DV$22,0,IF(AND($K124&gt;=DV$15,$K124&lt;(DV$16+1)),DV$22/(DV$16-DV$15+1),0))</f>
        <v>0</v>
      </c>
      <c r="DW124" s="231">
        <f ca="1">IF(SUM(DW$24:DW123)=DW$22,0,IF(AND($K124&gt;=DW$15,$K124&lt;(DW$16+1)),DW$22/(DW$16-DW$15+1),0))</f>
        <v>0</v>
      </c>
      <c r="DX124" s="231">
        <f ca="1">IF(SUM(DX$24:DX123)=DX$22,0,IF(AND($K124&gt;=DX$15,$K124&lt;(DX$16+1)),DX$22/(DX$16-DX$15+1),0))</f>
        <v>0</v>
      </c>
      <c r="DY124" s="231">
        <f ca="1">IF(SUM(DY$24:DY123)=DY$22,0,IF(AND($K124&gt;=DY$15,$K124&lt;(DY$16+1)),DY$22/(DY$16-DY$15+1),0))</f>
        <v>0</v>
      </c>
      <c r="EA124" s="749">
        <f t="shared" si="115"/>
        <v>101</v>
      </c>
      <c r="EB124" s="749" t="e">
        <f t="shared" ca="1" si="116"/>
        <v>#REF!</v>
      </c>
      <c r="EC124" s="750" t="e">
        <f t="shared" ca="1" si="82"/>
        <v>#REF!</v>
      </c>
      <c r="ED124" s="749" t="e">
        <f t="shared" ca="1" si="96"/>
        <v>#REF!</v>
      </c>
      <c r="EE124" s="749"/>
      <c r="EF124" s="749"/>
      <c r="EG124" s="749"/>
      <c r="EH124" s="749"/>
      <c r="EI124" s="714" t="e">
        <f t="shared" ca="1" si="83"/>
        <v>#REF!</v>
      </c>
      <c r="EJ124" s="231" t="e">
        <f ca="1">IF(SUM(EJ$24:EJ123)=EJ$22,0,IF(AND($K124&gt;=EJ$15,$K124&lt;(EJ$16+1)),EJ$22/(EJ$16-EJ$15+1),0))</f>
        <v>#REF!</v>
      </c>
      <c r="EK124" s="714" t="e">
        <f t="shared" ca="1" si="117"/>
        <v>#REF!</v>
      </c>
      <c r="EM124" s="60"/>
      <c r="EN124" s="60"/>
    </row>
    <row r="125" spans="1:144" ht="13.9" customHeight="1">
      <c r="A125" s="220"/>
      <c r="B125" s="236">
        <f t="shared" si="84"/>
        <v>102</v>
      </c>
      <c r="C125" s="221">
        <f t="shared" si="85"/>
        <v>46543.08670000016</v>
      </c>
      <c r="D125" s="746" t="e">
        <f t="shared" ca="1" si="86"/>
        <v>#DIV/0!</v>
      </c>
      <c r="E125" s="747" t="e">
        <f t="shared" ca="1" si="88"/>
        <v>#DIV/0!</v>
      </c>
      <c r="F125" s="748" t="e">
        <f ca="1">IF(F124=0,0,SUM($G$24:G125))</f>
        <v>#DIV/0!</v>
      </c>
      <c r="G125" s="225" t="e">
        <f t="shared" ca="1" si="111"/>
        <v>#DIV/0!</v>
      </c>
      <c r="H125" s="746">
        <f t="shared" ca="1" si="87"/>
        <v>0</v>
      </c>
      <c r="I125" s="60"/>
      <c r="J125" s="228"/>
      <c r="K125" s="228">
        <f t="shared" si="112"/>
        <v>102</v>
      </c>
      <c r="L125" s="221">
        <f t="shared" si="113"/>
        <v>46543.08670000016</v>
      </c>
      <c r="M125" s="229">
        <f t="shared" si="119"/>
        <v>0</v>
      </c>
      <c r="N125" s="229">
        <f t="shared" si="119"/>
        <v>0</v>
      </c>
      <c r="O125" s="229">
        <f t="shared" si="119"/>
        <v>0</v>
      </c>
      <c r="P125" s="229">
        <f t="shared" si="119"/>
        <v>0</v>
      </c>
      <c r="Q125" s="229">
        <f t="shared" si="119"/>
        <v>0</v>
      </c>
      <c r="R125" s="229">
        <f t="shared" si="118"/>
        <v>0</v>
      </c>
      <c r="S125" s="229">
        <f t="shared" si="118"/>
        <v>0</v>
      </c>
      <c r="T125" s="229">
        <f t="shared" si="118"/>
        <v>0</v>
      </c>
      <c r="U125" s="229">
        <f t="shared" si="119"/>
        <v>0</v>
      </c>
      <c r="V125" s="229">
        <f t="shared" si="119"/>
        <v>0</v>
      </c>
      <c r="W125" s="229">
        <f t="shared" si="119"/>
        <v>0</v>
      </c>
      <c r="X125" s="229">
        <f t="shared" si="119"/>
        <v>0</v>
      </c>
      <c r="Y125" s="229">
        <f t="shared" si="119"/>
        <v>0</v>
      </c>
      <c r="Z125" s="229">
        <f t="shared" si="119"/>
        <v>0</v>
      </c>
      <c r="AA125" s="229">
        <f t="shared" si="119"/>
        <v>0</v>
      </c>
      <c r="AB125" s="229">
        <f t="shared" si="119"/>
        <v>0</v>
      </c>
      <c r="AC125" s="229">
        <f t="shared" si="119"/>
        <v>0</v>
      </c>
      <c r="AD125" s="229">
        <f t="shared" si="119"/>
        <v>0</v>
      </c>
      <c r="AE125" s="229">
        <f t="shared" si="119"/>
        <v>0</v>
      </c>
      <c r="AF125" s="229">
        <f t="shared" si="119"/>
        <v>0</v>
      </c>
      <c r="AG125" s="229">
        <f t="shared" si="119"/>
        <v>0</v>
      </c>
      <c r="AH125" s="229">
        <f t="shared" si="119"/>
        <v>0</v>
      </c>
      <c r="AI125" s="229">
        <f t="shared" si="119"/>
        <v>0</v>
      </c>
      <c r="AJ125" s="229">
        <f t="shared" si="119"/>
        <v>0</v>
      </c>
      <c r="AK125" s="229">
        <f t="shared" si="119"/>
        <v>0</v>
      </c>
      <c r="AL125" s="229">
        <f t="shared" si="119"/>
        <v>0</v>
      </c>
      <c r="AM125" s="229">
        <f t="shared" si="119"/>
        <v>0</v>
      </c>
      <c r="AN125" s="229">
        <f t="shared" si="119"/>
        <v>0</v>
      </c>
      <c r="AO125" s="229">
        <f t="shared" si="119"/>
        <v>0</v>
      </c>
      <c r="AP125" s="229">
        <f t="shared" si="119"/>
        <v>0</v>
      </c>
      <c r="AQ125" s="229">
        <f t="shared" si="119"/>
        <v>0</v>
      </c>
      <c r="AR125" s="229">
        <f t="shared" si="120"/>
        <v>0</v>
      </c>
      <c r="AS125" s="229">
        <f t="shared" si="120"/>
        <v>0</v>
      </c>
      <c r="AT125" s="229">
        <f t="shared" si="120"/>
        <v>0</v>
      </c>
      <c r="AU125" s="229">
        <f t="shared" si="120"/>
        <v>0</v>
      </c>
      <c r="AV125" s="229">
        <f t="shared" si="120"/>
        <v>0</v>
      </c>
      <c r="AW125" s="229">
        <f t="shared" si="120"/>
        <v>0</v>
      </c>
      <c r="AX125" s="229">
        <f t="shared" si="120"/>
        <v>0</v>
      </c>
      <c r="AY125" s="229">
        <f t="shared" si="120"/>
        <v>0</v>
      </c>
      <c r="AZ125" s="229">
        <f t="shared" si="120"/>
        <v>0</v>
      </c>
      <c r="BA125" s="229">
        <f t="shared" si="120"/>
        <v>0</v>
      </c>
      <c r="BB125" s="229">
        <f t="shared" si="120"/>
        <v>0</v>
      </c>
      <c r="BC125" s="229">
        <f t="shared" si="121"/>
        <v>0</v>
      </c>
      <c r="BD125" s="229">
        <f t="shared" si="121"/>
        <v>0</v>
      </c>
      <c r="BE125" s="229">
        <f t="shared" si="121"/>
        <v>0</v>
      </c>
      <c r="BF125" s="229">
        <f t="shared" si="121"/>
        <v>0</v>
      </c>
      <c r="BG125" s="229">
        <f t="shared" si="121"/>
        <v>0</v>
      </c>
      <c r="BH125" s="229">
        <f t="shared" si="121"/>
        <v>0</v>
      </c>
      <c r="BI125" s="229">
        <f t="shared" si="121"/>
        <v>0</v>
      </c>
      <c r="BJ125" s="229">
        <f t="shared" si="121"/>
        <v>0</v>
      </c>
      <c r="BK125" s="229">
        <f t="shared" si="121"/>
        <v>0</v>
      </c>
      <c r="BL125" s="229">
        <f t="shared" si="121"/>
        <v>0</v>
      </c>
      <c r="BM125" s="229">
        <f t="shared" si="122"/>
        <v>0</v>
      </c>
      <c r="BN125" s="229">
        <f t="shared" si="122"/>
        <v>0</v>
      </c>
      <c r="BO125" s="229">
        <f t="shared" si="122"/>
        <v>0</v>
      </c>
      <c r="BP125" s="229">
        <f t="shared" si="122"/>
        <v>0</v>
      </c>
      <c r="BQ125" s="229">
        <f t="shared" si="122"/>
        <v>0</v>
      </c>
      <c r="BR125" s="229">
        <f t="shared" si="122"/>
        <v>0</v>
      </c>
      <c r="BS125" s="229">
        <f t="shared" si="122"/>
        <v>0</v>
      </c>
      <c r="BT125" s="229">
        <f t="shared" si="122"/>
        <v>0</v>
      </c>
      <c r="BU125" s="229">
        <f t="shared" si="122"/>
        <v>0</v>
      </c>
      <c r="BV125" s="229">
        <f t="shared" si="122"/>
        <v>0</v>
      </c>
      <c r="BW125" s="229">
        <f t="shared" si="122"/>
        <v>0</v>
      </c>
      <c r="BX125" s="229">
        <f t="shared" si="122"/>
        <v>0</v>
      </c>
      <c r="BY125" s="229">
        <f t="shared" si="122"/>
        <v>0</v>
      </c>
      <c r="BZ125" s="229">
        <f t="shared" si="122"/>
        <v>0</v>
      </c>
      <c r="CA125" s="229">
        <f t="shared" si="122"/>
        <v>0</v>
      </c>
      <c r="CB125" s="229">
        <f t="shared" si="123"/>
        <v>0</v>
      </c>
      <c r="CC125" s="229">
        <f t="shared" si="123"/>
        <v>0</v>
      </c>
      <c r="CD125" s="229">
        <f t="shared" si="123"/>
        <v>0</v>
      </c>
      <c r="CE125" s="229">
        <f t="shared" si="123"/>
        <v>0</v>
      </c>
      <c r="CF125" s="229">
        <f t="shared" si="123"/>
        <v>0</v>
      </c>
      <c r="CG125" s="229">
        <f t="shared" si="123"/>
        <v>0</v>
      </c>
      <c r="CH125" s="229">
        <f t="shared" si="123"/>
        <v>0</v>
      </c>
      <c r="CI125" s="229">
        <f t="shared" si="123"/>
        <v>0</v>
      </c>
      <c r="CJ125" s="229">
        <f t="shared" si="123"/>
        <v>0</v>
      </c>
      <c r="CK125" s="229">
        <f t="shared" si="123"/>
        <v>0</v>
      </c>
      <c r="CL125" s="229">
        <f t="shared" si="123"/>
        <v>0</v>
      </c>
      <c r="CM125" s="229">
        <f t="shared" si="123"/>
        <v>0</v>
      </c>
      <c r="CN125" s="229">
        <f t="shared" si="123"/>
        <v>0</v>
      </c>
      <c r="CO125" s="229">
        <f t="shared" si="123"/>
        <v>0</v>
      </c>
      <c r="CP125" s="229">
        <f t="shared" si="123"/>
        <v>0</v>
      </c>
      <c r="CQ125" s="229">
        <f t="shared" si="123"/>
        <v>0</v>
      </c>
      <c r="CR125" s="229">
        <f t="shared" si="123"/>
        <v>0</v>
      </c>
      <c r="CS125" s="230"/>
      <c r="CT125" s="231"/>
      <c r="CU125" s="231"/>
      <c r="CV125" s="231"/>
      <c r="CW125" s="231"/>
      <c r="CX125" s="231"/>
      <c r="CY125" s="231"/>
      <c r="CZ125" s="231"/>
      <c r="DA125" s="231"/>
      <c r="DB125" s="231">
        <f>IF(SUM(DB$24:DB124)=DB$22,0,IF(AND($K125&gt;=DB$15,$K125&lt;(DB$16+1)),DB$22/(DB$16-DB$15+1),0))</f>
        <v>0</v>
      </c>
      <c r="DC125" s="231">
        <f t="shared" si="114"/>
        <v>0</v>
      </c>
      <c r="DD125" s="231">
        <f t="shared" si="114"/>
        <v>0</v>
      </c>
      <c r="DE125" s="231">
        <f t="shared" si="114"/>
        <v>0</v>
      </c>
      <c r="DF125" s="231">
        <f t="shared" si="114"/>
        <v>0</v>
      </c>
      <c r="DG125" s="231">
        <f t="shared" si="114"/>
        <v>0</v>
      </c>
      <c r="DH125" s="231">
        <f t="shared" si="114"/>
        <v>0</v>
      </c>
      <c r="DI125" s="231">
        <f t="shared" si="114"/>
        <v>0</v>
      </c>
      <c r="DJ125" s="231">
        <f t="shared" si="114"/>
        <v>0</v>
      </c>
      <c r="DK125" s="231">
        <f t="shared" si="114"/>
        <v>0</v>
      </c>
      <c r="DL125" s="231">
        <f t="shared" si="114"/>
        <v>0</v>
      </c>
      <c r="DM125" s="231">
        <f t="shared" si="114"/>
        <v>0</v>
      </c>
      <c r="DN125" s="231">
        <f t="shared" si="114"/>
        <v>0</v>
      </c>
      <c r="DO125" s="231">
        <f t="shared" si="114"/>
        <v>0</v>
      </c>
      <c r="DP125" s="231">
        <f>'Offshore CF'!DR125</f>
        <v>0</v>
      </c>
      <c r="DQ125" s="231">
        <f>'Offshore CF'!DS125</f>
        <v>0</v>
      </c>
      <c r="DR125" s="231">
        <f ca="1">IF(SUM(DR$24:DR124)=DR$22,0,IF(AND($K125&gt;=DR$15,$K125&lt;(DR$16+1)),DR$22/(DR$16-DR$15+1),0))</f>
        <v>0</v>
      </c>
      <c r="DS125" s="231" t="e">
        <f ca="1">IF(SUM(DS$24:DS124)=DS$22,0,IF(AND($K125&gt;=DS$15,$K125&lt;(DS$16+1)),DS$22/(DS$16-DS$15+1),0))</f>
        <v>#REF!</v>
      </c>
      <c r="DT125" s="231" t="e">
        <f ca="1">IF(SUM(DT$24:DT124)=DT$22,0,IF(AND(K125&gt;=DT$15,K125&lt;(DT$16+1)),DT$22/(DT$16-DT$15+1),0))</f>
        <v>#REF!</v>
      </c>
      <c r="DU125" s="231" t="e">
        <f ca="1">IF(SUM(DU$24:DU124)=DU$22,0,IF(AND($K125&gt;=DU$15,$K125&lt;(DU$16+1)),DU$22/(DU$16-DU$15+1),0))</f>
        <v>#REF!</v>
      </c>
      <c r="DV125" s="231">
        <f ca="1">IF(SUM(DV$24:DV124)=DV$22,0,IF(AND($K125&gt;=DV$15,$K125&lt;(DV$16+1)),DV$22/(DV$16-DV$15+1),0))</f>
        <v>0</v>
      </c>
      <c r="DW125" s="231">
        <f ca="1">IF(SUM(DW$24:DW124)=DW$22,0,IF(AND($K125&gt;=DW$15,$K125&lt;(DW$16+1)),DW$22/(DW$16-DW$15+1),0))</f>
        <v>0</v>
      </c>
      <c r="DX125" s="231">
        <f ca="1">IF(SUM(DX$24:DX124)=DX$22,0,IF(AND($K125&gt;=DX$15,$K125&lt;(DX$16+1)),DX$22/(DX$16-DX$15+1),0))</f>
        <v>0</v>
      </c>
      <c r="DY125" s="231">
        <f ca="1">IF(SUM(DY$24:DY124)=DY$22,0,IF(AND($K125&gt;=DY$15,$K125&lt;(DY$16+1)),DY$22/(DY$16-DY$15+1),0))</f>
        <v>0</v>
      </c>
      <c r="EA125" s="749">
        <f t="shared" si="115"/>
        <v>102</v>
      </c>
      <c r="EB125" s="749" t="e">
        <f t="shared" ca="1" si="116"/>
        <v>#REF!</v>
      </c>
      <c r="EC125" s="750" t="e">
        <f t="shared" ca="1" si="82"/>
        <v>#REF!</v>
      </c>
      <c r="ED125" s="749" t="e">
        <f t="shared" ca="1" si="96"/>
        <v>#N/A</v>
      </c>
      <c r="EE125" s="749"/>
      <c r="EF125" s="749"/>
      <c r="EG125" s="749"/>
      <c r="EH125" s="749"/>
      <c r="EI125" s="714" t="e">
        <f t="shared" ca="1" si="83"/>
        <v>#REF!</v>
      </c>
      <c r="EJ125" s="231" t="e">
        <f ca="1">IF(SUM(EJ$24:EJ124)=EJ$22,0,IF(AND($K125&gt;=EJ$15,$K125&lt;(EJ$16+1)),EJ$22/(EJ$16-EJ$15+1),0))</f>
        <v>#REF!</v>
      </c>
      <c r="EK125" s="714" t="e">
        <f t="shared" ca="1" si="117"/>
        <v>#REF!</v>
      </c>
      <c r="EM125" s="60"/>
      <c r="EN125" s="60"/>
    </row>
    <row r="126" spans="1:144" ht="13.9" customHeight="1">
      <c r="A126" s="220"/>
      <c r="B126" s="236">
        <f t="shared" si="84"/>
        <v>103</v>
      </c>
      <c r="C126" s="221">
        <f t="shared" si="85"/>
        <v>46573.503400000161</v>
      </c>
      <c r="D126" s="746" t="e">
        <f t="shared" ca="1" si="86"/>
        <v>#DIV/0!</v>
      </c>
      <c r="E126" s="747" t="e">
        <f t="shared" ca="1" si="88"/>
        <v>#DIV/0!</v>
      </c>
      <c r="F126" s="748" t="e">
        <f ca="1">IF(F125=0,0,SUM($G$24:G126))</f>
        <v>#DIV/0!</v>
      </c>
      <c r="G126" s="225" t="e">
        <f t="shared" ca="1" si="111"/>
        <v>#DIV/0!</v>
      </c>
      <c r="H126" s="746">
        <f t="shared" ca="1" si="87"/>
        <v>0</v>
      </c>
      <c r="I126" s="60"/>
      <c r="J126" s="228"/>
      <c r="K126" s="228">
        <f t="shared" si="112"/>
        <v>103</v>
      </c>
      <c r="L126" s="221">
        <f t="shared" si="113"/>
        <v>46573.503400000161</v>
      </c>
      <c r="M126" s="229">
        <f t="shared" si="119"/>
        <v>0</v>
      </c>
      <c r="N126" s="229">
        <f t="shared" si="119"/>
        <v>0</v>
      </c>
      <c r="O126" s="229">
        <f t="shared" si="119"/>
        <v>0</v>
      </c>
      <c r="P126" s="229">
        <f t="shared" si="119"/>
        <v>0</v>
      </c>
      <c r="Q126" s="229">
        <f t="shared" si="119"/>
        <v>0</v>
      </c>
      <c r="R126" s="229">
        <f t="shared" si="118"/>
        <v>0</v>
      </c>
      <c r="S126" s="229">
        <f t="shared" si="118"/>
        <v>0</v>
      </c>
      <c r="T126" s="229">
        <f t="shared" si="118"/>
        <v>0</v>
      </c>
      <c r="U126" s="229">
        <f t="shared" si="119"/>
        <v>0</v>
      </c>
      <c r="V126" s="229">
        <f t="shared" si="119"/>
        <v>0</v>
      </c>
      <c r="W126" s="229">
        <f t="shared" si="119"/>
        <v>0</v>
      </c>
      <c r="X126" s="229">
        <f t="shared" si="119"/>
        <v>0</v>
      </c>
      <c r="Y126" s="229">
        <f t="shared" si="119"/>
        <v>0</v>
      </c>
      <c r="Z126" s="229">
        <f t="shared" si="119"/>
        <v>0</v>
      </c>
      <c r="AA126" s="229">
        <f t="shared" si="119"/>
        <v>0</v>
      </c>
      <c r="AB126" s="229">
        <f t="shared" si="119"/>
        <v>0</v>
      </c>
      <c r="AC126" s="229">
        <f t="shared" si="119"/>
        <v>0</v>
      </c>
      <c r="AD126" s="229">
        <f t="shared" si="119"/>
        <v>0</v>
      </c>
      <c r="AE126" s="229">
        <f t="shared" si="119"/>
        <v>0</v>
      </c>
      <c r="AF126" s="229">
        <f t="shared" si="119"/>
        <v>0</v>
      </c>
      <c r="AG126" s="229">
        <f t="shared" si="119"/>
        <v>0</v>
      </c>
      <c r="AH126" s="229">
        <f t="shared" si="119"/>
        <v>0</v>
      </c>
      <c r="AI126" s="229">
        <f t="shared" si="119"/>
        <v>0</v>
      </c>
      <c r="AJ126" s="229">
        <f t="shared" si="119"/>
        <v>0</v>
      </c>
      <c r="AK126" s="229">
        <f t="shared" si="119"/>
        <v>0</v>
      </c>
      <c r="AL126" s="229">
        <f t="shared" si="119"/>
        <v>0</v>
      </c>
      <c r="AM126" s="229">
        <f t="shared" si="119"/>
        <v>0</v>
      </c>
      <c r="AN126" s="229">
        <f t="shared" si="119"/>
        <v>0</v>
      </c>
      <c r="AO126" s="229">
        <f t="shared" si="119"/>
        <v>0</v>
      </c>
      <c r="AP126" s="229">
        <f t="shared" si="119"/>
        <v>0</v>
      </c>
      <c r="AQ126" s="229">
        <f t="shared" si="119"/>
        <v>0</v>
      </c>
      <c r="AR126" s="229">
        <f t="shared" si="120"/>
        <v>0</v>
      </c>
      <c r="AS126" s="229">
        <f t="shared" si="120"/>
        <v>0</v>
      </c>
      <c r="AT126" s="229">
        <f t="shared" si="120"/>
        <v>0</v>
      </c>
      <c r="AU126" s="229">
        <f t="shared" si="120"/>
        <v>0</v>
      </c>
      <c r="AV126" s="229">
        <f t="shared" si="120"/>
        <v>0</v>
      </c>
      <c r="AW126" s="229">
        <f t="shared" si="120"/>
        <v>0</v>
      </c>
      <c r="AX126" s="229">
        <f t="shared" si="120"/>
        <v>0</v>
      </c>
      <c r="AY126" s="229">
        <f t="shared" si="120"/>
        <v>0</v>
      </c>
      <c r="AZ126" s="229">
        <f t="shared" si="120"/>
        <v>0</v>
      </c>
      <c r="BA126" s="229">
        <f t="shared" si="120"/>
        <v>0</v>
      </c>
      <c r="BB126" s="229">
        <f t="shared" si="120"/>
        <v>0</v>
      </c>
      <c r="BC126" s="229">
        <f t="shared" si="121"/>
        <v>0</v>
      </c>
      <c r="BD126" s="229">
        <f t="shared" si="121"/>
        <v>0</v>
      </c>
      <c r="BE126" s="229">
        <f t="shared" si="121"/>
        <v>0</v>
      </c>
      <c r="BF126" s="229">
        <f t="shared" si="121"/>
        <v>0</v>
      </c>
      <c r="BG126" s="229">
        <f t="shared" si="121"/>
        <v>0</v>
      </c>
      <c r="BH126" s="229">
        <f t="shared" si="121"/>
        <v>0</v>
      </c>
      <c r="BI126" s="229">
        <f t="shared" si="121"/>
        <v>0</v>
      </c>
      <c r="BJ126" s="229">
        <f t="shared" si="121"/>
        <v>0</v>
      </c>
      <c r="BK126" s="229">
        <f t="shared" si="121"/>
        <v>0</v>
      </c>
      <c r="BL126" s="229">
        <f t="shared" si="121"/>
        <v>0</v>
      </c>
      <c r="BM126" s="229">
        <f t="shared" si="122"/>
        <v>0</v>
      </c>
      <c r="BN126" s="229">
        <f t="shared" si="122"/>
        <v>0</v>
      </c>
      <c r="BO126" s="229">
        <f t="shared" si="122"/>
        <v>0</v>
      </c>
      <c r="BP126" s="229">
        <f t="shared" si="122"/>
        <v>0</v>
      </c>
      <c r="BQ126" s="229">
        <f t="shared" si="122"/>
        <v>0</v>
      </c>
      <c r="BR126" s="229">
        <f t="shared" si="122"/>
        <v>0</v>
      </c>
      <c r="BS126" s="229">
        <f t="shared" si="122"/>
        <v>0</v>
      </c>
      <c r="BT126" s="229">
        <f t="shared" si="122"/>
        <v>0</v>
      </c>
      <c r="BU126" s="229">
        <f t="shared" si="122"/>
        <v>0</v>
      </c>
      <c r="BV126" s="229">
        <f t="shared" si="122"/>
        <v>0</v>
      </c>
      <c r="BW126" s="229">
        <f t="shared" si="122"/>
        <v>0</v>
      </c>
      <c r="BX126" s="229">
        <f t="shared" si="122"/>
        <v>0</v>
      </c>
      <c r="BY126" s="229">
        <f t="shared" si="122"/>
        <v>0</v>
      </c>
      <c r="BZ126" s="229">
        <f t="shared" si="122"/>
        <v>0</v>
      </c>
      <c r="CA126" s="229">
        <f t="shared" si="122"/>
        <v>0</v>
      </c>
      <c r="CB126" s="229">
        <f t="shared" si="123"/>
        <v>0</v>
      </c>
      <c r="CC126" s="229">
        <f t="shared" si="123"/>
        <v>0</v>
      </c>
      <c r="CD126" s="229">
        <f t="shared" si="123"/>
        <v>0</v>
      </c>
      <c r="CE126" s="229">
        <f t="shared" si="123"/>
        <v>0</v>
      </c>
      <c r="CF126" s="229">
        <f t="shared" si="123"/>
        <v>0</v>
      </c>
      <c r="CG126" s="229">
        <f t="shared" si="123"/>
        <v>0</v>
      </c>
      <c r="CH126" s="229">
        <f t="shared" si="123"/>
        <v>0</v>
      </c>
      <c r="CI126" s="229">
        <f t="shared" si="123"/>
        <v>0</v>
      </c>
      <c r="CJ126" s="229">
        <f t="shared" si="123"/>
        <v>0</v>
      </c>
      <c r="CK126" s="229">
        <f t="shared" si="123"/>
        <v>0</v>
      </c>
      <c r="CL126" s="229">
        <f t="shared" si="123"/>
        <v>0</v>
      </c>
      <c r="CM126" s="229">
        <f t="shared" si="123"/>
        <v>0</v>
      </c>
      <c r="CN126" s="229">
        <f t="shared" si="123"/>
        <v>0</v>
      </c>
      <c r="CO126" s="229">
        <f t="shared" si="123"/>
        <v>0</v>
      </c>
      <c r="CP126" s="229">
        <f t="shared" si="123"/>
        <v>0</v>
      </c>
      <c r="CQ126" s="229">
        <f t="shared" si="123"/>
        <v>0</v>
      </c>
      <c r="CR126" s="229">
        <f t="shared" si="123"/>
        <v>0</v>
      </c>
      <c r="CS126" s="230"/>
      <c r="CT126" s="231"/>
      <c r="CU126" s="231"/>
      <c r="CV126" s="231"/>
      <c r="CW126" s="231"/>
      <c r="CX126" s="231"/>
      <c r="CY126" s="231"/>
      <c r="CZ126" s="231"/>
      <c r="DA126" s="231" t="e">
        <f ca="1">IF(SUM(DA$32:DA125)&gt;=DA$22,0,DA$22/(DA$13*4))</f>
        <v>#N/A</v>
      </c>
      <c r="DB126" s="231">
        <f>IF(SUM(DB$24:DB125)=DB$22,0,IF(AND($K126&gt;=DB$15,$K126&lt;(DB$16+1)),DB$22/(DB$16-DB$15+1),0))</f>
        <v>0</v>
      </c>
      <c r="DC126" s="231">
        <f t="shared" si="114"/>
        <v>0</v>
      </c>
      <c r="DD126" s="231">
        <f t="shared" si="114"/>
        <v>0</v>
      </c>
      <c r="DE126" s="231">
        <f t="shared" si="114"/>
        <v>0</v>
      </c>
      <c r="DF126" s="231">
        <f t="shared" si="114"/>
        <v>0</v>
      </c>
      <c r="DG126" s="231">
        <f t="shared" si="114"/>
        <v>0</v>
      </c>
      <c r="DH126" s="231">
        <f t="shared" si="114"/>
        <v>0</v>
      </c>
      <c r="DI126" s="231">
        <f t="shared" si="114"/>
        <v>0</v>
      </c>
      <c r="DJ126" s="231">
        <f t="shared" si="114"/>
        <v>0</v>
      </c>
      <c r="DK126" s="231">
        <f t="shared" si="114"/>
        <v>0</v>
      </c>
      <c r="DL126" s="231">
        <f t="shared" si="114"/>
        <v>0</v>
      </c>
      <c r="DM126" s="231">
        <f t="shared" si="114"/>
        <v>0</v>
      </c>
      <c r="DN126" s="231">
        <f t="shared" si="114"/>
        <v>0</v>
      </c>
      <c r="DO126" s="231">
        <f t="shared" si="114"/>
        <v>0</v>
      </c>
      <c r="DP126" s="231">
        <f>'Offshore CF'!DR126</f>
        <v>0</v>
      </c>
      <c r="DQ126" s="231">
        <f>'Offshore CF'!DS126</f>
        <v>0</v>
      </c>
      <c r="DR126" s="231">
        <f ca="1">IF(SUM(DR$24:DR125)=DR$22,0,IF(AND($K126&gt;=DR$15,$K126&lt;(DR$16+1)),DR$22/(DR$16-DR$15+1),0))</f>
        <v>0</v>
      </c>
      <c r="DS126" s="231" t="e">
        <f ca="1">IF(SUM(DS$24:DS125)=DS$22,0,IF(AND($K126&gt;=DS$15,$K126&lt;(DS$16+1)),DS$22/(DS$16-DS$15+1),0))</f>
        <v>#REF!</v>
      </c>
      <c r="DT126" s="231" t="e">
        <f ca="1">IF(SUM(DT$24:DT125)=DT$22,0,IF(AND(K126&gt;=DT$15,K126&lt;(DT$16+1)),DT$22/(DT$16-DT$15+1),0))</f>
        <v>#REF!</v>
      </c>
      <c r="DU126" s="231" t="e">
        <f ca="1">IF(SUM(DU$24:DU125)=DU$22,0,IF(AND($K126&gt;=DU$15,$K126&lt;(DU$16+1)),DU$22/(DU$16-DU$15+1),0))</f>
        <v>#REF!</v>
      </c>
      <c r="DV126" s="231">
        <f ca="1">IF(SUM(DV$24:DV125)=DV$22,0,IF(AND($K126&gt;=DV$15,$K126&lt;(DV$16+1)),DV$22/(DV$16-DV$15+1),0))</f>
        <v>0</v>
      </c>
      <c r="DW126" s="231">
        <f ca="1">IF(SUM(DW$24:DW125)=DW$22,0,IF(AND($K126&gt;=DW$15,$K126&lt;(DW$16+1)),DW$22/(DW$16-DW$15+1),0))</f>
        <v>0</v>
      </c>
      <c r="DX126" s="231">
        <f ca="1">IF(SUM(DX$24:DX125)=DX$22,0,IF(AND($K126&gt;=DX$15,$K126&lt;(DX$16+1)),DX$22/(DX$16-DX$15+1),0))</f>
        <v>0</v>
      </c>
      <c r="DY126" s="231">
        <f ca="1">IF(SUM(DY$24:DY125)=DY$22,0,IF(AND($K126&gt;=DY$15,$K126&lt;(DY$16+1)),DY$22/(DY$16-DY$15+1),0))</f>
        <v>0</v>
      </c>
      <c r="EA126" s="749">
        <f t="shared" si="115"/>
        <v>103</v>
      </c>
      <c r="EB126" s="749" t="e">
        <f t="shared" ca="1" si="116"/>
        <v>#N/A</v>
      </c>
      <c r="EC126" s="750" t="e">
        <f t="shared" ca="1" si="82"/>
        <v>#N/A</v>
      </c>
      <c r="ED126" s="749" t="e">
        <f t="shared" ca="1" si="96"/>
        <v>#REF!</v>
      </c>
      <c r="EE126" s="749"/>
      <c r="EF126" s="749"/>
      <c r="EG126" s="749"/>
      <c r="EH126" s="749"/>
      <c r="EI126" s="714" t="e">
        <f t="shared" ca="1" si="83"/>
        <v>#N/A</v>
      </c>
      <c r="EJ126" s="231" t="e">
        <f ca="1">IF(SUM(EJ$24:EJ125)=EJ$22,0,IF(AND($K126&gt;=EJ$15,$K126&lt;(EJ$16+1)),EJ$22/(EJ$16-EJ$15+1),0))</f>
        <v>#REF!</v>
      </c>
      <c r="EK126" s="714" t="e">
        <f t="shared" ca="1" si="117"/>
        <v>#N/A</v>
      </c>
      <c r="EM126" s="60"/>
      <c r="EN126" s="60"/>
    </row>
    <row r="127" spans="1:144" ht="13.9" customHeight="1">
      <c r="A127" s="220"/>
      <c r="B127" s="236">
        <f t="shared" si="84"/>
        <v>104</v>
      </c>
      <c r="C127" s="221">
        <f t="shared" si="85"/>
        <v>46603.920100000163</v>
      </c>
      <c r="D127" s="746" t="e">
        <f t="shared" ca="1" si="86"/>
        <v>#DIV/0!</v>
      </c>
      <c r="E127" s="747" t="e">
        <f t="shared" ca="1" si="88"/>
        <v>#DIV/0!</v>
      </c>
      <c r="F127" s="748" t="e">
        <f ca="1">IF(F126=0,0,SUM($G$24:G127))</f>
        <v>#DIV/0!</v>
      </c>
      <c r="G127" s="225" t="e">
        <f t="shared" ca="1" si="111"/>
        <v>#DIV/0!</v>
      </c>
      <c r="H127" s="746">
        <f t="shared" ca="1" si="87"/>
        <v>0</v>
      </c>
      <c r="I127" s="60"/>
      <c r="J127" s="228"/>
      <c r="K127" s="228">
        <f t="shared" si="112"/>
        <v>104</v>
      </c>
      <c r="L127" s="221">
        <f t="shared" si="113"/>
        <v>46603.920100000163</v>
      </c>
      <c r="M127" s="229">
        <f t="shared" si="119"/>
        <v>0</v>
      </c>
      <c r="N127" s="229">
        <f t="shared" si="119"/>
        <v>0</v>
      </c>
      <c r="O127" s="229">
        <f t="shared" si="119"/>
        <v>0</v>
      </c>
      <c r="P127" s="229">
        <f t="shared" si="119"/>
        <v>0</v>
      </c>
      <c r="Q127" s="229">
        <f t="shared" si="119"/>
        <v>0</v>
      </c>
      <c r="R127" s="229">
        <f t="shared" si="118"/>
        <v>0</v>
      </c>
      <c r="S127" s="229">
        <f t="shared" si="118"/>
        <v>0</v>
      </c>
      <c r="T127" s="229">
        <f t="shared" si="118"/>
        <v>0</v>
      </c>
      <c r="U127" s="229">
        <f t="shared" si="119"/>
        <v>0</v>
      </c>
      <c r="V127" s="229">
        <f t="shared" si="119"/>
        <v>0</v>
      </c>
      <c r="W127" s="229">
        <f t="shared" si="119"/>
        <v>0</v>
      </c>
      <c r="X127" s="229">
        <f t="shared" si="119"/>
        <v>0</v>
      </c>
      <c r="Y127" s="229">
        <f t="shared" si="119"/>
        <v>0</v>
      </c>
      <c r="Z127" s="229">
        <f t="shared" si="119"/>
        <v>0</v>
      </c>
      <c r="AA127" s="229">
        <f t="shared" si="119"/>
        <v>0</v>
      </c>
      <c r="AB127" s="229">
        <f t="shared" si="119"/>
        <v>0</v>
      </c>
      <c r="AC127" s="229">
        <f t="shared" si="119"/>
        <v>0</v>
      </c>
      <c r="AD127" s="229">
        <f t="shared" si="119"/>
        <v>0</v>
      </c>
      <c r="AE127" s="229">
        <f t="shared" si="119"/>
        <v>0</v>
      </c>
      <c r="AF127" s="229">
        <f t="shared" si="119"/>
        <v>0</v>
      </c>
      <c r="AG127" s="229">
        <f t="shared" si="119"/>
        <v>0</v>
      </c>
      <c r="AH127" s="229">
        <f t="shared" si="119"/>
        <v>0</v>
      </c>
      <c r="AI127" s="229">
        <f t="shared" si="119"/>
        <v>0</v>
      </c>
      <c r="AJ127" s="229">
        <f t="shared" si="119"/>
        <v>0</v>
      </c>
      <c r="AK127" s="229">
        <f t="shared" si="119"/>
        <v>0</v>
      </c>
      <c r="AL127" s="229">
        <f t="shared" si="119"/>
        <v>0</v>
      </c>
      <c r="AM127" s="229">
        <f t="shared" si="119"/>
        <v>0</v>
      </c>
      <c r="AN127" s="229">
        <f t="shared" si="119"/>
        <v>0</v>
      </c>
      <c r="AO127" s="229">
        <f t="shared" si="119"/>
        <v>0</v>
      </c>
      <c r="AP127" s="229">
        <f t="shared" si="119"/>
        <v>0</v>
      </c>
      <c r="AQ127" s="229">
        <f t="shared" si="119"/>
        <v>0</v>
      </c>
      <c r="AR127" s="229">
        <f t="shared" si="120"/>
        <v>0</v>
      </c>
      <c r="AS127" s="229">
        <f t="shared" si="120"/>
        <v>0</v>
      </c>
      <c r="AT127" s="229">
        <f t="shared" si="120"/>
        <v>0</v>
      </c>
      <c r="AU127" s="229">
        <f t="shared" si="120"/>
        <v>0</v>
      </c>
      <c r="AV127" s="229">
        <f t="shared" si="120"/>
        <v>0</v>
      </c>
      <c r="AW127" s="229">
        <f t="shared" si="120"/>
        <v>0</v>
      </c>
      <c r="AX127" s="229">
        <f t="shared" si="120"/>
        <v>0</v>
      </c>
      <c r="AY127" s="229">
        <f t="shared" si="120"/>
        <v>0</v>
      </c>
      <c r="AZ127" s="229">
        <f t="shared" si="120"/>
        <v>0</v>
      </c>
      <c r="BA127" s="229">
        <f t="shared" si="120"/>
        <v>0</v>
      </c>
      <c r="BB127" s="229">
        <f t="shared" si="120"/>
        <v>0</v>
      </c>
      <c r="BC127" s="229">
        <f t="shared" si="121"/>
        <v>0</v>
      </c>
      <c r="BD127" s="229">
        <f t="shared" si="121"/>
        <v>0</v>
      </c>
      <c r="BE127" s="229">
        <f t="shared" si="121"/>
        <v>0</v>
      </c>
      <c r="BF127" s="229">
        <f t="shared" si="121"/>
        <v>0</v>
      </c>
      <c r="BG127" s="229">
        <f t="shared" si="121"/>
        <v>0</v>
      </c>
      <c r="BH127" s="229">
        <f t="shared" si="121"/>
        <v>0</v>
      </c>
      <c r="BI127" s="229">
        <f t="shared" si="121"/>
        <v>0</v>
      </c>
      <c r="BJ127" s="229">
        <f t="shared" si="121"/>
        <v>0</v>
      </c>
      <c r="BK127" s="229">
        <f t="shared" si="121"/>
        <v>0</v>
      </c>
      <c r="BL127" s="229">
        <f t="shared" si="121"/>
        <v>0</v>
      </c>
      <c r="BM127" s="229">
        <f t="shared" si="122"/>
        <v>0</v>
      </c>
      <c r="BN127" s="229">
        <f t="shared" si="122"/>
        <v>0</v>
      </c>
      <c r="BO127" s="229">
        <f t="shared" si="122"/>
        <v>0</v>
      </c>
      <c r="BP127" s="229">
        <f t="shared" si="122"/>
        <v>0</v>
      </c>
      <c r="BQ127" s="229">
        <f t="shared" si="122"/>
        <v>0</v>
      </c>
      <c r="BR127" s="229">
        <f t="shared" si="122"/>
        <v>0</v>
      </c>
      <c r="BS127" s="229">
        <f t="shared" si="122"/>
        <v>0</v>
      </c>
      <c r="BT127" s="229">
        <f t="shared" si="122"/>
        <v>0</v>
      </c>
      <c r="BU127" s="229">
        <f t="shared" si="122"/>
        <v>0</v>
      </c>
      <c r="BV127" s="229">
        <f t="shared" si="122"/>
        <v>0</v>
      </c>
      <c r="BW127" s="229">
        <f t="shared" si="122"/>
        <v>0</v>
      </c>
      <c r="BX127" s="229">
        <f t="shared" si="122"/>
        <v>0</v>
      </c>
      <c r="BY127" s="229">
        <f t="shared" si="122"/>
        <v>0</v>
      </c>
      <c r="BZ127" s="229">
        <f t="shared" si="122"/>
        <v>0</v>
      </c>
      <c r="CA127" s="229">
        <f t="shared" si="122"/>
        <v>0</v>
      </c>
      <c r="CB127" s="229">
        <f t="shared" si="123"/>
        <v>0</v>
      </c>
      <c r="CC127" s="229">
        <f t="shared" si="123"/>
        <v>0</v>
      </c>
      <c r="CD127" s="229">
        <f t="shared" si="123"/>
        <v>0</v>
      </c>
      <c r="CE127" s="229">
        <f t="shared" si="123"/>
        <v>0</v>
      </c>
      <c r="CF127" s="229">
        <f t="shared" si="123"/>
        <v>0</v>
      </c>
      <c r="CG127" s="229">
        <f t="shared" si="123"/>
        <v>0</v>
      </c>
      <c r="CH127" s="229">
        <f t="shared" si="123"/>
        <v>0</v>
      </c>
      <c r="CI127" s="229">
        <f t="shared" si="123"/>
        <v>0</v>
      </c>
      <c r="CJ127" s="229">
        <f t="shared" si="123"/>
        <v>0</v>
      </c>
      <c r="CK127" s="229">
        <f t="shared" si="123"/>
        <v>0</v>
      </c>
      <c r="CL127" s="229">
        <f t="shared" si="123"/>
        <v>0</v>
      </c>
      <c r="CM127" s="229">
        <f t="shared" si="123"/>
        <v>0</v>
      </c>
      <c r="CN127" s="229">
        <f t="shared" si="123"/>
        <v>0</v>
      </c>
      <c r="CO127" s="229">
        <f t="shared" si="123"/>
        <v>0</v>
      </c>
      <c r="CP127" s="229">
        <f t="shared" si="123"/>
        <v>0</v>
      </c>
      <c r="CQ127" s="229">
        <f t="shared" si="123"/>
        <v>0</v>
      </c>
      <c r="CR127" s="229">
        <f t="shared" si="123"/>
        <v>0</v>
      </c>
      <c r="CS127" s="230"/>
      <c r="CT127" s="231"/>
      <c r="CU127" s="231"/>
      <c r="CV127" s="231"/>
      <c r="CW127" s="231"/>
      <c r="CX127" s="231"/>
      <c r="CY127" s="231"/>
      <c r="CZ127" s="231"/>
      <c r="DA127" s="231"/>
      <c r="DB127" s="231">
        <f>IF(SUM(DB$24:DB126)=DB$22,0,IF(AND($K127&gt;=DB$15,$K127&lt;(DB$16+1)),DB$22/(DB$16-DB$15+1),0))</f>
        <v>0</v>
      </c>
      <c r="DC127" s="231">
        <f t="shared" si="114"/>
        <v>0</v>
      </c>
      <c r="DD127" s="231">
        <f t="shared" si="114"/>
        <v>0</v>
      </c>
      <c r="DE127" s="231">
        <f t="shared" si="114"/>
        <v>0</v>
      </c>
      <c r="DF127" s="231">
        <f t="shared" si="114"/>
        <v>0</v>
      </c>
      <c r="DG127" s="231">
        <f t="shared" si="114"/>
        <v>0</v>
      </c>
      <c r="DH127" s="231">
        <f t="shared" si="114"/>
        <v>0</v>
      </c>
      <c r="DI127" s="231">
        <f t="shared" si="114"/>
        <v>0</v>
      </c>
      <c r="DJ127" s="231">
        <f t="shared" si="114"/>
        <v>0</v>
      </c>
      <c r="DK127" s="231">
        <f t="shared" si="114"/>
        <v>0</v>
      </c>
      <c r="DL127" s="231">
        <f t="shared" si="114"/>
        <v>0</v>
      </c>
      <c r="DM127" s="231">
        <f t="shared" si="114"/>
        <v>0</v>
      </c>
      <c r="DN127" s="231">
        <f t="shared" si="114"/>
        <v>0</v>
      </c>
      <c r="DO127" s="231">
        <f t="shared" si="114"/>
        <v>0</v>
      </c>
      <c r="DP127" s="231">
        <f>'Offshore CF'!DR127</f>
        <v>0</v>
      </c>
      <c r="DQ127" s="231">
        <f>'Offshore CF'!DS127</f>
        <v>0</v>
      </c>
      <c r="DR127" s="231">
        <f ca="1">IF(SUM(DR$24:DR126)=DR$22,0,IF(AND($K127&gt;=DR$15,$K127&lt;(DR$16+1)),DR$22/(DR$16-DR$15+1),0))</f>
        <v>0</v>
      </c>
      <c r="DS127" s="231" t="e">
        <f ca="1">IF(SUM(DS$24:DS126)=DS$22,0,IF(AND($K127&gt;=DS$15,$K127&lt;(DS$16+1)),DS$22/(DS$16-DS$15+1),0))</f>
        <v>#REF!</v>
      </c>
      <c r="DT127" s="231" t="e">
        <f ca="1">IF(SUM(DT$24:DT126)=DT$22,0,IF(AND(K127&gt;=DT$15,K127&lt;(DT$16+1)),DT$22/(DT$16-DT$15+1),0))</f>
        <v>#REF!</v>
      </c>
      <c r="DU127" s="231" t="e">
        <f ca="1">IF(SUM(DU$24:DU126)=DU$22,0,IF(AND($K127&gt;=DU$15,$K127&lt;(DU$16+1)),DU$22/(DU$16-DU$15+1),0))</f>
        <v>#REF!</v>
      </c>
      <c r="DV127" s="231">
        <f ca="1">IF(SUM(DV$24:DV126)=DV$22,0,IF(AND($K127&gt;=DV$15,$K127&lt;(DV$16+1)),DV$22/(DV$16-DV$15+1),0))</f>
        <v>0</v>
      </c>
      <c r="DW127" s="231">
        <f ca="1">IF(SUM(DW$24:DW126)=DW$22,0,IF(AND($K127&gt;=DW$15,$K127&lt;(DW$16+1)),DW$22/(DW$16-DW$15+1),0))</f>
        <v>0</v>
      </c>
      <c r="DX127" s="231">
        <f ca="1">IF(SUM(DX$24:DX126)=DX$22,0,IF(AND($K127&gt;=DX$15,$K127&lt;(DX$16+1)),DX$22/(DX$16-DX$15+1),0))</f>
        <v>0</v>
      </c>
      <c r="DY127" s="231">
        <f ca="1">IF(SUM(DY$24:DY126)=DY$22,0,IF(AND($K127&gt;=DY$15,$K127&lt;(DY$16+1)),DY$22/(DY$16-DY$15+1),0))</f>
        <v>0</v>
      </c>
      <c r="EA127" s="749">
        <f t="shared" si="115"/>
        <v>104</v>
      </c>
      <c r="EB127" s="749" t="e">
        <f t="shared" ca="1" si="116"/>
        <v>#REF!</v>
      </c>
      <c r="EC127" s="750" t="e">
        <f t="shared" ca="1" si="82"/>
        <v>#REF!</v>
      </c>
      <c r="ED127" s="749" t="e">
        <f t="shared" ca="1" si="96"/>
        <v>#REF!</v>
      </c>
      <c r="EE127" s="749"/>
      <c r="EF127" s="749"/>
      <c r="EG127" s="749"/>
      <c r="EH127" s="749"/>
      <c r="EI127" s="714" t="e">
        <f t="shared" ca="1" si="83"/>
        <v>#REF!</v>
      </c>
      <c r="EJ127" s="231" t="e">
        <f ca="1">IF(SUM(EJ$24:EJ126)=EJ$22,0,IF(AND($K127&gt;=EJ$15,$K127&lt;(EJ$16+1)),EJ$22/(EJ$16-EJ$15+1),0))</f>
        <v>#REF!</v>
      </c>
      <c r="EK127" s="714" t="e">
        <f t="shared" ca="1" si="117"/>
        <v>#REF!</v>
      </c>
      <c r="EM127" s="60"/>
      <c r="EN127" s="60"/>
    </row>
    <row r="128" spans="1:144" ht="13.9" customHeight="1">
      <c r="A128" s="220"/>
      <c r="B128" s="236">
        <f t="shared" si="84"/>
        <v>105</v>
      </c>
      <c r="C128" s="221">
        <f t="shared" si="85"/>
        <v>46634.336800000165</v>
      </c>
      <c r="D128" s="746" t="e">
        <f t="shared" ca="1" si="86"/>
        <v>#DIV/0!</v>
      </c>
      <c r="E128" s="747" t="e">
        <f t="shared" ca="1" si="88"/>
        <v>#DIV/0!</v>
      </c>
      <c r="F128" s="748" t="e">
        <f ca="1">IF(F127=0,0,SUM($G$24:G128))</f>
        <v>#DIV/0!</v>
      </c>
      <c r="G128" s="225" t="e">
        <f t="shared" ca="1" si="111"/>
        <v>#DIV/0!</v>
      </c>
      <c r="H128" s="746">
        <f t="shared" ca="1" si="87"/>
        <v>0</v>
      </c>
      <c r="I128" s="60"/>
      <c r="J128" s="228"/>
      <c r="K128" s="228">
        <f t="shared" si="112"/>
        <v>105</v>
      </c>
      <c r="L128" s="221">
        <f t="shared" si="113"/>
        <v>46634.336800000165</v>
      </c>
      <c r="M128" s="229">
        <f t="shared" si="119"/>
        <v>0</v>
      </c>
      <c r="N128" s="229">
        <f t="shared" si="119"/>
        <v>0</v>
      </c>
      <c r="O128" s="229">
        <f t="shared" si="119"/>
        <v>0</v>
      </c>
      <c r="P128" s="229">
        <f t="shared" si="119"/>
        <v>0</v>
      </c>
      <c r="Q128" s="229">
        <f t="shared" si="119"/>
        <v>0</v>
      </c>
      <c r="R128" s="229">
        <f t="shared" si="118"/>
        <v>0</v>
      </c>
      <c r="S128" s="229">
        <f t="shared" si="118"/>
        <v>0</v>
      </c>
      <c r="T128" s="229">
        <f t="shared" si="118"/>
        <v>0</v>
      </c>
      <c r="U128" s="229">
        <f t="shared" si="119"/>
        <v>0</v>
      </c>
      <c r="V128" s="229">
        <f t="shared" si="119"/>
        <v>0</v>
      </c>
      <c r="W128" s="229">
        <f t="shared" si="119"/>
        <v>0</v>
      </c>
      <c r="X128" s="229">
        <f t="shared" si="119"/>
        <v>0</v>
      </c>
      <c r="Y128" s="229">
        <f t="shared" si="119"/>
        <v>0</v>
      </c>
      <c r="Z128" s="229">
        <f t="shared" si="119"/>
        <v>0</v>
      </c>
      <c r="AA128" s="229">
        <f t="shared" si="119"/>
        <v>0</v>
      </c>
      <c r="AB128" s="229">
        <f t="shared" si="119"/>
        <v>0</v>
      </c>
      <c r="AC128" s="229">
        <f t="shared" si="119"/>
        <v>0</v>
      </c>
      <c r="AD128" s="229">
        <f t="shared" si="119"/>
        <v>0</v>
      </c>
      <c r="AE128" s="229">
        <f t="shared" si="119"/>
        <v>0</v>
      </c>
      <c r="AF128" s="229">
        <f t="shared" si="119"/>
        <v>0</v>
      </c>
      <c r="AG128" s="229">
        <f t="shared" si="119"/>
        <v>0</v>
      </c>
      <c r="AH128" s="229">
        <f t="shared" si="119"/>
        <v>0</v>
      </c>
      <c r="AI128" s="229">
        <f t="shared" si="119"/>
        <v>0</v>
      </c>
      <c r="AJ128" s="229">
        <f t="shared" si="119"/>
        <v>0</v>
      </c>
      <c r="AK128" s="229">
        <f t="shared" si="119"/>
        <v>0</v>
      </c>
      <c r="AL128" s="229">
        <f t="shared" si="119"/>
        <v>0</v>
      </c>
      <c r="AM128" s="229">
        <f t="shared" si="119"/>
        <v>0</v>
      </c>
      <c r="AN128" s="229">
        <f t="shared" si="119"/>
        <v>0</v>
      </c>
      <c r="AO128" s="229">
        <f t="shared" si="119"/>
        <v>0</v>
      </c>
      <c r="AP128" s="229">
        <f t="shared" si="119"/>
        <v>0</v>
      </c>
      <c r="AQ128" s="229">
        <f t="shared" si="119"/>
        <v>0</v>
      </c>
      <c r="AR128" s="229">
        <f t="shared" si="120"/>
        <v>0</v>
      </c>
      <c r="AS128" s="229">
        <f t="shared" si="120"/>
        <v>0</v>
      </c>
      <c r="AT128" s="229">
        <f t="shared" si="120"/>
        <v>0</v>
      </c>
      <c r="AU128" s="229">
        <f t="shared" si="120"/>
        <v>0</v>
      </c>
      <c r="AV128" s="229">
        <f t="shared" si="120"/>
        <v>0</v>
      </c>
      <c r="AW128" s="229">
        <f t="shared" si="120"/>
        <v>0</v>
      </c>
      <c r="AX128" s="229">
        <f t="shared" si="120"/>
        <v>0</v>
      </c>
      <c r="AY128" s="229">
        <f t="shared" si="120"/>
        <v>0</v>
      </c>
      <c r="AZ128" s="229">
        <f t="shared" si="120"/>
        <v>0</v>
      </c>
      <c r="BA128" s="229">
        <f t="shared" si="120"/>
        <v>0</v>
      </c>
      <c r="BB128" s="229">
        <f t="shared" si="120"/>
        <v>0</v>
      </c>
      <c r="BC128" s="229">
        <f t="shared" si="121"/>
        <v>0</v>
      </c>
      <c r="BD128" s="229">
        <f t="shared" si="121"/>
        <v>0</v>
      </c>
      <c r="BE128" s="229">
        <f t="shared" si="121"/>
        <v>0</v>
      </c>
      <c r="BF128" s="229">
        <f t="shared" si="121"/>
        <v>0</v>
      </c>
      <c r="BG128" s="229">
        <f t="shared" si="121"/>
        <v>0</v>
      </c>
      <c r="BH128" s="229">
        <f t="shared" si="121"/>
        <v>0</v>
      </c>
      <c r="BI128" s="229">
        <f t="shared" si="121"/>
        <v>0</v>
      </c>
      <c r="BJ128" s="229">
        <f t="shared" si="121"/>
        <v>0</v>
      </c>
      <c r="BK128" s="229">
        <f t="shared" si="121"/>
        <v>0</v>
      </c>
      <c r="BL128" s="229">
        <f t="shared" si="121"/>
        <v>0</v>
      </c>
      <c r="BM128" s="229">
        <f t="shared" si="122"/>
        <v>0</v>
      </c>
      <c r="BN128" s="229">
        <f t="shared" si="122"/>
        <v>0</v>
      </c>
      <c r="BO128" s="229">
        <f t="shared" si="122"/>
        <v>0</v>
      </c>
      <c r="BP128" s="229">
        <f t="shared" si="122"/>
        <v>0</v>
      </c>
      <c r="BQ128" s="229">
        <f t="shared" si="122"/>
        <v>0</v>
      </c>
      <c r="BR128" s="229">
        <f t="shared" si="122"/>
        <v>0</v>
      </c>
      <c r="BS128" s="229">
        <f t="shared" si="122"/>
        <v>0</v>
      </c>
      <c r="BT128" s="229">
        <f t="shared" si="122"/>
        <v>0</v>
      </c>
      <c r="BU128" s="229">
        <f t="shared" si="122"/>
        <v>0</v>
      </c>
      <c r="BV128" s="229">
        <f t="shared" si="122"/>
        <v>0</v>
      </c>
      <c r="BW128" s="229">
        <f t="shared" si="122"/>
        <v>0</v>
      </c>
      <c r="BX128" s="229">
        <f t="shared" si="122"/>
        <v>0</v>
      </c>
      <c r="BY128" s="229">
        <f t="shared" si="122"/>
        <v>0</v>
      </c>
      <c r="BZ128" s="229">
        <f t="shared" si="122"/>
        <v>0</v>
      </c>
      <c r="CA128" s="229">
        <f t="shared" si="122"/>
        <v>0</v>
      </c>
      <c r="CB128" s="229">
        <f t="shared" si="123"/>
        <v>0</v>
      </c>
      <c r="CC128" s="229">
        <f t="shared" si="123"/>
        <v>0</v>
      </c>
      <c r="CD128" s="229">
        <f t="shared" si="123"/>
        <v>0</v>
      </c>
      <c r="CE128" s="229">
        <f t="shared" si="123"/>
        <v>0</v>
      </c>
      <c r="CF128" s="229">
        <f t="shared" si="123"/>
        <v>0</v>
      </c>
      <c r="CG128" s="229">
        <f t="shared" si="123"/>
        <v>0</v>
      </c>
      <c r="CH128" s="229">
        <f t="shared" si="123"/>
        <v>0</v>
      </c>
      <c r="CI128" s="229">
        <f t="shared" si="123"/>
        <v>0</v>
      </c>
      <c r="CJ128" s="229">
        <f t="shared" si="123"/>
        <v>0</v>
      </c>
      <c r="CK128" s="229">
        <f t="shared" si="123"/>
        <v>0</v>
      </c>
      <c r="CL128" s="229">
        <f t="shared" si="123"/>
        <v>0</v>
      </c>
      <c r="CM128" s="229">
        <f t="shared" si="123"/>
        <v>0</v>
      </c>
      <c r="CN128" s="229">
        <f t="shared" si="123"/>
        <v>0</v>
      </c>
      <c r="CO128" s="229">
        <f t="shared" si="123"/>
        <v>0</v>
      </c>
      <c r="CP128" s="229">
        <f t="shared" si="123"/>
        <v>0</v>
      </c>
      <c r="CQ128" s="229">
        <f t="shared" si="123"/>
        <v>0</v>
      </c>
      <c r="CR128" s="229">
        <f t="shared" si="123"/>
        <v>0</v>
      </c>
      <c r="CS128" s="230"/>
      <c r="CT128" s="231"/>
      <c r="CU128" s="231"/>
      <c r="CV128" s="231"/>
      <c r="CW128" s="231"/>
      <c r="CX128" s="231"/>
      <c r="CY128" s="231"/>
      <c r="CZ128" s="231"/>
      <c r="DA128" s="231"/>
      <c r="DB128" s="231">
        <f>IF(SUM(DB$24:DB127)=DB$22,0,IF(AND($K128&gt;=DB$15,$K128&lt;(DB$16+1)),DB$22/(DB$16-DB$15+1),0))</f>
        <v>0</v>
      </c>
      <c r="DC128" s="231">
        <f t="shared" si="114"/>
        <v>0</v>
      </c>
      <c r="DD128" s="231">
        <f t="shared" si="114"/>
        <v>0</v>
      </c>
      <c r="DE128" s="231">
        <f t="shared" si="114"/>
        <v>0</v>
      </c>
      <c r="DF128" s="231">
        <f t="shared" si="114"/>
        <v>0</v>
      </c>
      <c r="DG128" s="231">
        <f t="shared" si="114"/>
        <v>0</v>
      </c>
      <c r="DH128" s="231">
        <f t="shared" si="114"/>
        <v>0</v>
      </c>
      <c r="DI128" s="231">
        <f t="shared" si="114"/>
        <v>0</v>
      </c>
      <c r="DJ128" s="231">
        <f t="shared" si="114"/>
        <v>0</v>
      </c>
      <c r="DK128" s="231">
        <f t="shared" si="114"/>
        <v>0</v>
      </c>
      <c r="DL128" s="231">
        <f t="shared" si="114"/>
        <v>0</v>
      </c>
      <c r="DM128" s="231">
        <f t="shared" si="114"/>
        <v>0</v>
      </c>
      <c r="DN128" s="231">
        <f t="shared" si="114"/>
        <v>0</v>
      </c>
      <c r="DO128" s="231">
        <f t="shared" si="114"/>
        <v>0</v>
      </c>
      <c r="DP128" s="231">
        <f>'Offshore CF'!DR128</f>
        <v>0</v>
      </c>
      <c r="DQ128" s="231">
        <f>'Offshore CF'!DS128</f>
        <v>0</v>
      </c>
      <c r="DR128" s="231">
        <f ca="1">IF(SUM(DR$24:DR127)=DR$22,0,IF(AND($K128&gt;=DR$15,$K128&lt;(DR$16+1)),DR$22/(DR$16-DR$15+1),0))</f>
        <v>0</v>
      </c>
      <c r="DS128" s="231" t="e">
        <f ca="1">IF(SUM(DS$24:DS127)=DS$22,0,IF(AND($K128&gt;=DS$15,$K128&lt;(DS$16+1)),DS$22/(DS$16-DS$15+1),0))</f>
        <v>#REF!</v>
      </c>
      <c r="DT128" s="231" t="e">
        <f ca="1">IF(SUM(DT$24:DT127)=DT$22,0,IF(AND(K128&gt;=DT$15,K128&lt;(DT$16+1)),DT$22/(DT$16-DT$15+1),0))</f>
        <v>#REF!</v>
      </c>
      <c r="DU128" s="231" t="e">
        <f ca="1">IF(SUM(DU$24:DU127)=DU$22,0,IF(AND($K128&gt;=DU$15,$K128&lt;(DU$16+1)),DU$22/(DU$16-DU$15+1),0))</f>
        <v>#REF!</v>
      </c>
      <c r="DV128" s="231">
        <f ca="1">IF(SUM(DV$24:DV127)=DV$22,0,IF(AND($K128&gt;=DV$15,$K128&lt;(DV$16+1)),DV$22/(DV$16-DV$15+1),0))</f>
        <v>0</v>
      </c>
      <c r="DW128" s="231">
        <f ca="1">IF(SUM(DW$24:DW127)=DW$22,0,IF(AND($K128&gt;=DW$15,$K128&lt;(DW$16+1)),DW$22/(DW$16-DW$15+1),0))</f>
        <v>0</v>
      </c>
      <c r="DX128" s="231">
        <f ca="1">IF(SUM(DX$24:DX127)=DX$22,0,IF(AND($K128&gt;=DX$15,$K128&lt;(DX$16+1)),DX$22/(DX$16-DX$15+1),0))</f>
        <v>0</v>
      </c>
      <c r="DY128" s="231">
        <f ca="1">IF(SUM(DY$24:DY127)=DY$22,0,IF(AND($K128&gt;=DY$15,$K128&lt;(DY$16+1)),DY$22/(DY$16-DY$15+1),0))</f>
        <v>0</v>
      </c>
      <c r="EA128" s="749">
        <f t="shared" si="115"/>
        <v>105</v>
      </c>
      <c r="EB128" s="749" t="e">
        <f t="shared" ca="1" si="116"/>
        <v>#REF!</v>
      </c>
      <c r="EC128" s="750" t="e">
        <f t="shared" ca="1" si="82"/>
        <v>#REF!</v>
      </c>
      <c r="ED128" s="749" t="e">
        <f t="shared" ca="1" si="96"/>
        <v>#N/A</v>
      </c>
      <c r="EE128" s="749"/>
      <c r="EF128" s="749"/>
      <c r="EG128" s="749"/>
      <c r="EH128" s="749"/>
      <c r="EI128" s="714" t="e">
        <f t="shared" ca="1" si="83"/>
        <v>#REF!</v>
      </c>
      <c r="EJ128" s="231" t="e">
        <f ca="1">IF(SUM(EJ$24:EJ127)=EJ$22,0,IF(AND($K128&gt;=EJ$15,$K128&lt;(EJ$16+1)),EJ$22/(EJ$16-EJ$15+1),0))</f>
        <v>#REF!</v>
      </c>
      <c r="EK128" s="714" t="e">
        <f t="shared" ca="1" si="117"/>
        <v>#REF!</v>
      </c>
      <c r="EM128" s="60"/>
      <c r="EN128" s="60"/>
    </row>
    <row r="129" spans="1:144" ht="13.9" customHeight="1">
      <c r="A129" s="220"/>
      <c r="B129" s="236">
        <f t="shared" si="84"/>
        <v>106</v>
      </c>
      <c r="C129" s="221">
        <f t="shared" si="85"/>
        <v>46664.753500000166</v>
      </c>
      <c r="D129" s="746" t="e">
        <f t="shared" ca="1" si="86"/>
        <v>#DIV/0!</v>
      </c>
      <c r="E129" s="747" t="e">
        <f t="shared" ca="1" si="88"/>
        <v>#DIV/0!</v>
      </c>
      <c r="F129" s="748" t="e">
        <f ca="1">IF(F128=0,0,SUM($G$24:G129))</f>
        <v>#DIV/0!</v>
      </c>
      <c r="G129" s="225" t="e">
        <f t="shared" ca="1" si="111"/>
        <v>#DIV/0!</v>
      </c>
      <c r="H129" s="746">
        <f t="shared" ca="1" si="87"/>
        <v>0</v>
      </c>
      <c r="I129" s="60"/>
      <c r="J129" s="228"/>
      <c r="K129" s="228">
        <f t="shared" si="112"/>
        <v>106</v>
      </c>
      <c r="L129" s="221">
        <f t="shared" si="113"/>
        <v>46664.753500000166</v>
      </c>
      <c r="M129" s="229">
        <f t="shared" si="119"/>
        <v>0</v>
      </c>
      <c r="N129" s="229">
        <f t="shared" si="119"/>
        <v>0</v>
      </c>
      <c r="O129" s="229">
        <f t="shared" si="119"/>
        <v>0</v>
      </c>
      <c r="P129" s="229">
        <f t="shared" si="119"/>
        <v>0</v>
      </c>
      <c r="Q129" s="229">
        <f t="shared" si="119"/>
        <v>0</v>
      </c>
      <c r="R129" s="229">
        <f t="shared" si="118"/>
        <v>0</v>
      </c>
      <c r="S129" s="229">
        <f t="shared" si="118"/>
        <v>0</v>
      </c>
      <c r="T129" s="229">
        <f t="shared" si="118"/>
        <v>0</v>
      </c>
      <c r="U129" s="229">
        <f t="shared" si="119"/>
        <v>0</v>
      </c>
      <c r="V129" s="229">
        <f t="shared" si="119"/>
        <v>0</v>
      </c>
      <c r="W129" s="229">
        <f t="shared" si="119"/>
        <v>0</v>
      </c>
      <c r="X129" s="229">
        <f t="shared" si="119"/>
        <v>0</v>
      </c>
      <c r="Y129" s="229">
        <f t="shared" si="119"/>
        <v>0</v>
      </c>
      <c r="Z129" s="229">
        <f t="shared" si="119"/>
        <v>0</v>
      </c>
      <c r="AA129" s="229">
        <f t="shared" si="119"/>
        <v>0</v>
      </c>
      <c r="AB129" s="229">
        <f t="shared" si="119"/>
        <v>0</v>
      </c>
      <c r="AC129" s="229">
        <f t="shared" si="119"/>
        <v>0</v>
      </c>
      <c r="AD129" s="229">
        <f t="shared" si="119"/>
        <v>0</v>
      </c>
      <c r="AE129" s="229">
        <f t="shared" si="119"/>
        <v>0</v>
      </c>
      <c r="AF129" s="229">
        <f t="shared" si="119"/>
        <v>0</v>
      </c>
      <c r="AG129" s="229">
        <f t="shared" si="119"/>
        <v>0</v>
      </c>
      <c r="AH129" s="229">
        <f t="shared" si="119"/>
        <v>0</v>
      </c>
      <c r="AI129" s="229">
        <f t="shared" si="119"/>
        <v>0</v>
      </c>
      <c r="AJ129" s="229">
        <f t="shared" si="119"/>
        <v>0</v>
      </c>
      <c r="AK129" s="229">
        <f t="shared" si="119"/>
        <v>0</v>
      </c>
      <c r="AL129" s="229">
        <f t="shared" si="119"/>
        <v>0</v>
      </c>
      <c r="AM129" s="229">
        <f t="shared" si="119"/>
        <v>0</v>
      </c>
      <c r="AN129" s="229">
        <f t="shared" si="119"/>
        <v>0</v>
      </c>
      <c r="AO129" s="229">
        <f t="shared" si="119"/>
        <v>0</v>
      </c>
      <c r="AP129" s="229">
        <f t="shared" si="119"/>
        <v>0</v>
      </c>
      <c r="AQ129" s="229">
        <f t="shared" si="119"/>
        <v>0</v>
      </c>
      <c r="AR129" s="229">
        <f t="shared" si="120"/>
        <v>0</v>
      </c>
      <c r="AS129" s="229">
        <f t="shared" si="120"/>
        <v>0</v>
      </c>
      <c r="AT129" s="229">
        <f t="shared" si="120"/>
        <v>0</v>
      </c>
      <c r="AU129" s="229">
        <f t="shared" si="120"/>
        <v>0</v>
      </c>
      <c r="AV129" s="229">
        <f t="shared" si="120"/>
        <v>0</v>
      </c>
      <c r="AW129" s="229">
        <f t="shared" si="120"/>
        <v>0</v>
      </c>
      <c r="AX129" s="229">
        <f t="shared" si="120"/>
        <v>0</v>
      </c>
      <c r="AY129" s="229">
        <f t="shared" si="120"/>
        <v>0</v>
      </c>
      <c r="AZ129" s="229">
        <f t="shared" si="120"/>
        <v>0</v>
      </c>
      <c r="BA129" s="229">
        <f t="shared" si="120"/>
        <v>0</v>
      </c>
      <c r="BB129" s="229">
        <f t="shared" si="120"/>
        <v>0</v>
      </c>
      <c r="BC129" s="229">
        <f t="shared" si="121"/>
        <v>0</v>
      </c>
      <c r="BD129" s="229">
        <f t="shared" si="121"/>
        <v>0</v>
      </c>
      <c r="BE129" s="229">
        <f t="shared" si="121"/>
        <v>0</v>
      </c>
      <c r="BF129" s="229">
        <f t="shared" si="121"/>
        <v>0</v>
      </c>
      <c r="BG129" s="229">
        <f t="shared" si="121"/>
        <v>0</v>
      </c>
      <c r="BH129" s="229">
        <f t="shared" si="121"/>
        <v>0</v>
      </c>
      <c r="BI129" s="229">
        <f t="shared" si="121"/>
        <v>0</v>
      </c>
      <c r="BJ129" s="229">
        <f t="shared" si="121"/>
        <v>0</v>
      </c>
      <c r="BK129" s="229">
        <f t="shared" si="121"/>
        <v>0</v>
      </c>
      <c r="BL129" s="229">
        <f t="shared" si="121"/>
        <v>0</v>
      </c>
      <c r="BM129" s="229">
        <f t="shared" si="122"/>
        <v>0</v>
      </c>
      <c r="BN129" s="229">
        <f t="shared" si="122"/>
        <v>0</v>
      </c>
      <c r="BO129" s="229">
        <f t="shared" si="122"/>
        <v>0</v>
      </c>
      <c r="BP129" s="229">
        <f t="shared" si="122"/>
        <v>0</v>
      </c>
      <c r="BQ129" s="229">
        <f t="shared" si="122"/>
        <v>0</v>
      </c>
      <c r="BR129" s="229">
        <f t="shared" si="122"/>
        <v>0</v>
      </c>
      <c r="BS129" s="229">
        <f t="shared" si="122"/>
        <v>0</v>
      </c>
      <c r="BT129" s="229">
        <f t="shared" si="122"/>
        <v>0</v>
      </c>
      <c r="BU129" s="229">
        <f t="shared" si="122"/>
        <v>0</v>
      </c>
      <c r="BV129" s="229">
        <f t="shared" si="122"/>
        <v>0</v>
      </c>
      <c r="BW129" s="229">
        <f t="shared" si="122"/>
        <v>0</v>
      </c>
      <c r="BX129" s="229">
        <f t="shared" si="122"/>
        <v>0</v>
      </c>
      <c r="BY129" s="229">
        <f t="shared" si="122"/>
        <v>0</v>
      </c>
      <c r="BZ129" s="229">
        <f t="shared" si="122"/>
        <v>0</v>
      </c>
      <c r="CA129" s="229">
        <f t="shared" si="122"/>
        <v>0</v>
      </c>
      <c r="CB129" s="229">
        <f t="shared" si="123"/>
        <v>0</v>
      </c>
      <c r="CC129" s="229">
        <f t="shared" si="123"/>
        <v>0</v>
      </c>
      <c r="CD129" s="229">
        <f t="shared" si="123"/>
        <v>0</v>
      </c>
      <c r="CE129" s="229">
        <f t="shared" si="123"/>
        <v>0</v>
      </c>
      <c r="CF129" s="229">
        <f t="shared" si="123"/>
        <v>0</v>
      </c>
      <c r="CG129" s="229">
        <f t="shared" si="123"/>
        <v>0</v>
      </c>
      <c r="CH129" s="229">
        <f t="shared" si="123"/>
        <v>0</v>
      </c>
      <c r="CI129" s="229">
        <f t="shared" si="123"/>
        <v>0</v>
      </c>
      <c r="CJ129" s="229">
        <f t="shared" si="123"/>
        <v>0</v>
      </c>
      <c r="CK129" s="229">
        <f t="shared" si="123"/>
        <v>0</v>
      </c>
      <c r="CL129" s="229">
        <f t="shared" si="123"/>
        <v>0</v>
      </c>
      <c r="CM129" s="229">
        <f t="shared" si="123"/>
        <v>0</v>
      </c>
      <c r="CN129" s="229">
        <f t="shared" si="123"/>
        <v>0</v>
      </c>
      <c r="CO129" s="229">
        <f t="shared" si="123"/>
        <v>0</v>
      </c>
      <c r="CP129" s="229">
        <f t="shared" si="123"/>
        <v>0</v>
      </c>
      <c r="CQ129" s="229">
        <f t="shared" si="123"/>
        <v>0</v>
      </c>
      <c r="CR129" s="229">
        <f t="shared" si="123"/>
        <v>0</v>
      </c>
      <c r="CS129" s="230"/>
      <c r="CT129" s="231"/>
      <c r="CU129" s="231"/>
      <c r="CV129" s="231"/>
      <c r="CW129" s="231"/>
      <c r="CX129" s="231"/>
      <c r="CY129" s="231"/>
      <c r="CZ129" s="231"/>
      <c r="DA129" s="231" t="e">
        <f ca="1">IF(SUM(DA$32:DA128)&gt;=DA$22,0,DA$22/(DA$13*4))</f>
        <v>#N/A</v>
      </c>
      <c r="DB129" s="231">
        <f>IF(SUM(DB$24:DB128)=DB$22,0,IF(AND($K129&gt;=DB$15,$K129&lt;(DB$16+1)),DB$22/(DB$16-DB$15+1),0))</f>
        <v>0</v>
      </c>
      <c r="DC129" s="231">
        <f t="shared" si="114"/>
        <v>0</v>
      </c>
      <c r="DD129" s="231">
        <f t="shared" si="114"/>
        <v>0</v>
      </c>
      <c r="DE129" s="231">
        <f t="shared" si="114"/>
        <v>0</v>
      </c>
      <c r="DF129" s="231">
        <f t="shared" si="114"/>
        <v>0</v>
      </c>
      <c r="DG129" s="231">
        <f t="shared" si="114"/>
        <v>0</v>
      </c>
      <c r="DH129" s="231">
        <f t="shared" si="114"/>
        <v>0</v>
      </c>
      <c r="DI129" s="231">
        <f t="shared" si="114"/>
        <v>0</v>
      </c>
      <c r="DJ129" s="231">
        <f t="shared" si="114"/>
        <v>0</v>
      </c>
      <c r="DK129" s="231">
        <f t="shared" si="114"/>
        <v>0</v>
      </c>
      <c r="DL129" s="231">
        <f t="shared" si="114"/>
        <v>0</v>
      </c>
      <c r="DM129" s="231">
        <f t="shared" si="114"/>
        <v>0</v>
      </c>
      <c r="DN129" s="231">
        <f t="shared" si="114"/>
        <v>0</v>
      </c>
      <c r="DO129" s="231">
        <f t="shared" si="114"/>
        <v>0</v>
      </c>
      <c r="DP129" s="231">
        <f>'Offshore CF'!DR129</f>
        <v>0</v>
      </c>
      <c r="DQ129" s="231">
        <f>'Offshore CF'!DS129</f>
        <v>0</v>
      </c>
      <c r="DR129" s="231">
        <f ca="1">IF(SUM(DR$24:DR128)=DR$22,0,IF(AND($K129&gt;=DR$15,$K129&lt;(DR$16+1)),DR$22/(DR$16-DR$15+1),0))</f>
        <v>0</v>
      </c>
      <c r="DS129" s="231" t="e">
        <f ca="1">IF(SUM(DS$24:DS128)=DS$22,0,IF(AND($K129&gt;=DS$15,$K129&lt;(DS$16+1)),DS$22/(DS$16-DS$15+1),0))</f>
        <v>#REF!</v>
      </c>
      <c r="DT129" s="231" t="e">
        <f ca="1">IF(SUM(DT$24:DT128)=DT$22,0,IF(AND(K129&gt;=DT$15,K129&lt;(DT$16+1)),DT$22/(DT$16-DT$15+1),0))</f>
        <v>#REF!</v>
      </c>
      <c r="DU129" s="231" t="e">
        <f ca="1">IF(SUM(DU$24:DU128)=DU$22,0,IF(AND($K129&gt;=DU$15,$K129&lt;(DU$16+1)),DU$22/(DU$16-DU$15+1),0))</f>
        <v>#REF!</v>
      </c>
      <c r="DV129" s="231">
        <f ca="1">IF(SUM(DV$24:DV128)=DV$22,0,IF(AND($K129&gt;=DV$15,$K129&lt;(DV$16+1)),DV$22/(DV$16-DV$15+1),0))</f>
        <v>0</v>
      </c>
      <c r="DW129" s="231">
        <f ca="1">IF(SUM(DW$24:DW128)=DW$22,0,IF(AND($K129&gt;=DW$15,$K129&lt;(DW$16+1)),DW$22/(DW$16-DW$15+1),0))</f>
        <v>0</v>
      </c>
      <c r="DX129" s="231">
        <f ca="1">IF(SUM(DX$24:DX128)=DX$22,0,IF(AND($K129&gt;=DX$15,$K129&lt;(DX$16+1)),DX$22/(DX$16-DX$15+1),0))</f>
        <v>0</v>
      </c>
      <c r="DY129" s="231">
        <f ca="1">IF(SUM(DY$24:DY128)=DY$22,0,IF(AND($K129&gt;=DY$15,$K129&lt;(DY$16+1)),DY$22/(DY$16-DY$15+1),0))</f>
        <v>0</v>
      </c>
      <c r="EA129" s="749">
        <f t="shared" si="115"/>
        <v>106</v>
      </c>
      <c r="EB129" s="749" t="e">
        <f t="shared" ca="1" si="116"/>
        <v>#N/A</v>
      </c>
      <c r="EC129" s="750" t="e">
        <f t="shared" ca="1" si="82"/>
        <v>#N/A</v>
      </c>
      <c r="ED129" s="749" t="e">
        <f t="shared" ca="1" si="96"/>
        <v>#REF!</v>
      </c>
      <c r="EE129" s="749"/>
      <c r="EF129" s="749"/>
      <c r="EG129" s="749"/>
      <c r="EH129" s="749"/>
      <c r="EI129" s="714" t="e">
        <f t="shared" ca="1" si="83"/>
        <v>#N/A</v>
      </c>
      <c r="EJ129" s="231" t="e">
        <f ca="1">IF(SUM(EJ$24:EJ128)=EJ$22,0,IF(AND($K129&gt;=EJ$15,$K129&lt;(EJ$16+1)),EJ$22/(EJ$16-EJ$15+1),0))</f>
        <v>#REF!</v>
      </c>
      <c r="EK129" s="714" t="e">
        <f t="shared" ca="1" si="117"/>
        <v>#N/A</v>
      </c>
      <c r="EM129" s="60"/>
      <c r="EN129" s="60"/>
    </row>
    <row r="130" spans="1:144" ht="13.9" customHeight="1">
      <c r="A130" s="220"/>
      <c r="B130" s="236">
        <f t="shared" si="84"/>
        <v>107</v>
      </c>
      <c r="C130" s="221">
        <f t="shared" si="85"/>
        <v>46695.170200000168</v>
      </c>
      <c r="D130" s="746" t="e">
        <f t="shared" ca="1" si="86"/>
        <v>#DIV/0!</v>
      </c>
      <c r="E130" s="747" t="e">
        <f t="shared" ca="1" si="88"/>
        <v>#DIV/0!</v>
      </c>
      <c r="F130" s="748" t="e">
        <f ca="1">IF(F129=0,0,SUM($G$24:G130))</f>
        <v>#DIV/0!</v>
      </c>
      <c r="G130" s="225" t="e">
        <f t="shared" ca="1" si="111"/>
        <v>#DIV/0!</v>
      </c>
      <c r="H130" s="746">
        <f t="shared" ca="1" si="87"/>
        <v>0</v>
      </c>
      <c r="I130" s="60"/>
      <c r="J130" s="228"/>
      <c r="K130" s="228">
        <f t="shared" si="112"/>
        <v>107</v>
      </c>
      <c r="L130" s="221">
        <f t="shared" si="113"/>
        <v>46695.170200000168</v>
      </c>
      <c r="M130" s="229">
        <f t="shared" si="119"/>
        <v>0</v>
      </c>
      <c r="N130" s="229">
        <f t="shared" si="119"/>
        <v>0</v>
      </c>
      <c r="O130" s="229">
        <f t="shared" si="119"/>
        <v>0</v>
      </c>
      <c r="P130" s="229">
        <f t="shared" si="119"/>
        <v>0</v>
      </c>
      <c r="Q130" s="229">
        <f t="shared" si="119"/>
        <v>0</v>
      </c>
      <c r="R130" s="229">
        <f t="shared" si="118"/>
        <v>0</v>
      </c>
      <c r="S130" s="229">
        <f t="shared" si="118"/>
        <v>0</v>
      </c>
      <c r="T130" s="229">
        <f t="shared" si="118"/>
        <v>0</v>
      </c>
      <c r="U130" s="229">
        <f t="shared" si="119"/>
        <v>0</v>
      </c>
      <c r="V130" s="229">
        <f t="shared" si="119"/>
        <v>0</v>
      </c>
      <c r="W130" s="229">
        <f t="shared" si="119"/>
        <v>0</v>
      </c>
      <c r="X130" s="229">
        <f t="shared" si="119"/>
        <v>0</v>
      </c>
      <c r="Y130" s="229">
        <f t="shared" si="119"/>
        <v>0</v>
      </c>
      <c r="Z130" s="229">
        <f t="shared" si="119"/>
        <v>0</v>
      </c>
      <c r="AA130" s="229">
        <f t="shared" si="119"/>
        <v>0</v>
      </c>
      <c r="AB130" s="229">
        <f t="shared" si="119"/>
        <v>0</v>
      </c>
      <c r="AC130" s="229">
        <f t="shared" si="119"/>
        <v>0</v>
      </c>
      <c r="AD130" s="229">
        <f t="shared" si="119"/>
        <v>0</v>
      </c>
      <c r="AE130" s="229">
        <f t="shared" si="119"/>
        <v>0</v>
      </c>
      <c r="AF130" s="229">
        <f t="shared" si="119"/>
        <v>0</v>
      </c>
      <c r="AG130" s="229">
        <f t="shared" si="119"/>
        <v>0</v>
      </c>
      <c r="AH130" s="229">
        <f t="shared" si="119"/>
        <v>0</v>
      </c>
      <c r="AI130" s="229">
        <f t="shared" si="119"/>
        <v>0</v>
      </c>
      <c r="AJ130" s="229">
        <f t="shared" si="119"/>
        <v>0</v>
      </c>
      <c r="AK130" s="229">
        <f t="shared" si="119"/>
        <v>0</v>
      </c>
      <c r="AL130" s="229">
        <f t="shared" si="119"/>
        <v>0</v>
      </c>
      <c r="AM130" s="229">
        <f t="shared" si="119"/>
        <v>0</v>
      </c>
      <c r="AN130" s="229">
        <f t="shared" si="119"/>
        <v>0</v>
      </c>
      <c r="AO130" s="229">
        <f t="shared" si="119"/>
        <v>0</v>
      </c>
      <c r="AP130" s="229">
        <f t="shared" si="119"/>
        <v>0</v>
      </c>
      <c r="AQ130" s="229">
        <f t="shared" si="119"/>
        <v>0</v>
      </c>
      <c r="AR130" s="229">
        <f t="shared" si="120"/>
        <v>0</v>
      </c>
      <c r="AS130" s="229">
        <f t="shared" si="120"/>
        <v>0</v>
      </c>
      <c r="AT130" s="229">
        <f t="shared" si="120"/>
        <v>0</v>
      </c>
      <c r="AU130" s="229">
        <f t="shared" si="120"/>
        <v>0</v>
      </c>
      <c r="AV130" s="229">
        <f t="shared" si="120"/>
        <v>0</v>
      </c>
      <c r="AW130" s="229">
        <f t="shared" si="120"/>
        <v>0</v>
      </c>
      <c r="AX130" s="229">
        <f t="shared" si="120"/>
        <v>0</v>
      </c>
      <c r="AY130" s="229">
        <f t="shared" si="120"/>
        <v>0</v>
      </c>
      <c r="AZ130" s="229">
        <f t="shared" si="120"/>
        <v>0</v>
      </c>
      <c r="BA130" s="229">
        <f t="shared" si="120"/>
        <v>0</v>
      </c>
      <c r="BB130" s="229">
        <f t="shared" si="120"/>
        <v>0</v>
      </c>
      <c r="BC130" s="229">
        <f t="shared" si="121"/>
        <v>0</v>
      </c>
      <c r="BD130" s="229">
        <f t="shared" si="121"/>
        <v>0</v>
      </c>
      <c r="BE130" s="229">
        <f t="shared" si="121"/>
        <v>0</v>
      </c>
      <c r="BF130" s="229">
        <f t="shared" si="121"/>
        <v>0</v>
      </c>
      <c r="BG130" s="229">
        <f t="shared" si="121"/>
        <v>0</v>
      </c>
      <c r="BH130" s="229">
        <f t="shared" si="121"/>
        <v>0</v>
      </c>
      <c r="BI130" s="229">
        <f t="shared" si="121"/>
        <v>0</v>
      </c>
      <c r="BJ130" s="229">
        <f t="shared" si="121"/>
        <v>0</v>
      </c>
      <c r="BK130" s="229">
        <f t="shared" si="121"/>
        <v>0</v>
      </c>
      <c r="BL130" s="229">
        <f t="shared" si="121"/>
        <v>0</v>
      </c>
      <c r="BM130" s="229">
        <f t="shared" si="122"/>
        <v>0</v>
      </c>
      <c r="BN130" s="229">
        <f t="shared" si="122"/>
        <v>0</v>
      </c>
      <c r="BO130" s="229">
        <f t="shared" si="122"/>
        <v>0</v>
      </c>
      <c r="BP130" s="229">
        <f t="shared" si="122"/>
        <v>0</v>
      </c>
      <c r="BQ130" s="229">
        <f t="shared" si="122"/>
        <v>0</v>
      </c>
      <c r="BR130" s="229">
        <f t="shared" si="122"/>
        <v>0</v>
      </c>
      <c r="BS130" s="229">
        <f t="shared" si="122"/>
        <v>0</v>
      </c>
      <c r="BT130" s="229">
        <f t="shared" si="122"/>
        <v>0</v>
      </c>
      <c r="BU130" s="229">
        <f t="shared" si="122"/>
        <v>0</v>
      </c>
      <c r="BV130" s="229">
        <f t="shared" si="122"/>
        <v>0</v>
      </c>
      <c r="BW130" s="229">
        <f t="shared" si="122"/>
        <v>0</v>
      </c>
      <c r="BX130" s="229">
        <f t="shared" si="122"/>
        <v>0</v>
      </c>
      <c r="BY130" s="229">
        <f t="shared" si="122"/>
        <v>0</v>
      </c>
      <c r="BZ130" s="229">
        <f t="shared" si="122"/>
        <v>0</v>
      </c>
      <c r="CA130" s="229">
        <f t="shared" si="122"/>
        <v>0</v>
      </c>
      <c r="CB130" s="229">
        <f t="shared" si="123"/>
        <v>0</v>
      </c>
      <c r="CC130" s="229">
        <f t="shared" si="123"/>
        <v>0</v>
      </c>
      <c r="CD130" s="229">
        <f t="shared" si="123"/>
        <v>0</v>
      </c>
      <c r="CE130" s="229">
        <f t="shared" si="123"/>
        <v>0</v>
      </c>
      <c r="CF130" s="229">
        <f t="shared" si="123"/>
        <v>0</v>
      </c>
      <c r="CG130" s="229">
        <f t="shared" si="123"/>
        <v>0</v>
      </c>
      <c r="CH130" s="229">
        <f t="shared" si="123"/>
        <v>0</v>
      </c>
      <c r="CI130" s="229">
        <f t="shared" si="123"/>
        <v>0</v>
      </c>
      <c r="CJ130" s="229">
        <f t="shared" si="123"/>
        <v>0</v>
      </c>
      <c r="CK130" s="229">
        <f t="shared" si="123"/>
        <v>0</v>
      </c>
      <c r="CL130" s="229">
        <f t="shared" si="123"/>
        <v>0</v>
      </c>
      <c r="CM130" s="229">
        <f t="shared" si="123"/>
        <v>0</v>
      </c>
      <c r="CN130" s="229">
        <f t="shared" si="123"/>
        <v>0</v>
      </c>
      <c r="CO130" s="229">
        <f t="shared" si="123"/>
        <v>0</v>
      </c>
      <c r="CP130" s="229">
        <f t="shared" si="123"/>
        <v>0</v>
      </c>
      <c r="CQ130" s="229">
        <f t="shared" si="123"/>
        <v>0</v>
      </c>
      <c r="CR130" s="229">
        <f t="shared" si="123"/>
        <v>0</v>
      </c>
      <c r="CS130" s="230"/>
      <c r="CT130" s="231"/>
      <c r="CU130" s="231"/>
      <c r="CV130" s="231"/>
      <c r="CW130" s="231"/>
      <c r="CX130" s="231"/>
      <c r="CY130" s="231"/>
      <c r="CZ130" s="231"/>
      <c r="DA130" s="231"/>
      <c r="DB130" s="231">
        <f>IF(SUM(DB$24:DB129)=DB$22,0,IF(AND($K130&gt;=DB$15,$K130&lt;(DB$16+1)),DB$22/(DB$16-DB$15+1),0))</f>
        <v>0</v>
      </c>
      <c r="DC130" s="231">
        <f t="shared" ref="DC130:DO139" si="124">IF(AND($K130&gt;=DC$15,$K130&lt;(DC$16+1)),DC$22/(DC$16-DC$15+1),0)</f>
        <v>0</v>
      </c>
      <c r="DD130" s="231">
        <f t="shared" si="124"/>
        <v>0</v>
      </c>
      <c r="DE130" s="231">
        <f t="shared" si="124"/>
        <v>0</v>
      </c>
      <c r="DF130" s="231">
        <f t="shared" si="124"/>
        <v>0</v>
      </c>
      <c r="DG130" s="231">
        <f t="shared" si="124"/>
        <v>0</v>
      </c>
      <c r="DH130" s="231">
        <f t="shared" si="124"/>
        <v>0</v>
      </c>
      <c r="DI130" s="231">
        <f t="shared" si="124"/>
        <v>0</v>
      </c>
      <c r="DJ130" s="231">
        <f t="shared" si="124"/>
        <v>0</v>
      </c>
      <c r="DK130" s="231">
        <f t="shared" si="124"/>
        <v>0</v>
      </c>
      <c r="DL130" s="231">
        <f t="shared" si="124"/>
        <v>0</v>
      </c>
      <c r="DM130" s="231">
        <f t="shared" si="124"/>
        <v>0</v>
      </c>
      <c r="DN130" s="231">
        <f t="shared" si="124"/>
        <v>0</v>
      </c>
      <c r="DO130" s="231">
        <f t="shared" si="124"/>
        <v>0</v>
      </c>
      <c r="DP130" s="231">
        <f>'Offshore CF'!DR130</f>
        <v>0</v>
      </c>
      <c r="DQ130" s="231">
        <f>'Offshore CF'!DS130</f>
        <v>0</v>
      </c>
      <c r="DR130" s="231">
        <f ca="1">IF(SUM(DR$24:DR129)=DR$22,0,IF(AND($K130&gt;=DR$15,$K130&lt;(DR$16+1)),DR$22/(DR$16-DR$15+1),0))</f>
        <v>0</v>
      </c>
      <c r="DS130" s="231" t="e">
        <f ca="1">IF(SUM(DS$24:DS129)=DS$22,0,IF(AND($K130&gt;=DS$15,$K130&lt;(DS$16+1)),DS$22/(DS$16-DS$15+1),0))</f>
        <v>#REF!</v>
      </c>
      <c r="DT130" s="231" t="e">
        <f ca="1">IF(SUM(DT$24:DT129)=DT$22,0,IF(AND(K130&gt;=DT$15,K130&lt;(DT$16+1)),DT$22/(DT$16-DT$15+1),0))</f>
        <v>#REF!</v>
      </c>
      <c r="DU130" s="231" t="e">
        <f ca="1">IF(SUM(DU$24:DU129)=DU$22,0,IF(AND($K130&gt;=DU$15,$K130&lt;(DU$16+1)),DU$22/(DU$16-DU$15+1),0))</f>
        <v>#REF!</v>
      </c>
      <c r="DV130" s="231">
        <f ca="1">IF(SUM(DV$24:DV129)=DV$22,0,IF(AND($K130&gt;=DV$15,$K130&lt;(DV$16+1)),DV$22/(DV$16-DV$15+1),0))</f>
        <v>0</v>
      </c>
      <c r="DW130" s="231">
        <f ca="1">IF(SUM(DW$24:DW129)=DW$22,0,IF(AND($K130&gt;=DW$15,$K130&lt;(DW$16+1)),DW$22/(DW$16-DW$15+1),0))</f>
        <v>0</v>
      </c>
      <c r="DX130" s="231">
        <f ca="1">IF(SUM(DX$24:DX129)=DX$22,0,IF(AND($K130&gt;=DX$15,$K130&lt;(DX$16+1)),DX$22/(DX$16-DX$15+1),0))</f>
        <v>0</v>
      </c>
      <c r="DY130" s="231">
        <f ca="1">IF(SUM(DY$24:DY129)=DY$22,0,IF(AND($K130&gt;=DY$15,$K130&lt;(DY$16+1)),DY$22/(DY$16-DY$15+1),0))</f>
        <v>0</v>
      </c>
      <c r="EA130" s="749">
        <f t="shared" si="115"/>
        <v>107</v>
      </c>
      <c r="EB130" s="749" t="e">
        <f t="shared" ca="1" si="116"/>
        <v>#REF!</v>
      </c>
      <c r="EC130" s="750" t="e">
        <f t="shared" ca="1" si="82"/>
        <v>#REF!</v>
      </c>
      <c r="ED130" s="749" t="e">
        <f t="shared" ca="1" si="96"/>
        <v>#REF!</v>
      </c>
      <c r="EE130" s="749"/>
      <c r="EF130" s="749"/>
      <c r="EG130" s="749"/>
      <c r="EH130" s="749"/>
      <c r="EI130" s="714" t="e">
        <f t="shared" ca="1" si="83"/>
        <v>#REF!</v>
      </c>
      <c r="EJ130" s="231" t="e">
        <f ca="1">IF(SUM(EJ$24:EJ129)=EJ$22,0,IF(AND($K130&gt;=EJ$15,$K130&lt;(EJ$16+1)),EJ$22/(EJ$16-EJ$15+1),0))</f>
        <v>#REF!</v>
      </c>
      <c r="EK130" s="714" t="e">
        <f t="shared" ca="1" si="117"/>
        <v>#REF!</v>
      </c>
      <c r="EM130" s="60"/>
      <c r="EN130" s="60"/>
    </row>
    <row r="131" spans="1:144" ht="13.9" customHeight="1">
      <c r="A131" s="220"/>
      <c r="B131" s="236">
        <f t="shared" si="84"/>
        <v>108</v>
      </c>
      <c r="C131" s="221">
        <f t="shared" si="85"/>
        <v>46725.586900000169</v>
      </c>
      <c r="D131" s="746" t="e">
        <f t="shared" ca="1" si="86"/>
        <v>#DIV/0!</v>
      </c>
      <c r="E131" s="747" t="e">
        <f t="shared" ca="1" si="88"/>
        <v>#DIV/0!</v>
      </c>
      <c r="F131" s="748" t="e">
        <f ca="1">IF(F130=0,0,SUM($G$24:G131))</f>
        <v>#DIV/0!</v>
      </c>
      <c r="G131" s="225" t="e">
        <f t="shared" ca="1" si="111"/>
        <v>#DIV/0!</v>
      </c>
      <c r="H131" s="746">
        <f t="shared" ca="1" si="87"/>
        <v>0</v>
      </c>
      <c r="I131" s="60"/>
      <c r="J131" s="228"/>
      <c r="K131" s="228">
        <f t="shared" si="112"/>
        <v>108</v>
      </c>
      <c r="L131" s="221">
        <f t="shared" si="113"/>
        <v>46725.586900000169</v>
      </c>
      <c r="M131" s="229">
        <f t="shared" si="119"/>
        <v>0</v>
      </c>
      <c r="N131" s="229">
        <f t="shared" si="119"/>
        <v>0</v>
      </c>
      <c r="O131" s="229">
        <f t="shared" si="119"/>
        <v>0</v>
      </c>
      <c r="P131" s="229">
        <f t="shared" si="119"/>
        <v>0</v>
      </c>
      <c r="Q131" s="229">
        <f t="shared" si="119"/>
        <v>0</v>
      </c>
      <c r="R131" s="229">
        <f t="shared" si="118"/>
        <v>0</v>
      </c>
      <c r="S131" s="229">
        <f t="shared" si="118"/>
        <v>0</v>
      </c>
      <c r="T131" s="229">
        <f t="shared" si="118"/>
        <v>0</v>
      </c>
      <c r="U131" s="229">
        <f t="shared" si="119"/>
        <v>0</v>
      </c>
      <c r="V131" s="229">
        <f t="shared" si="119"/>
        <v>0</v>
      </c>
      <c r="W131" s="229">
        <f t="shared" si="119"/>
        <v>0</v>
      </c>
      <c r="X131" s="229">
        <f t="shared" si="119"/>
        <v>0</v>
      </c>
      <c r="Y131" s="229">
        <f t="shared" si="119"/>
        <v>0</v>
      </c>
      <c r="Z131" s="229">
        <f t="shared" si="119"/>
        <v>0</v>
      </c>
      <c r="AA131" s="229">
        <f t="shared" si="119"/>
        <v>0</v>
      </c>
      <c r="AB131" s="229">
        <f t="shared" si="119"/>
        <v>0</v>
      </c>
      <c r="AC131" s="229">
        <f t="shared" si="119"/>
        <v>0</v>
      </c>
      <c r="AD131" s="229">
        <f t="shared" ref="P131:AD141" si="125">IF($K131=AD$13,AD$22*AD$3,IF($K131=AD$14,AD$22*AD$4,IF($K131=AD$15,AD$22*AD$5,IF($K131=AD$16,AD$22*AD$6,IF($K131=AD$17,AD$22*AD$7,IF($K131=AD$18,AD$22*AD$8,IF($K131=AD$19,AD$22*AD$9,IF($K131=AD$20,AD$22*AD$10,0))))))))</f>
        <v>0</v>
      </c>
      <c r="AE131" s="229">
        <f t="shared" si="119"/>
        <v>0</v>
      </c>
      <c r="AF131" s="229">
        <f t="shared" si="119"/>
        <v>0</v>
      </c>
      <c r="AG131" s="229">
        <f t="shared" si="119"/>
        <v>0</v>
      </c>
      <c r="AH131" s="229">
        <f t="shared" si="119"/>
        <v>0</v>
      </c>
      <c r="AI131" s="229">
        <f t="shared" si="119"/>
        <v>0</v>
      </c>
      <c r="AJ131" s="229">
        <f t="shared" si="119"/>
        <v>0</v>
      </c>
      <c r="AK131" s="229">
        <f t="shared" si="119"/>
        <v>0</v>
      </c>
      <c r="AL131" s="229">
        <f t="shared" si="119"/>
        <v>0</v>
      </c>
      <c r="AM131" s="229">
        <f t="shared" si="119"/>
        <v>0</v>
      </c>
      <c r="AN131" s="229">
        <f t="shared" si="119"/>
        <v>0</v>
      </c>
      <c r="AO131" s="229">
        <f t="shared" si="119"/>
        <v>0</v>
      </c>
      <c r="AP131" s="229">
        <f t="shared" si="119"/>
        <v>0</v>
      </c>
      <c r="AQ131" s="229">
        <f t="shared" si="119"/>
        <v>0</v>
      </c>
      <c r="AR131" s="229">
        <f t="shared" si="120"/>
        <v>0</v>
      </c>
      <c r="AS131" s="229">
        <f t="shared" si="120"/>
        <v>0</v>
      </c>
      <c r="AT131" s="229">
        <f t="shared" si="120"/>
        <v>0</v>
      </c>
      <c r="AU131" s="229">
        <f t="shared" si="120"/>
        <v>0</v>
      </c>
      <c r="AV131" s="229">
        <f t="shared" si="120"/>
        <v>0</v>
      </c>
      <c r="AW131" s="229">
        <f t="shared" si="120"/>
        <v>0</v>
      </c>
      <c r="AX131" s="229">
        <f t="shared" si="120"/>
        <v>0</v>
      </c>
      <c r="AY131" s="229">
        <f t="shared" si="120"/>
        <v>0</v>
      </c>
      <c r="AZ131" s="229">
        <f t="shared" si="120"/>
        <v>0</v>
      </c>
      <c r="BA131" s="229">
        <f t="shared" si="120"/>
        <v>0</v>
      </c>
      <c r="BB131" s="229">
        <f t="shared" si="120"/>
        <v>0</v>
      </c>
      <c r="BC131" s="229">
        <f t="shared" si="121"/>
        <v>0</v>
      </c>
      <c r="BD131" s="229">
        <f t="shared" si="121"/>
        <v>0</v>
      </c>
      <c r="BE131" s="229">
        <f t="shared" si="121"/>
        <v>0</v>
      </c>
      <c r="BF131" s="229">
        <f t="shared" si="121"/>
        <v>0</v>
      </c>
      <c r="BG131" s="229">
        <f t="shared" si="121"/>
        <v>0</v>
      </c>
      <c r="BH131" s="229">
        <f t="shared" si="121"/>
        <v>0</v>
      </c>
      <c r="BI131" s="229">
        <f t="shared" si="121"/>
        <v>0</v>
      </c>
      <c r="BJ131" s="229">
        <f t="shared" si="121"/>
        <v>0</v>
      </c>
      <c r="BK131" s="229">
        <f t="shared" si="121"/>
        <v>0</v>
      </c>
      <c r="BL131" s="229">
        <f t="shared" si="121"/>
        <v>0</v>
      </c>
      <c r="BM131" s="229">
        <f t="shared" si="122"/>
        <v>0</v>
      </c>
      <c r="BN131" s="229">
        <f t="shared" si="122"/>
        <v>0</v>
      </c>
      <c r="BO131" s="229">
        <f t="shared" si="122"/>
        <v>0</v>
      </c>
      <c r="BP131" s="229">
        <f t="shared" si="122"/>
        <v>0</v>
      </c>
      <c r="BQ131" s="229">
        <f t="shared" si="122"/>
        <v>0</v>
      </c>
      <c r="BR131" s="229">
        <f t="shared" si="122"/>
        <v>0</v>
      </c>
      <c r="BS131" s="229">
        <f t="shared" si="122"/>
        <v>0</v>
      </c>
      <c r="BT131" s="229">
        <f t="shared" si="122"/>
        <v>0</v>
      </c>
      <c r="BU131" s="229">
        <f t="shared" si="122"/>
        <v>0</v>
      </c>
      <c r="BV131" s="229">
        <f t="shared" si="122"/>
        <v>0</v>
      </c>
      <c r="BW131" s="229">
        <f t="shared" si="122"/>
        <v>0</v>
      </c>
      <c r="BX131" s="229">
        <f t="shared" si="122"/>
        <v>0</v>
      </c>
      <c r="BY131" s="229">
        <f t="shared" si="122"/>
        <v>0</v>
      </c>
      <c r="BZ131" s="229">
        <f t="shared" si="122"/>
        <v>0</v>
      </c>
      <c r="CA131" s="229">
        <f t="shared" si="122"/>
        <v>0</v>
      </c>
      <c r="CB131" s="229">
        <f t="shared" si="123"/>
        <v>0</v>
      </c>
      <c r="CC131" s="229">
        <f t="shared" si="123"/>
        <v>0</v>
      </c>
      <c r="CD131" s="229">
        <f t="shared" si="123"/>
        <v>0</v>
      </c>
      <c r="CE131" s="229">
        <f t="shared" si="123"/>
        <v>0</v>
      </c>
      <c r="CF131" s="229">
        <f t="shared" si="123"/>
        <v>0</v>
      </c>
      <c r="CG131" s="229">
        <f t="shared" si="123"/>
        <v>0</v>
      </c>
      <c r="CH131" s="229">
        <f t="shared" si="123"/>
        <v>0</v>
      </c>
      <c r="CI131" s="229">
        <f t="shared" si="123"/>
        <v>0</v>
      </c>
      <c r="CJ131" s="229">
        <f t="shared" si="123"/>
        <v>0</v>
      </c>
      <c r="CK131" s="229">
        <f t="shared" si="123"/>
        <v>0</v>
      </c>
      <c r="CL131" s="229">
        <f t="shared" si="123"/>
        <v>0</v>
      </c>
      <c r="CM131" s="229">
        <f t="shared" si="123"/>
        <v>0</v>
      </c>
      <c r="CN131" s="229">
        <f t="shared" si="123"/>
        <v>0</v>
      </c>
      <c r="CO131" s="229">
        <f t="shared" si="123"/>
        <v>0</v>
      </c>
      <c r="CP131" s="229">
        <f t="shared" si="123"/>
        <v>0</v>
      </c>
      <c r="CQ131" s="229">
        <f t="shared" si="123"/>
        <v>0</v>
      </c>
      <c r="CR131" s="229">
        <f t="shared" si="123"/>
        <v>0</v>
      </c>
      <c r="CS131" s="230"/>
      <c r="CT131" s="231"/>
      <c r="CU131" s="231"/>
      <c r="CV131" s="231"/>
      <c r="CW131" s="231"/>
      <c r="CX131" s="231"/>
      <c r="CY131" s="231"/>
      <c r="CZ131" s="231"/>
      <c r="DA131" s="231"/>
      <c r="DB131" s="231">
        <f>IF(SUM(DB$24:DB130)=DB$22,0,IF(AND($K131&gt;=DB$15,$K131&lt;(DB$16+1)),DB$22/(DB$16-DB$15+1),0))</f>
        <v>0</v>
      </c>
      <c r="DC131" s="231">
        <f t="shared" si="124"/>
        <v>0</v>
      </c>
      <c r="DD131" s="231">
        <f t="shared" si="124"/>
        <v>0</v>
      </c>
      <c r="DE131" s="231">
        <f t="shared" si="124"/>
        <v>0</v>
      </c>
      <c r="DF131" s="231">
        <f t="shared" si="124"/>
        <v>0</v>
      </c>
      <c r="DG131" s="231">
        <f t="shared" si="124"/>
        <v>0</v>
      </c>
      <c r="DH131" s="231">
        <f t="shared" si="124"/>
        <v>0</v>
      </c>
      <c r="DI131" s="231">
        <f t="shared" si="124"/>
        <v>0</v>
      </c>
      <c r="DJ131" s="231">
        <f t="shared" si="124"/>
        <v>0</v>
      </c>
      <c r="DK131" s="231">
        <f t="shared" si="124"/>
        <v>0</v>
      </c>
      <c r="DL131" s="231">
        <f t="shared" si="124"/>
        <v>0</v>
      </c>
      <c r="DM131" s="231">
        <f t="shared" si="124"/>
        <v>0</v>
      </c>
      <c r="DN131" s="231">
        <f t="shared" si="124"/>
        <v>0</v>
      </c>
      <c r="DO131" s="231">
        <f t="shared" si="124"/>
        <v>0</v>
      </c>
      <c r="DP131" s="231">
        <f>'Offshore CF'!DR131</f>
        <v>0</v>
      </c>
      <c r="DQ131" s="231">
        <f>'Offshore CF'!DS131</f>
        <v>0</v>
      </c>
      <c r="DR131" s="231">
        <f ca="1">IF(SUM(DR$24:DR130)=DR$22,0,IF(AND($K131&gt;=DR$15,$K131&lt;(DR$16+1)),DR$22/(DR$16-DR$15+1),0))</f>
        <v>0</v>
      </c>
      <c r="DS131" s="231" t="e">
        <f ca="1">IF(SUM(DS$24:DS130)=DS$22,0,IF(AND($K131&gt;=DS$15,$K131&lt;(DS$16+1)),DS$22/(DS$16-DS$15+1),0))</f>
        <v>#REF!</v>
      </c>
      <c r="DT131" s="231" t="e">
        <f ca="1">IF(SUM(DT$24:DT130)=DT$22,0,IF(AND(K131&gt;=DT$15,K131&lt;(DT$16+1)),DT$22/(DT$16-DT$15+1),0))</f>
        <v>#REF!</v>
      </c>
      <c r="DU131" s="231" t="e">
        <f ca="1">IF(SUM(DU$24:DU130)=DU$22,0,IF(AND($K131&gt;=DU$15,$K131&lt;(DU$16+1)),DU$22/(DU$16-DU$15+1),0))</f>
        <v>#REF!</v>
      </c>
      <c r="DV131" s="231">
        <f ca="1">IF(SUM(DV$24:DV130)=DV$22,0,IF(AND($K131&gt;=DV$15,$K131&lt;(DV$16+1)),DV$22/(DV$16-DV$15+1),0))</f>
        <v>0</v>
      </c>
      <c r="DW131" s="231">
        <f ca="1">IF(SUM(DW$24:DW130)=DW$22,0,IF(AND($K131&gt;=DW$15,$K131&lt;(DW$16+1)),DW$22/(DW$16-DW$15+1),0))</f>
        <v>0</v>
      </c>
      <c r="DX131" s="231">
        <f ca="1">IF(SUM(DX$24:DX130)=DX$22,0,IF(AND($K131&gt;=DX$15,$K131&lt;(DX$16+1)),DX$22/(DX$16-DX$15+1),0))</f>
        <v>0</v>
      </c>
      <c r="DY131" s="231">
        <f ca="1">IF(SUM(DY$24:DY130)=DY$22,0,IF(AND($K131&gt;=DY$15,$K131&lt;(DY$16+1)),DY$22/(DY$16-DY$15+1),0))</f>
        <v>0</v>
      </c>
      <c r="EA131" s="749">
        <f t="shared" si="115"/>
        <v>108</v>
      </c>
      <c r="EB131" s="749" t="e">
        <f t="shared" ca="1" si="116"/>
        <v>#REF!</v>
      </c>
      <c r="EC131" s="750" t="e">
        <f t="shared" ca="1" si="82"/>
        <v>#REF!</v>
      </c>
      <c r="ED131" s="749" t="e">
        <f t="shared" ca="1" si="96"/>
        <v>#N/A</v>
      </c>
      <c r="EE131" s="749"/>
      <c r="EF131" s="749"/>
      <c r="EG131" s="749"/>
      <c r="EH131" s="749"/>
      <c r="EI131" s="714" t="e">
        <f t="shared" ca="1" si="83"/>
        <v>#REF!</v>
      </c>
      <c r="EJ131" s="231" t="e">
        <f ca="1">IF(SUM(EJ$24:EJ130)=EJ$22,0,IF(AND($K131&gt;=EJ$15,$K131&lt;(EJ$16+1)),EJ$22/(EJ$16-EJ$15+1),0))</f>
        <v>#REF!</v>
      </c>
      <c r="EK131" s="714" t="e">
        <f t="shared" ca="1" si="117"/>
        <v>#REF!</v>
      </c>
      <c r="EM131" s="60"/>
      <c r="EN131" s="60"/>
    </row>
    <row r="132" spans="1:144" ht="13.9" customHeight="1">
      <c r="A132" s="220"/>
      <c r="B132" s="236">
        <f t="shared" si="84"/>
        <v>109</v>
      </c>
      <c r="C132" s="221">
        <f t="shared" si="85"/>
        <v>46756.003600000171</v>
      </c>
      <c r="D132" s="746" t="e">
        <f t="shared" ca="1" si="86"/>
        <v>#DIV/0!</v>
      </c>
      <c r="E132" s="747" t="e">
        <f t="shared" ca="1" si="88"/>
        <v>#DIV/0!</v>
      </c>
      <c r="F132" s="748" t="e">
        <f ca="1">IF(F131=0,0,SUM($G$24:G132))</f>
        <v>#DIV/0!</v>
      </c>
      <c r="G132" s="225" t="e">
        <f t="shared" ca="1" si="111"/>
        <v>#DIV/0!</v>
      </c>
      <c r="H132" s="746">
        <f t="shared" ca="1" si="87"/>
        <v>0</v>
      </c>
      <c r="I132" s="60"/>
      <c r="J132" s="228"/>
      <c r="K132" s="228">
        <f t="shared" si="112"/>
        <v>109</v>
      </c>
      <c r="L132" s="221">
        <f t="shared" si="113"/>
        <v>46756.003600000171</v>
      </c>
      <c r="M132" s="229">
        <f t="shared" si="119"/>
        <v>0</v>
      </c>
      <c r="N132" s="229">
        <f t="shared" si="119"/>
        <v>0</v>
      </c>
      <c r="O132" s="229">
        <f t="shared" si="119"/>
        <v>0</v>
      </c>
      <c r="P132" s="229">
        <f t="shared" si="125"/>
        <v>0</v>
      </c>
      <c r="Q132" s="229">
        <f t="shared" si="125"/>
        <v>0</v>
      </c>
      <c r="R132" s="229">
        <f t="shared" si="125"/>
        <v>0</v>
      </c>
      <c r="S132" s="229">
        <f t="shared" si="125"/>
        <v>0</v>
      </c>
      <c r="T132" s="229">
        <f t="shared" si="125"/>
        <v>0</v>
      </c>
      <c r="U132" s="229">
        <f t="shared" si="125"/>
        <v>0</v>
      </c>
      <c r="V132" s="229">
        <f t="shared" si="125"/>
        <v>0</v>
      </c>
      <c r="W132" s="229">
        <f t="shared" si="125"/>
        <v>0</v>
      </c>
      <c r="X132" s="229">
        <f t="shared" si="125"/>
        <v>0</v>
      </c>
      <c r="Y132" s="229">
        <f t="shared" si="125"/>
        <v>0</v>
      </c>
      <c r="Z132" s="229">
        <f t="shared" si="125"/>
        <v>0</v>
      </c>
      <c r="AA132" s="229">
        <f t="shared" si="125"/>
        <v>0</v>
      </c>
      <c r="AB132" s="229">
        <f t="shared" si="125"/>
        <v>0</v>
      </c>
      <c r="AC132" s="229">
        <f t="shared" si="125"/>
        <v>0</v>
      </c>
      <c r="AD132" s="229">
        <f t="shared" si="125"/>
        <v>0</v>
      </c>
      <c r="AE132" s="229">
        <f t="shared" si="119"/>
        <v>0</v>
      </c>
      <c r="AF132" s="229">
        <f t="shared" si="119"/>
        <v>0</v>
      </c>
      <c r="AG132" s="229">
        <f t="shared" si="119"/>
        <v>0</v>
      </c>
      <c r="AH132" s="229">
        <f t="shared" si="119"/>
        <v>0</v>
      </c>
      <c r="AI132" s="229">
        <f t="shared" si="119"/>
        <v>0</v>
      </c>
      <c r="AJ132" s="229">
        <f t="shared" si="119"/>
        <v>0</v>
      </c>
      <c r="AK132" s="229">
        <f t="shared" si="119"/>
        <v>0</v>
      </c>
      <c r="AL132" s="229">
        <f t="shared" si="119"/>
        <v>0</v>
      </c>
      <c r="AM132" s="229">
        <f t="shared" si="119"/>
        <v>0</v>
      </c>
      <c r="AN132" s="229">
        <f t="shared" si="119"/>
        <v>0</v>
      </c>
      <c r="AO132" s="229">
        <f t="shared" si="119"/>
        <v>0</v>
      </c>
      <c r="AP132" s="229">
        <f t="shared" si="119"/>
        <v>0</v>
      </c>
      <c r="AQ132" s="229">
        <f t="shared" si="119"/>
        <v>0</v>
      </c>
      <c r="AR132" s="229">
        <f t="shared" si="120"/>
        <v>0</v>
      </c>
      <c r="AS132" s="229">
        <f t="shared" si="120"/>
        <v>0</v>
      </c>
      <c r="AT132" s="229">
        <f t="shared" si="120"/>
        <v>0</v>
      </c>
      <c r="AU132" s="229">
        <f t="shared" si="120"/>
        <v>0</v>
      </c>
      <c r="AV132" s="229">
        <f t="shared" si="120"/>
        <v>0</v>
      </c>
      <c r="AW132" s="229">
        <f t="shared" si="120"/>
        <v>0</v>
      </c>
      <c r="AX132" s="229">
        <f t="shared" si="120"/>
        <v>0</v>
      </c>
      <c r="AY132" s="229">
        <f t="shared" si="120"/>
        <v>0</v>
      </c>
      <c r="AZ132" s="229">
        <f t="shared" si="120"/>
        <v>0</v>
      </c>
      <c r="BA132" s="229">
        <f t="shared" si="120"/>
        <v>0</v>
      </c>
      <c r="BB132" s="229">
        <f t="shared" si="120"/>
        <v>0</v>
      </c>
      <c r="BC132" s="229">
        <f t="shared" si="121"/>
        <v>0</v>
      </c>
      <c r="BD132" s="229">
        <f t="shared" si="121"/>
        <v>0</v>
      </c>
      <c r="BE132" s="229">
        <f t="shared" si="121"/>
        <v>0</v>
      </c>
      <c r="BF132" s="229">
        <f t="shared" si="121"/>
        <v>0</v>
      </c>
      <c r="BG132" s="229">
        <f t="shared" si="121"/>
        <v>0</v>
      </c>
      <c r="BH132" s="229">
        <f t="shared" si="121"/>
        <v>0</v>
      </c>
      <c r="BI132" s="229">
        <f t="shared" si="121"/>
        <v>0</v>
      </c>
      <c r="BJ132" s="229">
        <f t="shared" si="121"/>
        <v>0</v>
      </c>
      <c r="BK132" s="229">
        <f t="shared" si="121"/>
        <v>0</v>
      </c>
      <c r="BL132" s="229">
        <f t="shared" si="121"/>
        <v>0</v>
      </c>
      <c r="BM132" s="229">
        <f t="shared" si="122"/>
        <v>0</v>
      </c>
      <c r="BN132" s="229">
        <f t="shared" si="122"/>
        <v>0</v>
      </c>
      <c r="BO132" s="229">
        <f t="shared" si="122"/>
        <v>0</v>
      </c>
      <c r="BP132" s="229">
        <f t="shared" si="122"/>
        <v>0</v>
      </c>
      <c r="BQ132" s="229">
        <f t="shared" si="122"/>
        <v>0</v>
      </c>
      <c r="BR132" s="229">
        <f t="shared" si="122"/>
        <v>0</v>
      </c>
      <c r="BS132" s="229">
        <f t="shared" si="122"/>
        <v>0</v>
      </c>
      <c r="BT132" s="229">
        <f t="shared" si="122"/>
        <v>0</v>
      </c>
      <c r="BU132" s="229">
        <f t="shared" si="122"/>
        <v>0</v>
      </c>
      <c r="BV132" s="229">
        <f t="shared" si="122"/>
        <v>0</v>
      </c>
      <c r="BW132" s="229">
        <f t="shared" si="122"/>
        <v>0</v>
      </c>
      <c r="BX132" s="229">
        <f t="shared" si="122"/>
        <v>0</v>
      </c>
      <c r="BY132" s="229">
        <f t="shared" si="122"/>
        <v>0</v>
      </c>
      <c r="BZ132" s="229">
        <f t="shared" si="122"/>
        <v>0</v>
      </c>
      <c r="CA132" s="229">
        <f t="shared" si="122"/>
        <v>0</v>
      </c>
      <c r="CB132" s="229">
        <f t="shared" si="123"/>
        <v>0</v>
      </c>
      <c r="CC132" s="229">
        <f t="shared" si="123"/>
        <v>0</v>
      </c>
      <c r="CD132" s="229">
        <f t="shared" si="123"/>
        <v>0</v>
      </c>
      <c r="CE132" s="229">
        <f t="shared" si="123"/>
        <v>0</v>
      </c>
      <c r="CF132" s="229">
        <f t="shared" si="123"/>
        <v>0</v>
      </c>
      <c r="CG132" s="229">
        <f t="shared" si="123"/>
        <v>0</v>
      </c>
      <c r="CH132" s="229">
        <f t="shared" si="123"/>
        <v>0</v>
      </c>
      <c r="CI132" s="229">
        <f t="shared" si="123"/>
        <v>0</v>
      </c>
      <c r="CJ132" s="229">
        <f t="shared" si="123"/>
        <v>0</v>
      </c>
      <c r="CK132" s="229">
        <f t="shared" si="123"/>
        <v>0</v>
      </c>
      <c r="CL132" s="229">
        <f t="shared" si="123"/>
        <v>0</v>
      </c>
      <c r="CM132" s="229">
        <f t="shared" si="123"/>
        <v>0</v>
      </c>
      <c r="CN132" s="229">
        <f t="shared" si="123"/>
        <v>0</v>
      </c>
      <c r="CO132" s="229">
        <f t="shared" si="123"/>
        <v>0</v>
      </c>
      <c r="CP132" s="229">
        <f t="shared" si="123"/>
        <v>0</v>
      </c>
      <c r="CQ132" s="229">
        <f t="shared" si="123"/>
        <v>0</v>
      </c>
      <c r="CR132" s="229">
        <f t="shared" si="123"/>
        <v>0</v>
      </c>
      <c r="CS132" s="230"/>
      <c r="CT132" s="243">
        <f>IF(SUM(CT$24:CT131)&gt;=CT$22,0,CT$22/CT$13)</f>
        <v>0</v>
      </c>
      <c r="CU132" s="243">
        <f>IF(SUM(CU$24:CU131)&gt;=CU$22,0,CU$22/CU$13)</f>
        <v>0</v>
      </c>
      <c r="CV132" s="243">
        <f>IF(SUM(CV$24:CV131)&gt;=CV$22,0,CV$22/CV$13)</f>
        <v>0</v>
      </c>
      <c r="CW132" s="243" t="e">
        <f ca="1">IF(SUM(CW$24:CW131)&gt;=CW$22,0,CW$22/CW$13)</f>
        <v>#N/A</v>
      </c>
      <c r="CX132" s="243"/>
      <c r="CY132" s="231"/>
      <c r="CZ132" s="231"/>
      <c r="DA132" s="231" t="e">
        <f ca="1">IF(SUM(DA$32:DA131)&gt;=DA$22,0,DA$22/(DA$13*4))</f>
        <v>#N/A</v>
      </c>
      <c r="DB132" s="231">
        <f>IF(SUM(DB$24:DB131)=DB$22,0,IF(AND($K132&gt;=DB$15,$K132&lt;(DB$16+1)),DB$22/(DB$16-DB$15+1),0))</f>
        <v>0</v>
      </c>
      <c r="DC132" s="231">
        <f t="shared" si="124"/>
        <v>0</v>
      </c>
      <c r="DD132" s="231">
        <f t="shared" si="124"/>
        <v>0</v>
      </c>
      <c r="DE132" s="231">
        <f t="shared" si="124"/>
        <v>0</v>
      </c>
      <c r="DF132" s="231">
        <f t="shared" si="124"/>
        <v>0</v>
      </c>
      <c r="DG132" s="231">
        <f t="shared" si="124"/>
        <v>0</v>
      </c>
      <c r="DH132" s="231">
        <f t="shared" si="124"/>
        <v>0</v>
      </c>
      <c r="DI132" s="231">
        <f t="shared" si="124"/>
        <v>0</v>
      </c>
      <c r="DJ132" s="231">
        <f t="shared" si="124"/>
        <v>0</v>
      </c>
      <c r="DK132" s="231">
        <f t="shared" si="124"/>
        <v>0</v>
      </c>
      <c r="DL132" s="231">
        <f t="shared" si="124"/>
        <v>0</v>
      </c>
      <c r="DM132" s="231">
        <f t="shared" si="124"/>
        <v>0</v>
      </c>
      <c r="DN132" s="231">
        <f t="shared" si="124"/>
        <v>0</v>
      </c>
      <c r="DO132" s="231">
        <f t="shared" si="124"/>
        <v>0</v>
      </c>
      <c r="DP132" s="231">
        <f>'Offshore CF'!DR132</f>
        <v>0</v>
      </c>
      <c r="DQ132" s="231">
        <f>'Offshore CF'!DS132</f>
        <v>0</v>
      </c>
      <c r="DR132" s="231">
        <f ca="1">IF(SUM(DR$24:DR131)=DR$22,0,IF(AND($K132&gt;=DR$15,$K132&lt;(DR$16+1)),DR$22/(DR$16-DR$15+1),0))</f>
        <v>0</v>
      </c>
      <c r="DS132" s="231" t="e">
        <f ca="1">IF(SUM(DS$24:DS131)=DS$22,0,IF(AND($K132&gt;=DS$15,$K132&lt;(DS$16+1)),DS$22/(DS$16-DS$15+1),0))</f>
        <v>#REF!</v>
      </c>
      <c r="DT132" s="231" t="e">
        <f ca="1">IF(SUM(DT$24:DT131)=DT$22,0,IF(AND(K132&gt;=DT$15,K132&lt;(DT$16+1)),DT$22/(DT$16-DT$15+1),0))</f>
        <v>#REF!</v>
      </c>
      <c r="DU132" s="231" t="e">
        <f ca="1">IF(SUM(DU$24:DU131)=DU$22,0,IF(AND($K132&gt;=DU$15,$K132&lt;(DU$16+1)),DU$22/(DU$16-DU$15+1),0))</f>
        <v>#REF!</v>
      </c>
      <c r="DV132" s="231">
        <f ca="1">IF(SUM(DV$24:DV131)=DV$22,0,IF(AND($K132&gt;=DV$15,$K132&lt;(DV$16+1)),DV$22/(DV$16-DV$15+1),0))</f>
        <v>0</v>
      </c>
      <c r="DW132" s="231">
        <f ca="1">IF(SUM(DW$24:DW131)=DW$22,0,IF(AND($K132&gt;=DW$15,$K132&lt;(DW$16+1)),DW$22/(DW$16-DW$15+1),0))</f>
        <v>0</v>
      </c>
      <c r="DX132" s="231">
        <f ca="1">IF(SUM(DX$24:DX131)=DX$22,0,IF(AND($K132&gt;=DX$15,$K132&lt;(DX$16+1)),DX$22/(DX$16-DX$15+1),0))</f>
        <v>0</v>
      </c>
      <c r="DY132" s="231">
        <f ca="1">IF(SUM(DY$24:DY131)=DY$22,0,IF(AND($K132&gt;=DY$15,$K132&lt;(DY$16+1)),DY$22/(DY$16-DY$15+1),0))</f>
        <v>0</v>
      </c>
      <c r="EA132" s="749">
        <f t="shared" si="115"/>
        <v>109</v>
      </c>
      <c r="EB132" s="749" t="e">
        <f t="shared" ca="1" si="116"/>
        <v>#N/A</v>
      </c>
      <c r="EC132" s="750" t="e">
        <f t="shared" ca="1" si="82"/>
        <v>#N/A</v>
      </c>
      <c r="ED132" s="749" t="e">
        <f t="shared" ca="1" si="96"/>
        <v>#REF!</v>
      </c>
      <c r="EE132" s="749"/>
      <c r="EF132" s="749"/>
      <c r="EG132" s="749"/>
      <c r="EH132" s="749"/>
      <c r="EI132" s="714" t="e">
        <f t="shared" ca="1" si="83"/>
        <v>#N/A</v>
      </c>
      <c r="EJ132" s="231" t="e">
        <f ca="1">IF(SUM(EJ$24:EJ131)=EJ$22,0,IF(AND($K132&gt;=EJ$15,$K132&lt;(EJ$16+1)),EJ$22/(EJ$16-EJ$15+1),0))</f>
        <v>#REF!</v>
      </c>
      <c r="EK132" s="714" t="e">
        <f t="shared" ca="1" si="117"/>
        <v>#N/A</v>
      </c>
      <c r="EM132" s="60"/>
      <c r="EN132" s="60"/>
    </row>
    <row r="133" spans="1:144" ht="13.9" customHeight="1">
      <c r="A133" s="220"/>
      <c r="B133" s="236">
        <f t="shared" si="84"/>
        <v>110</v>
      </c>
      <c r="C133" s="221">
        <f t="shared" si="85"/>
        <v>46786.420300000173</v>
      </c>
      <c r="D133" s="746" t="e">
        <f t="shared" ca="1" si="86"/>
        <v>#DIV/0!</v>
      </c>
      <c r="E133" s="747" t="e">
        <f t="shared" ca="1" si="88"/>
        <v>#DIV/0!</v>
      </c>
      <c r="F133" s="748" t="e">
        <f ca="1">IF(F132=0,0,SUM($G$24:G133))</f>
        <v>#DIV/0!</v>
      </c>
      <c r="G133" s="225" t="e">
        <f t="shared" ca="1" si="111"/>
        <v>#DIV/0!</v>
      </c>
      <c r="H133" s="746">
        <f t="shared" ca="1" si="87"/>
        <v>0</v>
      </c>
      <c r="I133" s="60"/>
      <c r="J133" s="228"/>
      <c r="K133" s="228">
        <f t="shared" si="112"/>
        <v>110</v>
      </c>
      <c r="L133" s="221">
        <f t="shared" si="113"/>
        <v>46786.420300000173</v>
      </c>
      <c r="M133" s="229">
        <f t="shared" si="119"/>
        <v>0</v>
      </c>
      <c r="N133" s="229">
        <f t="shared" si="119"/>
        <v>0</v>
      </c>
      <c r="O133" s="229">
        <f t="shared" si="119"/>
        <v>0</v>
      </c>
      <c r="P133" s="229">
        <f t="shared" si="125"/>
        <v>0</v>
      </c>
      <c r="Q133" s="229">
        <f t="shared" si="125"/>
        <v>0</v>
      </c>
      <c r="R133" s="229">
        <f t="shared" si="125"/>
        <v>0</v>
      </c>
      <c r="S133" s="229">
        <f t="shared" si="125"/>
        <v>0</v>
      </c>
      <c r="T133" s="229">
        <f t="shared" si="125"/>
        <v>0</v>
      </c>
      <c r="U133" s="229">
        <f t="shared" si="125"/>
        <v>0</v>
      </c>
      <c r="V133" s="229">
        <f t="shared" si="125"/>
        <v>0</v>
      </c>
      <c r="W133" s="229">
        <f t="shared" si="125"/>
        <v>0</v>
      </c>
      <c r="X133" s="229">
        <f t="shared" si="125"/>
        <v>0</v>
      </c>
      <c r="Y133" s="229">
        <f t="shared" si="125"/>
        <v>0</v>
      </c>
      <c r="Z133" s="229">
        <f t="shared" si="125"/>
        <v>0</v>
      </c>
      <c r="AA133" s="229">
        <f t="shared" si="125"/>
        <v>0</v>
      </c>
      <c r="AB133" s="229">
        <f t="shared" si="125"/>
        <v>0</v>
      </c>
      <c r="AC133" s="229">
        <f t="shared" si="125"/>
        <v>0</v>
      </c>
      <c r="AD133" s="229">
        <f t="shared" si="125"/>
        <v>0</v>
      </c>
      <c r="AE133" s="229">
        <f t="shared" si="119"/>
        <v>0</v>
      </c>
      <c r="AF133" s="229">
        <f t="shared" si="119"/>
        <v>0</v>
      </c>
      <c r="AG133" s="229">
        <f t="shared" si="119"/>
        <v>0</v>
      </c>
      <c r="AH133" s="229">
        <f t="shared" si="119"/>
        <v>0</v>
      </c>
      <c r="AI133" s="229">
        <f t="shared" si="119"/>
        <v>0</v>
      </c>
      <c r="AJ133" s="229">
        <f t="shared" si="119"/>
        <v>0</v>
      </c>
      <c r="AK133" s="229">
        <f t="shared" si="119"/>
        <v>0</v>
      </c>
      <c r="AL133" s="229">
        <f t="shared" si="119"/>
        <v>0</v>
      </c>
      <c r="AM133" s="229">
        <f t="shared" si="119"/>
        <v>0</v>
      </c>
      <c r="AN133" s="229">
        <f t="shared" si="119"/>
        <v>0</v>
      </c>
      <c r="AO133" s="229">
        <f t="shared" si="119"/>
        <v>0</v>
      </c>
      <c r="AP133" s="229">
        <f t="shared" si="119"/>
        <v>0</v>
      </c>
      <c r="AQ133" s="229">
        <f t="shared" si="119"/>
        <v>0</v>
      </c>
      <c r="AR133" s="229">
        <f t="shared" si="120"/>
        <v>0</v>
      </c>
      <c r="AS133" s="229">
        <f t="shared" si="120"/>
        <v>0</v>
      </c>
      <c r="AT133" s="229">
        <f t="shared" si="120"/>
        <v>0</v>
      </c>
      <c r="AU133" s="229">
        <f t="shared" si="120"/>
        <v>0</v>
      </c>
      <c r="AV133" s="229">
        <f t="shared" si="120"/>
        <v>0</v>
      </c>
      <c r="AW133" s="229">
        <f t="shared" si="120"/>
        <v>0</v>
      </c>
      <c r="AX133" s="229">
        <f t="shared" si="120"/>
        <v>0</v>
      </c>
      <c r="AY133" s="229">
        <f t="shared" si="120"/>
        <v>0</v>
      </c>
      <c r="AZ133" s="229">
        <f t="shared" si="120"/>
        <v>0</v>
      </c>
      <c r="BA133" s="229">
        <f t="shared" si="120"/>
        <v>0</v>
      </c>
      <c r="BB133" s="229">
        <f t="shared" si="120"/>
        <v>0</v>
      </c>
      <c r="BC133" s="229">
        <f t="shared" si="121"/>
        <v>0</v>
      </c>
      <c r="BD133" s="229">
        <f t="shared" si="121"/>
        <v>0</v>
      </c>
      <c r="BE133" s="229">
        <f t="shared" si="121"/>
        <v>0</v>
      </c>
      <c r="BF133" s="229">
        <f t="shared" si="121"/>
        <v>0</v>
      </c>
      <c r="BG133" s="229">
        <f t="shared" si="121"/>
        <v>0</v>
      </c>
      <c r="BH133" s="229">
        <f t="shared" si="121"/>
        <v>0</v>
      </c>
      <c r="BI133" s="229">
        <f t="shared" si="121"/>
        <v>0</v>
      </c>
      <c r="BJ133" s="229">
        <f t="shared" si="121"/>
        <v>0</v>
      </c>
      <c r="BK133" s="229">
        <f t="shared" si="121"/>
        <v>0</v>
      </c>
      <c r="BL133" s="229">
        <f t="shared" si="121"/>
        <v>0</v>
      </c>
      <c r="BM133" s="229">
        <f t="shared" si="122"/>
        <v>0</v>
      </c>
      <c r="BN133" s="229">
        <f t="shared" si="122"/>
        <v>0</v>
      </c>
      <c r="BO133" s="229">
        <f t="shared" si="122"/>
        <v>0</v>
      </c>
      <c r="BP133" s="229">
        <f t="shared" si="122"/>
        <v>0</v>
      </c>
      <c r="BQ133" s="229">
        <f t="shared" si="122"/>
        <v>0</v>
      </c>
      <c r="BR133" s="229">
        <f t="shared" si="122"/>
        <v>0</v>
      </c>
      <c r="BS133" s="229">
        <f t="shared" si="122"/>
        <v>0</v>
      </c>
      <c r="BT133" s="229">
        <f t="shared" si="122"/>
        <v>0</v>
      </c>
      <c r="BU133" s="229">
        <f t="shared" si="122"/>
        <v>0</v>
      </c>
      <c r="BV133" s="229">
        <f t="shared" si="122"/>
        <v>0</v>
      </c>
      <c r="BW133" s="229">
        <f t="shared" si="122"/>
        <v>0</v>
      </c>
      <c r="BX133" s="229">
        <f t="shared" si="122"/>
        <v>0</v>
      </c>
      <c r="BY133" s="229">
        <f t="shared" si="122"/>
        <v>0</v>
      </c>
      <c r="BZ133" s="229">
        <f t="shared" si="122"/>
        <v>0</v>
      </c>
      <c r="CA133" s="229">
        <f t="shared" si="122"/>
        <v>0</v>
      </c>
      <c r="CB133" s="229">
        <f t="shared" si="123"/>
        <v>0</v>
      </c>
      <c r="CC133" s="229">
        <f t="shared" si="123"/>
        <v>0</v>
      </c>
      <c r="CD133" s="229">
        <f t="shared" si="123"/>
        <v>0</v>
      </c>
      <c r="CE133" s="229">
        <f t="shared" si="123"/>
        <v>0</v>
      </c>
      <c r="CF133" s="229">
        <f t="shared" si="123"/>
        <v>0</v>
      </c>
      <c r="CG133" s="229">
        <f t="shared" si="123"/>
        <v>0</v>
      </c>
      <c r="CH133" s="229">
        <f t="shared" si="123"/>
        <v>0</v>
      </c>
      <c r="CI133" s="229">
        <f t="shared" si="123"/>
        <v>0</v>
      </c>
      <c r="CJ133" s="229">
        <f t="shared" si="123"/>
        <v>0</v>
      </c>
      <c r="CK133" s="229">
        <f t="shared" si="123"/>
        <v>0</v>
      </c>
      <c r="CL133" s="229">
        <f t="shared" si="123"/>
        <v>0</v>
      </c>
      <c r="CM133" s="229">
        <f t="shared" si="123"/>
        <v>0</v>
      </c>
      <c r="CN133" s="229">
        <f t="shared" si="123"/>
        <v>0</v>
      </c>
      <c r="CO133" s="229">
        <f t="shared" si="123"/>
        <v>0</v>
      </c>
      <c r="CP133" s="229">
        <f t="shared" si="123"/>
        <v>0</v>
      </c>
      <c r="CQ133" s="229">
        <f t="shared" si="123"/>
        <v>0</v>
      </c>
      <c r="CR133" s="229">
        <f t="shared" si="123"/>
        <v>0</v>
      </c>
      <c r="CS133" s="230"/>
      <c r="CT133" s="231"/>
      <c r="CU133" s="231"/>
      <c r="CV133" s="231"/>
      <c r="CW133" s="231"/>
      <c r="CX133" s="231"/>
      <c r="CY133" s="231"/>
      <c r="CZ133" s="231"/>
      <c r="DA133" s="231"/>
      <c r="DB133" s="231">
        <f>IF(SUM(DB$24:DB132)=DB$22,0,IF(AND($K133&gt;=DB$15,$K133&lt;(DB$16+1)),DB$22/(DB$16-DB$15+1),0))</f>
        <v>0</v>
      </c>
      <c r="DC133" s="231">
        <f t="shared" si="124"/>
        <v>0</v>
      </c>
      <c r="DD133" s="231">
        <f t="shared" si="124"/>
        <v>0</v>
      </c>
      <c r="DE133" s="231">
        <f t="shared" si="124"/>
        <v>0</v>
      </c>
      <c r="DF133" s="231">
        <f t="shared" si="124"/>
        <v>0</v>
      </c>
      <c r="DG133" s="231">
        <f t="shared" si="124"/>
        <v>0</v>
      </c>
      <c r="DH133" s="231">
        <f t="shared" si="124"/>
        <v>0</v>
      </c>
      <c r="DI133" s="231">
        <f t="shared" si="124"/>
        <v>0</v>
      </c>
      <c r="DJ133" s="231">
        <f t="shared" si="124"/>
        <v>0</v>
      </c>
      <c r="DK133" s="231">
        <f t="shared" si="124"/>
        <v>0</v>
      </c>
      <c r="DL133" s="231">
        <f t="shared" si="124"/>
        <v>0</v>
      </c>
      <c r="DM133" s="231">
        <f t="shared" si="124"/>
        <v>0</v>
      </c>
      <c r="DN133" s="231">
        <f t="shared" si="124"/>
        <v>0</v>
      </c>
      <c r="DO133" s="231">
        <f t="shared" si="124"/>
        <v>0</v>
      </c>
      <c r="DP133" s="231">
        <f>'Offshore CF'!DR133</f>
        <v>0</v>
      </c>
      <c r="DQ133" s="231">
        <f>'Offshore CF'!DS133</f>
        <v>0</v>
      </c>
      <c r="DR133" s="231">
        <f ca="1">IF(SUM(DR$24:DR132)=DR$22,0,IF(AND($K133&gt;=DR$15,$K133&lt;(DR$16+1)),DR$22/(DR$16-DR$15+1),0))</f>
        <v>0</v>
      </c>
      <c r="DS133" s="231" t="e">
        <f ca="1">IF(SUM(DS$24:DS132)=DS$22,0,IF(AND($K133&gt;=DS$15,$K133&lt;(DS$16+1)),DS$22/(DS$16-DS$15+1),0))</f>
        <v>#REF!</v>
      </c>
      <c r="DT133" s="231" t="e">
        <f ca="1">IF(SUM(DT$24:DT132)=DT$22,0,IF(AND(K133&gt;=DT$15,K133&lt;(DT$16+1)),DT$22/(DT$16-DT$15+1),0))</f>
        <v>#REF!</v>
      </c>
      <c r="DU133" s="231" t="e">
        <f ca="1">IF(SUM(DU$24:DU132)=DU$22,0,IF(AND($K133&gt;=DU$15,$K133&lt;(DU$16+1)),DU$22/(DU$16-DU$15+1),0))</f>
        <v>#REF!</v>
      </c>
      <c r="DV133" s="231">
        <f ca="1">IF(SUM(DV$24:DV132)=DV$22,0,IF(AND($K133&gt;=DV$15,$K133&lt;(DV$16+1)),DV$22/(DV$16-DV$15+1),0))</f>
        <v>0</v>
      </c>
      <c r="DW133" s="231">
        <f ca="1">IF(SUM(DW$24:DW132)=DW$22,0,IF(AND($K133&gt;=DW$15,$K133&lt;(DW$16+1)),DW$22/(DW$16-DW$15+1),0))</f>
        <v>0</v>
      </c>
      <c r="DX133" s="231">
        <f ca="1">IF(SUM(DX$24:DX132)=DX$22,0,IF(AND($K133&gt;=DX$15,$K133&lt;(DX$16+1)),DX$22/(DX$16-DX$15+1),0))</f>
        <v>0</v>
      </c>
      <c r="DY133" s="231">
        <f ca="1">IF(SUM(DY$24:DY132)=DY$22,0,IF(AND($K133&gt;=DY$15,$K133&lt;(DY$16+1)),DY$22/(DY$16-DY$15+1),0))</f>
        <v>0</v>
      </c>
      <c r="EA133" s="749">
        <f t="shared" si="115"/>
        <v>110</v>
      </c>
      <c r="EB133" s="749" t="e">
        <f t="shared" ca="1" si="116"/>
        <v>#REF!</v>
      </c>
      <c r="EC133" s="750" t="e">
        <f t="shared" ca="1" si="82"/>
        <v>#REF!</v>
      </c>
      <c r="ED133" s="749" t="e">
        <f t="shared" ca="1" si="96"/>
        <v>#REF!</v>
      </c>
      <c r="EE133" s="749"/>
      <c r="EF133" s="749"/>
      <c r="EG133" s="749"/>
      <c r="EH133" s="749"/>
      <c r="EI133" s="714" t="e">
        <f t="shared" ca="1" si="83"/>
        <v>#REF!</v>
      </c>
      <c r="EJ133" s="231" t="e">
        <f ca="1">IF(SUM(EJ$24:EJ132)=EJ$22,0,IF(AND($K133&gt;=EJ$15,$K133&lt;(EJ$16+1)),EJ$22/(EJ$16-EJ$15+1),0))</f>
        <v>#REF!</v>
      </c>
      <c r="EK133" s="714" t="e">
        <f t="shared" ca="1" si="117"/>
        <v>#REF!</v>
      </c>
      <c r="EM133" s="60"/>
      <c r="EN133" s="60"/>
    </row>
    <row r="134" spans="1:144" ht="13.9" customHeight="1">
      <c r="A134" s="220"/>
      <c r="B134" s="236">
        <f t="shared" si="84"/>
        <v>111</v>
      </c>
      <c r="C134" s="221">
        <f t="shared" si="85"/>
        <v>46816.837000000174</v>
      </c>
      <c r="D134" s="746" t="e">
        <f t="shared" ca="1" si="86"/>
        <v>#DIV/0!</v>
      </c>
      <c r="E134" s="747" t="e">
        <f t="shared" ca="1" si="88"/>
        <v>#DIV/0!</v>
      </c>
      <c r="F134" s="748" t="e">
        <f ca="1">IF(F133=0,0,SUM($G$24:G134))</f>
        <v>#DIV/0!</v>
      </c>
      <c r="G134" s="225" t="e">
        <f t="shared" ca="1" si="111"/>
        <v>#DIV/0!</v>
      </c>
      <c r="H134" s="746">
        <f t="shared" ca="1" si="87"/>
        <v>0</v>
      </c>
      <c r="I134" s="60"/>
      <c r="J134" s="228"/>
      <c r="K134" s="228">
        <f t="shared" si="112"/>
        <v>111</v>
      </c>
      <c r="L134" s="221">
        <f t="shared" si="113"/>
        <v>46816.837000000174</v>
      </c>
      <c r="M134" s="229">
        <f t="shared" ref="M134:AQ143" si="126">IF($K134=M$13,M$22*M$3,IF($K134=M$14,M$22*M$4,IF($K134=M$15,M$22*M$5,IF($K134=M$16,M$22*M$6,IF($K134=M$17,M$22*M$7,IF($K134=M$18,M$22*M$8,IF($K134=M$19,M$22*M$9,IF($K134=M$20,M$22*M$10,0))))))))</f>
        <v>0</v>
      </c>
      <c r="N134" s="229">
        <f t="shared" si="126"/>
        <v>0</v>
      </c>
      <c r="O134" s="229">
        <f t="shared" si="126"/>
        <v>0</v>
      </c>
      <c r="P134" s="229">
        <f t="shared" si="126"/>
        <v>0</v>
      </c>
      <c r="Q134" s="229">
        <f t="shared" si="126"/>
        <v>0</v>
      </c>
      <c r="R134" s="229">
        <f t="shared" si="125"/>
        <v>0</v>
      </c>
      <c r="S134" s="229">
        <f t="shared" si="125"/>
        <v>0</v>
      </c>
      <c r="T134" s="229">
        <f t="shared" si="125"/>
        <v>0</v>
      </c>
      <c r="U134" s="229">
        <f t="shared" si="126"/>
        <v>0</v>
      </c>
      <c r="V134" s="229">
        <f t="shared" si="126"/>
        <v>0</v>
      </c>
      <c r="W134" s="229">
        <f t="shared" si="126"/>
        <v>0</v>
      </c>
      <c r="X134" s="229">
        <f t="shared" si="126"/>
        <v>0</v>
      </c>
      <c r="Y134" s="229">
        <f t="shared" si="126"/>
        <v>0</v>
      </c>
      <c r="Z134" s="229">
        <f t="shared" si="126"/>
        <v>0</v>
      </c>
      <c r="AA134" s="229">
        <f t="shared" si="126"/>
        <v>0</v>
      </c>
      <c r="AB134" s="229">
        <f t="shared" si="126"/>
        <v>0</v>
      </c>
      <c r="AC134" s="229">
        <f t="shared" si="126"/>
        <v>0</v>
      </c>
      <c r="AD134" s="229">
        <f t="shared" si="126"/>
        <v>0</v>
      </c>
      <c r="AE134" s="229">
        <f t="shared" si="126"/>
        <v>0</v>
      </c>
      <c r="AF134" s="229">
        <f t="shared" si="126"/>
        <v>0</v>
      </c>
      <c r="AG134" s="229">
        <f t="shared" si="126"/>
        <v>0</v>
      </c>
      <c r="AH134" s="229">
        <f t="shared" si="126"/>
        <v>0</v>
      </c>
      <c r="AI134" s="229">
        <f t="shared" si="126"/>
        <v>0</v>
      </c>
      <c r="AJ134" s="229">
        <f t="shared" si="126"/>
        <v>0</v>
      </c>
      <c r="AK134" s="229">
        <f t="shared" si="126"/>
        <v>0</v>
      </c>
      <c r="AL134" s="229">
        <f t="shared" si="126"/>
        <v>0</v>
      </c>
      <c r="AM134" s="229">
        <f t="shared" si="126"/>
        <v>0</v>
      </c>
      <c r="AN134" s="229">
        <f t="shared" si="126"/>
        <v>0</v>
      </c>
      <c r="AO134" s="229">
        <f t="shared" si="126"/>
        <v>0</v>
      </c>
      <c r="AP134" s="229">
        <f t="shared" si="126"/>
        <v>0</v>
      </c>
      <c r="AQ134" s="229">
        <f t="shared" si="126"/>
        <v>0</v>
      </c>
      <c r="AR134" s="229">
        <f t="shared" ref="AR134:BB143" si="127">IF($K134=AR$13,AR$22*AR$3,IF($K134=AR$14,AR$22*AR$4,IF($K134=AR$15,AR$22*AR$5,IF($K134=AR$16,AR$22*AR$6,IF($K134=AR$17,AR$22*AR$7,IF($K134=AR$18,AR$22*AR$8,IF($K134=AR$19,AR$22*AR$9,IF($K134=AR$20,AR$22*AR$10,0))))))))</f>
        <v>0</v>
      </c>
      <c r="AS134" s="229">
        <f t="shared" si="127"/>
        <v>0</v>
      </c>
      <c r="AT134" s="229">
        <f t="shared" si="127"/>
        <v>0</v>
      </c>
      <c r="AU134" s="229">
        <f t="shared" si="127"/>
        <v>0</v>
      </c>
      <c r="AV134" s="229">
        <f t="shared" si="127"/>
        <v>0</v>
      </c>
      <c r="AW134" s="229">
        <f t="shared" si="127"/>
        <v>0</v>
      </c>
      <c r="AX134" s="229">
        <f t="shared" si="127"/>
        <v>0</v>
      </c>
      <c r="AY134" s="229">
        <f t="shared" si="127"/>
        <v>0</v>
      </c>
      <c r="AZ134" s="229">
        <f t="shared" si="127"/>
        <v>0</v>
      </c>
      <c r="BA134" s="229">
        <f t="shared" si="127"/>
        <v>0</v>
      </c>
      <c r="BB134" s="229">
        <f t="shared" si="127"/>
        <v>0</v>
      </c>
      <c r="BC134" s="229">
        <f t="shared" ref="BC134:BL143" si="128">IF($K134=BC$13,BC$22*BC$3,IF($K134=BC$14,BC$22*BC$4,IF($K134=BC$15,BC$22*BC$5,IF($K134=BC$16,BC$22*BC$6,IF($K134=BC$17,BC$22*BC$7,IF($K134=BC$18,BC$22*BC$8,IF($K134=BC$19,BC$22*BC$9,IF($K134=BC$20,BC$22*BC$10,0))))))))</f>
        <v>0</v>
      </c>
      <c r="BD134" s="229">
        <f t="shared" si="128"/>
        <v>0</v>
      </c>
      <c r="BE134" s="229">
        <f t="shared" si="128"/>
        <v>0</v>
      </c>
      <c r="BF134" s="229">
        <f t="shared" si="128"/>
        <v>0</v>
      </c>
      <c r="BG134" s="229">
        <f t="shared" si="128"/>
        <v>0</v>
      </c>
      <c r="BH134" s="229">
        <f t="shared" si="128"/>
        <v>0</v>
      </c>
      <c r="BI134" s="229">
        <f t="shared" si="128"/>
        <v>0</v>
      </c>
      <c r="BJ134" s="229">
        <f t="shared" si="128"/>
        <v>0</v>
      </c>
      <c r="BK134" s="229">
        <f t="shared" si="128"/>
        <v>0</v>
      </c>
      <c r="BL134" s="229">
        <f t="shared" si="128"/>
        <v>0</v>
      </c>
      <c r="BM134" s="229">
        <f t="shared" ref="BM134:CA143" si="129">IF($K134=BM$13,BM$22*BM$3,IF($K134=BM$14,BM$22*BM$4,IF($K134=BM$15,BM$22*BM$5,IF($K134=BM$16,BM$22*BM$6,IF($K134=BM$17,BM$22*BM$7,IF($K134=BM$18,BM$22*BM$8,IF($K134=BM$19,BM$22*BM$9,IF($K134=BM$20,BM$22*BM$10,0))))))))</f>
        <v>0</v>
      </c>
      <c r="BN134" s="229">
        <f t="shared" si="129"/>
        <v>0</v>
      </c>
      <c r="BO134" s="229">
        <f t="shared" si="129"/>
        <v>0</v>
      </c>
      <c r="BP134" s="229">
        <f t="shared" si="129"/>
        <v>0</v>
      </c>
      <c r="BQ134" s="229">
        <f t="shared" si="129"/>
        <v>0</v>
      </c>
      <c r="BR134" s="229">
        <f t="shared" si="129"/>
        <v>0</v>
      </c>
      <c r="BS134" s="229">
        <f t="shared" si="129"/>
        <v>0</v>
      </c>
      <c r="BT134" s="229">
        <f t="shared" si="129"/>
        <v>0</v>
      </c>
      <c r="BU134" s="229">
        <f t="shared" si="129"/>
        <v>0</v>
      </c>
      <c r="BV134" s="229">
        <f t="shared" si="129"/>
        <v>0</v>
      </c>
      <c r="BW134" s="229">
        <f t="shared" si="129"/>
        <v>0</v>
      </c>
      <c r="BX134" s="229">
        <f t="shared" si="129"/>
        <v>0</v>
      </c>
      <c r="BY134" s="229">
        <f t="shared" si="129"/>
        <v>0</v>
      </c>
      <c r="BZ134" s="229">
        <f t="shared" si="129"/>
        <v>0</v>
      </c>
      <c r="CA134" s="229">
        <f t="shared" si="129"/>
        <v>0</v>
      </c>
      <c r="CB134" s="229">
        <f t="shared" ref="CB134:CR143" si="130">IF($K134=CB$13,CB$22*CB$3,IF($K134=CB$14,CB$22*CB$4,IF($K134=CB$15,CB$22*CB$5,IF($K134=CB$16,CB$22*CB$6,IF($K134=CB$17,CB$22*CB$7,IF($K134=CB$18,CB$22*CB$8,IF($K134=CB$19,CB$22*CB$9,IF($K134=CB$20,CB$22*CB$10,0))))))))</f>
        <v>0</v>
      </c>
      <c r="CC134" s="229">
        <f t="shared" si="130"/>
        <v>0</v>
      </c>
      <c r="CD134" s="229">
        <f t="shared" si="130"/>
        <v>0</v>
      </c>
      <c r="CE134" s="229">
        <f t="shared" si="130"/>
        <v>0</v>
      </c>
      <c r="CF134" s="229">
        <f t="shared" si="130"/>
        <v>0</v>
      </c>
      <c r="CG134" s="229">
        <f t="shared" si="130"/>
        <v>0</v>
      </c>
      <c r="CH134" s="229">
        <f t="shared" si="130"/>
        <v>0</v>
      </c>
      <c r="CI134" s="229">
        <f t="shared" si="130"/>
        <v>0</v>
      </c>
      <c r="CJ134" s="229">
        <f t="shared" si="130"/>
        <v>0</v>
      </c>
      <c r="CK134" s="229">
        <f t="shared" si="130"/>
        <v>0</v>
      </c>
      <c r="CL134" s="229">
        <f t="shared" si="130"/>
        <v>0</v>
      </c>
      <c r="CM134" s="229">
        <f t="shared" si="130"/>
        <v>0</v>
      </c>
      <c r="CN134" s="229">
        <f t="shared" si="130"/>
        <v>0</v>
      </c>
      <c r="CO134" s="229">
        <f t="shared" si="130"/>
        <v>0</v>
      </c>
      <c r="CP134" s="229">
        <f t="shared" si="130"/>
        <v>0</v>
      </c>
      <c r="CQ134" s="229">
        <f t="shared" si="130"/>
        <v>0</v>
      </c>
      <c r="CR134" s="229">
        <f t="shared" si="130"/>
        <v>0</v>
      </c>
      <c r="CS134" s="230"/>
      <c r="CT134" s="231"/>
      <c r="CU134" s="231"/>
      <c r="CV134" s="231"/>
      <c r="CW134" s="231"/>
      <c r="CX134" s="231"/>
      <c r="CY134" s="231"/>
      <c r="CZ134" s="231"/>
      <c r="DA134" s="231"/>
      <c r="DB134" s="231">
        <f>IF(SUM(DB$24:DB133)=DB$22,0,IF(AND($K134&gt;=DB$15,$K134&lt;(DB$16+1)),DB$22/(DB$16-DB$15+1),0))</f>
        <v>0</v>
      </c>
      <c r="DC134" s="231">
        <f t="shared" si="124"/>
        <v>0</v>
      </c>
      <c r="DD134" s="231">
        <f t="shared" si="124"/>
        <v>0</v>
      </c>
      <c r="DE134" s="231">
        <f t="shared" si="124"/>
        <v>0</v>
      </c>
      <c r="DF134" s="231">
        <f t="shared" si="124"/>
        <v>0</v>
      </c>
      <c r="DG134" s="231">
        <f t="shared" si="124"/>
        <v>0</v>
      </c>
      <c r="DH134" s="231">
        <f t="shared" si="124"/>
        <v>0</v>
      </c>
      <c r="DI134" s="231">
        <f t="shared" si="124"/>
        <v>0</v>
      </c>
      <c r="DJ134" s="231">
        <f t="shared" si="124"/>
        <v>0</v>
      </c>
      <c r="DK134" s="231">
        <f t="shared" si="124"/>
        <v>0</v>
      </c>
      <c r="DL134" s="231">
        <f t="shared" si="124"/>
        <v>0</v>
      </c>
      <c r="DM134" s="231">
        <f t="shared" si="124"/>
        <v>0</v>
      </c>
      <c r="DN134" s="231">
        <f t="shared" si="124"/>
        <v>0</v>
      </c>
      <c r="DO134" s="231">
        <f t="shared" si="124"/>
        <v>0</v>
      </c>
      <c r="DP134" s="231">
        <f>'Offshore CF'!DR134</f>
        <v>0</v>
      </c>
      <c r="DQ134" s="231">
        <f>'Offshore CF'!DS134</f>
        <v>0</v>
      </c>
      <c r="DR134" s="231">
        <f ca="1">IF(SUM(DR$24:DR133)=DR$22,0,IF(AND($K134&gt;=DR$15,$K134&lt;(DR$16+1)),DR$22/(DR$16-DR$15+1),0))</f>
        <v>0</v>
      </c>
      <c r="DS134" s="231" t="e">
        <f ca="1">IF(SUM(DS$24:DS133)=DS$22,0,IF(AND($K134&gt;=DS$15,$K134&lt;(DS$16+1)),DS$22/(DS$16-DS$15+1),0))</f>
        <v>#REF!</v>
      </c>
      <c r="DT134" s="231" t="e">
        <f ca="1">IF(SUM(DT$24:DT133)=DT$22,0,IF(AND(K134&gt;=DT$15,K134&lt;(DT$16+1)),DT$22/(DT$16-DT$15+1),0))</f>
        <v>#REF!</v>
      </c>
      <c r="DU134" s="231" t="e">
        <f ca="1">IF(SUM(DU$24:DU133)=DU$22,0,IF(AND($K134&gt;=DU$15,$K134&lt;(DU$16+1)),DU$22/(DU$16-DU$15+1),0))</f>
        <v>#REF!</v>
      </c>
      <c r="DV134" s="231">
        <f ca="1">IF(SUM(DV$24:DV133)=DV$22,0,IF(AND($K134&gt;=DV$15,$K134&lt;(DV$16+1)),DV$22/(DV$16-DV$15+1),0))</f>
        <v>0</v>
      </c>
      <c r="DW134" s="231">
        <f ca="1">IF(SUM(DW$24:DW133)=DW$22,0,IF(AND($K134&gt;=DW$15,$K134&lt;(DW$16+1)),DW$22/(DW$16-DW$15+1),0))</f>
        <v>0</v>
      </c>
      <c r="DX134" s="231">
        <f ca="1">IF(SUM(DX$24:DX133)=DX$22,0,IF(AND($K134&gt;=DX$15,$K134&lt;(DX$16+1)),DX$22/(DX$16-DX$15+1),0))</f>
        <v>0</v>
      </c>
      <c r="DY134" s="231">
        <f ca="1">IF(SUM(DY$24:DY133)=DY$22,0,IF(AND($K134&gt;=DY$15,$K134&lt;(DY$16+1)),DY$22/(DY$16-DY$15+1),0))</f>
        <v>0</v>
      </c>
      <c r="EA134" s="749">
        <f t="shared" si="115"/>
        <v>111</v>
      </c>
      <c r="EB134" s="749" t="e">
        <f t="shared" ca="1" si="116"/>
        <v>#REF!</v>
      </c>
      <c r="EC134" s="750" t="e">
        <f t="shared" ca="1" si="82"/>
        <v>#REF!</v>
      </c>
      <c r="ED134" s="749" t="e">
        <f t="shared" ca="1" si="96"/>
        <v>#N/A</v>
      </c>
      <c r="EE134" s="749"/>
      <c r="EF134" s="749"/>
      <c r="EG134" s="749"/>
      <c r="EH134" s="749"/>
      <c r="EI134" s="714" t="e">
        <f t="shared" ca="1" si="83"/>
        <v>#REF!</v>
      </c>
      <c r="EJ134" s="231" t="e">
        <f ca="1">IF(SUM(EJ$24:EJ133)=EJ$22,0,IF(AND($K134&gt;=EJ$15,$K134&lt;(EJ$16+1)),EJ$22/(EJ$16-EJ$15+1),0))</f>
        <v>#REF!</v>
      </c>
      <c r="EK134" s="714" t="e">
        <f t="shared" ca="1" si="117"/>
        <v>#REF!</v>
      </c>
      <c r="EM134" s="60"/>
      <c r="EN134" s="60"/>
    </row>
    <row r="135" spans="1:144" ht="13.9" customHeight="1">
      <c r="A135" s="220"/>
      <c r="B135" s="236">
        <f t="shared" si="84"/>
        <v>112</v>
      </c>
      <c r="C135" s="221">
        <f t="shared" si="85"/>
        <v>46847.253700000176</v>
      </c>
      <c r="D135" s="746" t="e">
        <f t="shared" ca="1" si="86"/>
        <v>#DIV/0!</v>
      </c>
      <c r="E135" s="747" t="e">
        <f t="shared" ca="1" si="88"/>
        <v>#DIV/0!</v>
      </c>
      <c r="F135" s="748" t="e">
        <f ca="1">IF(F134=0,0,SUM($G$24:G135))</f>
        <v>#DIV/0!</v>
      </c>
      <c r="G135" s="225" t="e">
        <f t="shared" ca="1" si="111"/>
        <v>#DIV/0!</v>
      </c>
      <c r="H135" s="746">
        <f t="shared" ca="1" si="87"/>
        <v>0</v>
      </c>
      <c r="I135" s="60"/>
      <c r="J135" s="228"/>
      <c r="K135" s="228">
        <f t="shared" si="112"/>
        <v>112</v>
      </c>
      <c r="L135" s="221">
        <f t="shared" si="113"/>
        <v>46847.253700000176</v>
      </c>
      <c r="M135" s="229">
        <f t="shared" si="126"/>
        <v>0</v>
      </c>
      <c r="N135" s="229">
        <f t="shared" si="126"/>
        <v>0</v>
      </c>
      <c r="O135" s="229">
        <f t="shared" si="126"/>
        <v>0</v>
      </c>
      <c r="P135" s="229">
        <f t="shared" si="126"/>
        <v>0</v>
      </c>
      <c r="Q135" s="229">
        <f t="shared" si="126"/>
        <v>0</v>
      </c>
      <c r="R135" s="229">
        <f t="shared" si="125"/>
        <v>0</v>
      </c>
      <c r="S135" s="229">
        <f t="shared" si="125"/>
        <v>0</v>
      </c>
      <c r="T135" s="229">
        <f t="shared" si="125"/>
        <v>0</v>
      </c>
      <c r="U135" s="229">
        <f t="shared" si="126"/>
        <v>0</v>
      </c>
      <c r="V135" s="229">
        <f t="shared" si="126"/>
        <v>0</v>
      </c>
      <c r="W135" s="229">
        <f t="shared" si="126"/>
        <v>0</v>
      </c>
      <c r="X135" s="229">
        <f t="shared" si="126"/>
        <v>0</v>
      </c>
      <c r="Y135" s="229">
        <f t="shared" si="126"/>
        <v>0</v>
      </c>
      <c r="Z135" s="229">
        <f t="shared" si="126"/>
        <v>0</v>
      </c>
      <c r="AA135" s="229">
        <f t="shared" si="126"/>
        <v>0</v>
      </c>
      <c r="AB135" s="229">
        <f t="shared" si="126"/>
        <v>0</v>
      </c>
      <c r="AC135" s="229">
        <f t="shared" si="126"/>
        <v>0</v>
      </c>
      <c r="AD135" s="229">
        <f t="shared" si="126"/>
        <v>0</v>
      </c>
      <c r="AE135" s="229">
        <f t="shared" si="126"/>
        <v>0</v>
      </c>
      <c r="AF135" s="229">
        <f t="shared" si="126"/>
        <v>0</v>
      </c>
      <c r="AG135" s="229">
        <f t="shared" si="126"/>
        <v>0</v>
      </c>
      <c r="AH135" s="229">
        <f t="shared" si="126"/>
        <v>0</v>
      </c>
      <c r="AI135" s="229">
        <f t="shared" si="126"/>
        <v>0</v>
      </c>
      <c r="AJ135" s="229">
        <f t="shared" si="126"/>
        <v>0</v>
      </c>
      <c r="AK135" s="229">
        <f t="shared" si="126"/>
        <v>0</v>
      </c>
      <c r="AL135" s="229">
        <f t="shared" si="126"/>
        <v>0</v>
      </c>
      <c r="AM135" s="229">
        <f t="shared" si="126"/>
        <v>0</v>
      </c>
      <c r="AN135" s="229">
        <f t="shared" si="126"/>
        <v>0</v>
      </c>
      <c r="AO135" s="229">
        <f t="shared" si="126"/>
        <v>0</v>
      </c>
      <c r="AP135" s="229">
        <f t="shared" si="126"/>
        <v>0</v>
      </c>
      <c r="AQ135" s="229">
        <f t="shared" si="126"/>
        <v>0</v>
      </c>
      <c r="AR135" s="229">
        <f t="shared" si="127"/>
        <v>0</v>
      </c>
      <c r="AS135" s="229">
        <f t="shared" si="127"/>
        <v>0</v>
      </c>
      <c r="AT135" s="229">
        <f t="shared" si="127"/>
        <v>0</v>
      </c>
      <c r="AU135" s="229">
        <f t="shared" si="127"/>
        <v>0</v>
      </c>
      <c r="AV135" s="229">
        <f t="shared" si="127"/>
        <v>0</v>
      </c>
      <c r="AW135" s="229">
        <f t="shared" si="127"/>
        <v>0</v>
      </c>
      <c r="AX135" s="229">
        <f t="shared" si="127"/>
        <v>0</v>
      </c>
      <c r="AY135" s="229">
        <f t="shared" si="127"/>
        <v>0</v>
      </c>
      <c r="AZ135" s="229">
        <f t="shared" si="127"/>
        <v>0</v>
      </c>
      <c r="BA135" s="229">
        <f t="shared" si="127"/>
        <v>0</v>
      </c>
      <c r="BB135" s="229">
        <f t="shared" si="127"/>
        <v>0</v>
      </c>
      <c r="BC135" s="229">
        <f t="shared" si="128"/>
        <v>0</v>
      </c>
      <c r="BD135" s="229">
        <f t="shared" si="128"/>
        <v>0</v>
      </c>
      <c r="BE135" s="229">
        <f t="shared" si="128"/>
        <v>0</v>
      </c>
      <c r="BF135" s="229">
        <f t="shared" si="128"/>
        <v>0</v>
      </c>
      <c r="BG135" s="229">
        <f t="shared" si="128"/>
        <v>0</v>
      </c>
      <c r="BH135" s="229">
        <f t="shared" si="128"/>
        <v>0</v>
      </c>
      <c r="BI135" s="229">
        <f t="shared" si="128"/>
        <v>0</v>
      </c>
      <c r="BJ135" s="229">
        <f t="shared" si="128"/>
        <v>0</v>
      </c>
      <c r="BK135" s="229">
        <f t="shared" si="128"/>
        <v>0</v>
      </c>
      <c r="BL135" s="229">
        <f t="shared" si="128"/>
        <v>0</v>
      </c>
      <c r="BM135" s="229">
        <f t="shared" si="129"/>
        <v>0</v>
      </c>
      <c r="BN135" s="229">
        <f t="shared" si="129"/>
        <v>0</v>
      </c>
      <c r="BO135" s="229">
        <f t="shared" si="129"/>
        <v>0</v>
      </c>
      <c r="BP135" s="229">
        <f t="shared" si="129"/>
        <v>0</v>
      </c>
      <c r="BQ135" s="229">
        <f t="shared" si="129"/>
        <v>0</v>
      </c>
      <c r="BR135" s="229">
        <f t="shared" si="129"/>
        <v>0</v>
      </c>
      <c r="BS135" s="229">
        <f t="shared" si="129"/>
        <v>0</v>
      </c>
      <c r="BT135" s="229">
        <f t="shared" si="129"/>
        <v>0</v>
      </c>
      <c r="BU135" s="229">
        <f t="shared" si="129"/>
        <v>0</v>
      </c>
      <c r="BV135" s="229">
        <f t="shared" si="129"/>
        <v>0</v>
      </c>
      <c r="BW135" s="229">
        <f t="shared" si="129"/>
        <v>0</v>
      </c>
      <c r="BX135" s="229">
        <f t="shared" si="129"/>
        <v>0</v>
      </c>
      <c r="BY135" s="229">
        <f t="shared" si="129"/>
        <v>0</v>
      </c>
      <c r="BZ135" s="229">
        <f t="shared" si="129"/>
        <v>0</v>
      </c>
      <c r="CA135" s="229">
        <f t="shared" si="129"/>
        <v>0</v>
      </c>
      <c r="CB135" s="229">
        <f t="shared" si="130"/>
        <v>0</v>
      </c>
      <c r="CC135" s="229">
        <f t="shared" si="130"/>
        <v>0</v>
      </c>
      <c r="CD135" s="229">
        <f t="shared" si="130"/>
        <v>0</v>
      </c>
      <c r="CE135" s="229">
        <f t="shared" si="130"/>
        <v>0</v>
      </c>
      <c r="CF135" s="229">
        <f t="shared" si="130"/>
        <v>0</v>
      </c>
      <c r="CG135" s="229">
        <f t="shared" si="130"/>
        <v>0</v>
      </c>
      <c r="CH135" s="229">
        <f t="shared" si="130"/>
        <v>0</v>
      </c>
      <c r="CI135" s="229">
        <f t="shared" si="130"/>
        <v>0</v>
      </c>
      <c r="CJ135" s="229">
        <f t="shared" si="130"/>
        <v>0</v>
      </c>
      <c r="CK135" s="229">
        <f t="shared" si="130"/>
        <v>0</v>
      </c>
      <c r="CL135" s="229">
        <f t="shared" si="130"/>
        <v>0</v>
      </c>
      <c r="CM135" s="229">
        <f t="shared" si="130"/>
        <v>0</v>
      </c>
      <c r="CN135" s="229">
        <f t="shared" si="130"/>
        <v>0</v>
      </c>
      <c r="CO135" s="229">
        <f t="shared" si="130"/>
        <v>0</v>
      </c>
      <c r="CP135" s="229">
        <f t="shared" si="130"/>
        <v>0</v>
      </c>
      <c r="CQ135" s="229">
        <f t="shared" si="130"/>
        <v>0</v>
      </c>
      <c r="CR135" s="229">
        <f t="shared" si="130"/>
        <v>0</v>
      </c>
      <c r="CS135" s="230"/>
      <c r="CT135" s="231"/>
      <c r="CU135" s="231"/>
      <c r="CV135" s="231"/>
      <c r="CW135" s="231"/>
      <c r="CX135" s="231"/>
      <c r="CY135" s="231"/>
      <c r="CZ135" s="231"/>
      <c r="DA135" s="231" t="e">
        <f ca="1">IF(SUM(DA$32:DA134)&gt;=DA$22,0,DA$22/(DA$13*4))</f>
        <v>#N/A</v>
      </c>
      <c r="DB135" s="231">
        <f>IF(SUM(DB$24:DB134)=DB$22,0,IF(AND($K135&gt;=DB$15,$K135&lt;(DB$16+1)),DB$22/(DB$16-DB$15+1),0))</f>
        <v>0</v>
      </c>
      <c r="DC135" s="231">
        <f t="shared" si="124"/>
        <v>0</v>
      </c>
      <c r="DD135" s="231">
        <f t="shared" si="124"/>
        <v>0</v>
      </c>
      <c r="DE135" s="231">
        <f t="shared" si="124"/>
        <v>0</v>
      </c>
      <c r="DF135" s="231">
        <f t="shared" si="124"/>
        <v>0</v>
      </c>
      <c r="DG135" s="231">
        <f t="shared" si="124"/>
        <v>0</v>
      </c>
      <c r="DH135" s="231">
        <f t="shared" si="124"/>
        <v>0</v>
      </c>
      <c r="DI135" s="231">
        <f t="shared" si="124"/>
        <v>0</v>
      </c>
      <c r="DJ135" s="231">
        <f t="shared" si="124"/>
        <v>0</v>
      </c>
      <c r="DK135" s="231">
        <f t="shared" si="124"/>
        <v>0</v>
      </c>
      <c r="DL135" s="231">
        <f t="shared" si="124"/>
        <v>0</v>
      </c>
      <c r="DM135" s="231">
        <f t="shared" si="124"/>
        <v>0</v>
      </c>
      <c r="DN135" s="231">
        <f t="shared" si="124"/>
        <v>0</v>
      </c>
      <c r="DO135" s="231">
        <f t="shared" si="124"/>
        <v>0</v>
      </c>
      <c r="DP135" s="231">
        <f>'Offshore CF'!DR135</f>
        <v>0</v>
      </c>
      <c r="DQ135" s="231">
        <f>'Offshore CF'!DS135</f>
        <v>0</v>
      </c>
      <c r="DR135" s="231">
        <f ca="1">IF(SUM(DR$24:DR134)=DR$22,0,IF(AND($K135&gt;=DR$15,$K135&lt;(DR$16+1)),DR$22/(DR$16-DR$15+1),0))</f>
        <v>0</v>
      </c>
      <c r="DS135" s="231" t="e">
        <f ca="1">IF(SUM(DS$24:DS134)=DS$22,0,IF(AND($K135&gt;=DS$15,$K135&lt;(DS$16+1)),DS$22/(DS$16-DS$15+1),0))</f>
        <v>#REF!</v>
      </c>
      <c r="DT135" s="231" t="e">
        <f ca="1">IF(SUM(DT$24:DT134)=DT$22,0,IF(AND(K135&gt;=DT$15,K135&lt;(DT$16+1)),DT$22/(DT$16-DT$15+1),0))</f>
        <v>#REF!</v>
      </c>
      <c r="DU135" s="231" t="e">
        <f ca="1">IF(SUM(DU$24:DU134)=DU$22,0,IF(AND($K135&gt;=DU$15,$K135&lt;(DU$16+1)),DU$22/(DU$16-DU$15+1),0))</f>
        <v>#REF!</v>
      </c>
      <c r="DV135" s="231">
        <f ca="1">IF(SUM(DV$24:DV134)=DV$22,0,IF(AND($K135&gt;=DV$15,$K135&lt;(DV$16+1)),DV$22/(DV$16-DV$15+1),0))</f>
        <v>0</v>
      </c>
      <c r="DW135" s="231">
        <f ca="1">IF(SUM(DW$24:DW134)=DW$22,0,IF(AND($K135&gt;=DW$15,$K135&lt;(DW$16+1)),DW$22/(DW$16-DW$15+1),0))</f>
        <v>0</v>
      </c>
      <c r="DX135" s="231">
        <f ca="1">IF(SUM(DX$24:DX134)=DX$22,0,IF(AND($K135&gt;=DX$15,$K135&lt;(DX$16+1)),DX$22/(DX$16-DX$15+1),0))</f>
        <v>0</v>
      </c>
      <c r="DY135" s="231">
        <f ca="1">IF(SUM(DY$24:DY134)=DY$22,0,IF(AND($K135&gt;=DY$15,$K135&lt;(DY$16+1)),DY$22/(DY$16-DY$15+1),0))</f>
        <v>0</v>
      </c>
      <c r="EA135" s="749">
        <f t="shared" si="115"/>
        <v>112</v>
      </c>
      <c r="EB135" s="749" t="e">
        <f t="shared" ca="1" si="116"/>
        <v>#N/A</v>
      </c>
      <c r="EC135" s="750" t="e">
        <f t="shared" ca="1" si="82"/>
        <v>#N/A</v>
      </c>
      <c r="ED135" s="749" t="e">
        <f t="shared" ca="1" si="96"/>
        <v>#REF!</v>
      </c>
      <c r="EE135" s="749"/>
      <c r="EF135" s="749"/>
      <c r="EG135" s="749"/>
      <c r="EH135" s="749"/>
      <c r="EI135" s="714" t="e">
        <f t="shared" ca="1" si="83"/>
        <v>#N/A</v>
      </c>
      <c r="EJ135" s="231" t="e">
        <f ca="1">IF(SUM(EJ$24:EJ134)=EJ$22,0,IF(AND($K135&gt;=EJ$15,$K135&lt;(EJ$16+1)),EJ$22/(EJ$16-EJ$15+1),0))</f>
        <v>#REF!</v>
      </c>
      <c r="EK135" s="714" t="e">
        <f t="shared" ca="1" si="117"/>
        <v>#N/A</v>
      </c>
      <c r="EM135" s="60"/>
      <c r="EN135" s="60"/>
    </row>
    <row r="136" spans="1:144" ht="13.9" customHeight="1">
      <c r="A136" s="220"/>
      <c r="B136" s="236">
        <f t="shared" si="84"/>
        <v>113</v>
      </c>
      <c r="C136" s="221">
        <f t="shared" si="85"/>
        <v>46877.670400000177</v>
      </c>
      <c r="D136" s="746" t="e">
        <f t="shared" ca="1" si="86"/>
        <v>#DIV/0!</v>
      </c>
      <c r="E136" s="747" t="e">
        <f t="shared" ca="1" si="88"/>
        <v>#DIV/0!</v>
      </c>
      <c r="F136" s="748" t="e">
        <f ca="1">IF(F135=0,0,SUM($G$24:G136))</f>
        <v>#DIV/0!</v>
      </c>
      <c r="G136" s="225" t="e">
        <f t="shared" ca="1" si="111"/>
        <v>#DIV/0!</v>
      </c>
      <c r="H136" s="746">
        <f t="shared" ca="1" si="87"/>
        <v>0</v>
      </c>
      <c r="I136" s="60"/>
      <c r="J136" s="228"/>
      <c r="K136" s="228">
        <f t="shared" si="112"/>
        <v>113</v>
      </c>
      <c r="L136" s="221">
        <f t="shared" si="113"/>
        <v>46877.670400000177</v>
      </c>
      <c r="M136" s="229">
        <f t="shared" si="126"/>
        <v>0</v>
      </c>
      <c r="N136" s="229">
        <f t="shared" si="126"/>
        <v>0</v>
      </c>
      <c r="O136" s="229">
        <f t="shared" si="126"/>
        <v>0</v>
      </c>
      <c r="P136" s="229">
        <f t="shared" si="126"/>
        <v>0</v>
      </c>
      <c r="Q136" s="229">
        <f t="shared" si="126"/>
        <v>0</v>
      </c>
      <c r="R136" s="229">
        <f t="shared" si="125"/>
        <v>0</v>
      </c>
      <c r="S136" s="229">
        <f t="shared" si="125"/>
        <v>0</v>
      </c>
      <c r="T136" s="229">
        <f t="shared" si="125"/>
        <v>0</v>
      </c>
      <c r="U136" s="229">
        <f t="shared" si="126"/>
        <v>0</v>
      </c>
      <c r="V136" s="229">
        <f t="shared" si="126"/>
        <v>0</v>
      </c>
      <c r="W136" s="229">
        <f t="shared" si="126"/>
        <v>0</v>
      </c>
      <c r="X136" s="229">
        <f t="shared" si="126"/>
        <v>0</v>
      </c>
      <c r="Y136" s="229">
        <f t="shared" si="126"/>
        <v>0</v>
      </c>
      <c r="Z136" s="229">
        <f t="shared" si="126"/>
        <v>0</v>
      </c>
      <c r="AA136" s="229">
        <f t="shared" si="126"/>
        <v>0</v>
      </c>
      <c r="AB136" s="229">
        <f t="shared" si="126"/>
        <v>0</v>
      </c>
      <c r="AC136" s="229">
        <f t="shared" si="126"/>
        <v>0</v>
      </c>
      <c r="AD136" s="229">
        <f t="shared" si="126"/>
        <v>0</v>
      </c>
      <c r="AE136" s="229">
        <f t="shared" si="126"/>
        <v>0</v>
      </c>
      <c r="AF136" s="229">
        <f t="shared" si="126"/>
        <v>0</v>
      </c>
      <c r="AG136" s="229">
        <f t="shared" si="126"/>
        <v>0</v>
      </c>
      <c r="AH136" s="229">
        <f t="shared" si="126"/>
        <v>0</v>
      </c>
      <c r="AI136" s="229">
        <f t="shared" si="126"/>
        <v>0</v>
      </c>
      <c r="AJ136" s="229">
        <f t="shared" si="126"/>
        <v>0</v>
      </c>
      <c r="AK136" s="229">
        <f t="shared" si="126"/>
        <v>0</v>
      </c>
      <c r="AL136" s="229">
        <f t="shared" si="126"/>
        <v>0</v>
      </c>
      <c r="AM136" s="229">
        <f t="shared" si="126"/>
        <v>0</v>
      </c>
      <c r="AN136" s="229">
        <f t="shared" si="126"/>
        <v>0</v>
      </c>
      <c r="AO136" s="229">
        <f t="shared" si="126"/>
        <v>0</v>
      </c>
      <c r="AP136" s="229">
        <f t="shared" si="126"/>
        <v>0</v>
      </c>
      <c r="AQ136" s="229">
        <f t="shared" si="126"/>
        <v>0</v>
      </c>
      <c r="AR136" s="229">
        <f t="shared" si="127"/>
        <v>0</v>
      </c>
      <c r="AS136" s="229">
        <f t="shared" si="127"/>
        <v>0</v>
      </c>
      <c r="AT136" s="229">
        <f t="shared" si="127"/>
        <v>0</v>
      </c>
      <c r="AU136" s="229">
        <f t="shared" si="127"/>
        <v>0</v>
      </c>
      <c r="AV136" s="229">
        <f t="shared" si="127"/>
        <v>0</v>
      </c>
      <c r="AW136" s="229">
        <f t="shared" si="127"/>
        <v>0</v>
      </c>
      <c r="AX136" s="229">
        <f t="shared" si="127"/>
        <v>0</v>
      </c>
      <c r="AY136" s="229">
        <f t="shared" si="127"/>
        <v>0</v>
      </c>
      <c r="AZ136" s="229">
        <f t="shared" si="127"/>
        <v>0</v>
      </c>
      <c r="BA136" s="229">
        <f t="shared" si="127"/>
        <v>0</v>
      </c>
      <c r="BB136" s="229">
        <f t="shared" si="127"/>
        <v>0</v>
      </c>
      <c r="BC136" s="229">
        <f t="shared" si="128"/>
        <v>0</v>
      </c>
      <c r="BD136" s="229">
        <f t="shared" si="128"/>
        <v>0</v>
      </c>
      <c r="BE136" s="229">
        <f t="shared" si="128"/>
        <v>0</v>
      </c>
      <c r="BF136" s="229">
        <f t="shared" si="128"/>
        <v>0</v>
      </c>
      <c r="BG136" s="229">
        <f t="shared" si="128"/>
        <v>0</v>
      </c>
      <c r="BH136" s="229">
        <f t="shared" si="128"/>
        <v>0</v>
      </c>
      <c r="BI136" s="229">
        <f t="shared" si="128"/>
        <v>0</v>
      </c>
      <c r="BJ136" s="229">
        <f t="shared" si="128"/>
        <v>0</v>
      </c>
      <c r="BK136" s="229">
        <f t="shared" si="128"/>
        <v>0</v>
      </c>
      <c r="BL136" s="229">
        <f t="shared" si="128"/>
        <v>0</v>
      </c>
      <c r="BM136" s="229">
        <f t="shared" si="129"/>
        <v>0</v>
      </c>
      <c r="BN136" s="229">
        <f t="shared" si="129"/>
        <v>0</v>
      </c>
      <c r="BO136" s="229">
        <f t="shared" si="129"/>
        <v>0</v>
      </c>
      <c r="BP136" s="229">
        <f t="shared" si="129"/>
        <v>0</v>
      </c>
      <c r="BQ136" s="229">
        <f t="shared" si="129"/>
        <v>0</v>
      </c>
      <c r="BR136" s="229">
        <f t="shared" si="129"/>
        <v>0</v>
      </c>
      <c r="BS136" s="229">
        <f t="shared" si="129"/>
        <v>0</v>
      </c>
      <c r="BT136" s="229">
        <f t="shared" si="129"/>
        <v>0</v>
      </c>
      <c r="BU136" s="229">
        <f t="shared" si="129"/>
        <v>0</v>
      </c>
      <c r="BV136" s="229">
        <f t="shared" si="129"/>
        <v>0</v>
      </c>
      <c r="BW136" s="229">
        <f t="shared" si="129"/>
        <v>0</v>
      </c>
      <c r="BX136" s="229">
        <f t="shared" si="129"/>
        <v>0</v>
      </c>
      <c r="BY136" s="229">
        <f t="shared" si="129"/>
        <v>0</v>
      </c>
      <c r="BZ136" s="229">
        <f t="shared" si="129"/>
        <v>0</v>
      </c>
      <c r="CA136" s="229">
        <f t="shared" si="129"/>
        <v>0</v>
      </c>
      <c r="CB136" s="229">
        <f t="shared" si="130"/>
        <v>0</v>
      </c>
      <c r="CC136" s="229">
        <f t="shared" si="130"/>
        <v>0</v>
      </c>
      <c r="CD136" s="229">
        <f t="shared" si="130"/>
        <v>0</v>
      </c>
      <c r="CE136" s="229">
        <f t="shared" si="130"/>
        <v>0</v>
      </c>
      <c r="CF136" s="229">
        <f t="shared" si="130"/>
        <v>0</v>
      </c>
      <c r="CG136" s="229">
        <f t="shared" si="130"/>
        <v>0</v>
      </c>
      <c r="CH136" s="229">
        <f t="shared" si="130"/>
        <v>0</v>
      </c>
      <c r="CI136" s="229">
        <f t="shared" si="130"/>
        <v>0</v>
      </c>
      <c r="CJ136" s="229">
        <f t="shared" si="130"/>
        <v>0</v>
      </c>
      <c r="CK136" s="229">
        <f t="shared" si="130"/>
        <v>0</v>
      </c>
      <c r="CL136" s="229">
        <f t="shared" si="130"/>
        <v>0</v>
      </c>
      <c r="CM136" s="229">
        <f t="shared" si="130"/>
        <v>0</v>
      </c>
      <c r="CN136" s="229">
        <f t="shared" si="130"/>
        <v>0</v>
      </c>
      <c r="CO136" s="229">
        <f t="shared" si="130"/>
        <v>0</v>
      </c>
      <c r="CP136" s="229">
        <f t="shared" si="130"/>
        <v>0</v>
      </c>
      <c r="CQ136" s="229">
        <f t="shared" si="130"/>
        <v>0</v>
      </c>
      <c r="CR136" s="229">
        <f t="shared" si="130"/>
        <v>0</v>
      </c>
      <c r="CS136" s="230"/>
      <c r="CT136" s="231"/>
      <c r="CU136" s="231"/>
      <c r="CV136" s="231"/>
      <c r="CW136" s="231"/>
      <c r="CX136" s="231"/>
      <c r="CY136" s="231"/>
      <c r="CZ136" s="231"/>
      <c r="DA136" s="231"/>
      <c r="DB136" s="231">
        <f>IF(SUM(DB$24:DB135)=DB$22,0,IF(AND($K136&gt;=DB$15,$K136&lt;(DB$16+1)),DB$22/(DB$16-DB$15+1),0))</f>
        <v>0</v>
      </c>
      <c r="DC136" s="231">
        <f t="shared" si="124"/>
        <v>0</v>
      </c>
      <c r="DD136" s="231">
        <f t="shared" si="124"/>
        <v>0</v>
      </c>
      <c r="DE136" s="231">
        <f t="shared" si="124"/>
        <v>0</v>
      </c>
      <c r="DF136" s="231">
        <f t="shared" si="124"/>
        <v>0</v>
      </c>
      <c r="DG136" s="231">
        <f t="shared" si="124"/>
        <v>0</v>
      </c>
      <c r="DH136" s="231">
        <f t="shared" si="124"/>
        <v>0</v>
      </c>
      <c r="DI136" s="231">
        <f t="shared" si="124"/>
        <v>0</v>
      </c>
      <c r="DJ136" s="231">
        <f t="shared" si="124"/>
        <v>0</v>
      </c>
      <c r="DK136" s="231">
        <f t="shared" si="124"/>
        <v>0</v>
      </c>
      <c r="DL136" s="231">
        <f t="shared" si="124"/>
        <v>0</v>
      </c>
      <c r="DM136" s="231">
        <f t="shared" si="124"/>
        <v>0</v>
      </c>
      <c r="DN136" s="231">
        <f t="shared" si="124"/>
        <v>0</v>
      </c>
      <c r="DO136" s="231">
        <f t="shared" si="124"/>
        <v>0</v>
      </c>
      <c r="DP136" s="231">
        <f>'Offshore CF'!DR136</f>
        <v>0</v>
      </c>
      <c r="DQ136" s="231">
        <f>'Offshore CF'!DS136</f>
        <v>0</v>
      </c>
      <c r="DR136" s="231">
        <f ca="1">IF(SUM(DR$24:DR135)=DR$22,0,IF(AND($K136&gt;=DR$15,$K136&lt;(DR$16+1)),DR$22/(DR$16-DR$15+1),0))</f>
        <v>0</v>
      </c>
      <c r="DS136" s="231" t="e">
        <f ca="1">IF(SUM(DS$24:DS135)=DS$22,0,IF(AND($K136&gt;=DS$15,$K136&lt;(DS$16+1)),DS$22/(DS$16-DS$15+1),0))</f>
        <v>#REF!</v>
      </c>
      <c r="DT136" s="231" t="e">
        <f ca="1">IF(SUM(DT$24:DT135)=DT$22,0,IF(AND(K136&gt;=DT$15,K136&lt;(DT$16+1)),DT$22/(DT$16-DT$15+1),0))</f>
        <v>#REF!</v>
      </c>
      <c r="DU136" s="231" t="e">
        <f ca="1">IF(SUM(DU$24:DU135)=DU$22,0,IF(AND($K136&gt;=DU$15,$K136&lt;(DU$16+1)),DU$22/(DU$16-DU$15+1),0))</f>
        <v>#REF!</v>
      </c>
      <c r="DV136" s="231">
        <f ca="1">IF(SUM(DV$24:DV135)=DV$22,0,IF(AND($K136&gt;=DV$15,$K136&lt;(DV$16+1)),DV$22/(DV$16-DV$15+1),0))</f>
        <v>0</v>
      </c>
      <c r="DW136" s="231">
        <f ca="1">IF(SUM(DW$24:DW135)=DW$22,0,IF(AND($K136&gt;=DW$15,$K136&lt;(DW$16+1)),DW$22/(DW$16-DW$15+1),0))</f>
        <v>0</v>
      </c>
      <c r="DX136" s="231">
        <f ca="1">IF(SUM(DX$24:DX135)=DX$22,0,IF(AND($K136&gt;=DX$15,$K136&lt;(DX$16+1)),DX$22/(DX$16-DX$15+1),0))</f>
        <v>0</v>
      </c>
      <c r="DY136" s="231">
        <f ca="1">IF(SUM(DY$24:DY135)=DY$22,0,IF(AND($K136&gt;=DY$15,$K136&lt;(DY$16+1)),DY$22/(DY$16-DY$15+1),0))</f>
        <v>0</v>
      </c>
      <c r="EA136" s="749">
        <f t="shared" si="115"/>
        <v>113</v>
      </c>
      <c r="EB136" s="749" t="e">
        <f t="shared" ca="1" si="116"/>
        <v>#REF!</v>
      </c>
      <c r="EC136" s="750" t="e">
        <f t="shared" ca="1" si="82"/>
        <v>#REF!</v>
      </c>
      <c r="ED136" s="749" t="e">
        <f t="shared" ca="1" si="96"/>
        <v>#REF!</v>
      </c>
      <c r="EE136" s="749"/>
      <c r="EF136" s="749"/>
      <c r="EG136" s="749"/>
      <c r="EH136" s="749"/>
      <c r="EI136" s="714" t="e">
        <f t="shared" ca="1" si="83"/>
        <v>#REF!</v>
      </c>
      <c r="EJ136" s="231" t="e">
        <f ca="1">IF(SUM(EJ$24:EJ135)=EJ$22,0,IF(AND($K136&gt;=EJ$15,$K136&lt;(EJ$16+1)),EJ$22/(EJ$16-EJ$15+1),0))</f>
        <v>#REF!</v>
      </c>
      <c r="EK136" s="714" t="e">
        <f t="shared" ca="1" si="117"/>
        <v>#REF!</v>
      </c>
      <c r="EM136" s="60"/>
      <c r="EN136" s="60"/>
    </row>
    <row r="137" spans="1:144" ht="13.9" customHeight="1">
      <c r="A137" s="220"/>
      <c r="B137" s="236">
        <f t="shared" si="84"/>
        <v>114</v>
      </c>
      <c r="C137" s="221">
        <f t="shared" si="85"/>
        <v>46908.087100000179</v>
      </c>
      <c r="D137" s="746" t="e">
        <f t="shared" ca="1" si="86"/>
        <v>#DIV/0!</v>
      </c>
      <c r="E137" s="747" t="e">
        <f t="shared" ca="1" si="88"/>
        <v>#DIV/0!</v>
      </c>
      <c r="F137" s="748" t="e">
        <f ca="1">IF(F136=0,0,SUM($G$24:G137))</f>
        <v>#DIV/0!</v>
      </c>
      <c r="G137" s="225" t="e">
        <f t="shared" ca="1" si="111"/>
        <v>#DIV/0!</v>
      </c>
      <c r="H137" s="746">
        <f t="shared" ca="1" si="87"/>
        <v>0</v>
      </c>
      <c r="I137" s="60"/>
      <c r="J137" s="228"/>
      <c r="K137" s="228">
        <f t="shared" si="112"/>
        <v>114</v>
      </c>
      <c r="L137" s="221">
        <f t="shared" si="113"/>
        <v>46908.087100000179</v>
      </c>
      <c r="M137" s="229">
        <f t="shared" si="126"/>
        <v>0</v>
      </c>
      <c r="N137" s="229">
        <f t="shared" si="126"/>
        <v>0</v>
      </c>
      <c r="O137" s="229">
        <f t="shared" si="126"/>
        <v>0</v>
      </c>
      <c r="P137" s="229">
        <f t="shared" si="126"/>
        <v>0</v>
      </c>
      <c r="Q137" s="229">
        <f t="shared" si="126"/>
        <v>0</v>
      </c>
      <c r="R137" s="229">
        <f t="shared" si="125"/>
        <v>0</v>
      </c>
      <c r="S137" s="229">
        <f t="shared" si="125"/>
        <v>0</v>
      </c>
      <c r="T137" s="229">
        <f t="shared" si="125"/>
        <v>0</v>
      </c>
      <c r="U137" s="229">
        <f t="shared" si="126"/>
        <v>0</v>
      </c>
      <c r="V137" s="229">
        <f t="shared" si="126"/>
        <v>0</v>
      </c>
      <c r="W137" s="229">
        <f t="shared" si="126"/>
        <v>0</v>
      </c>
      <c r="X137" s="229">
        <f t="shared" si="126"/>
        <v>0</v>
      </c>
      <c r="Y137" s="229">
        <f t="shared" si="126"/>
        <v>0</v>
      </c>
      <c r="Z137" s="229">
        <f t="shared" si="126"/>
        <v>0</v>
      </c>
      <c r="AA137" s="229">
        <f t="shared" si="126"/>
        <v>0</v>
      </c>
      <c r="AB137" s="229">
        <f t="shared" si="126"/>
        <v>0</v>
      </c>
      <c r="AC137" s="229">
        <f t="shared" si="126"/>
        <v>0</v>
      </c>
      <c r="AD137" s="229">
        <f t="shared" si="126"/>
        <v>0</v>
      </c>
      <c r="AE137" s="229">
        <f t="shared" si="126"/>
        <v>0</v>
      </c>
      <c r="AF137" s="229">
        <f t="shared" si="126"/>
        <v>0</v>
      </c>
      <c r="AG137" s="229">
        <f t="shared" si="126"/>
        <v>0</v>
      </c>
      <c r="AH137" s="229">
        <f t="shared" si="126"/>
        <v>0</v>
      </c>
      <c r="AI137" s="229">
        <f t="shared" si="126"/>
        <v>0</v>
      </c>
      <c r="AJ137" s="229">
        <f t="shared" si="126"/>
        <v>0</v>
      </c>
      <c r="AK137" s="229">
        <f t="shared" si="126"/>
        <v>0</v>
      </c>
      <c r="AL137" s="229">
        <f t="shared" si="126"/>
        <v>0</v>
      </c>
      <c r="AM137" s="229">
        <f t="shared" si="126"/>
        <v>0</v>
      </c>
      <c r="AN137" s="229">
        <f t="shared" si="126"/>
        <v>0</v>
      </c>
      <c r="AO137" s="229">
        <f t="shared" si="126"/>
        <v>0</v>
      </c>
      <c r="AP137" s="229">
        <f t="shared" si="126"/>
        <v>0</v>
      </c>
      <c r="AQ137" s="229">
        <f t="shared" si="126"/>
        <v>0</v>
      </c>
      <c r="AR137" s="229">
        <f t="shared" si="127"/>
        <v>0</v>
      </c>
      <c r="AS137" s="229">
        <f t="shared" si="127"/>
        <v>0</v>
      </c>
      <c r="AT137" s="229">
        <f t="shared" si="127"/>
        <v>0</v>
      </c>
      <c r="AU137" s="229">
        <f t="shared" si="127"/>
        <v>0</v>
      </c>
      <c r="AV137" s="229">
        <f t="shared" si="127"/>
        <v>0</v>
      </c>
      <c r="AW137" s="229">
        <f t="shared" si="127"/>
        <v>0</v>
      </c>
      <c r="AX137" s="229">
        <f t="shared" si="127"/>
        <v>0</v>
      </c>
      <c r="AY137" s="229">
        <f t="shared" si="127"/>
        <v>0</v>
      </c>
      <c r="AZ137" s="229">
        <f t="shared" si="127"/>
        <v>0</v>
      </c>
      <c r="BA137" s="229">
        <f t="shared" si="127"/>
        <v>0</v>
      </c>
      <c r="BB137" s="229">
        <f t="shared" si="127"/>
        <v>0</v>
      </c>
      <c r="BC137" s="229">
        <f t="shared" si="128"/>
        <v>0</v>
      </c>
      <c r="BD137" s="229">
        <f t="shared" si="128"/>
        <v>0</v>
      </c>
      <c r="BE137" s="229">
        <f t="shared" si="128"/>
        <v>0</v>
      </c>
      <c r="BF137" s="229">
        <f t="shared" si="128"/>
        <v>0</v>
      </c>
      <c r="BG137" s="229">
        <f t="shared" si="128"/>
        <v>0</v>
      </c>
      <c r="BH137" s="229">
        <f t="shared" si="128"/>
        <v>0</v>
      </c>
      <c r="BI137" s="229">
        <f t="shared" si="128"/>
        <v>0</v>
      </c>
      <c r="BJ137" s="229">
        <f t="shared" si="128"/>
        <v>0</v>
      </c>
      <c r="BK137" s="229">
        <f t="shared" si="128"/>
        <v>0</v>
      </c>
      <c r="BL137" s="229">
        <f t="shared" si="128"/>
        <v>0</v>
      </c>
      <c r="BM137" s="229">
        <f t="shared" si="129"/>
        <v>0</v>
      </c>
      <c r="BN137" s="229">
        <f t="shared" si="129"/>
        <v>0</v>
      </c>
      <c r="BO137" s="229">
        <f t="shared" si="129"/>
        <v>0</v>
      </c>
      <c r="BP137" s="229">
        <f t="shared" si="129"/>
        <v>0</v>
      </c>
      <c r="BQ137" s="229">
        <f t="shared" si="129"/>
        <v>0</v>
      </c>
      <c r="BR137" s="229">
        <f t="shared" si="129"/>
        <v>0</v>
      </c>
      <c r="BS137" s="229">
        <f t="shared" si="129"/>
        <v>0</v>
      </c>
      <c r="BT137" s="229">
        <f t="shared" si="129"/>
        <v>0</v>
      </c>
      <c r="BU137" s="229">
        <f t="shared" si="129"/>
        <v>0</v>
      </c>
      <c r="BV137" s="229">
        <f t="shared" si="129"/>
        <v>0</v>
      </c>
      <c r="BW137" s="229">
        <f t="shared" si="129"/>
        <v>0</v>
      </c>
      <c r="BX137" s="229">
        <f t="shared" si="129"/>
        <v>0</v>
      </c>
      <c r="BY137" s="229">
        <f t="shared" si="129"/>
        <v>0</v>
      </c>
      <c r="BZ137" s="229">
        <f t="shared" si="129"/>
        <v>0</v>
      </c>
      <c r="CA137" s="229">
        <f t="shared" si="129"/>
        <v>0</v>
      </c>
      <c r="CB137" s="229">
        <f t="shared" si="130"/>
        <v>0</v>
      </c>
      <c r="CC137" s="229">
        <f t="shared" si="130"/>
        <v>0</v>
      </c>
      <c r="CD137" s="229">
        <f t="shared" si="130"/>
        <v>0</v>
      </c>
      <c r="CE137" s="229">
        <f t="shared" si="130"/>
        <v>0</v>
      </c>
      <c r="CF137" s="229">
        <f t="shared" si="130"/>
        <v>0</v>
      </c>
      <c r="CG137" s="229">
        <f t="shared" si="130"/>
        <v>0</v>
      </c>
      <c r="CH137" s="229">
        <f t="shared" si="130"/>
        <v>0</v>
      </c>
      <c r="CI137" s="229">
        <f t="shared" si="130"/>
        <v>0</v>
      </c>
      <c r="CJ137" s="229">
        <f t="shared" si="130"/>
        <v>0</v>
      </c>
      <c r="CK137" s="229">
        <f t="shared" si="130"/>
        <v>0</v>
      </c>
      <c r="CL137" s="229">
        <f t="shared" si="130"/>
        <v>0</v>
      </c>
      <c r="CM137" s="229">
        <f t="shared" si="130"/>
        <v>0</v>
      </c>
      <c r="CN137" s="229">
        <f t="shared" si="130"/>
        <v>0</v>
      </c>
      <c r="CO137" s="229">
        <f t="shared" si="130"/>
        <v>0</v>
      </c>
      <c r="CP137" s="229">
        <f t="shared" si="130"/>
        <v>0</v>
      </c>
      <c r="CQ137" s="229">
        <f t="shared" si="130"/>
        <v>0</v>
      </c>
      <c r="CR137" s="229">
        <f t="shared" si="130"/>
        <v>0</v>
      </c>
      <c r="CS137" s="230"/>
      <c r="CT137" s="231"/>
      <c r="CU137" s="231"/>
      <c r="CV137" s="231"/>
      <c r="CW137" s="231"/>
      <c r="CX137" s="231"/>
      <c r="CY137" s="231"/>
      <c r="CZ137" s="231"/>
      <c r="DA137" s="231"/>
      <c r="DB137" s="231">
        <f>IF(SUM(DB$24:DB136)=DB$22,0,IF(AND($K137&gt;=DB$15,$K137&lt;(DB$16+1)),DB$22/(DB$16-DB$15+1),0))</f>
        <v>0</v>
      </c>
      <c r="DC137" s="231">
        <f t="shared" si="124"/>
        <v>0</v>
      </c>
      <c r="DD137" s="231">
        <f t="shared" si="124"/>
        <v>0</v>
      </c>
      <c r="DE137" s="231">
        <f t="shared" si="124"/>
        <v>0</v>
      </c>
      <c r="DF137" s="231">
        <f t="shared" si="124"/>
        <v>0</v>
      </c>
      <c r="DG137" s="231">
        <f t="shared" si="124"/>
        <v>0</v>
      </c>
      <c r="DH137" s="231">
        <f t="shared" si="124"/>
        <v>0</v>
      </c>
      <c r="DI137" s="231">
        <f t="shared" si="124"/>
        <v>0</v>
      </c>
      <c r="DJ137" s="231">
        <f t="shared" si="124"/>
        <v>0</v>
      </c>
      <c r="DK137" s="231">
        <f t="shared" si="124"/>
        <v>0</v>
      </c>
      <c r="DL137" s="231">
        <f t="shared" si="124"/>
        <v>0</v>
      </c>
      <c r="DM137" s="231">
        <f t="shared" si="124"/>
        <v>0</v>
      </c>
      <c r="DN137" s="231">
        <f t="shared" si="124"/>
        <v>0</v>
      </c>
      <c r="DO137" s="231">
        <f t="shared" si="124"/>
        <v>0</v>
      </c>
      <c r="DP137" s="231">
        <f>'Offshore CF'!DR137</f>
        <v>0</v>
      </c>
      <c r="DQ137" s="231">
        <f>'Offshore CF'!DS137</f>
        <v>0</v>
      </c>
      <c r="DR137" s="231">
        <f ca="1">IF(SUM(DR$24:DR136)=DR$22,0,IF(AND($K137&gt;=DR$15,$K137&lt;(DR$16+1)),DR$22/(DR$16-DR$15+1),0))</f>
        <v>0</v>
      </c>
      <c r="DS137" s="231" t="e">
        <f ca="1">IF(SUM(DS$24:DS136)=DS$22,0,IF(AND($K137&gt;=DS$15,$K137&lt;(DS$16+1)),DS$22/(DS$16-DS$15+1),0))</f>
        <v>#REF!</v>
      </c>
      <c r="DT137" s="231" t="e">
        <f ca="1">IF(SUM(DT$24:DT136)=DT$22,0,IF(AND(K137&gt;=DT$15,K137&lt;(DT$16+1)),DT$22/(DT$16-DT$15+1),0))</f>
        <v>#REF!</v>
      </c>
      <c r="DU137" s="231" t="e">
        <f ca="1">IF(SUM(DU$24:DU136)=DU$22,0,IF(AND($K137&gt;=DU$15,$K137&lt;(DU$16+1)),DU$22/(DU$16-DU$15+1),0))</f>
        <v>#REF!</v>
      </c>
      <c r="DV137" s="231">
        <f ca="1">IF(SUM(DV$24:DV136)=DV$22,0,IF(AND($K137&gt;=DV$15,$K137&lt;(DV$16+1)),DV$22/(DV$16-DV$15+1),0))</f>
        <v>0</v>
      </c>
      <c r="DW137" s="231">
        <f ca="1">IF(SUM(DW$24:DW136)=DW$22,0,IF(AND($K137&gt;=DW$15,$K137&lt;(DW$16+1)),DW$22/(DW$16-DW$15+1),0))</f>
        <v>0</v>
      </c>
      <c r="DX137" s="231">
        <f ca="1">IF(SUM(DX$24:DX136)=DX$22,0,IF(AND($K137&gt;=DX$15,$K137&lt;(DX$16+1)),DX$22/(DX$16-DX$15+1),0))</f>
        <v>0</v>
      </c>
      <c r="DY137" s="231">
        <f ca="1">IF(SUM(DY$24:DY136)=DY$22,0,IF(AND($K137&gt;=DY$15,$K137&lt;(DY$16+1)),DY$22/(DY$16-DY$15+1),0))</f>
        <v>0</v>
      </c>
      <c r="EA137" s="749">
        <f t="shared" si="115"/>
        <v>114</v>
      </c>
      <c r="EB137" s="749" t="e">
        <f t="shared" ca="1" si="116"/>
        <v>#REF!</v>
      </c>
      <c r="EC137" s="750" t="e">
        <f t="shared" ca="1" si="82"/>
        <v>#REF!</v>
      </c>
      <c r="ED137" s="749" t="e">
        <f t="shared" ca="1" si="96"/>
        <v>#N/A</v>
      </c>
      <c r="EE137" s="749"/>
      <c r="EF137" s="749"/>
      <c r="EG137" s="749"/>
      <c r="EH137" s="749"/>
      <c r="EI137" s="714" t="e">
        <f t="shared" ca="1" si="83"/>
        <v>#REF!</v>
      </c>
      <c r="EJ137" s="231" t="e">
        <f ca="1">IF(SUM(EJ$24:EJ136)=EJ$22,0,IF(AND($K137&gt;=EJ$15,$K137&lt;(EJ$16+1)),EJ$22/(EJ$16-EJ$15+1),0))</f>
        <v>#REF!</v>
      </c>
      <c r="EK137" s="714" t="e">
        <f t="shared" ca="1" si="117"/>
        <v>#REF!</v>
      </c>
      <c r="EM137" s="60"/>
      <c r="EN137" s="60"/>
    </row>
    <row r="138" spans="1:144" ht="13.9" customHeight="1">
      <c r="A138" s="220"/>
      <c r="B138" s="236">
        <f t="shared" si="84"/>
        <v>115</v>
      </c>
      <c r="C138" s="221">
        <f t="shared" si="85"/>
        <v>46938.50380000018</v>
      </c>
      <c r="D138" s="746" t="e">
        <f t="shared" ca="1" si="86"/>
        <v>#DIV/0!</v>
      </c>
      <c r="E138" s="747" t="e">
        <f t="shared" ca="1" si="88"/>
        <v>#DIV/0!</v>
      </c>
      <c r="F138" s="748" t="e">
        <f ca="1">IF(F137=0,0,SUM($G$24:G138))</f>
        <v>#DIV/0!</v>
      </c>
      <c r="G138" s="225" t="e">
        <f t="shared" ca="1" si="111"/>
        <v>#DIV/0!</v>
      </c>
      <c r="H138" s="746">
        <f t="shared" ca="1" si="87"/>
        <v>0</v>
      </c>
      <c r="I138" s="60"/>
      <c r="J138" s="228"/>
      <c r="K138" s="228">
        <f t="shared" si="112"/>
        <v>115</v>
      </c>
      <c r="L138" s="221">
        <f t="shared" si="113"/>
        <v>46938.50380000018</v>
      </c>
      <c r="M138" s="229">
        <f t="shared" si="126"/>
        <v>0</v>
      </c>
      <c r="N138" s="229">
        <f t="shared" si="126"/>
        <v>0</v>
      </c>
      <c r="O138" s="229">
        <f t="shared" si="126"/>
        <v>0</v>
      </c>
      <c r="P138" s="229">
        <f t="shared" si="126"/>
        <v>0</v>
      </c>
      <c r="Q138" s="229">
        <f t="shared" si="126"/>
        <v>0</v>
      </c>
      <c r="R138" s="229">
        <f t="shared" si="125"/>
        <v>0</v>
      </c>
      <c r="S138" s="229">
        <f t="shared" si="125"/>
        <v>0</v>
      </c>
      <c r="T138" s="229">
        <f t="shared" si="125"/>
        <v>0</v>
      </c>
      <c r="U138" s="229">
        <f t="shared" si="126"/>
        <v>0</v>
      </c>
      <c r="V138" s="229">
        <f t="shared" si="126"/>
        <v>0</v>
      </c>
      <c r="W138" s="229">
        <f t="shared" si="126"/>
        <v>0</v>
      </c>
      <c r="X138" s="229">
        <f t="shared" si="126"/>
        <v>0</v>
      </c>
      <c r="Y138" s="229">
        <f t="shared" si="126"/>
        <v>0</v>
      </c>
      <c r="Z138" s="229">
        <f t="shared" si="126"/>
        <v>0</v>
      </c>
      <c r="AA138" s="229">
        <f t="shared" si="126"/>
        <v>0</v>
      </c>
      <c r="AB138" s="229">
        <f t="shared" si="126"/>
        <v>0</v>
      </c>
      <c r="AC138" s="229">
        <f t="shared" si="126"/>
        <v>0</v>
      </c>
      <c r="AD138" s="229">
        <f t="shared" si="126"/>
        <v>0</v>
      </c>
      <c r="AE138" s="229">
        <f t="shared" si="126"/>
        <v>0</v>
      </c>
      <c r="AF138" s="229">
        <f t="shared" si="126"/>
        <v>0</v>
      </c>
      <c r="AG138" s="229">
        <f t="shared" si="126"/>
        <v>0</v>
      </c>
      <c r="AH138" s="229">
        <f t="shared" si="126"/>
        <v>0</v>
      </c>
      <c r="AI138" s="229">
        <f t="shared" si="126"/>
        <v>0</v>
      </c>
      <c r="AJ138" s="229">
        <f t="shared" si="126"/>
        <v>0</v>
      </c>
      <c r="AK138" s="229">
        <f t="shared" si="126"/>
        <v>0</v>
      </c>
      <c r="AL138" s="229">
        <f t="shared" si="126"/>
        <v>0</v>
      </c>
      <c r="AM138" s="229">
        <f t="shared" si="126"/>
        <v>0</v>
      </c>
      <c r="AN138" s="229">
        <f t="shared" si="126"/>
        <v>0</v>
      </c>
      <c r="AO138" s="229">
        <f t="shared" si="126"/>
        <v>0</v>
      </c>
      <c r="AP138" s="229">
        <f t="shared" si="126"/>
        <v>0</v>
      </c>
      <c r="AQ138" s="229">
        <f t="shared" si="126"/>
        <v>0</v>
      </c>
      <c r="AR138" s="229">
        <f t="shared" si="127"/>
        <v>0</v>
      </c>
      <c r="AS138" s="229">
        <f t="shared" si="127"/>
        <v>0</v>
      </c>
      <c r="AT138" s="229">
        <f t="shared" si="127"/>
        <v>0</v>
      </c>
      <c r="AU138" s="229">
        <f t="shared" si="127"/>
        <v>0</v>
      </c>
      <c r="AV138" s="229">
        <f t="shared" si="127"/>
        <v>0</v>
      </c>
      <c r="AW138" s="229">
        <f t="shared" si="127"/>
        <v>0</v>
      </c>
      <c r="AX138" s="229">
        <f t="shared" si="127"/>
        <v>0</v>
      </c>
      <c r="AY138" s="229">
        <f t="shared" si="127"/>
        <v>0</v>
      </c>
      <c r="AZ138" s="229">
        <f t="shared" si="127"/>
        <v>0</v>
      </c>
      <c r="BA138" s="229">
        <f t="shared" si="127"/>
        <v>0</v>
      </c>
      <c r="BB138" s="229">
        <f t="shared" si="127"/>
        <v>0</v>
      </c>
      <c r="BC138" s="229">
        <f t="shared" si="128"/>
        <v>0</v>
      </c>
      <c r="BD138" s="229">
        <f t="shared" si="128"/>
        <v>0</v>
      </c>
      <c r="BE138" s="229">
        <f t="shared" si="128"/>
        <v>0</v>
      </c>
      <c r="BF138" s="229">
        <f t="shared" si="128"/>
        <v>0</v>
      </c>
      <c r="BG138" s="229">
        <f t="shared" si="128"/>
        <v>0</v>
      </c>
      <c r="BH138" s="229">
        <f t="shared" si="128"/>
        <v>0</v>
      </c>
      <c r="BI138" s="229">
        <f t="shared" si="128"/>
        <v>0</v>
      </c>
      <c r="BJ138" s="229">
        <f t="shared" si="128"/>
        <v>0</v>
      </c>
      <c r="BK138" s="229">
        <f t="shared" si="128"/>
        <v>0</v>
      </c>
      <c r="BL138" s="229">
        <f t="shared" si="128"/>
        <v>0</v>
      </c>
      <c r="BM138" s="229">
        <f t="shared" si="129"/>
        <v>0</v>
      </c>
      <c r="BN138" s="229">
        <f t="shared" si="129"/>
        <v>0</v>
      </c>
      <c r="BO138" s="229">
        <f t="shared" si="129"/>
        <v>0</v>
      </c>
      <c r="BP138" s="229">
        <f t="shared" si="129"/>
        <v>0</v>
      </c>
      <c r="BQ138" s="229">
        <f t="shared" si="129"/>
        <v>0</v>
      </c>
      <c r="BR138" s="229">
        <f t="shared" si="129"/>
        <v>0</v>
      </c>
      <c r="BS138" s="229">
        <f t="shared" si="129"/>
        <v>0</v>
      </c>
      <c r="BT138" s="229">
        <f t="shared" si="129"/>
        <v>0</v>
      </c>
      <c r="BU138" s="229">
        <f t="shared" si="129"/>
        <v>0</v>
      </c>
      <c r="BV138" s="229">
        <f t="shared" si="129"/>
        <v>0</v>
      </c>
      <c r="BW138" s="229">
        <f t="shared" si="129"/>
        <v>0</v>
      </c>
      <c r="BX138" s="229">
        <f t="shared" si="129"/>
        <v>0</v>
      </c>
      <c r="BY138" s="229">
        <f t="shared" si="129"/>
        <v>0</v>
      </c>
      <c r="BZ138" s="229">
        <f t="shared" si="129"/>
        <v>0</v>
      </c>
      <c r="CA138" s="229">
        <f t="shared" si="129"/>
        <v>0</v>
      </c>
      <c r="CB138" s="229">
        <f t="shared" si="130"/>
        <v>0</v>
      </c>
      <c r="CC138" s="229">
        <f t="shared" si="130"/>
        <v>0</v>
      </c>
      <c r="CD138" s="229">
        <f t="shared" si="130"/>
        <v>0</v>
      </c>
      <c r="CE138" s="229">
        <f t="shared" si="130"/>
        <v>0</v>
      </c>
      <c r="CF138" s="229">
        <f t="shared" si="130"/>
        <v>0</v>
      </c>
      <c r="CG138" s="229">
        <f t="shared" si="130"/>
        <v>0</v>
      </c>
      <c r="CH138" s="229">
        <f t="shared" si="130"/>
        <v>0</v>
      </c>
      <c r="CI138" s="229">
        <f t="shared" si="130"/>
        <v>0</v>
      </c>
      <c r="CJ138" s="229">
        <f t="shared" si="130"/>
        <v>0</v>
      </c>
      <c r="CK138" s="229">
        <f t="shared" si="130"/>
        <v>0</v>
      </c>
      <c r="CL138" s="229">
        <f t="shared" si="130"/>
        <v>0</v>
      </c>
      <c r="CM138" s="229">
        <f t="shared" si="130"/>
        <v>0</v>
      </c>
      <c r="CN138" s="229">
        <f t="shared" si="130"/>
        <v>0</v>
      </c>
      <c r="CO138" s="229">
        <f t="shared" si="130"/>
        <v>0</v>
      </c>
      <c r="CP138" s="229">
        <f t="shared" si="130"/>
        <v>0</v>
      </c>
      <c r="CQ138" s="229">
        <f t="shared" si="130"/>
        <v>0</v>
      </c>
      <c r="CR138" s="229">
        <f t="shared" si="130"/>
        <v>0</v>
      </c>
      <c r="CS138" s="230"/>
      <c r="CT138" s="231"/>
      <c r="CU138" s="231"/>
      <c r="CV138" s="231"/>
      <c r="CW138" s="231"/>
      <c r="CX138" s="231"/>
      <c r="CY138" s="231"/>
      <c r="CZ138" s="231"/>
      <c r="DA138" s="231" t="e">
        <f ca="1">IF(SUM(DA$32:DA137)&gt;=DA$22,0,DA$22/(DA$13*4))</f>
        <v>#N/A</v>
      </c>
      <c r="DB138" s="231">
        <f>IF(SUM(DB$24:DB137)=DB$22,0,IF(AND($K138&gt;=DB$15,$K138&lt;(DB$16+1)),DB$22/(DB$16-DB$15+1),0))</f>
        <v>0</v>
      </c>
      <c r="DC138" s="231">
        <f t="shared" si="124"/>
        <v>0</v>
      </c>
      <c r="DD138" s="231">
        <f t="shared" si="124"/>
        <v>0</v>
      </c>
      <c r="DE138" s="231">
        <f t="shared" si="124"/>
        <v>0</v>
      </c>
      <c r="DF138" s="231">
        <f t="shared" si="124"/>
        <v>0</v>
      </c>
      <c r="DG138" s="231">
        <f t="shared" si="124"/>
        <v>0</v>
      </c>
      <c r="DH138" s="231">
        <f t="shared" si="124"/>
        <v>0</v>
      </c>
      <c r="DI138" s="231">
        <f t="shared" si="124"/>
        <v>0</v>
      </c>
      <c r="DJ138" s="231">
        <f t="shared" si="124"/>
        <v>0</v>
      </c>
      <c r="DK138" s="231">
        <f t="shared" si="124"/>
        <v>0</v>
      </c>
      <c r="DL138" s="231">
        <f t="shared" si="124"/>
        <v>0</v>
      </c>
      <c r="DM138" s="231">
        <f t="shared" si="124"/>
        <v>0</v>
      </c>
      <c r="DN138" s="231">
        <f t="shared" si="124"/>
        <v>0</v>
      </c>
      <c r="DO138" s="231">
        <f t="shared" si="124"/>
        <v>0</v>
      </c>
      <c r="DP138" s="231">
        <f>'Offshore CF'!DR138</f>
        <v>0</v>
      </c>
      <c r="DQ138" s="231">
        <f>'Offshore CF'!DS138</f>
        <v>0</v>
      </c>
      <c r="DR138" s="231">
        <f ca="1">IF(SUM(DR$24:DR137)=DR$22,0,IF(AND($K138&gt;=DR$15,$K138&lt;(DR$16+1)),DR$22/(DR$16-DR$15+1),0))</f>
        <v>0</v>
      </c>
      <c r="DS138" s="231" t="e">
        <f ca="1">IF(SUM(DS$24:DS137)=DS$22,0,IF(AND($K138&gt;=DS$15,$K138&lt;(DS$16+1)),DS$22/(DS$16-DS$15+1),0))</f>
        <v>#REF!</v>
      </c>
      <c r="DT138" s="231" t="e">
        <f ca="1">IF(SUM(DT$24:DT137)=DT$22,0,IF(AND(K138&gt;=DT$15,K138&lt;(DT$16+1)),DT$22/(DT$16-DT$15+1),0))</f>
        <v>#REF!</v>
      </c>
      <c r="DU138" s="231" t="e">
        <f ca="1">IF(SUM(DU$24:DU137)=DU$22,0,IF(AND($K138&gt;=DU$15,$K138&lt;(DU$16+1)),DU$22/(DU$16-DU$15+1),0))</f>
        <v>#REF!</v>
      </c>
      <c r="DV138" s="231">
        <f ca="1">IF(SUM(DV$24:DV137)=DV$22,0,IF(AND($K138&gt;=DV$15,$K138&lt;(DV$16+1)),DV$22/(DV$16-DV$15+1),0))</f>
        <v>0</v>
      </c>
      <c r="DW138" s="231">
        <f ca="1">IF(SUM(DW$24:DW137)=DW$22,0,IF(AND($K138&gt;=DW$15,$K138&lt;(DW$16+1)),DW$22/(DW$16-DW$15+1),0))</f>
        <v>0</v>
      </c>
      <c r="DX138" s="231">
        <f ca="1">IF(SUM(DX$24:DX137)=DX$22,0,IF(AND($K138&gt;=DX$15,$K138&lt;(DX$16+1)),DX$22/(DX$16-DX$15+1),0))</f>
        <v>0</v>
      </c>
      <c r="DY138" s="231">
        <f ca="1">IF(SUM(DY$24:DY137)=DY$22,0,IF(AND($K138&gt;=DY$15,$K138&lt;(DY$16+1)),DY$22/(DY$16-DY$15+1),0))</f>
        <v>0</v>
      </c>
      <c r="EA138" s="749">
        <f t="shared" si="115"/>
        <v>115</v>
      </c>
      <c r="EB138" s="749" t="e">
        <f t="shared" ca="1" si="116"/>
        <v>#N/A</v>
      </c>
      <c r="EC138" s="750" t="e">
        <f t="shared" ca="1" si="82"/>
        <v>#N/A</v>
      </c>
      <c r="ED138" s="749" t="e">
        <f t="shared" ca="1" si="96"/>
        <v>#REF!</v>
      </c>
      <c r="EE138" s="749"/>
      <c r="EF138" s="749"/>
      <c r="EG138" s="749"/>
      <c r="EH138" s="749"/>
      <c r="EI138" s="714" t="e">
        <f t="shared" ca="1" si="83"/>
        <v>#N/A</v>
      </c>
      <c r="EJ138" s="231" t="e">
        <f ca="1">IF(SUM(EJ$24:EJ137)=EJ$22,0,IF(AND($K138&gt;=EJ$15,$K138&lt;(EJ$16+1)),EJ$22/(EJ$16-EJ$15+1),0))</f>
        <v>#REF!</v>
      </c>
      <c r="EK138" s="714" t="e">
        <f t="shared" ca="1" si="117"/>
        <v>#N/A</v>
      </c>
      <c r="EM138" s="60"/>
      <c r="EN138" s="60"/>
    </row>
    <row r="139" spans="1:144" ht="12.75" customHeight="1">
      <c r="A139" s="220"/>
      <c r="B139" s="236">
        <f t="shared" si="84"/>
        <v>116</v>
      </c>
      <c r="C139" s="221">
        <f t="shared" si="85"/>
        <v>46968.920500000182</v>
      </c>
      <c r="D139" s="746" t="e">
        <f t="shared" ca="1" si="86"/>
        <v>#DIV/0!</v>
      </c>
      <c r="E139" s="747" t="e">
        <f t="shared" ca="1" si="88"/>
        <v>#DIV/0!</v>
      </c>
      <c r="F139" s="748" t="e">
        <f ca="1">IF(F138=0,0,SUM($G$24:G139))</f>
        <v>#DIV/0!</v>
      </c>
      <c r="G139" s="225" t="e">
        <f t="shared" ca="1" si="111"/>
        <v>#DIV/0!</v>
      </c>
      <c r="H139" s="746">
        <f t="shared" ca="1" si="87"/>
        <v>0</v>
      </c>
      <c r="I139" s="60"/>
      <c r="J139" s="228"/>
      <c r="K139" s="228">
        <f t="shared" si="112"/>
        <v>116</v>
      </c>
      <c r="L139" s="221">
        <f t="shared" si="113"/>
        <v>46968.920500000182</v>
      </c>
      <c r="M139" s="229">
        <f t="shared" si="126"/>
        <v>0</v>
      </c>
      <c r="N139" s="229">
        <f t="shared" si="126"/>
        <v>0</v>
      </c>
      <c r="O139" s="229">
        <f t="shared" si="126"/>
        <v>0</v>
      </c>
      <c r="P139" s="229">
        <f t="shared" si="126"/>
        <v>0</v>
      </c>
      <c r="Q139" s="229">
        <f t="shared" si="126"/>
        <v>0</v>
      </c>
      <c r="R139" s="229">
        <f t="shared" si="125"/>
        <v>0</v>
      </c>
      <c r="S139" s="229">
        <f t="shared" si="125"/>
        <v>0</v>
      </c>
      <c r="T139" s="229">
        <f t="shared" si="125"/>
        <v>0</v>
      </c>
      <c r="U139" s="229">
        <f t="shared" si="126"/>
        <v>0</v>
      </c>
      <c r="V139" s="229">
        <f t="shared" si="126"/>
        <v>0</v>
      </c>
      <c r="W139" s="229">
        <f t="shared" si="126"/>
        <v>0</v>
      </c>
      <c r="X139" s="229">
        <f t="shared" si="126"/>
        <v>0</v>
      </c>
      <c r="Y139" s="229">
        <f t="shared" si="126"/>
        <v>0</v>
      </c>
      <c r="Z139" s="229">
        <f t="shared" si="126"/>
        <v>0</v>
      </c>
      <c r="AA139" s="229">
        <f t="shared" si="126"/>
        <v>0</v>
      </c>
      <c r="AB139" s="229">
        <f t="shared" si="126"/>
        <v>0</v>
      </c>
      <c r="AC139" s="229">
        <f t="shared" si="126"/>
        <v>0</v>
      </c>
      <c r="AD139" s="229">
        <f t="shared" si="126"/>
        <v>0</v>
      </c>
      <c r="AE139" s="229">
        <f t="shared" si="126"/>
        <v>0</v>
      </c>
      <c r="AF139" s="229">
        <f t="shared" si="126"/>
        <v>0</v>
      </c>
      <c r="AG139" s="229">
        <f t="shared" si="126"/>
        <v>0</v>
      </c>
      <c r="AH139" s="229">
        <f t="shared" si="126"/>
        <v>0</v>
      </c>
      <c r="AI139" s="229">
        <f t="shared" si="126"/>
        <v>0</v>
      </c>
      <c r="AJ139" s="229">
        <f t="shared" si="126"/>
        <v>0</v>
      </c>
      <c r="AK139" s="229">
        <f t="shared" si="126"/>
        <v>0</v>
      </c>
      <c r="AL139" s="229">
        <f t="shared" si="126"/>
        <v>0</v>
      </c>
      <c r="AM139" s="229">
        <f t="shared" si="126"/>
        <v>0</v>
      </c>
      <c r="AN139" s="229">
        <f t="shared" si="126"/>
        <v>0</v>
      </c>
      <c r="AO139" s="229">
        <f t="shared" si="126"/>
        <v>0</v>
      </c>
      <c r="AP139" s="229">
        <f t="shared" si="126"/>
        <v>0</v>
      </c>
      <c r="AQ139" s="229">
        <f t="shared" si="126"/>
        <v>0</v>
      </c>
      <c r="AR139" s="229">
        <f t="shared" si="127"/>
        <v>0</v>
      </c>
      <c r="AS139" s="229">
        <f t="shared" si="127"/>
        <v>0</v>
      </c>
      <c r="AT139" s="229">
        <f t="shared" si="127"/>
        <v>0</v>
      </c>
      <c r="AU139" s="229">
        <f t="shared" si="127"/>
        <v>0</v>
      </c>
      <c r="AV139" s="229">
        <f t="shared" si="127"/>
        <v>0</v>
      </c>
      <c r="AW139" s="229">
        <f t="shared" si="127"/>
        <v>0</v>
      </c>
      <c r="AX139" s="229">
        <f t="shared" si="127"/>
        <v>0</v>
      </c>
      <c r="AY139" s="229">
        <f t="shared" si="127"/>
        <v>0</v>
      </c>
      <c r="AZ139" s="229">
        <f t="shared" si="127"/>
        <v>0</v>
      </c>
      <c r="BA139" s="229">
        <f t="shared" si="127"/>
        <v>0</v>
      </c>
      <c r="BB139" s="229">
        <f t="shared" si="127"/>
        <v>0</v>
      </c>
      <c r="BC139" s="229">
        <f t="shared" si="128"/>
        <v>0</v>
      </c>
      <c r="BD139" s="229">
        <f t="shared" si="128"/>
        <v>0</v>
      </c>
      <c r="BE139" s="229">
        <f t="shared" si="128"/>
        <v>0</v>
      </c>
      <c r="BF139" s="229">
        <f t="shared" si="128"/>
        <v>0</v>
      </c>
      <c r="BG139" s="229">
        <f t="shared" si="128"/>
        <v>0</v>
      </c>
      <c r="BH139" s="229">
        <f t="shared" si="128"/>
        <v>0</v>
      </c>
      <c r="BI139" s="229">
        <f t="shared" si="128"/>
        <v>0</v>
      </c>
      <c r="BJ139" s="229">
        <f t="shared" si="128"/>
        <v>0</v>
      </c>
      <c r="BK139" s="229">
        <f t="shared" si="128"/>
        <v>0</v>
      </c>
      <c r="BL139" s="229">
        <f t="shared" si="128"/>
        <v>0</v>
      </c>
      <c r="BM139" s="229">
        <f t="shared" si="129"/>
        <v>0</v>
      </c>
      <c r="BN139" s="229">
        <f t="shared" si="129"/>
        <v>0</v>
      </c>
      <c r="BO139" s="229">
        <f t="shared" si="129"/>
        <v>0</v>
      </c>
      <c r="BP139" s="229">
        <f t="shared" si="129"/>
        <v>0</v>
      </c>
      <c r="BQ139" s="229">
        <f t="shared" si="129"/>
        <v>0</v>
      </c>
      <c r="BR139" s="229">
        <f t="shared" si="129"/>
        <v>0</v>
      </c>
      <c r="BS139" s="229">
        <f t="shared" si="129"/>
        <v>0</v>
      </c>
      <c r="BT139" s="229">
        <f t="shared" si="129"/>
        <v>0</v>
      </c>
      <c r="BU139" s="229">
        <f t="shared" si="129"/>
        <v>0</v>
      </c>
      <c r="BV139" s="229">
        <f t="shared" si="129"/>
        <v>0</v>
      </c>
      <c r="BW139" s="229">
        <f t="shared" si="129"/>
        <v>0</v>
      </c>
      <c r="BX139" s="229">
        <f t="shared" si="129"/>
        <v>0</v>
      </c>
      <c r="BY139" s="229">
        <f t="shared" si="129"/>
        <v>0</v>
      </c>
      <c r="BZ139" s="229">
        <f t="shared" si="129"/>
        <v>0</v>
      </c>
      <c r="CA139" s="229">
        <f t="shared" si="129"/>
        <v>0</v>
      </c>
      <c r="CB139" s="229">
        <f t="shared" si="130"/>
        <v>0</v>
      </c>
      <c r="CC139" s="229">
        <f t="shared" si="130"/>
        <v>0</v>
      </c>
      <c r="CD139" s="229">
        <f t="shared" si="130"/>
        <v>0</v>
      </c>
      <c r="CE139" s="229">
        <f t="shared" si="130"/>
        <v>0</v>
      </c>
      <c r="CF139" s="229">
        <f t="shared" si="130"/>
        <v>0</v>
      </c>
      <c r="CG139" s="229">
        <f t="shared" si="130"/>
        <v>0</v>
      </c>
      <c r="CH139" s="229">
        <f t="shared" si="130"/>
        <v>0</v>
      </c>
      <c r="CI139" s="229">
        <f t="shared" si="130"/>
        <v>0</v>
      </c>
      <c r="CJ139" s="229">
        <f t="shared" si="130"/>
        <v>0</v>
      </c>
      <c r="CK139" s="229">
        <f t="shared" si="130"/>
        <v>0</v>
      </c>
      <c r="CL139" s="229">
        <f t="shared" si="130"/>
        <v>0</v>
      </c>
      <c r="CM139" s="229">
        <f t="shared" si="130"/>
        <v>0</v>
      </c>
      <c r="CN139" s="229">
        <f t="shared" si="130"/>
        <v>0</v>
      </c>
      <c r="CO139" s="229">
        <f t="shared" si="130"/>
        <v>0</v>
      </c>
      <c r="CP139" s="229">
        <f t="shared" si="130"/>
        <v>0</v>
      </c>
      <c r="CQ139" s="229">
        <f t="shared" si="130"/>
        <v>0</v>
      </c>
      <c r="CR139" s="229">
        <f t="shared" si="130"/>
        <v>0</v>
      </c>
      <c r="CS139" s="230"/>
      <c r="CT139" s="231"/>
      <c r="CU139" s="231"/>
      <c r="CV139" s="231"/>
      <c r="CW139" s="231"/>
      <c r="CX139" s="231"/>
      <c r="CY139" s="231"/>
      <c r="CZ139" s="231"/>
      <c r="DA139" s="231"/>
      <c r="DB139" s="231">
        <f>IF(SUM(DB$24:DB138)=DB$22,0,IF(AND($K139&gt;=DB$15,$K139&lt;(DB$16+1)),DB$22/(DB$16-DB$15+1),0))</f>
        <v>0</v>
      </c>
      <c r="DC139" s="231">
        <f t="shared" si="124"/>
        <v>0</v>
      </c>
      <c r="DD139" s="231">
        <f t="shared" si="124"/>
        <v>0</v>
      </c>
      <c r="DE139" s="231">
        <f t="shared" si="124"/>
        <v>0</v>
      </c>
      <c r="DF139" s="231">
        <f t="shared" si="124"/>
        <v>0</v>
      </c>
      <c r="DG139" s="231">
        <f t="shared" si="124"/>
        <v>0</v>
      </c>
      <c r="DH139" s="231">
        <f t="shared" si="124"/>
        <v>0</v>
      </c>
      <c r="DI139" s="231">
        <f t="shared" si="124"/>
        <v>0</v>
      </c>
      <c r="DJ139" s="231">
        <f t="shared" si="124"/>
        <v>0</v>
      </c>
      <c r="DK139" s="231">
        <f t="shared" si="124"/>
        <v>0</v>
      </c>
      <c r="DL139" s="231">
        <f t="shared" si="124"/>
        <v>0</v>
      </c>
      <c r="DM139" s="231">
        <f t="shared" si="124"/>
        <v>0</v>
      </c>
      <c r="DN139" s="231">
        <f t="shared" si="124"/>
        <v>0</v>
      </c>
      <c r="DO139" s="231">
        <f t="shared" si="124"/>
        <v>0</v>
      </c>
      <c r="DP139" s="231">
        <f>'Offshore CF'!DR139</f>
        <v>0</v>
      </c>
      <c r="DQ139" s="231">
        <f>'Offshore CF'!DS139</f>
        <v>0</v>
      </c>
      <c r="DR139" s="231">
        <f ca="1">IF(SUM(DR$24:DR138)=DR$22,0,IF(AND($K139&gt;=DR$15,$K139&lt;(DR$16+1)),DR$22/(DR$16-DR$15+1),0))</f>
        <v>0</v>
      </c>
      <c r="DS139" s="231" t="e">
        <f ca="1">IF(SUM(DS$24:DS138)=DS$22,0,IF(AND($K139&gt;=DS$15,$K139&lt;(DS$16+1)),DS$22/(DS$16-DS$15+1),0))</f>
        <v>#REF!</v>
      </c>
      <c r="DT139" s="231" t="e">
        <f ca="1">IF(SUM(DT$24:DT138)=DT$22,0,IF(AND(K139&gt;=DT$15,K139&lt;(DT$16+1)),DT$22/(DT$16-DT$15+1),0))</f>
        <v>#REF!</v>
      </c>
      <c r="DU139" s="231" t="e">
        <f ca="1">IF(SUM(DU$24:DU138)=DU$22,0,IF(AND($K139&gt;=DU$15,$K139&lt;(DU$16+1)),DU$22/(DU$16-DU$15+1),0))</f>
        <v>#REF!</v>
      </c>
      <c r="DV139" s="231">
        <f ca="1">IF(SUM(DV$24:DV138)=DV$22,0,IF(AND($K139&gt;=DV$15,$K139&lt;(DV$16+1)),DV$22/(DV$16-DV$15+1),0))</f>
        <v>0</v>
      </c>
      <c r="DW139" s="231">
        <f ca="1">IF(SUM(DW$24:DW138)=DW$22,0,IF(AND($K139&gt;=DW$15,$K139&lt;(DW$16+1)),DW$22/(DW$16-DW$15+1),0))</f>
        <v>0</v>
      </c>
      <c r="DX139" s="231">
        <f ca="1">IF(SUM(DX$24:DX138)=DX$22,0,IF(AND($K139&gt;=DX$15,$K139&lt;(DX$16+1)),DX$22/(DX$16-DX$15+1),0))</f>
        <v>0</v>
      </c>
      <c r="DY139" s="231">
        <f ca="1">IF(SUM(DY$24:DY138)=DY$22,0,IF(AND($K139&gt;=DY$15,$K139&lt;(DY$16+1)),DY$22/(DY$16-DY$15+1),0))</f>
        <v>0</v>
      </c>
      <c r="EA139" s="749">
        <f t="shared" si="115"/>
        <v>116</v>
      </c>
      <c r="EB139" s="749" t="e">
        <f t="shared" ca="1" si="116"/>
        <v>#REF!</v>
      </c>
      <c r="EC139" s="750" t="e">
        <f t="shared" ca="1" si="82"/>
        <v>#REF!</v>
      </c>
      <c r="ED139" s="749" t="e">
        <f t="shared" ca="1" si="96"/>
        <v>#REF!</v>
      </c>
      <c r="EE139" s="749"/>
      <c r="EF139" s="749"/>
      <c r="EG139" s="749"/>
      <c r="EH139" s="749"/>
      <c r="EI139" s="714" t="e">
        <f t="shared" ca="1" si="83"/>
        <v>#REF!</v>
      </c>
      <c r="EJ139" s="231" t="e">
        <f ca="1">IF(SUM(EJ$24:EJ138)=EJ$22,0,IF(AND($K139&gt;=EJ$15,$K139&lt;(EJ$16+1)),EJ$22/(EJ$16-EJ$15+1),0))</f>
        <v>#REF!</v>
      </c>
      <c r="EK139" s="714" t="e">
        <f t="shared" ca="1" si="117"/>
        <v>#REF!</v>
      </c>
      <c r="EM139" s="60"/>
      <c r="EN139" s="60"/>
    </row>
    <row r="140" spans="1:144" ht="13.9" customHeight="1">
      <c r="A140" s="220"/>
      <c r="B140" s="236">
        <f t="shared" si="84"/>
        <v>117</v>
      </c>
      <c r="C140" s="221">
        <f t="shared" si="85"/>
        <v>46999.337200000184</v>
      </c>
      <c r="D140" s="746" t="e">
        <f t="shared" ca="1" si="86"/>
        <v>#DIV/0!</v>
      </c>
      <c r="E140" s="747" t="e">
        <f t="shared" ca="1" si="88"/>
        <v>#DIV/0!</v>
      </c>
      <c r="F140" s="748" t="e">
        <f ca="1">IF(F139=0,0,SUM($G$24:G140))</f>
        <v>#DIV/0!</v>
      </c>
      <c r="G140" s="225" t="e">
        <f t="shared" ca="1" si="111"/>
        <v>#DIV/0!</v>
      </c>
      <c r="H140" s="746">
        <f t="shared" ca="1" si="87"/>
        <v>0</v>
      </c>
      <c r="I140" s="60"/>
      <c r="J140" s="228"/>
      <c r="K140" s="228">
        <f t="shared" si="112"/>
        <v>117</v>
      </c>
      <c r="L140" s="221">
        <f t="shared" si="113"/>
        <v>46999.337200000184</v>
      </c>
      <c r="M140" s="229">
        <f t="shared" si="126"/>
        <v>0</v>
      </c>
      <c r="N140" s="229">
        <f t="shared" si="126"/>
        <v>0</v>
      </c>
      <c r="O140" s="229">
        <f t="shared" si="126"/>
        <v>0</v>
      </c>
      <c r="P140" s="229">
        <f t="shared" si="126"/>
        <v>0</v>
      </c>
      <c r="Q140" s="229">
        <f t="shared" si="126"/>
        <v>0</v>
      </c>
      <c r="R140" s="229">
        <f t="shared" si="125"/>
        <v>0</v>
      </c>
      <c r="S140" s="229">
        <f t="shared" si="125"/>
        <v>0</v>
      </c>
      <c r="T140" s="229">
        <f t="shared" si="125"/>
        <v>0</v>
      </c>
      <c r="U140" s="229">
        <f t="shared" si="126"/>
        <v>0</v>
      </c>
      <c r="V140" s="229">
        <f t="shared" si="126"/>
        <v>0</v>
      </c>
      <c r="W140" s="229">
        <f t="shared" si="126"/>
        <v>0</v>
      </c>
      <c r="X140" s="229">
        <f t="shared" si="126"/>
        <v>0</v>
      </c>
      <c r="Y140" s="229">
        <f t="shared" si="126"/>
        <v>0</v>
      </c>
      <c r="Z140" s="229">
        <f t="shared" si="126"/>
        <v>0</v>
      </c>
      <c r="AA140" s="229">
        <f t="shared" si="126"/>
        <v>0</v>
      </c>
      <c r="AB140" s="229">
        <f t="shared" si="126"/>
        <v>0</v>
      </c>
      <c r="AC140" s="229">
        <f t="shared" si="126"/>
        <v>0</v>
      </c>
      <c r="AD140" s="229">
        <f t="shared" si="126"/>
        <v>0</v>
      </c>
      <c r="AE140" s="229">
        <f t="shared" si="126"/>
        <v>0</v>
      </c>
      <c r="AF140" s="229">
        <f t="shared" si="126"/>
        <v>0</v>
      </c>
      <c r="AG140" s="229">
        <f t="shared" si="126"/>
        <v>0</v>
      </c>
      <c r="AH140" s="229">
        <f t="shared" si="126"/>
        <v>0</v>
      </c>
      <c r="AI140" s="229">
        <f t="shared" si="126"/>
        <v>0</v>
      </c>
      <c r="AJ140" s="229">
        <f t="shared" si="126"/>
        <v>0</v>
      </c>
      <c r="AK140" s="229">
        <f t="shared" si="126"/>
        <v>0</v>
      </c>
      <c r="AL140" s="229">
        <f t="shared" si="126"/>
        <v>0</v>
      </c>
      <c r="AM140" s="229">
        <f t="shared" si="126"/>
        <v>0</v>
      </c>
      <c r="AN140" s="229">
        <f t="shared" si="126"/>
        <v>0</v>
      </c>
      <c r="AO140" s="229">
        <f t="shared" si="126"/>
        <v>0</v>
      </c>
      <c r="AP140" s="229">
        <f t="shared" si="126"/>
        <v>0</v>
      </c>
      <c r="AQ140" s="229">
        <f t="shared" si="126"/>
        <v>0</v>
      </c>
      <c r="AR140" s="229">
        <f t="shared" si="127"/>
        <v>0</v>
      </c>
      <c r="AS140" s="229">
        <f t="shared" si="127"/>
        <v>0</v>
      </c>
      <c r="AT140" s="229">
        <f t="shared" si="127"/>
        <v>0</v>
      </c>
      <c r="AU140" s="229">
        <f t="shared" si="127"/>
        <v>0</v>
      </c>
      <c r="AV140" s="229">
        <f t="shared" si="127"/>
        <v>0</v>
      </c>
      <c r="AW140" s="229">
        <f t="shared" si="127"/>
        <v>0</v>
      </c>
      <c r="AX140" s="229">
        <f t="shared" si="127"/>
        <v>0</v>
      </c>
      <c r="AY140" s="229">
        <f t="shared" si="127"/>
        <v>0</v>
      </c>
      <c r="AZ140" s="229">
        <f t="shared" si="127"/>
        <v>0</v>
      </c>
      <c r="BA140" s="229">
        <f t="shared" si="127"/>
        <v>0</v>
      </c>
      <c r="BB140" s="229">
        <f t="shared" si="127"/>
        <v>0</v>
      </c>
      <c r="BC140" s="229">
        <f t="shared" si="128"/>
        <v>0</v>
      </c>
      <c r="BD140" s="229">
        <f t="shared" si="128"/>
        <v>0</v>
      </c>
      <c r="BE140" s="229">
        <f t="shared" si="128"/>
        <v>0</v>
      </c>
      <c r="BF140" s="229">
        <f t="shared" si="128"/>
        <v>0</v>
      </c>
      <c r="BG140" s="229">
        <f t="shared" si="128"/>
        <v>0</v>
      </c>
      <c r="BH140" s="229">
        <f t="shared" si="128"/>
        <v>0</v>
      </c>
      <c r="BI140" s="229">
        <f t="shared" si="128"/>
        <v>0</v>
      </c>
      <c r="BJ140" s="229">
        <f t="shared" si="128"/>
        <v>0</v>
      </c>
      <c r="BK140" s="229">
        <f t="shared" si="128"/>
        <v>0</v>
      </c>
      <c r="BL140" s="229">
        <f t="shared" si="128"/>
        <v>0</v>
      </c>
      <c r="BM140" s="229">
        <f t="shared" si="129"/>
        <v>0</v>
      </c>
      <c r="BN140" s="229">
        <f t="shared" si="129"/>
        <v>0</v>
      </c>
      <c r="BO140" s="229">
        <f t="shared" si="129"/>
        <v>0</v>
      </c>
      <c r="BP140" s="229">
        <f t="shared" si="129"/>
        <v>0</v>
      </c>
      <c r="BQ140" s="229">
        <f t="shared" si="129"/>
        <v>0</v>
      </c>
      <c r="BR140" s="229">
        <f t="shared" si="129"/>
        <v>0</v>
      </c>
      <c r="BS140" s="229">
        <f t="shared" si="129"/>
        <v>0</v>
      </c>
      <c r="BT140" s="229">
        <f t="shared" si="129"/>
        <v>0</v>
      </c>
      <c r="BU140" s="229">
        <f t="shared" si="129"/>
        <v>0</v>
      </c>
      <c r="BV140" s="229">
        <f t="shared" si="129"/>
        <v>0</v>
      </c>
      <c r="BW140" s="229">
        <f t="shared" si="129"/>
        <v>0</v>
      </c>
      <c r="BX140" s="229">
        <f t="shared" si="129"/>
        <v>0</v>
      </c>
      <c r="BY140" s="229">
        <f t="shared" si="129"/>
        <v>0</v>
      </c>
      <c r="BZ140" s="229">
        <f t="shared" si="129"/>
        <v>0</v>
      </c>
      <c r="CA140" s="229">
        <f t="shared" si="129"/>
        <v>0</v>
      </c>
      <c r="CB140" s="229">
        <f t="shared" si="130"/>
        <v>0</v>
      </c>
      <c r="CC140" s="229">
        <f t="shared" si="130"/>
        <v>0</v>
      </c>
      <c r="CD140" s="229">
        <f t="shared" si="130"/>
        <v>0</v>
      </c>
      <c r="CE140" s="229">
        <f t="shared" si="130"/>
        <v>0</v>
      </c>
      <c r="CF140" s="229">
        <f t="shared" si="130"/>
        <v>0</v>
      </c>
      <c r="CG140" s="229">
        <f t="shared" si="130"/>
        <v>0</v>
      </c>
      <c r="CH140" s="229">
        <f t="shared" si="130"/>
        <v>0</v>
      </c>
      <c r="CI140" s="229">
        <f t="shared" si="130"/>
        <v>0</v>
      </c>
      <c r="CJ140" s="229">
        <f t="shared" si="130"/>
        <v>0</v>
      </c>
      <c r="CK140" s="229">
        <f t="shared" si="130"/>
        <v>0</v>
      </c>
      <c r="CL140" s="229">
        <f t="shared" si="130"/>
        <v>0</v>
      </c>
      <c r="CM140" s="229">
        <f t="shared" si="130"/>
        <v>0</v>
      </c>
      <c r="CN140" s="229">
        <f t="shared" si="130"/>
        <v>0</v>
      </c>
      <c r="CO140" s="229">
        <f t="shared" si="130"/>
        <v>0</v>
      </c>
      <c r="CP140" s="229">
        <f t="shared" si="130"/>
        <v>0</v>
      </c>
      <c r="CQ140" s="229">
        <f t="shared" si="130"/>
        <v>0</v>
      </c>
      <c r="CR140" s="229">
        <f t="shared" si="130"/>
        <v>0</v>
      </c>
      <c r="CS140" s="230"/>
      <c r="CT140" s="231"/>
      <c r="CU140" s="231"/>
      <c r="CV140" s="231"/>
      <c r="CW140" s="231"/>
      <c r="CX140" s="231"/>
      <c r="CY140" s="231"/>
      <c r="CZ140" s="231"/>
      <c r="DA140" s="231"/>
      <c r="DB140" s="231">
        <f>IF(SUM(DB$24:DB139)=DB$22,0,IF(AND($K140&gt;=DB$15,$K140&lt;(DB$16+1)),DB$22/(DB$16-DB$15+1),0))</f>
        <v>0</v>
      </c>
      <c r="DC140" s="231">
        <f t="shared" ref="DC140:DO153" si="131">IF(AND($K140&gt;=DC$15,$K140&lt;(DC$16+1)),DC$22/(DC$16-DC$15+1),0)</f>
        <v>0</v>
      </c>
      <c r="DD140" s="231">
        <f t="shared" si="131"/>
        <v>0</v>
      </c>
      <c r="DE140" s="231">
        <f t="shared" si="131"/>
        <v>0</v>
      </c>
      <c r="DF140" s="231">
        <f t="shared" si="131"/>
        <v>0</v>
      </c>
      <c r="DG140" s="231">
        <f t="shared" si="131"/>
        <v>0</v>
      </c>
      <c r="DH140" s="231">
        <f t="shared" si="131"/>
        <v>0</v>
      </c>
      <c r="DI140" s="231">
        <f t="shared" si="131"/>
        <v>0</v>
      </c>
      <c r="DJ140" s="231">
        <f t="shared" si="131"/>
        <v>0</v>
      </c>
      <c r="DK140" s="231">
        <f t="shared" si="131"/>
        <v>0</v>
      </c>
      <c r="DL140" s="231">
        <f t="shared" si="131"/>
        <v>0</v>
      </c>
      <c r="DM140" s="231">
        <f t="shared" si="131"/>
        <v>0</v>
      </c>
      <c r="DN140" s="231">
        <f t="shared" si="131"/>
        <v>0</v>
      </c>
      <c r="DO140" s="231">
        <f t="shared" si="131"/>
        <v>0</v>
      </c>
      <c r="DP140" s="231">
        <f>'Offshore CF'!DR140</f>
        <v>0</v>
      </c>
      <c r="DQ140" s="231">
        <f>'Offshore CF'!DS140</f>
        <v>0</v>
      </c>
      <c r="DR140" s="231">
        <f ca="1">IF(SUM(DR$24:DR139)=DR$22,0,IF(AND($K140&gt;=DR$15,$K140&lt;(DR$16+1)),DR$22/(DR$16-DR$15+1),0))</f>
        <v>0</v>
      </c>
      <c r="DS140" s="231" t="e">
        <f ca="1">IF(SUM(DS$24:DS139)=DS$22,0,IF(AND($K140&gt;=DS$15,$K140&lt;(DS$16+1)),DS$22/(DS$16-DS$15+1),0))</f>
        <v>#REF!</v>
      </c>
      <c r="DT140" s="231" t="e">
        <f ca="1">IF(SUM(DT$24:DT139)=DT$22,0,IF(AND(K140&gt;=DT$15,K140&lt;(DT$16+1)),DT$22/(DT$16-DT$15+1),0))</f>
        <v>#REF!</v>
      </c>
      <c r="DU140" s="231" t="e">
        <f ca="1">IF(SUM(DU$24:DU139)=DU$22,0,IF(AND($K140&gt;=DU$15,$K140&lt;(DU$16+1)),DU$22/(DU$16-DU$15+1),0))</f>
        <v>#REF!</v>
      </c>
      <c r="DV140" s="231">
        <f ca="1">IF(SUM(DV$24:DV139)=DV$22,0,IF(AND($K140&gt;=DV$15,$K140&lt;(DV$16+1)),DV$22/(DV$16-DV$15+1),0))</f>
        <v>0</v>
      </c>
      <c r="DW140" s="231">
        <f ca="1">IF(SUM(DW$24:DW139)=DW$22,0,IF(AND($K140&gt;=DW$15,$K140&lt;(DW$16+1)),DW$22/(DW$16-DW$15+1),0))</f>
        <v>0</v>
      </c>
      <c r="DX140" s="231">
        <f ca="1">IF(SUM(DX$24:DX139)=DX$22,0,IF(AND($K140&gt;=DX$15,$K140&lt;(DX$16+1)),DX$22/(DX$16-DX$15+1),0))</f>
        <v>0</v>
      </c>
      <c r="DY140" s="231">
        <f ca="1">IF(SUM(DY$24:DY139)=DY$22,0,IF(AND($K140&gt;=DY$15,$K140&lt;(DY$16+1)),DY$22/(DY$16-DY$15+1),0))</f>
        <v>0</v>
      </c>
      <c r="EA140" s="749">
        <f t="shared" si="115"/>
        <v>117</v>
      </c>
      <c r="EB140" s="749" t="e">
        <f t="shared" ca="1" si="116"/>
        <v>#REF!</v>
      </c>
      <c r="EC140" s="750" t="e">
        <f t="shared" ca="1" si="82"/>
        <v>#REF!</v>
      </c>
      <c r="ED140" s="749" t="e">
        <f t="shared" ca="1" si="96"/>
        <v>#N/A</v>
      </c>
      <c r="EE140" s="749"/>
      <c r="EF140" s="749"/>
      <c r="EG140" s="749"/>
      <c r="EH140" s="749"/>
      <c r="EI140" s="714" t="e">
        <f t="shared" ca="1" si="83"/>
        <v>#REF!</v>
      </c>
      <c r="EJ140" s="231" t="e">
        <f ca="1">IF(SUM(EJ$24:EJ139)=EJ$22,0,IF(AND($K140&gt;=EJ$15,$K140&lt;(EJ$16+1)),EJ$22/(EJ$16-EJ$15+1),0))</f>
        <v>#REF!</v>
      </c>
      <c r="EK140" s="714" t="e">
        <f t="shared" ca="1" si="117"/>
        <v>#REF!</v>
      </c>
      <c r="EM140" s="60"/>
      <c r="EN140" s="60"/>
    </row>
    <row r="141" spans="1:144" ht="13.9" customHeight="1">
      <c r="A141" s="220"/>
      <c r="B141" s="236">
        <f t="shared" si="84"/>
        <v>118</v>
      </c>
      <c r="C141" s="221">
        <f t="shared" si="85"/>
        <v>47029.753900000185</v>
      </c>
      <c r="D141" s="746" t="e">
        <f t="shared" ca="1" si="86"/>
        <v>#DIV/0!</v>
      </c>
      <c r="E141" s="747" t="e">
        <f t="shared" ca="1" si="88"/>
        <v>#DIV/0!</v>
      </c>
      <c r="F141" s="748" t="e">
        <f ca="1">IF(F140=0,0,SUM($G$24:G141))</f>
        <v>#DIV/0!</v>
      </c>
      <c r="G141" s="225" t="e">
        <f t="shared" ca="1" si="111"/>
        <v>#DIV/0!</v>
      </c>
      <c r="H141" s="746">
        <f t="shared" ca="1" si="87"/>
        <v>0</v>
      </c>
      <c r="I141" s="60"/>
      <c r="J141" s="228"/>
      <c r="K141" s="228">
        <f t="shared" si="112"/>
        <v>118</v>
      </c>
      <c r="L141" s="221">
        <f t="shared" si="113"/>
        <v>47029.753900000185</v>
      </c>
      <c r="M141" s="229">
        <f t="shared" si="126"/>
        <v>0</v>
      </c>
      <c r="N141" s="229">
        <f t="shared" si="126"/>
        <v>0</v>
      </c>
      <c r="O141" s="229">
        <f t="shared" si="126"/>
        <v>0</v>
      </c>
      <c r="P141" s="229">
        <f t="shared" si="126"/>
        <v>0</v>
      </c>
      <c r="Q141" s="229">
        <f t="shared" si="126"/>
        <v>0</v>
      </c>
      <c r="R141" s="229">
        <f t="shared" si="125"/>
        <v>0</v>
      </c>
      <c r="S141" s="229">
        <f t="shared" si="125"/>
        <v>0</v>
      </c>
      <c r="T141" s="229">
        <f t="shared" si="125"/>
        <v>0</v>
      </c>
      <c r="U141" s="229">
        <f t="shared" si="126"/>
        <v>0</v>
      </c>
      <c r="V141" s="229">
        <f t="shared" si="126"/>
        <v>0</v>
      </c>
      <c r="W141" s="229">
        <f t="shared" si="126"/>
        <v>0</v>
      </c>
      <c r="X141" s="229">
        <f t="shared" si="126"/>
        <v>0</v>
      </c>
      <c r="Y141" s="229">
        <f t="shared" si="126"/>
        <v>0</v>
      </c>
      <c r="Z141" s="229">
        <f t="shared" si="126"/>
        <v>0</v>
      </c>
      <c r="AA141" s="229">
        <f t="shared" si="126"/>
        <v>0</v>
      </c>
      <c r="AB141" s="229">
        <f t="shared" si="126"/>
        <v>0</v>
      </c>
      <c r="AC141" s="229">
        <f t="shared" si="126"/>
        <v>0</v>
      </c>
      <c r="AD141" s="229">
        <f t="shared" ref="P141:AD151" si="132">IF($K141=AD$13,AD$22*AD$3,IF($K141=AD$14,AD$22*AD$4,IF($K141=AD$15,AD$22*AD$5,IF($K141=AD$16,AD$22*AD$6,IF($K141=AD$17,AD$22*AD$7,IF($K141=AD$18,AD$22*AD$8,IF($K141=AD$19,AD$22*AD$9,IF($K141=AD$20,AD$22*AD$10,0))))))))</f>
        <v>0</v>
      </c>
      <c r="AE141" s="229">
        <f t="shared" si="126"/>
        <v>0</v>
      </c>
      <c r="AF141" s="229">
        <f t="shared" si="126"/>
        <v>0</v>
      </c>
      <c r="AG141" s="229">
        <f t="shared" si="126"/>
        <v>0</v>
      </c>
      <c r="AH141" s="229">
        <f t="shared" si="126"/>
        <v>0</v>
      </c>
      <c r="AI141" s="229">
        <f t="shared" si="126"/>
        <v>0</v>
      </c>
      <c r="AJ141" s="229">
        <f t="shared" si="126"/>
        <v>0</v>
      </c>
      <c r="AK141" s="229">
        <f t="shared" si="126"/>
        <v>0</v>
      </c>
      <c r="AL141" s="229">
        <f t="shared" si="126"/>
        <v>0</v>
      </c>
      <c r="AM141" s="229">
        <f t="shared" si="126"/>
        <v>0</v>
      </c>
      <c r="AN141" s="229">
        <f t="shared" si="126"/>
        <v>0</v>
      </c>
      <c r="AO141" s="229">
        <f t="shared" si="126"/>
        <v>0</v>
      </c>
      <c r="AP141" s="229">
        <f t="shared" si="126"/>
        <v>0</v>
      </c>
      <c r="AQ141" s="229">
        <f t="shared" si="126"/>
        <v>0</v>
      </c>
      <c r="AR141" s="229">
        <f t="shared" si="127"/>
        <v>0</v>
      </c>
      <c r="AS141" s="229">
        <f t="shared" si="127"/>
        <v>0</v>
      </c>
      <c r="AT141" s="229">
        <f t="shared" si="127"/>
        <v>0</v>
      </c>
      <c r="AU141" s="229">
        <f t="shared" si="127"/>
        <v>0</v>
      </c>
      <c r="AV141" s="229">
        <f t="shared" si="127"/>
        <v>0</v>
      </c>
      <c r="AW141" s="229">
        <f t="shared" si="127"/>
        <v>0</v>
      </c>
      <c r="AX141" s="229">
        <f t="shared" si="127"/>
        <v>0</v>
      </c>
      <c r="AY141" s="229">
        <f t="shared" si="127"/>
        <v>0</v>
      </c>
      <c r="AZ141" s="229">
        <f t="shared" si="127"/>
        <v>0</v>
      </c>
      <c r="BA141" s="229">
        <f t="shared" si="127"/>
        <v>0</v>
      </c>
      <c r="BB141" s="229">
        <f t="shared" si="127"/>
        <v>0</v>
      </c>
      <c r="BC141" s="229">
        <f t="shared" si="128"/>
        <v>0</v>
      </c>
      <c r="BD141" s="229">
        <f t="shared" si="128"/>
        <v>0</v>
      </c>
      <c r="BE141" s="229">
        <f t="shared" si="128"/>
        <v>0</v>
      </c>
      <c r="BF141" s="229">
        <f t="shared" si="128"/>
        <v>0</v>
      </c>
      <c r="BG141" s="229">
        <f t="shared" si="128"/>
        <v>0</v>
      </c>
      <c r="BH141" s="229">
        <f t="shared" si="128"/>
        <v>0</v>
      </c>
      <c r="BI141" s="229">
        <f t="shared" si="128"/>
        <v>0</v>
      </c>
      <c r="BJ141" s="229">
        <f t="shared" si="128"/>
        <v>0</v>
      </c>
      <c r="BK141" s="229">
        <f t="shared" si="128"/>
        <v>0</v>
      </c>
      <c r="BL141" s="229">
        <f t="shared" si="128"/>
        <v>0</v>
      </c>
      <c r="BM141" s="229">
        <f t="shared" si="129"/>
        <v>0</v>
      </c>
      <c r="BN141" s="229">
        <f t="shared" si="129"/>
        <v>0</v>
      </c>
      <c r="BO141" s="229">
        <f t="shared" si="129"/>
        <v>0</v>
      </c>
      <c r="BP141" s="229">
        <f t="shared" si="129"/>
        <v>0</v>
      </c>
      <c r="BQ141" s="229">
        <f t="shared" si="129"/>
        <v>0</v>
      </c>
      <c r="BR141" s="229">
        <f t="shared" si="129"/>
        <v>0</v>
      </c>
      <c r="BS141" s="229">
        <f t="shared" si="129"/>
        <v>0</v>
      </c>
      <c r="BT141" s="229">
        <f t="shared" si="129"/>
        <v>0</v>
      </c>
      <c r="BU141" s="229">
        <f t="shared" si="129"/>
        <v>0</v>
      </c>
      <c r="BV141" s="229">
        <f t="shared" si="129"/>
        <v>0</v>
      </c>
      <c r="BW141" s="229">
        <f t="shared" si="129"/>
        <v>0</v>
      </c>
      <c r="BX141" s="229">
        <f t="shared" si="129"/>
        <v>0</v>
      </c>
      <c r="BY141" s="229">
        <f t="shared" si="129"/>
        <v>0</v>
      </c>
      <c r="BZ141" s="229">
        <f t="shared" si="129"/>
        <v>0</v>
      </c>
      <c r="CA141" s="229">
        <f t="shared" si="129"/>
        <v>0</v>
      </c>
      <c r="CB141" s="229">
        <f t="shared" si="130"/>
        <v>0</v>
      </c>
      <c r="CC141" s="229">
        <f t="shared" si="130"/>
        <v>0</v>
      </c>
      <c r="CD141" s="229">
        <f t="shared" si="130"/>
        <v>0</v>
      </c>
      <c r="CE141" s="229">
        <f t="shared" si="130"/>
        <v>0</v>
      </c>
      <c r="CF141" s="229">
        <f t="shared" si="130"/>
        <v>0</v>
      </c>
      <c r="CG141" s="229">
        <f t="shared" si="130"/>
        <v>0</v>
      </c>
      <c r="CH141" s="229">
        <f t="shared" si="130"/>
        <v>0</v>
      </c>
      <c r="CI141" s="229">
        <f t="shared" si="130"/>
        <v>0</v>
      </c>
      <c r="CJ141" s="229">
        <f t="shared" si="130"/>
        <v>0</v>
      </c>
      <c r="CK141" s="229">
        <f t="shared" si="130"/>
        <v>0</v>
      </c>
      <c r="CL141" s="229">
        <f t="shared" si="130"/>
        <v>0</v>
      </c>
      <c r="CM141" s="229">
        <f t="shared" si="130"/>
        <v>0</v>
      </c>
      <c r="CN141" s="229">
        <f t="shared" si="130"/>
        <v>0</v>
      </c>
      <c r="CO141" s="229">
        <f t="shared" si="130"/>
        <v>0</v>
      </c>
      <c r="CP141" s="229">
        <f t="shared" si="130"/>
        <v>0</v>
      </c>
      <c r="CQ141" s="229">
        <f t="shared" si="130"/>
        <v>0</v>
      </c>
      <c r="CR141" s="229">
        <f t="shared" si="130"/>
        <v>0</v>
      </c>
      <c r="CS141" s="230"/>
      <c r="CT141" s="231"/>
      <c r="CU141" s="231"/>
      <c r="CV141" s="231"/>
      <c r="CW141" s="231"/>
      <c r="CX141" s="231"/>
      <c r="CY141" s="231"/>
      <c r="CZ141" s="231"/>
      <c r="DA141" s="231" t="e">
        <f ca="1">IF(SUM(DA$32:DA140)&gt;=DA$22,0,DA$22/(DA$13*4))</f>
        <v>#N/A</v>
      </c>
      <c r="DB141" s="231">
        <f>IF(SUM(DB$24:DB140)=DB$22,0,IF(AND($K141&gt;=DB$15,$K141&lt;(DB$16+1)),DB$22/(DB$16-DB$15+1),0))</f>
        <v>0</v>
      </c>
      <c r="DC141" s="231">
        <f t="shared" si="131"/>
        <v>0</v>
      </c>
      <c r="DD141" s="231">
        <f t="shared" si="131"/>
        <v>0</v>
      </c>
      <c r="DE141" s="231">
        <f t="shared" si="131"/>
        <v>0</v>
      </c>
      <c r="DF141" s="231">
        <f t="shared" si="131"/>
        <v>0</v>
      </c>
      <c r="DG141" s="231">
        <f t="shared" si="131"/>
        <v>0</v>
      </c>
      <c r="DH141" s="231">
        <f t="shared" si="131"/>
        <v>0</v>
      </c>
      <c r="DI141" s="231">
        <f t="shared" si="131"/>
        <v>0</v>
      </c>
      <c r="DJ141" s="231">
        <f t="shared" si="131"/>
        <v>0</v>
      </c>
      <c r="DK141" s="231">
        <f t="shared" si="131"/>
        <v>0</v>
      </c>
      <c r="DL141" s="231">
        <f t="shared" si="131"/>
        <v>0</v>
      </c>
      <c r="DM141" s="231">
        <f t="shared" si="131"/>
        <v>0</v>
      </c>
      <c r="DN141" s="231">
        <f t="shared" si="131"/>
        <v>0</v>
      </c>
      <c r="DO141" s="231">
        <f t="shared" si="131"/>
        <v>0</v>
      </c>
      <c r="DP141" s="231">
        <f>'Offshore CF'!DR141</f>
        <v>0</v>
      </c>
      <c r="DQ141" s="231">
        <f>'Offshore CF'!DS141</f>
        <v>0</v>
      </c>
      <c r="DR141" s="231">
        <f ca="1">IF(SUM(DR$24:DR140)=DR$22,0,IF(AND($K141&gt;=DR$15,$K141&lt;(DR$16+1)),DR$22/(DR$16-DR$15+1),0))</f>
        <v>0</v>
      </c>
      <c r="DS141" s="231" t="e">
        <f ca="1">IF(SUM(DS$24:DS140)=DS$22,0,IF(AND($K141&gt;=DS$15,$K141&lt;(DS$16+1)),DS$22/(DS$16-DS$15+1),0))</f>
        <v>#REF!</v>
      </c>
      <c r="DT141" s="231" t="e">
        <f ca="1">IF(SUM(DT$24:DT140)=DT$22,0,IF(AND(K141&gt;=DT$15,K141&lt;(DT$16+1)),DT$22/(DT$16-DT$15+1),0))</f>
        <v>#REF!</v>
      </c>
      <c r="DU141" s="231" t="e">
        <f ca="1">IF(SUM(DU$24:DU140)=DU$22,0,IF(AND($K141&gt;=DU$15,$K141&lt;(DU$16+1)),DU$22/(DU$16-DU$15+1),0))</f>
        <v>#REF!</v>
      </c>
      <c r="DV141" s="231">
        <f ca="1">IF(SUM(DV$24:DV140)=DV$22,0,IF(AND($K141&gt;=DV$15,$K141&lt;(DV$16+1)),DV$22/(DV$16-DV$15+1),0))</f>
        <v>0</v>
      </c>
      <c r="DW141" s="231">
        <f ca="1">IF(SUM(DW$24:DW140)=DW$22,0,IF(AND($K141&gt;=DW$15,$K141&lt;(DW$16+1)),DW$22/(DW$16-DW$15+1),0))</f>
        <v>0</v>
      </c>
      <c r="DX141" s="231">
        <f ca="1">IF(SUM(DX$24:DX140)=DX$22,0,IF(AND($K141&gt;=DX$15,$K141&lt;(DX$16+1)),DX$22/(DX$16-DX$15+1),0))</f>
        <v>0</v>
      </c>
      <c r="DY141" s="231">
        <f ca="1">IF(SUM(DY$24:DY140)=DY$22,0,IF(AND($K141&gt;=DY$15,$K141&lt;(DY$16+1)),DY$22/(DY$16-DY$15+1),0))</f>
        <v>0</v>
      </c>
      <c r="EA141" s="749">
        <f t="shared" si="115"/>
        <v>118</v>
      </c>
      <c r="EB141" s="749" t="e">
        <f t="shared" ca="1" si="116"/>
        <v>#N/A</v>
      </c>
      <c r="EC141" s="750" t="e">
        <f t="shared" ca="1" si="82"/>
        <v>#N/A</v>
      </c>
      <c r="ED141" s="749" t="e">
        <f t="shared" ca="1" si="96"/>
        <v>#REF!</v>
      </c>
      <c r="EE141" s="749"/>
      <c r="EF141" s="749"/>
      <c r="EG141" s="749"/>
      <c r="EH141" s="749"/>
      <c r="EI141" s="714" t="e">
        <f t="shared" ca="1" si="83"/>
        <v>#N/A</v>
      </c>
      <c r="EJ141" s="231" t="e">
        <f ca="1">IF(SUM(EJ$24:EJ140)=EJ$22,0,IF(AND($K141&gt;=EJ$15,$K141&lt;(EJ$16+1)),EJ$22/(EJ$16-EJ$15+1),0))</f>
        <v>#REF!</v>
      </c>
      <c r="EK141" s="714" t="e">
        <f t="shared" ca="1" si="117"/>
        <v>#N/A</v>
      </c>
      <c r="EM141" s="60"/>
      <c r="EN141" s="60"/>
    </row>
    <row r="142" spans="1:144" ht="13.9" customHeight="1">
      <c r="A142" s="220"/>
      <c r="B142" s="236">
        <f t="shared" si="84"/>
        <v>119</v>
      </c>
      <c r="C142" s="221">
        <f t="shared" si="85"/>
        <v>47060.170600000187</v>
      </c>
      <c r="D142" s="746" t="e">
        <f t="shared" ca="1" si="86"/>
        <v>#DIV/0!</v>
      </c>
      <c r="E142" s="747" t="e">
        <f t="shared" ca="1" si="88"/>
        <v>#DIV/0!</v>
      </c>
      <c r="F142" s="748" t="e">
        <f ca="1">IF(F141=0,0,SUM($G$24:G142))</f>
        <v>#DIV/0!</v>
      </c>
      <c r="G142" s="225" t="e">
        <f t="shared" ca="1" si="111"/>
        <v>#DIV/0!</v>
      </c>
      <c r="H142" s="746">
        <f t="shared" ca="1" si="87"/>
        <v>0</v>
      </c>
      <c r="I142" s="60"/>
      <c r="J142" s="228"/>
      <c r="K142" s="228">
        <f t="shared" si="112"/>
        <v>119</v>
      </c>
      <c r="L142" s="221">
        <f t="shared" si="113"/>
        <v>47060.170600000187</v>
      </c>
      <c r="M142" s="229">
        <f t="shared" si="126"/>
        <v>0</v>
      </c>
      <c r="N142" s="229">
        <f t="shared" si="126"/>
        <v>0</v>
      </c>
      <c r="O142" s="229">
        <f t="shared" si="126"/>
        <v>0</v>
      </c>
      <c r="P142" s="229">
        <f t="shared" si="132"/>
        <v>0</v>
      </c>
      <c r="Q142" s="229">
        <f t="shared" si="132"/>
        <v>0</v>
      </c>
      <c r="R142" s="229">
        <f t="shared" si="132"/>
        <v>0</v>
      </c>
      <c r="S142" s="229">
        <f t="shared" si="132"/>
        <v>0</v>
      </c>
      <c r="T142" s="229">
        <f t="shared" si="132"/>
        <v>0</v>
      </c>
      <c r="U142" s="229">
        <f t="shared" si="132"/>
        <v>0</v>
      </c>
      <c r="V142" s="229">
        <f t="shared" si="132"/>
        <v>0</v>
      </c>
      <c r="W142" s="229">
        <f t="shared" si="132"/>
        <v>0</v>
      </c>
      <c r="X142" s="229">
        <f t="shared" si="132"/>
        <v>0</v>
      </c>
      <c r="Y142" s="229">
        <f t="shared" si="132"/>
        <v>0</v>
      </c>
      <c r="Z142" s="229">
        <f t="shared" si="132"/>
        <v>0</v>
      </c>
      <c r="AA142" s="229">
        <f t="shared" si="132"/>
        <v>0</v>
      </c>
      <c r="AB142" s="229">
        <f t="shared" si="132"/>
        <v>0</v>
      </c>
      <c r="AC142" s="229">
        <f t="shared" si="132"/>
        <v>0</v>
      </c>
      <c r="AD142" s="229">
        <f t="shared" si="132"/>
        <v>0</v>
      </c>
      <c r="AE142" s="229">
        <f t="shared" si="126"/>
        <v>0</v>
      </c>
      <c r="AF142" s="229">
        <f t="shared" si="126"/>
        <v>0</v>
      </c>
      <c r="AG142" s="229">
        <f t="shared" si="126"/>
        <v>0</v>
      </c>
      <c r="AH142" s="229">
        <f t="shared" si="126"/>
        <v>0</v>
      </c>
      <c r="AI142" s="229">
        <f t="shared" si="126"/>
        <v>0</v>
      </c>
      <c r="AJ142" s="229">
        <f t="shared" si="126"/>
        <v>0</v>
      </c>
      <c r="AK142" s="229">
        <f t="shared" si="126"/>
        <v>0</v>
      </c>
      <c r="AL142" s="229">
        <f t="shared" si="126"/>
        <v>0</v>
      </c>
      <c r="AM142" s="229">
        <f t="shared" si="126"/>
        <v>0</v>
      </c>
      <c r="AN142" s="229">
        <f t="shared" si="126"/>
        <v>0</v>
      </c>
      <c r="AO142" s="229">
        <f t="shared" si="126"/>
        <v>0</v>
      </c>
      <c r="AP142" s="229">
        <f t="shared" si="126"/>
        <v>0</v>
      </c>
      <c r="AQ142" s="229">
        <f t="shared" si="126"/>
        <v>0</v>
      </c>
      <c r="AR142" s="229">
        <f t="shared" si="127"/>
        <v>0</v>
      </c>
      <c r="AS142" s="229">
        <f t="shared" si="127"/>
        <v>0</v>
      </c>
      <c r="AT142" s="229">
        <f t="shared" si="127"/>
        <v>0</v>
      </c>
      <c r="AU142" s="229">
        <f t="shared" si="127"/>
        <v>0</v>
      </c>
      <c r="AV142" s="229">
        <f t="shared" si="127"/>
        <v>0</v>
      </c>
      <c r="AW142" s="229">
        <f t="shared" si="127"/>
        <v>0</v>
      </c>
      <c r="AX142" s="229">
        <f t="shared" si="127"/>
        <v>0</v>
      </c>
      <c r="AY142" s="229">
        <f t="shared" si="127"/>
        <v>0</v>
      </c>
      <c r="AZ142" s="229">
        <f t="shared" si="127"/>
        <v>0</v>
      </c>
      <c r="BA142" s="229">
        <f t="shared" si="127"/>
        <v>0</v>
      </c>
      <c r="BB142" s="229">
        <f t="shared" si="127"/>
        <v>0</v>
      </c>
      <c r="BC142" s="229">
        <f t="shared" si="128"/>
        <v>0</v>
      </c>
      <c r="BD142" s="229">
        <f t="shared" si="128"/>
        <v>0</v>
      </c>
      <c r="BE142" s="229">
        <f t="shared" si="128"/>
        <v>0</v>
      </c>
      <c r="BF142" s="229">
        <f t="shared" si="128"/>
        <v>0</v>
      </c>
      <c r="BG142" s="229">
        <f t="shared" si="128"/>
        <v>0</v>
      </c>
      <c r="BH142" s="229">
        <f t="shared" si="128"/>
        <v>0</v>
      </c>
      <c r="BI142" s="229">
        <f t="shared" si="128"/>
        <v>0</v>
      </c>
      <c r="BJ142" s="229">
        <f t="shared" si="128"/>
        <v>0</v>
      </c>
      <c r="BK142" s="229">
        <f t="shared" si="128"/>
        <v>0</v>
      </c>
      <c r="BL142" s="229">
        <f t="shared" si="128"/>
        <v>0</v>
      </c>
      <c r="BM142" s="229">
        <f t="shared" si="129"/>
        <v>0</v>
      </c>
      <c r="BN142" s="229">
        <f t="shared" si="129"/>
        <v>0</v>
      </c>
      <c r="BO142" s="229">
        <f t="shared" si="129"/>
        <v>0</v>
      </c>
      <c r="BP142" s="229">
        <f t="shared" si="129"/>
        <v>0</v>
      </c>
      <c r="BQ142" s="229">
        <f t="shared" si="129"/>
        <v>0</v>
      </c>
      <c r="BR142" s="229">
        <f t="shared" si="129"/>
        <v>0</v>
      </c>
      <c r="BS142" s="229">
        <f t="shared" si="129"/>
        <v>0</v>
      </c>
      <c r="BT142" s="229">
        <f t="shared" si="129"/>
        <v>0</v>
      </c>
      <c r="BU142" s="229">
        <f t="shared" si="129"/>
        <v>0</v>
      </c>
      <c r="BV142" s="229">
        <f t="shared" si="129"/>
        <v>0</v>
      </c>
      <c r="BW142" s="229">
        <f t="shared" si="129"/>
        <v>0</v>
      </c>
      <c r="BX142" s="229">
        <f t="shared" si="129"/>
        <v>0</v>
      </c>
      <c r="BY142" s="229">
        <f t="shared" si="129"/>
        <v>0</v>
      </c>
      <c r="BZ142" s="229">
        <f t="shared" si="129"/>
        <v>0</v>
      </c>
      <c r="CA142" s="229">
        <f t="shared" si="129"/>
        <v>0</v>
      </c>
      <c r="CB142" s="229">
        <f t="shared" si="130"/>
        <v>0</v>
      </c>
      <c r="CC142" s="229">
        <f t="shared" si="130"/>
        <v>0</v>
      </c>
      <c r="CD142" s="229">
        <f t="shared" si="130"/>
        <v>0</v>
      </c>
      <c r="CE142" s="229">
        <f t="shared" si="130"/>
        <v>0</v>
      </c>
      <c r="CF142" s="229">
        <f t="shared" si="130"/>
        <v>0</v>
      </c>
      <c r="CG142" s="229">
        <f t="shared" si="130"/>
        <v>0</v>
      </c>
      <c r="CH142" s="229">
        <f t="shared" si="130"/>
        <v>0</v>
      </c>
      <c r="CI142" s="229">
        <f t="shared" si="130"/>
        <v>0</v>
      </c>
      <c r="CJ142" s="229">
        <f t="shared" si="130"/>
        <v>0</v>
      </c>
      <c r="CK142" s="229">
        <f t="shared" si="130"/>
        <v>0</v>
      </c>
      <c r="CL142" s="229">
        <f t="shared" si="130"/>
        <v>0</v>
      </c>
      <c r="CM142" s="229">
        <f t="shared" si="130"/>
        <v>0</v>
      </c>
      <c r="CN142" s="229">
        <f t="shared" si="130"/>
        <v>0</v>
      </c>
      <c r="CO142" s="229">
        <f t="shared" si="130"/>
        <v>0</v>
      </c>
      <c r="CP142" s="229">
        <f t="shared" si="130"/>
        <v>0</v>
      </c>
      <c r="CQ142" s="229">
        <f t="shared" si="130"/>
        <v>0</v>
      </c>
      <c r="CR142" s="229">
        <f t="shared" si="130"/>
        <v>0</v>
      </c>
      <c r="CS142" s="230"/>
      <c r="CT142" s="231"/>
      <c r="CU142" s="231"/>
      <c r="CV142" s="231"/>
      <c r="CW142" s="231"/>
      <c r="CX142" s="231"/>
      <c r="CY142" s="231"/>
      <c r="CZ142" s="231"/>
      <c r="DA142" s="231"/>
      <c r="DB142" s="231">
        <f>IF(SUM(DB$24:DB141)=DB$22,0,IF(AND($K142&gt;=DB$15,$K142&lt;(DB$16+1)),DB$22/(DB$16-DB$15+1),0))</f>
        <v>0</v>
      </c>
      <c r="DC142" s="231">
        <f t="shared" si="131"/>
        <v>0</v>
      </c>
      <c r="DD142" s="231">
        <f t="shared" si="131"/>
        <v>0</v>
      </c>
      <c r="DE142" s="231">
        <f t="shared" si="131"/>
        <v>0</v>
      </c>
      <c r="DF142" s="231">
        <f t="shared" si="131"/>
        <v>0</v>
      </c>
      <c r="DG142" s="231">
        <f t="shared" si="131"/>
        <v>0</v>
      </c>
      <c r="DH142" s="231">
        <f t="shared" si="131"/>
        <v>0</v>
      </c>
      <c r="DI142" s="231">
        <f t="shared" si="131"/>
        <v>0</v>
      </c>
      <c r="DJ142" s="231">
        <f t="shared" si="131"/>
        <v>0</v>
      </c>
      <c r="DK142" s="231">
        <f t="shared" si="131"/>
        <v>0</v>
      </c>
      <c r="DL142" s="231">
        <f t="shared" si="131"/>
        <v>0</v>
      </c>
      <c r="DM142" s="231">
        <f t="shared" si="131"/>
        <v>0</v>
      </c>
      <c r="DN142" s="231">
        <f t="shared" si="131"/>
        <v>0</v>
      </c>
      <c r="DO142" s="231">
        <f t="shared" si="131"/>
        <v>0</v>
      </c>
      <c r="DP142" s="231">
        <f>'Offshore CF'!DR142</f>
        <v>0</v>
      </c>
      <c r="DQ142" s="231">
        <f>'Offshore CF'!DS142</f>
        <v>0</v>
      </c>
      <c r="DR142" s="231">
        <f ca="1">IF(SUM(DR$24:DR141)=DR$22,0,IF(AND($K142&gt;=DR$15,$K142&lt;(DR$16+1)),DR$22/(DR$16-DR$15+1),0))</f>
        <v>0</v>
      </c>
      <c r="DS142" s="231" t="e">
        <f ca="1">IF(SUM(DS$24:DS141)=DS$22,0,IF(AND($K142&gt;=DS$15,$K142&lt;(DS$16+1)),DS$22/(DS$16-DS$15+1),0))</f>
        <v>#REF!</v>
      </c>
      <c r="DT142" s="231" t="e">
        <f ca="1">IF(SUM(DT$24:DT141)=DT$22,0,IF(AND(K142&gt;=DT$15,K142&lt;(DT$16+1)),DT$22/(DT$16-DT$15+1),0))</f>
        <v>#REF!</v>
      </c>
      <c r="DU142" s="231" t="e">
        <f ca="1">IF(SUM(DU$24:DU141)=DU$22,0,IF(AND($K142&gt;=DU$15,$K142&lt;(DU$16+1)),DU$22/(DU$16-DU$15+1),0))</f>
        <v>#REF!</v>
      </c>
      <c r="DV142" s="231">
        <f ca="1">IF(SUM(DV$24:DV141)=DV$22,0,IF(AND($K142&gt;=DV$15,$K142&lt;(DV$16+1)),DV$22/(DV$16-DV$15+1),0))</f>
        <v>0</v>
      </c>
      <c r="DW142" s="231">
        <f ca="1">IF(SUM(DW$24:DW141)=DW$22,0,IF(AND($K142&gt;=DW$15,$K142&lt;(DW$16+1)),DW$22/(DW$16-DW$15+1),0))</f>
        <v>0</v>
      </c>
      <c r="DX142" s="231">
        <f ca="1">IF(SUM(DX$24:DX141)=DX$22,0,IF(AND($K142&gt;=DX$15,$K142&lt;(DX$16+1)),DX$22/(DX$16-DX$15+1),0))</f>
        <v>0</v>
      </c>
      <c r="DY142" s="231">
        <f ca="1">IF(SUM(DY$24:DY141)=DY$22,0,IF(AND($K142&gt;=DY$15,$K142&lt;(DY$16+1)),DY$22/(DY$16-DY$15+1),0))</f>
        <v>0</v>
      </c>
      <c r="EA142" s="749">
        <f t="shared" si="115"/>
        <v>119</v>
      </c>
      <c r="EB142" s="749" t="e">
        <f t="shared" ca="1" si="116"/>
        <v>#REF!</v>
      </c>
      <c r="EC142" s="750" t="e">
        <f t="shared" ca="1" si="82"/>
        <v>#REF!</v>
      </c>
      <c r="ED142" s="749" t="e">
        <f t="shared" ca="1" si="96"/>
        <v>#REF!</v>
      </c>
      <c r="EE142" s="749"/>
      <c r="EF142" s="749"/>
      <c r="EG142" s="749"/>
      <c r="EH142" s="749"/>
      <c r="EI142" s="714" t="e">
        <f t="shared" ca="1" si="83"/>
        <v>#REF!</v>
      </c>
      <c r="EJ142" s="231" t="e">
        <f ca="1">IF(SUM(EJ$24:EJ141)=EJ$22,0,IF(AND($K142&gt;=EJ$15,$K142&lt;(EJ$16+1)),EJ$22/(EJ$16-EJ$15+1),0))</f>
        <v>#REF!</v>
      </c>
      <c r="EK142" s="714" t="e">
        <f t="shared" ca="1" si="117"/>
        <v>#REF!</v>
      </c>
      <c r="EM142" s="60"/>
      <c r="EN142" s="60"/>
    </row>
    <row r="143" spans="1:144" ht="13.9" customHeight="1">
      <c r="A143" s="220"/>
      <c r="B143" s="236">
        <f t="shared" si="84"/>
        <v>120</v>
      </c>
      <c r="C143" s="221">
        <f t="shared" si="85"/>
        <v>47090.587300000188</v>
      </c>
      <c r="D143" s="746" t="e">
        <f t="shared" ca="1" si="86"/>
        <v>#DIV/0!</v>
      </c>
      <c r="E143" s="747" t="e">
        <f t="shared" ca="1" si="88"/>
        <v>#DIV/0!</v>
      </c>
      <c r="F143" s="748" t="e">
        <f ca="1">IF(F142=0,0,SUM($G$24:G143))</f>
        <v>#DIV/0!</v>
      </c>
      <c r="G143" s="225" t="e">
        <f t="shared" ca="1" si="111"/>
        <v>#DIV/0!</v>
      </c>
      <c r="H143" s="746">
        <f t="shared" ca="1" si="87"/>
        <v>0</v>
      </c>
      <c r="I143" s="60"/>
      <c r="J143" s="228"/>
      <c r="K143" s="228">
        <f t="shared" si="112"/>
        <v>120</v>
      </c>
      <c r="L143" s="221">
        <f t="shared" si="113"/>
        <v>47090.587300000188</v>
      </c>
      <c r="M143" s="229">
        <f t="shared" si="126"/>
        <v>0</v>
      </c>
      <c r="N143" s="229">
        <f t="shared" si="126"/>
        <v>0</v>
      </c>
      <c r="O143" s="229">
        <f t="shared" si="126"/>
        <v>0</v>
      </c>
      <c r="P143" s="229">
        <f t="shared" si="132"/>
        <v>0</v>
      </c>
      <c r="Q143" s="229">
        <f t="shared" si="132"/>
        <v>0</v>
      </c>
      <c r="R143" s="229">
        <f t="shared" si="132"/>
        <v>0</v>
      </c>
      <c r="S143" s="229">
        <f t="shared" si="132"/>
        <v>0</v>
      </c>
      <c r="T143" s="229">
        <f t="shared" si="132"/>
        <v>0</v>
      </c>
      <c r="U143" s="229">
        <f t="shared" si="132"/>
        <v>0</v>
      </c>
      <c r="V143" s="229">
        <f t="shared" si="132"/>
        <v>0</v>
      </c>
      <c r="W143" s="229">
        <f t="shared" si="132"/>
        <v>0</v>
      </c>
      <c r="X143" s="229">
        <f t="shared" si="132"/>
        <v>0</v>
      </c>
      <c r="Y143" s="229">
        <f t="shared" si="132"/>
        <v>0</v>
      </c>
      <c r="Z143" s="229">
        <f t="shared" si="132"/>
        <v>0</v>
      </c>
      <c r="AA143" s="229">
        <f t="shared" si="132"/>
        <v>0</v>
      </c>
      <c r="AB143" s="229">
        <f t="shared" si="132"/>
        <v>0</v>
      </c>
      <c r="AC143" s="229">
        <f t="shared" si="132"/>
        <v>0</v>
      </c>
      <c r="AD143" s="229">
        <f t="shared" si="132"/>
        <v>0</v>
      </c>
      <c r="AE143" s="229">
        <f t="shared" si="126"/>
        <v>0</v>
      </c>
      <c r="AF143" s="229">
        <f t="shared" si="126"/>
        <v>0</v>
      </c>
      <c r="AG143" s="229">
        <f t="shared" si="126"/>
        <v>0</v>
      </c>
      <c r="AH143" s="229">
        <f t="shared" si="126"/>
        <v>0</v>
      </c>
      <c r="AI143" s="229">
        <f t="shared" si="126"/>
        <v>0</v>
      </c>
      <c r="AJ143" s="229">
        <f t="shared" si="126"/>
        <v>0</v>
      </c>
      <c r="AK143" s="229">
        <f t="shared" si="126"/>
        <v>0</v>
      </c>
      <c r="AL143" s="229">
        <f t="shared" si="126"/>
        <v>0</v>
      </c>
      <c r="AM143" s="229">
        <f t="shared" si="126"/>
        <v>0</v>
      </c>
      <c r="AN143" s="229">
        <f t="shared" si="126"/>
        <v>0</v>
      </c>
      <c r="AO143" s="229">
        <f t="shared" si="126"/>
        <v>0</v>
      </c>
      <c r="AP143" s="229">
        <f t="shared" si="126"/>
        <v>0</v>
      </c>
      <c r="AQ143" s="229">
        <f t="shared" si="126"/>
        <v>0</v>
      </c>
      <c r="AR143" s="229">
        <f t="shared" si="127"/>
        <v>0</v>
      </c>
      <c r="AS143" s="229">
        <f t="shared" si="127"/>
        <v>0</v>
      </c>
      <c r="AT143" s="229">
        <f t="shared" si="127"/>
        <v>0</v>
      </c>
      <c r="AU143" s="229">
        <f t="shared" si="127"/>
        <v>0</v>
      </c>
      <c r="AV143" s="229">
        <f t="shared" si="127"/>
        <v>0</v>
      </c>
      <c r="AW143" s="229">
        <f t="shared" si="127"/>
        <v>0</v>
      </c>
      <c r="AX143" s="229">
        <f t="shared" si="127"/>
        <v>0</v>
      </c>
      <c r="AY143" s="229">
        <f t="shared" si="127"/>
        <v>0</v>
      </c>
      <c r="AZ143" s="229">
        <f t="shared" si="127"/>
        <v>0</v>
      </c>
      <c r="BA143" s="229">
        <f t="shared" si="127"/>
        <v>0</v>
      </c>
      <c r="BB143" s="229">
        <f t="shared" si="127"/>
        <v>0</v>
      </c>
      <c r="BC143" s="229">
        <f t="shared" si="128"/>
        <v>0</v>
      </c>
      <c r="BD143" s="229">
        <f t="shared" si="128"/>
        <v>0</v>
      </c>
      <c r="BE143" s="229">
        <f t="shared" si="128"/>
        <v>0</v>
      </c>
      <c r="BF143" s="229">
        <f t="shared" si="128"/>
        <v>0</v>
      </c>
      <c r="BG143" s="229">
        <f t="shared" si="128"/>
        <v>0</v>
      </c>
      <c r="BH143" s="229">
        <f t="shared" si="128"/>
        <v>0</v>
      </c>
      <c r="BI143" s="229">
        <f t="shared" si="128"/>
        <v>0</v>
      </c>
      <c r="BJ143" s="229">
        <f t="shared" si="128"/>
        <v>0</v>
      </c>
      <c r="BK143" s="229">
        <f t="shared" si="128"/>
        <v>0</v>
      </c>
      <c r="BL143" s="229">
        <f t="shared" si="128"/>
        <v>0</v>
      </c>
      <c r="BM143" s="229">
        <f t="shared" si="129"/>
        <v>0</v>
      </c>
      <c r="BN143" s="229">
        <f t="shared" si="129"/>
        <v>0</v>
      </c>
      <c r="BO143" s="229">
        <f t="shared" si="129"/>
        <v>0</v>
      </c>
      <c r="BP143" s="229">
        <f t="shared" si="129"/>
        <v>0</v>
      </c>
      <c r="BQ143" s="229">
        <f t="shared" si="129"/>
        <v>0</v>
      </c>
      <c r="BR143" s="229">
        <f t="shared" si="129"/>
        <v>0</v>
      </c>
      <c r="BS143" s="229">
        <f t="shared" si="129"/>
        <v>0</v>
      </c>
      <c r="BT143" s="229">
        <f t="shared" si="129"/>
        <v>0</v>
      </c>
      <c r="BU143" s="229">
        <f t="shared" si="129"/>
        <v>0</v>
      </c>
      <c r="BV143" s="229">
        <f t="shared" si="129"/>
        <v>0</v>
      </c>
      <c r="BW143" s="229">
        <f t="shared" si="129"/>
        <v>0</v>
      </c>
      <c r="BX143" s="229">
        <f t="shared" si="129"/>
        <v>0</v>
      </c>
      <c r="BY143" s="229">
        <f t="shared" si="129"/>
        <v>0</v>
      </c>
      <c r="BZ143" s="229">
        <f t="shared" si="129"/>
        <v>0</v>
      </c>
      <c r="CA143" s="229">
        <f t="shared" si="129"/>
        <v>0</v>
      </c>
      <c r="CB143" s="229">
        <f t="shared" si="130"/>
        <v>0</v>
      </c>
      <c r="CC143" s="229">
        <f t="shared" si="130"/>
        <v>0</v>
      </c>
      <c r="CD143" s="229">
        <f t="shared" si="130"/>
        <v>0</v>
      </c>
      <c r="CE143" s="229">
        <f t="shared" si="130"/>
        <v>0</v>
      </c>
      <c r="CF143" s="229">
        <f t="shared" si="130"/>
        <v>0</v>
      </c>
      <c r="CG143" s="229">
        <f t="shared" si="130"/>
        <v>0</v>
      </c>
      <c r="CH143" s="229">
        <f t="shared" si="130"/>
        <v>0</v>
      </c>
      <c r="CI143" s="229">
        <f t="shared" si="130"/>
        <v>0</v>
      </c>
      <c r="CJ143" s="229">
        <f t="shared" si="130"/>
        <v>0</v>
      </c>
      <c r="CK143" s="229">
        <f t="shared" si="130"/>
        <v>0</v>
      </c>
      <c r="CL143" s="229">
        <f t="shared" si="130"/>
        <v>0</v>
      </c>
      <c r="CM143" s="229">
        <f t="shared" si="130"/>
        <v>0</v>
      </c>
      <c r="CN143" s="229">
        <f t="shared" si="130"/>
        <v>0</v>
      </c>
      <c r="CO143" s="229">
        <f t="shared" si="130"/>
        <v>0</v>
      </c>
      <c r="CP143" s="229">
        <f t="shared" si="130"/>
        <v>0</v>
      </c>
      <c r="CQ143" s="229">
        <f t="shared" si="130"/>
        <v>0</v>
      </c>
      <c r="CR143" s="229">
        <f t="shared" si="130"/>
        <v>0</v>
      </c>
      <c r="CS143" s="230"/>
      <c r="CT143" s="231"/>
      <c r="CU143" s="231"/>
      <c r="CV143" s="231"/>
      <c r="CW143" s="231"/>
      <c r="CX143" s="231"/>
      <c r="CY143" s="231"/>
      <c r="CZ143" s="231"/>
      <c r="DA143" s="231"/>
      <c r="DB143" s="231">
        <f>IF(SUM(DB$24:DB142)=DB$22,0,IF(AND($K143&gt;=DB$15,$K143&lt;(DB$16+1)),DB$22/(DB$16-DB$15+1),0))</f>
        <v>0</v>
      </c>
      <c r="DC143" s="231">
        <f t="shared" si="131"/>
        <v>0</v>
      </c>
      <c r="DD143" s="231">
        <f t="shared" si="131"/>
        <v>0</v>
      </c>
      <c r="DE143" s="231">
        <f t="shared" si="131"/>
        <v>0</v>
      </c>
      <c r="DF143" s="231">
        <f t="shared" si="131"/>
        <v>0</v>
      </c>
      <c r="DG143" s="231">
        <f t="shared" si="131"/>
        <v>0</v>
      </c>
      <c r="DH143" s="231">
        <f t="shared" si="131"/>
        <v>0</v>
      </c>
      <c r="DI143" s="231">
        <f t="shared" si="131"/>
        <v>0</v>
      </c>
      <c r="DJ143" s="231">
        <f t="shared" si="131"/>
        <v>0</v>
      </c>
      <c r="DK143" s="231">
        <f t="shared" si="131"/>
        <v>0</v>
      </c>
      <c r="DL143" s="231">
        <f t="shared" si="131"/>
        <v>0</v>
      </c>
      <c r="DM143" s="231">
        <f t="shared" si="131"/>
        <v>0</v>
      </c>
      <c r="DN143" s="231">
        <f t="shared" si="131"/>
        <v>0</v>
      </c>
      <c r="DO143" s="231">
        <f t="shared" si="131"/>
        <v>0</v>
      </c>
      <c r="DP143" s="231">
        <f>'Offshore CF'!DR143</f>
        <v>0</v>
      </c>
      <c r="DQ143" s="231">
        <f>'Offshore CF'!DS143</f>
        <v>0</v>
      </c>
      <c r="DR143" s="231">
        <f ca="1">IF(SUM(DR$24:DR142)=DR$22,0,IF(AND($K143&gt;=DR$15,$K143&lt;(DR$16+1)),DR$22/(DR$16-DR$15+1),0))</f>
        <v>0</v>
      </c>
      <c r="DS143" s="231" t="e">
        <f ca="1">IF(SUM(DS$24:DS142)=DS$22,0,IF(AND($K143&gt;=DS$15,$K143&lt;(DS$16+1)),DS$22/(DS$16-DS$15+1),0))</f>
        <v>#REF!</v>
      </c>
      <c r="DT143" s="231" t="e">
        <f ca="1">IF(SUM(DT$24:DT142)=DT$22,0,IF(AND(K143&gt;=DT$15,K143&lt;(DT$16+1)),DT$22/(DT$16-DT$15+1),0))</f>
        <v>#REF!</v>
      </c>
      <c r="DU143" s="231" t="e">
        <f ca="1">IF(SUM(DU$24:DU142)=DU$22,0,IF(AND($K143&gt;=DU$15,$K143&lt;(DU$16+1)),DU$22/(DU$16-DU$15+1),0))</f>
        <v>#REF!</v>
      </c>
      <c r="DV143" s="231">
        <f ca="1">IF(SUM(DV$24:DV142)=DV$22,0,IF(AND($K143&gt;=DV$15,$K143&lt;(DV$16+1)),DV$22/(DV$16-DV$15+1),0))</f>
        <v>0</v>
      </c>
      <c r="DW143" s="231">
        <f ca="1">IF(SUM(DW$24:DW142)=DW$22,0,IF(AND($K143&gt;=DW$15,$K143&lt;(DW$16+1)),DW$22/(DW$16-DW$15+1),0))</f>
        <v>0</v>
      </c>
      <c r="DX143" s="231">
        <f ca="1">IF(SUM(DX$24:DX142)=DX$22,0,IF(AND($K143&gt;=DX$15,$K143&lt;(DX$16+1)),DX$22/(DX$16-DX$15+1),0))</f>
        <v>0</v>
      </c>
      <c r="DY143" s="231">
        <f ca="1">IF(SUM(DY$24:DY142)=DY$22,0,IF(AND($K143&gt;=DY$15,$K143&lt;(DY$16+1)),DY$22/(DY$16-DY$15+1),0))</f>
        <v>0</v>
      </c>
      <c r="EA143" s="749">
        <f t="shared" si="115"/>
        <v>120</v>
      </c>
      <c r="EB143" s="749" t="e">
        <f t="shared" ca="1" si="116"/>
        <v>#REF!</v>
      </c>
      <c r="EC143" s="750" t="e">
        <f t="shared" ca="1" si="82"/>
        <v>#REF!</v>
      </c>
      <c r="ED143" s="749" t="e">
        <f t="shared" ca="1" si="96"/>
        <v>#N/A</v>
      </c>
      <c r="EE143" s="749"/>
      <c r="EF143" s="749"/>
      <c r="EG143" s="749"/>
      <c r="EH143" s="749"/>
      <c r="EI143" s="714" t="e">
        <f t="shared" ca="1" si="83"/>
        <v>#REF!</v>
      </c>
      <c r="EJ143" s="231" t="e">
        <f ca="1">IF(SUM(EJ$24:EJ142)=EJ$22,0,IF(AND($K143&gt;=EJ$15,$K143&lt;(EJ$16+1)),EJ$22/(EJ$16-EJ$15+1),0))</f>
        <v>#REF!</v>
      </c>
      <c r="EK143" s="714" t="e">
        <f t="shared" ca="1" si="117"/>
        <v>#REF!</v>
      </c>
      <c r="EM143" s="60"/>
      <c r="EN143" s="60"/>
    </row>
    <row r="144" spans="1:144" ht="13.9" customHeight="1">
      <c r="A144" s="220"/>
      <c r="B144" s="236">
        <f t="shared" si="84"/>
        <v>121</v>
      </c>
      <c r="C144" s="221">
        <f t="shared" si="85"/>
        <v>47121.00400000019</v>
      </c>
      <c r="D144" s="746" t="e">
        <f t="shared" ca="1" si="86"/>
        <v>#DIV/0!</v>
      </c>
      <c r="E144" s="747" t="e">
        <f t="shared" ca="1" si="88"/>
        <v>#DIV/0!</v>
      </c>
      <c r="F144" s="748" t="e">
        <f ca="1">IF(F143=0,0,SUM($G$24:G144))</f>
        <v>#DIV/0!</v>
      </c>
      <c r="G144" s="225" t="e">
        <f t="shared" ca="1" si="111"/>
        <v>#DIV/0!</v>
      </c>
      <c r="H144" s="746">
        <f t="shared" ca="1" si="87"/>
        <v>0</v>
      </c>
      <c r="I144" s="60"/>
      <c r="J144" s="228"/>
      <c r="K144" s="228">
        <f t="shared" si="112"/>
        <v>121</v>
      </c>
      <c r="L144" s="221">
        <f t="shared" si="113"/>
        <v>47121.00400000019</v>
      </c>
      <c r="M144" s="229">
        <f t="shared" ref="M144:AQ153" si="133">IF($K144=M$13,M$22*M$3,IF($K144=M$14,M$22*M$4,IF($K144=M$15,M$22*M$5,IF($K144=M$16,M$22*M$6,IF($K144=M$17,M$22*M$7,IF($K144=M$18,M$22*M$8,IF($K144=M$19,M$22*M$9,IF($K144=M$20,M$22*M$10,0))))))))</f>
        <v>0</v>
      </c>
      <c r="N144" s="229">
        <f t="shared" si="133"/>
        <v>0</v>
      </c>
      <c r="O144" s="229">
        <f t="shared" si="133"/>
        <v>0</v>
      </c>
      <c r="P144" s="229">
        <f t="shared" si="133"/>
        <v>0</v>
      </c>
      <c r="Q144" s="229">
        <f t="shared" si="133"/>
        <v>0</v>
      </c>
      <c r="R144" s="229">
        <f t="shared" si="132"/>
        <v>0</v>
      </c>
      <c r="S144" s="229">
        <f t="shared" si="132"/>
        <v>0</v>
      </c>
      <c r="T144" s="229">
        <f t="shared" si="132"/>
        <v>0</v>
      </c>
      <c r="U144" s="229">
        <f t="shared" si="133"/>
        <v>0</v>
      </c>
      <c r="V144" s="229">
        <f t="shared" si="133"/>
        <v>0</v>
      </c>
      <c r="W144" s="229">
        <f t="shared" si="133"/>
        <v>0</v>
      </c>
      <c r="X144" s="229">
        <f t="shared" si="133"/>
        <v>0</v>
      </c>
      <c r="Y144" s="229">
        <f t="shared" si="133"/>
        <v>0</v>
      </c>
      <c r="Z144" s="229">
        <f t="shared" si="133"/>
        <v>0</v>
      </c>
      <c r="AA144" s="229">
        <f t="shared" si="133"/>
        <v>0</v>
      </c>
      <c r="AB144" s="229">
        <f t="shared" si="133"/>
        <v>0</v>
      </c>
      <c r="AC144" s="229">
        <f t="shared" si="133"/>
        <v>0</v>
      </c>
      <c r="AD144" s="229">
        <f t="shared" si="133"/>
        <v>0</v>
      </c>
      <c r="AE144" s="229">
        <f t="shared" si="133"/>
        <v>0</v>
      </c>
      <c r="AF144" s="229">
        <f t="shared" si="133"/>
        <v>0</v>
      </c>
      <c r="AG144" s="229">
        <f t="shared" si="133"/>
        <v>0</v>
      </c>
      <c r="AH144" s="229">
        <f t="shared" si="133"/>
        <v>0</v>
      </c>
      <c r="AI144" s="229">
        <f t="shared" si="133"/>
        <v>0</v>
      </c>
      <c r="AJ144" s="229">
        <f t="shared" si="133"/>
        <v>0</v>
      </c>
      <c r="AK144" s="229">
        <f t="shared" si="133"/>
        <v>0</v>
      </c>
      <c r="AL144" s="229">
        <f t="shared" si="133"/>
        <v>0</v>
      </c>
      <c r="AM144" s="229">
        <f t="shared" si="133"/>
        <v>0</v>
      </c>
      <c r="AN144" s="229">
        <f t="shared" si="133"/>
        <v>0</v>
      </c>
      <c r="AO144" s="229">
        <f t="shared" si="133"/>
        <v>0</v>
      </c>
      <c r="AP144" s="229">
        <f t="shared" si="133"/>
        <v>0</v>
      </c>
      <c r="AQ144" s="229">
        <f t="shared" si="133"/>
        <v>0</v>
      </c>
      <c r="AR144" s="229">
        <f t="shared" ref="AR144:BB153" si="134">IF($K144=AR$13,AR$22*AR$3,IF($K144=AR$14,AR$22*AR$4,IF($K144=AR$15,AR$22*AR$5,IF($K144=AR$16,AR$22*AR$6,IF($K144=AR$17,AR$22*AR$7,IF($K144=AR$18,AR$22*AR$8,IF($K144=AR$19,AR$22*AR$9,IF($K144=AR$20,AR$22*AR$10,0))))))))</f>
        <v>0</v>
      </c>
      <c r="AS144" s="229">
        <f t="shared" si="134"/>
        <v>0</v>
      </c>
      <c r="AT144" s="229">
        <f t="shared" si="134"/>
        <v>0</v>
      </c>
      <c r="AU144" s="229">
        <f t="shared" si="134"/>
        <v>0</v>
      </c>
      <c r="AV144" s="229">
        <f t="shared" si="134"/>
        <v>0</v>
      </c>
      <c r="AW144" s="229">
        <f t="shared" si="134"/>
        <v>0</v>
      </c>
      <c r="AX144" s="229">
        <f t="shared" si="134"/>
        <v>0</v>
      </c>
      <c r="AY144" s="229">
        <f t="shared" si="134"/>
        <v>0</v>
      </c>
      <c r="AZ144" s="229">
        <f t="shared" si="134"/>
        <v>0</v>
      </c>
      <c r="BA144" s="229">
        <f t="shared" si="134"/>
        <v>0</v>
      </c>
      <c r="BB144" s="229">
        <f t="shared" si="134"/>
        <v>0</v>
      </c>
      <c r="BC144" s="229">
        <f t="shared" ref="BC144:BL153" si="135">IF($K144=BC$13,BC$22*BC$3,IF($K144=BC$14,BC$22*BC$4,IF($K144=BC$15,BC$22*BC$5,IF($K144=BC$16,BC$22*BC$6,IF($K144=BC$17,BC$22*BC$7,IF($K144=BC$18,BC$22*BC$8,IF($K144=BC$19,BC$22*BC$9,IF($K144=BC$20,BC$22*BC$10,0))))))))</f>
        <v>0</v>
      </c>
      <c r="BD144" s="229">
        <f t="shared" si="135"/>
        <v>0</v>
      </c>
      <c r="BE144" s="229">
        <f t="shared" si="135"/>
        <v>0</v>
      </c>
      <c r="BF144" s="229">
        <f t="shared" si="135"/>
        <v>0</v>
      </c>
      <c r="BG144" s="229">
        <f t="shared" si="135"/>
        <v>0</v>
      </c>
      <c r="BH144" s="229">
        <f t="shared" si="135"/>
        <v>0</v>
      </c>
      <c r="BI144" s="229">
        <f t="shared" si="135"/>
        <v>0</v>
      </c>
      <c r="BJ144" s="229">
        <f t="shared" si="135"/>
        <v>0</v>
      </c>
      <c r="BK144" s="229">
        <f t="shared" si="135"/>
        <v>0</v>
      </c>
      <c r="BL144" s="229">
        <f t="shared" si="135"/>
        <v>0</v>
      </c>
      <c r="BM144" s="229">
        <f t="shared" ref="BM144:CA153" si="136">IF($K144=BM$13,BM$22*BM$3,IF($K144=BM$14,BM$22*BM$4,IF($K144=BM$15,BM$22*BM$5,IF($K144=BM$16,BM$22*BM$6,IF($K144=BM$17,BM$22*BM$7,IF($K144=BM$18,BM$22*BM$8,IF($K144=BM$19,BM$22*BM$9,IF($K144=BM$20,BM$22*BM$10,0))))))))</f>
        <v>0</v>
      </c>
      <c r="BN144" s="229">
        <f t="shared" si="136"/>
        <v>0</v>
      </c>
      <c r="BO144" s="229">
        <f t="shared" si="136"/>
        <v>0</v>
      </c>
      <c r="BP144" s="229">
        <f t="shared" si="136"/>
        <v>0</v>
      </c>
      <c r="BQ144" s="229">
        <f t="shared" si="136"/>
        <v>0</v>
      </c>
      <c r="BR144" s="229">
        <f t="shared" si="136"/>
        <v>0</v>
      </c>
      <c r="BS144" s="229">
        <f t="shared" si="136"/>
        <v>0</v>
      </c>
      <c r="BT144" s="229">
        <f t="shared" si="136"/>
        <v>0</v>
      </c>
      <c r="BU144" s="229">
        <f t="shared" si="136"/>
        <v>0</v>
      </c>
      <c r="BV144" s="229">
        <f t="shared" si="136"/>
        <v>0</v>
      </c>
      <c r="BW144" s="229">
        <f t="shared" si="136"/>
        <v>0</v>
      </c>
      <c r="BX144" s="229">
        <f t="shared" si="136"/>
        <v>0</v>
      </c>
      <c r="BY144" s="229">
        <f t="shared" si="136"/>
        <v>0</v>
      </c>
      <c r="BZ144" s="229">
        <f t="shared" si="136"/>
        <v>0</v>
      </c>
      <c r="CA144" s="229">
        <f t="shared" si="136"/>
        <v>0</v>
      </c>
      <c r="CB144" s="229">
        <f t="shared" ref="CB144:CR153" si="137">IF($K144=CB$13,CB$22*CB$3,IF($K144=CB$14,CB$22*CB$4,IF($K144=CB$15,CB$22*CB$5,IF($K144=CB$16,CB$22*CB$6,IF($K144=CB$17,CB$22*CB$7,IF($K144=CB$18,CB$22*CB$8,IF($K144=CB$19,CB$22*CB$9,IF($K144=CB$20,CB$22*CB$10,0))))))))</f>
        <v>0</v>
      </c>
      <c r="CC144" s="229">
        <f t="shared" si="137"/>
        <v>0</v>
      </c>
      <c r="CD144" s="229">
        <f t="shared" si="137"/>
        <v>0</v>
      </c>
      <c r="CE144" s="229">
        <f t="shared" si="137"/>
        <v>0</v>
      </c>
      <c r="CF144" s="229">
        <f t="shared" si="137"/>
        <v>0</v>
      </c>
      <c r="CG144" s="229">
        <f t="shared" si="137"/>
        <v>0</v>
      </c>
      <c r="CH144" s="229">
        <f t="shared" si="137"/>
        <v>0</v>
      </c>
      <c r="CI144" s="229">
        <f t="shared" si="137"/>
        <v>0</v>
      </c>
      <c r="CJ144" s="229">
        <f t="shared" si="137"/>
        <v>0</v>
      </c>
      <c r="CK144" s="229">
        <f t="shared" si="137"/>
        <v>0</v>
      </c>
      <c r="CL144" s="229">
        <f t="shared" si="137"/>
        <v>0</v>
      </c>
      <c r="CM144" s="229">
        <f t="shared" si="137"/>
        <v>0</v>
      </c>
      <c r="CN144" s="229">
        <f t="shared" si="137"/>
        <v>0</v>
      </c>
      <c r="CO144" s="229">
        <f t="shared" si="137"/>
        <v>0</v>
      </c>
      <c r="CP144" s="229">
        <f t="shared" si="137"/>
        <v>0</v>
      </c>
      <c r="CQ144" s="229">
        <f t="shared" si="137"/>
        <v>0</v>
      </c>
      <c r="CR144" s="229">
        <f t="shared" si="137"/>
        <v>0</v>
      </c>
      <c r="CS144" s="230"/>
      <c r="CT144" s="243">
        <f>IF(SUM(CT$24:CT143)&gt;=CT$22,0,CT$22/CT$13)</f>
        <v>0</v>
      </c>
      <c r="CU144" s="243">
        <f>IF(SUM(CU$24:CU143)&gt;=CU$22,0,CU$22/CU$13)</f>
        <v>0</v>
      </c>
      <c r="CV144" s="243">
        <f>IF(SUM(CV$24:CV143)&gt;=CV$22,0,CV$22/CV$13)</f>
        <v>0</v>
      </c>
      <c r="CW144" s="243" t="e">
        <f ca="1">IF(SUM(CW$24:CW143)&gt;=CW$22,0,CW$22/CW$13)</f>
        <v>#N/A</v>
      </c>
      <c r="CX144" s="243"/>
      <c r="CY144" s="231"/>
      <c r="CZ144" s="231"/>
      <c r="DA144" s="231" t="e">
        <f ca="1">IF(SUM(DA$32:DA143)&gt;=DA$22,0,DA$22/(DA$13*4))</f>
        <v>#N/A</v>
      </c>
      <c r="DB144" s="231">
        <f>IF(SUM(DB$24:DB143)=DB$22,0,IF(AND($K144&gt;=DB$15,$K144&lt;(DB$16+1)),DB$22/(DB$16-DB$15+1),0))</f>
        <v>0</v>
      </c>
      <c r="DC144" s="231">
        <f t="shared" si="131"/>
        <v>0</v>
      </c>
      <c r="DD144" s="231">
        <f t="shared" si="131"/>
        <v>0</v>
      </c>
      <c r="DE144" s="231">
        <f t="shared" si="131"/>
        <v>0</v>
      </c>
      <c r="DF144" s="231">
        <f t="shared" si="131"/>
        <v>0</v>
      </c>
      <c r="DG144" s="231">
        <f t="shared" si="131"/>
        <v>0</v>
      </c>
      <c r="DH144" s="231">
        <f t="shared" si="131"/>
        <v>0</v>
      </c>
      <c r="DI144" s="231">
        <f t="shared" si="131"/>
        <v>0</v>
      </c>
      <c r="DJ144" s="231">
        <f t="shared" si="131"/>
        <v>0</v>
      </c>
      <c r="DK144" s="231">
        <f t="shared" si="131"/>
        <v>0</v>
      </c>
      <c r="DL144" s="231">
        <f t="shared" si="131"/>
        <v>0</v>
      </c>
      <c r="DM144" s="231">
        <f t="shared" si="131"/>
        <v>0</v>
      </c>
      <c r="DN144" s="231">
        <f t="shared" si="131"/>
        <v>0</v>
      </c>
      <c r="DO144" s="231">
        <f t="shared" si="131"/>
        <v>0</v>
      </c>
      <c r="DP144" s="231">
        <f>'Offshore CF'!DR144</f>
        <v>0</v>
      </c>
      <c r="DQ144" s="231">
        <f>'Offshore CF'!DS144</f>
        <v>0</v>
      </c>
      <c r="DR144" s="231">
        <f ca="1">IF(SUM(DR$24:DR143)=DR$22,0,IF(AND($K144&gt;=DR$15,$K144&lt;(DR$16+1)),DR$22/(DR$16-DR$15+1),0))</f>
        <v>0</v>
      </c>
      <c r="DS144" s="231" t="e">
        <f ca="1">IF(SUM(DS$24:DS143)=DS$22,0,IF(AND($K144&gt;=DS$15,$K144&lt;(DS$16+1)),DS$22/(DS$16-DS$15+1),0))</f>
        <v>#REF!</v>
      </c>
      <c r="DT144" s="231" t="e">
        <f ca="1">IF(SUM(DT$24:DT143)=DT$22,0,IF(AND(K144&gt;=DT$15,K144&lt;(DT$16+1)),DT$22/(DT$16-DT$15+1),0))</f>
        <v>#REF!</v>
      </c>
      <c r="DU144" s="231" t="e">
        <f ca="1">IF(SUM(DU$24:DU143)=DU$22,0,IF(AND($K144&gt;=DU$15,$K144&lt;(DU$16+1)),DU$22/(DU$16-DU$15+1),0))</f>
        <v>#REF!</v>
      </c>
      <c r="DV144" s="231">
        <f ca="1">IF(SUM(DV$24:DV143)=DV$22,0,IF(AND($K144&gt;=DV$15,$K144&lt;(DV$16+1)),DV$22/(DV$16-DV$15+1),0))</f>
        <v>0</v>
      </c>
      <c r="DW144" s="231">
        <f ca="1">IF(SUM(DW$24:DW143)=DW$22,0,IF(AND($K144&gt;=DW$15,$K144&lt;(DW$16+1)),DW$22/(DW$16-DW$15+1),0))</f>
        <v>0</v>
      </c>
      <c r="DX144" s="231">
        <f ca="1">IF(SUM(DX$24:DX143)=DX$22,0,IF(AND($K144&gt;=DX$15,$K144&lt;(DX$16+1)),DX$22/(DX$16-DX$15+1),0))</f>
        <v>0</v>
      </c>
      <c r="DY144" s="231">
        <f ca="1">IF(SUM(DY$24:DY143)=DY$22,0,IF(AND($K144&gt;=DY$15,$K144&lt;(DY$16+1)),DY$22/(DY$16-DY$15+1),0))</f>
        <v>0</v>
      </c>
      <c r="EA144" s="749">
        <f t="shared" si="115"/>
        <v>121</v>
      </c>
      <c r="EB144" s="749" t="e">
        <f t="shared" ca="1" si="116"/>
        <v>#N/A</v>
      </c>
      <c r="EC144" s="750" t="e">
        <f t="shared" ca="1" si="82"/>
        <v>#N/A</v>
      </c>
      <c r="ED144" s="749" t="e">
        <f t="shared" ca="1" si="96"/>
        <v>#REF!</v>
      </c>
      <c r="EE144" s="749"/>
      <c r="EF144" s="749"/>
      <c r="EG144" s="749"/>
      <c r="EH144" s="749"/>
      <c r="EI144" s="714" t="e">
        <f t="shared" ca="1" si="83"/>
        <v>#N/A</v>
      </c>
      <c r="EJ144" s="231" t="e">
        <f ca="1">IF(SUM(EJ$24:EJ143)=EJ$22,0,IF(AND($K144&gt;=EJ$15,$K144&lt;(EJ$16+1)),EJ$22/(EJ$16-EJ$15+1),0))</f>
        <v>#REF!</v>
      </c>
      <c r="EK144" s="714" t="e">
        <f t="shared" ca="1" si="117"/>
        <v>#N/A</v>
      </c>
      <c r="EM144" s="60"/>
      <c r="EN144" s="60"/>
    </row>
    <row r="145" spans="1:144" ht="13.9" customHeight="1">
      <c r="A145" s="220"/>
      <c r="B145" s="236">
        <f t="shared" si="84"/>
        <v>122</v>
      </c>
      <c r="C145" s="221">
        <f t="shared" si="85"/>
        <v>47151.420700000192</v>
      </c>
      <c r="D145" s="746" t="e">
        <f t="shared" ca="1" si="86"/>
        <v>#DIV/0!</v>
      </c>
      <c r="E145" s="747" t="e">
        <f t="shared" ca="1" si="88"/>
        <v>#DIV/0!</v>
      </c>
      <c r="F145" s="748" t="e">
        <f ca="1">IF(F144=0,0,SUM($G$24:G145))</f>
        <v>#DIV/0!</v>
      </c>
      <c r="G145" s="225" t="e">
        <f t="shared" ca="1" si="111"/>
        <v>#DIV/0!</v>
      </c>
      <c r="H145" s="746">
        <f t="shared" ca="1" si="87"/>
        <v>0</v>
      </c>
      <c r="I145" s="60"/>
      <c r="J145" s="228"/>
      <c r="K145" s="228">
        <f t="shared" si="112"/>
        <v>122</v>
      </c>
      <c r="L145" s="221">
        <f t="shared" si="113"/>
        <v>47151.420700000192</v>
      </c>
      <c r="M145" s="229">
        <f t="shared" si="133"/>
        <v>0</v>
      </c>
      <c r="N145" s="229">
        <f t="shared" si="133"/>
        <v>0</v>
      </c>
      <c r="O145" s="229">
        <f t="shared" si="133"/>
        <v>0</v>
      </c>
      <c r="P145" s="229">
        <f t="shared" si="133"/>
        <v>0</v>
      </c>
      <c r="Q145" s="229">
        <f t="shared" si="133"/>
        <v>0</v>
      </c>
      <c r="R145" s="229">
        <f t="shared" si="132"/>
        <v>0</v>
      </c>
      <c r="S145" s="229">
        <f t="shared" si="132"/>
        <v>0</v>
      </c>
      <c r="T145" s="229">
        <f t="shared" si="132"/>
        <v>0</v>
      </c>
      <c r="U145" s="229">
        <f t="shared" si="133"/>
        <v>0</v>
      </c>
      <c r="V145" s="229">
        <f t="shared" si="133"/>
        <v>0</v>
      </c>
      <c r="W145" s="229">
        <f t="shared" si="133"/>
        <v>0</v>
      </c>
      <c r="X145" s="229">
        <f t="shared" si="133"/>
        <v>0</v>
      </c>
      <c r="Y145" s="229">
        <f t="shared" si="133"/>
        <v>0</v>
      </c>
      <c r="Z145" s="229">
        <f t="shared" si="133"/>
        <v>0</v>
      </c>
      <c r="AA145" s="229">
        <f t="shared" si="133"/>
        <v>0</v>
      </c>
      <c r="AB145" s="229">
        <f t="shared" si="133"/>
        <v>0</v>
      </c>
      <c r="AC145" s="229">
        <f t="shared" si="133"/>
        <v>0</v>
      </c>
      <c r="AD145" s="229">
        <f t="shared" si="133"/>
        <v>0</v>
      </c>
      <c r="AE145" s="229">
        <f t="shared" si="133"/>
        <v>0</v>
      </c>
      <c r="AF145" s="229">
        <f t="shared" si="133"/>
        <v>0</v>
      </c>
      <c r="AG145" s="229">
        <f t="shared" si="133"/>
        <v>0</v>
      </c>
      <c r="AH145" s="229">
        <f t="shared" si="133"/>
        <v>0</v>
      </c>
      <c r="AI145" s="229">
        <f t="shared" si="133"/>
        <v>0</v>
      </c>
      <c r="AJ145" s="229">
        <f t="shared" si="133"/>
        <v>0</v>
      </c>
      <c r="AK145" s="229">
        <f t="shared" si="133"/>
        <v>0</v>
      </c>
      <c r="AL145" s="229">
        <f t="shared" si="133"/>
        <v>0</v>
      </c>
      <c r="AM145" s="229">
        <f t="shared" si="133"/>
        <v>0</v>
      </c>
      <c r="AN145" s="229">
        <f t="shared" si="133"/>
        <v>0</v>
      </c>
      <c r="AO145" s="229">
        <f t="shared" si="133"/>
        <v>0</v>
      </c>
      <c r="AP145" s="229">
        <f t="shared" si="133"/>
        <v>0</v>
      </c>
      <c r="AQ145" s="229">
        <f t="shared" si="133"/>
        <v>0</v>
      </c>
      <c r="AR145" s="229">
        <f t="shared" si="134"/>
        <v>0</v>
      </c>
      <c r="AS145" s="229">
        <f t="shared" si="134"/>
        <v>0</v>
      </c>
      <c r="AT145" s="229">
        <f t="shared" si="134"/>
        <v>0</v>
      </c>
      <c r="AU145" s="229">
        <f t="shared" si="134"/>
        <v>0</v>
      </c>
      <c r="AV145" s="229">
        <f t="shared" si="134"/>
        <v>0</v>
      </c>
      <c r="AW145" s="229">
        <f t="shared" si="134"/>
        <v>0</v>
      </c>
      <c r="AX145" s="229">
        <f t="shared" si="134"/>
        <v>0</v>
      </c>
      <c r="AY145" s="229">
        <f t="shared" si="134"/>
        <v>0</v>
      </c>
      <c r="AZ145" s="229">
        <f t="shared" si="134"/>
        <v>0</v>
      </c>
      <c r="BA145" s="229">
        <f t="shared" si="134"/>
        <v>0</v>
      </c>
      <c r="BB145" s="229">
        <f t="shared" si="134"/>
        <v>0</v>
      </c>
      <c r="BC145" s="229">
        <f t="shared" si="135"/>
        <v>0</v>
      </c>
      <c r="BD145" s="229">
        <f t="shared" si="135"/>
        <v>0</v>
      </c>
      <c r="BE145" s="229">
        <f t="shared" si="135"/>
        <v>0</v>
      </c>
      <c r="BF145" s="229">
        <f t="shared" si="135"/>
        <v>0</v>
      </c>
      <c r="BG145" s="229">
        <f t="shared" si="135"/>
        <v>0</v>
      </c>
      <c r="BH145" s="229">
        <f t="shared" si="135"/>
        <v>0</v>
      </c>
      <c r="BI145" s="229">
        <f t="shared" si="135"/>
        <v>0</v>
      </c>
      <c r="BJ145" s="229">
        <f t="shared" si="135"/>
        <v>0</v>
      </c>
      <c r="BK145" s="229">
        <f t="shared" si="135"/>
        <v>0</v>
      </c>
      <c r="BL145" s="229">
        <f t="shared" si="135"/>
        <v>0</v>
      </c>
      <c r="BM145" s="229">
        <f t="shared" si="136"/>
        <v>0</v>
      </c>
      <c r="BN145" s="229">
        <f t="shared" si="136"/>
        <v>0</v>
      </c>
      <c r="BO145" s="229">
        <f t="shared" si="136"/>
        <v>0</v>
      </c>
      <c r="BP145" s="229">
        <f t="shared" si="136"/>
        <v>0</v>
      </c>
      <c r="BQ145" s="229">
        <f t="shared" si="136"/>
        <v>0</v>
      </c>
      <c r="BR145" s="229">
        <f t="shared" si="136"/>
        <v>0</v>
      </c>
      <c r="BS145" s="229">
        <f t="shared" si="136"/>
        <v>0</v>
      </c>
      <c r="BT145" s="229">
        <f t="shared" si="136"/>
        <v>0</v>
      </c>
      <c r="BU145" s="229">
        <f t="shared" si="136"/>
        <v>0</v>
      </c>
      <c r="BV145" s="229">
        <f t="shared" si="136"/>
        <v>0</v>
      </c>
      <c r="BW145" s="229">
        <f t="shared" si="136"/>
        <v>0</v>
      </c>
      <c r="BX145" s="229">
        <f t="shared" si="136"/>
        <v>0</v>
      </c>
      <c r="BY145" s="229">
        <f t="shared" si="136"/>
        <v>0</v>
      </c>
      <c r="BZ145" s="229">
        <f t="shared" si="136"/>
        <v>0</v>
      </c>
      <c r="CA145" s="229">
        <f t="shared" si="136"/>
        <v>0</v>
      </c>
      <c r="CB145" s="229">
        <f t="shared" si="137"/>
        <v>0</v>
      </c>
      <c r="CC145" s="229">
        <f t="shared" si="137"/>
        <v>0</v>
      </c>
      <c r="CD145" s="229">
        <f t="shared" si="137"/>
        <v>0</v>
      </c>
      <c r="CE145" s="229">
        <f t="shared" si="137"/>
        <v>0</v>
      </c>
      <c r="CF145" s="229">
        <f t="shared" si="137"/>
        <v>0</v>
      </c>
      <c r="CG145" s="229">
        <f t="shared" si="137"/>
        <v>0</v>
      </c>
      <c r="CH145" s="229">
        <f t="shared" si="137"/>
        <v>0</v>
      </c>
      <c r="CI145" s="229">
        <f t="shared" si="137"/>
        <v>0</v>
      </c>
      <c r="CJ145" s="229">
        <f t="shared" si="137"/>
        <v>0</v>
      </c>
      <c r="CK145" s="229">
        <f t="shared" si="137"/>
        <v>0</v>
      </c>
      <c r="CL145" s="229">
        <f t="shared" si="137"/>
        <v>0</v>
      </c>
      <c r="CM145" s="229">
        <f t="shared" si="137"/>
        <v>0</v>
      </c>
      <c r="CN145" s="229">
        <f t="shared" si="137"/>
        <v>0</v>
      </c>
      <c r="CO145" s="229">
        <f t="shared" si="137"/>
        <v>0</v>
      </c>
      <c r="CP145" s="229">
        <f t="shared" si="137"/>
        <v>0</v>
      </c>
      <c r="CQ145" s="229">
        <f t="shared" si="137"/>
        <v>0</v>
      </c>
      <c r="CR145" s="229">
        <f t="shared" si="137"/>
        <v>0</v>
      </c>
      <c r="CS145" s="230"/>
      <c r="CT145" s="231"/>
      <c r="CU145" s="231"/>
      <c r="CV145" s="231"/>
      <c r="CW145" s="231"/>
      <c r="CX145" s="231"/>
      <c r="CY145" s="231"/>
      <c r="CZ145" s="231"/>
      <c r="DA145" s="231"/>
      <c r="DB145" s="231">
        <f>IF(SUM(DB$24:DB144)=DB$22,0,IF(AND($K145&gt;=DB$15,$K145&lt;(DB$16+1)),DB$22/(DB$16-DB$15+1),0))</f>
        <v>0</v>
      </c>
      <c r="DC145" s="231">
        <f t="shared" si="131"/>
        <v>0</v>
      </c>
      <c r="DD145" s="231">
        <f t="shared" si="131"/>
        <v>0</v>
      </c>
      <c r="DE145" s="231">
        <f t="shared" si="131"/>
        <v>0</v>
      </c>
      <c r="DF145" s="231">
        <f t="shared" si="131"/>
        <v>0</v>
      </c>
      <c r="DG145" s="231">
        <f t="shared" si="131"/>
        <v>0</v>
      </c>
      <c r="DH145" s="231">
        <f t="shared" si="131"/>
        <v>0</v>
      </c>
      <c r="DI145" s="231">
        <f t="shared" si="131"/>
        <v>0</v>
      </c>
      <c r="DJ145" s="231">
        <f t="shared" si="131"/>
        <v>0</v>
      </c>
      <c r="DK145" s="231">
        <f t="shared" si="131"/>
        <v>0</v>
      </c>
      <c r="DL145" s="231">
        <f t="shared" si="131"/>
        <v>0</v>
      </c>
      <c r="DM145" s="231">
        <f t="shared" si="131"/>
        <v>0</v>
      </c>
      <c r="DN145" s="231">
        <f t="shared" si="131"/>
        <v>0</v>
      </c>
      <c r="DO145" s="231">
        <f t="shared" si="131"/>
        <v>0</v>
      </c>
      <c r="DP145" s="231">
        <f>'Offshore CF'!DR145</f>
        <v>0</v>
      </c>
      <c r="DQ145" s="231">
        <f>'Offshore CF'!DS145</f>
        <v>0</v>
      </c>
      <c r="DR145" s="231">
        <f ca="1">IF(SUM(DR$24:DR144)=DR$22,0,IF(AND($K145&gt;=DR$15,$K145&lt;(DR$16+1)),DR$22/(DR$16-DR$15+1),0))</f>
        <v>0</v>
      </c>
      <c r="DS145" s="231" t="e">
        <f ca="1">IF(SUM(DS$24:DS144)=DS$22,0,IF(AND($K145&gt;=DS$15,$K145&lt;(DS$16+1)),DS$22/(DS$16-DS$15+1),0))</f>
        <v>#REF!</v>
      </c>
      <c r="DT145" s="231" t="e">
        <f ca="1">IF(SUM(DT$24:DT144)=DT$22,0,IF(AND(K145&gt;=DT$15,K145&lt;(DT$16+1)),DT$22/(DT$16-DT$15+1),0))</f>
        <v>#REF!</v>
      </c>
      <c r="DU145" s="231" t="e">
        <f ca="1">IF(SUM(DU$24:DU144)=DU$22,0,IF(AND($K145&gt;=DU$15,$K145&lt;(DU$16+1)),DU$22/(DU$16-DU$15+1),0))</f>
        <v>#REF!</v>
      </c>
      <c r="DV145" s="231">
        <f ca="1">IF(SUM(DV$24:DV144)=DV$22,0,IF(AND($K145&gt;=DV$15,$K145&lt;(DV$16+1)),DV$22/(DV$16-DV$15+1),0))</f>
        <v>0</v>
      </c>
      <c r="DW145" s="231">
        <f ca="1">IF(SUM(DW$24:DW144)=DW$22,0,IF(AND($K145&gt;=DW$15,$K145&lt;(DW$16+1)),DW$22/(DW$16-DW$15+1),0))</f>
        <v>0</v>
      </c>
      <c r="DX145" s="231">
        <f ca="1">IF(SUM(DX$24:DX144)=DX$22,0,IF(AND($K145&gt;=DX$15,$K145&lt;(DX$16+1)),DX$22/(DX$16-DX$15+1),0))</f>
        <v>0</v>
      </c>
      <c r="DY145" s="231">
        <f ca="1">IF(SUM(DY$24:DY144)=DY$22,0,IF(AND($K145&gt;=DY$15,$K145&lt;(DY$16+1)),DY$22/(DY$16-DY$15+1),0))</f>
        <v>0</v>
      </c>
      <c r="EA145" s="749">
        <f t="shared" si="115"/>
        <v>122</v>
      </c>
      <c r="EB145" s="749" t="e">
        <f t="shared" ca="1" si="116"/>
        <v>#REF!</v>
      </c>
      <c r="EC145" s="750" t="e">
        <f t="shared" ca="1" si="82"/>
        <v>#REF!</v>
      </c>
      <c r="ED145" s="749" t="e">
        <f t="shared" ca="1" si="96"/>
        <v>#REF!</v>
      </c>
      <c r="EE145" s="749"/>
      <c r="EF145" s="749"/>
      <c r="EG145" s="749"/>
      <c r="EH145" s="749"/>
      <c r="EI145" s="714" t="e">
        <f t="shared" ca="1" si="83"/>
        <v>#REF!</v>
      </c>
      <c r="EJ145" s="231" t="e">
        <f ca="1">IF(SUM(EJ$24:EJ144)=EJ$22,0,IF(AND($K145&gt;=EJ$15,$K145&lt;(EJ$16+1)),EJ$22/(EJ$16-EJ$15+1),0))</f>
        <v>#REF!</v>
      </c>
      <c r="EK145" s="714" t="e">
        <f t="shared" ca="1" si="117"/>
        <v>#REF!</v>
      </c>
      <c r="EM145" s="60"/>
      <c r="EN145" s="60"/>
    </row>
    <row r="146" spans="1:144" ht="13.9" customHeight="1">
      <c r="A146" s="220"/>
      <c r="B146" s="236">
        <f t="shared" si="84"/>
        <v>123</v>
      </c>
      <c r="C146" s="221">
        <f t="shared" si="85"/>
        <v>47181.837400000193</v>
      </c>
      <c r="D146" s="746" t="e">
        <f t="shared" ca="1" si="86"/>
        <v>#DIV/0!</v>
      </c>
      <c r="E146" s="747" t="e">
        <f t="shared" ca="1" si="88"/>
        <v>#DIV/0!</v>
      </c>
      <c r="F146" s="748" t="e">
        <f ca="1">IF(F145=0,0,SUM($G$24:G146))</f>
        <v>#DIV/0!</v>
      </c>
      <c r="G146" s="225" t="e">
        <f t="shared" ca="1" si="111"/>
        <v>#DIV/0!</v>
      </c>
      <c r="H146" s="746">
        <f t="shared" ca="1" si="87"/>
        <v>0</v>
      </c>
      <c r="I146" s="60"/>
      <c r="J146" s="228"/>
      <c r="K146" s="228">
        <f t="shared" si="112"/>
        <v>123</v>
      </c>
      <c r="L146" s="221">
        <f t="shared" si="113"/>
        <v>47181.837400000193</v>
      </c>
      <c r="M146" s="229">
        <f t="shared" si="133"/>
        <v>0</v>
      </c>
      <c r="N146" s="229">
        <f t="shared" si="133"/>
        <v>0</v>
      </c>
      <c r="O146" s="229">
        <f t="shared" si="133"/>
        <v>0</v>
      </c>
      <c r="P146" s="229">
        <f t="shared" si="133"/>
        <v>0</v>
      </c>
      <c r="Q146" s="229">
        <f t="shared" si="133"/>
        <v>0</v>
      </c>
      <c r="R146" s="229">
        <f t="shared" si="132"/>
        <v>0</v>
      </c>
      <c r="S146" s="229">
        <f t="shared" si="132"/>
        <v>0</v>
      </c>
      <c r="T146" s="229">
        <f t="shared" si="132"/>
        <v>0</v>
      </c>
      <c r="U146" s="229">
        <f t="shared" si="133"/>
        <v>0</v>
      </c>
      <c r="V146" s="229">
        <f t="shared" si="133"/>
        <v>0</v>
      </c>
      <c r="W146" s="229">
        <f t="shared" si="133"/>
        <v>0</v>
      </c>
      <c r="X146" s="229">
        <f t="shared" si="133"/>
        <v>0</v>
      </c>
      <c r="Y146" s="229">
        <f t="shared" si="133"/>
        <v>0</v>
      </c>
      <c r="Z146" s="229">
        <f t="shared" si="133"/>
        <v>0</v>
      </c>
      <c r="AA146" s="229">
        <f t="shared" si="133"/>
        <v>0</v>
      </c>
      <c r="AB146" s="229">
        <f t="shared" si="133"/>
        <v>0</v>
      </c>
      <c r="AC146" s="229">
        <f t="shared" si="133"/>
        <v>0</v>
      </c>
      <c r="AD146" s="229">
        <f t="shared" si="133"/>
        <v>0</v>
      </c>
      <c r="AE146" s="229">
        <f t="shared" si="133"/>
        <v>0</v>
      </c>
      <c r="AF146" s="229">
        <f t="shared" si="133"/>
        <v>0</v>
      </c>
      <c r="AG146" s="229">
        <f t="shared" si="133"/>
        <v>0</v>
      </c>
      <c r="AH146" s="229">
        <f t="shared" si="133"/>
        <v>0</v>
      </c>
      <c r="AI146" s="229">
        <f t="shared" si="133"/>
        <v>0</v>
      </c>
      <c r="AJ146" s="229">
        <f t="shared" si="133"/>
        <v>0</v>
      </c>
      <c r="AK146" s="229">
        <f t="shared" si="133"/>
        <v>0</v>
      </c>
      <c r="AL146" s="229">
        <f t="shared" si="133"/>
        <v>0</v>
      </c>
      <c r="AM146" s="229">
        <f t="shared" si="133"/>
        <v>0</v>
      </c>
      <c r="AN146" s="229">
        <f t="shared" si="133"/>
        <v>0</v>
      </c>
      <c r="AO146" s="229">
        <f t="shared" si="133"/>
        <v>0</v>
      </c>
      <c r="AP146" s="229">
        <f t="shared" si="133"/>
        <v>0</v>
      </c>
      <c r="AQ146" s="229">
        <f t="shared" si="133"/>
        <v>0</v>
      </c>
      <c r="AR146" s="229">
        <f t="shared" si="134"/>
        <v>0</v>
      </c>
      <c r="AS146" s="229">
        <f t="shared" si="134"/>
        <v>0</v>
      </c>
      <c r="AT146" s="229">
        <f t="shared" si="134"/>
        <v>0</v>
      </c>
      <c r="AU146" s="229">
        <f t="shared" si="134"/>
        <v>0</v>
      </c>
      <c r="AV146" s="229">
        <f t="shared" si="134"/>
        <v>0</v>
      </c>
      <c r="AW146" s="229">
        <f t="shared" si="134"/>
        <v>0</v>
      </c>
      <c r="AX146" s="229">
        <f t="shared" si="134"/>
        <v>0</v>
      </c>
      <c r="AY146" s="229">
        <f t="shared" si="134"/>
        <v>0</v>
      </c>
      <c r="AZ146" s="229">
        <f t="shared" si="134"/>
        <v>0</v>
      </c>
      <c r="BA146" s="229">
        <f t="shared" si="134"/>
        <v>0</v>
      </c>
      <c r="BB146" s="229">
        <f t="shared" si="134"/>
        <v>0</v>
      </c>
      <c r="BC146" s="229">
        <f t="shared" si="135"/>
        <v>0</v>
      </c>
      <c r="BD146" s="229">
        <f t="shared" si="135"/>
        <v>0</v>
      </c>
      <c r="BE146" s="229">
        <f t="shared" si="135"/>
        <v>0</v>
      </c>
      <c r="BF146" s="229">
        <f t="shared" si="135"/>
        <v>0</v>
      </c>
      <c r="BG146" s="229">
        <f t="shared" si="135"/>
        <v>0</v>
      </c>
      <c r="BH146" s="229">
        <f t="shared" si="135"/>
        <v>0</v>
      </c>
      <c r="BI146" s="229">
        <f t="shared" si="135"/>
        <v>0</v>
      </c>
      <c r="BJ146" s="229">
        <f t="shared" si="135"/>
        <v>0</v>
      </c>
      <c r="BK146" s="229">
        <f t="shared" si="135"/>
        <v>0</v>
      </c>
      <c r="BL146" s="229">
        <f t="shared" si="135"/>
        <v>0</v>
      </c>
      <c r="BM146" s="229">
        <f t="shared" si="136"/>
        <v>0</v>
      </c>
      <c r="BN146" s="229">
        <f t="shared" si="136"/>
        <v>0</v>
      </c>
      <c r="BO146" s="229">
        <f t="shared" si="136"/>
        <v>0</v>
      </c>
      <c r="BP146" s="229">
        <f t="shared" si="136"/>
        <v>0</v>
      </c>
      <c r="BQ146" s="229">
        <f t="shared" si="136"/>
        <v>0</v>
      </c>
      <c r="BR146" s="229">
        <f t="shared" si="136"/>
        <v>0</v>
      </c>
      <c r="BS146" s="229">
        <f t="shared" si="136"/>
        <v>0</v>
      </c>
      <c r="BT146" s="229">
        <f t="shared" si="136"/>
        <v>0</v>
      </c>
      <c r="BU146" s="229">
        <f t="shared" si="136"/>
        <v>0</v>
      </c>
      <c r="BV146" s="229">
        <f t="shared" si="136"/>
        <v>0</v>
      </c>
      <c r="BW146" s="229">
        <f t="shared" si="136"/>
        <v>0</v>
      </c>
      <c r="BX146" s="229">
        <f t="shared" si="136"/>
        <v>0</v>
      </c>
      <c r="BY146" s="229">
        <f t="shared" si="136"/>
        <v>0</v>
      </c>
      <c r="BZ146" s="229">
        <f t="shared" si="136"/>
        <v>0</v>
      </c>
      <c r="CA146" s="229">
        <f t="shared" si="136"/>
        <v>0</v>
      </c>
      <c r="CB146" s="229">
        <f t="shared" si="137"/>
        <v>0</v>
      </c>
      <c r="CC146" s="229">
        <f t="shared" si="137"/>
        <v>0</v>
      </c>
      <c r="CD146" s="229">
        <f t="shared" si="137"/>
        <v>0</v>
      </c>
      <c r="CE146" s="229">
        <f t="shared" si="137"/>
        <v>0</v>
      </c>
      <c r="CF146" s="229">
        <f t="shared" si="137"/>
        <v>0</v>
      </c>
      <c r="CG146" s="229">
        <f t="shared" si="137"/>
        <v>0</v>
      </c>
      <c r="CH146" s="229">
        <f t="shared" si="137"/>
        <v>0</v>
      </c>
      <c r="CI146" s="229">
        <f t="shared" si="137"/>
        <v>0</v>
      </c>
      <c r="CJ146" s="229">
        <f t="shared" si="137"/>
        <v>0</v>
      </c>
      <c r="CK146" s="229">
        <f t="shared" si="137"/>
        <v>0</v>
      </c>
      <c r="CL146" s="229">
        <f t="shared" si="137"/>
        <v>0</v>
      </c>
      <c r="CM146" s="229">
        <f t="shared" si="137"/>
        <v>0</v>
      </c>
      <c r="CN146" s="229">
        <f t="shared" si="137"/>
        <v>0</v>
      </c>
      <c r="CO146" s="229">
        <f t="shared" si="137"/>
        <v>0</v>
      </c>
      <c r="CP146" s="229">
        <f t="shared" si="137"/>
        <v>0</v>
      </c>
      <c r="CQ146" s="229">
        <f t="shared" si="137"/>
        <v>0</v>
      </c>
      <c r="CR146" s="229">
        <f t="shared" si="137"/>
        <v>0</v>
      </c>
      <c r="CS146" s="230"/>
      <c r="CT146" s="231"/>
      <c r="CU146" s="231"/>
      <c r="CV146" s="231"/>
      <c r="CW146" s="231"/>
      <c r="CX146" s="231"/>
      <c r="CY146" s="231"/>
      <c r="CZ146" s="231"/>
      <c r="DA146" s="231"/>
      <c r="DB146" s="231">
        <f>IF(SUM(DB$24:DB145)=DB$22,0,IF(AND($K146&gt;=DB$15,$K146&lt;(DB$16+1)),DB$22/(DB$16-DB$15+1),0))</f>
        <v>0</v>
      </c>
      <c r="DC146" s="231">
        <f t="shared" si="131"/>
        <v>0</v>
      </c>
      <c r="DD146" s="231">
        <f t="shared" si="131"/>
        <v>0</v>
      </c>
      <c r="DE146" s="231">
        <f t="shared" si="131"/>
        <v>0</v>
      </c>
      <c r="DF146" s="231">
        <f t="shared" si="131"/>
        <v>0</v>
      </c>
      <c r="DG146" s="231">
        <f t="shared" si="131"/>
        <v>0</v>
      </c>
      <c r="DH146" s="231">
        <f t="shared" si="131"/>
        <v>0</v>
      </c>
      <c r="DI146" s="231">
        <f t="shared" si="131"/>
        <v>0</v>
      </c>
      <c r="DJ146" s="231">
        <f t="shared" si="131"/>
        <v>0</v>
      </c>
      <c r="DK146" s="231">
        <f t="shared" si="131"/>
        <v>0</v>
      </c>
      <c r="DL146" s="231">
        <f t="shared" si="131"/>
        <v>0</v>
      </c>
      <c r="DM146" s="231">
        <f t="shared" si="131"/>
        <v>0</v>
      </c>
      <c r="DN146" s="231">
        <f t="shared" si="131"/>
        <v>0</v>
      </c>
      <c r="DO146" s="231">
        <f t="shared" si="131"/>
        <v>0</v>
      </c>
      <c r="DP146" s="231">
        <f>'Offshore CF'!DR146</f>
        <v>0</v>
      </c>
      <c r="DQ146" s="231">
        <f>'Offshore CF'!DS146</f>
        <v>0</v>
      </c>
      <c r="DR146" s="231">
        <f ca="1">IF(SUM(DR$24:DR145)=DR$22,0,IF(AND($K146&gt;=DR$15,$K146&lt;(DR$16+1)),DR$22/(DR$16-DR$15+1),0))</f>
        <v>0</v>
      </c>
      <c r="DS146" s="231" t="e">
        <f ca="1">IF(SUM(DS$24:DS145)=DS$22,0,IF(AND($K146&gt;=DS$15,$K146&lt;(DS$16+1)),DS$22/(DS$16-DS$15+1),0))</f>
        <v>#REF!</v>
      </c>
      <c r="DT146" s="231" t="e">
        <f ca="1">IF(SUM(DT$24:DT145)=DT$22,0,IF(AND(K146&gt;=DT$15,K146&lt;(DT$16+1)),DT$22/(DT$16-DT$15+1),0))</f>
        <v>#REF!</v>
      </c>
      <c r="DU146" s="231" t="e">
        <f ca="1">IF(SUM(DU$24:DU145)=DU$22,0,IF(AND($K146&gt;=DU$15,$K146&lt;(DU$16+1)),DU$22/(DU$16-DU$15+1),0))</f>
        <v>#REF!</v>
      </c>
      <c r="DV146" s="231">
        <f ca="1">IF(SUM(DV$24:DV145)=DV$22,0,IF(AND($K146&gt;=DV$15,$K146&lt;(DV$16+1)),DV$22/(DV$16-DV$15+1),0))</f>
        <v>0</v>
      </c>
      <c r="DW146" s="231">
        <f ca="1">IF(SUM(DW$24:DW145)=DW$22,0,IF(AND($K146&gt;=DW$15,$K146&lt;(DW$16+1)),DW$22/(DW$16-DW$15+1),0))</f>
        <v>0</v>
      </c>
      <c r="DX146" s="231">
        <f ca="1">IF(SUM(DX$24:DX145)=DX$22,0,IF(AND($K146&gt;=DX$15,$K146&lt;(DX$16+1)),DX$22/(DX$16-DX$15+1),0))</f>
        <v>0</v>
      </c>
      <c r="DY146" s="231">
        <f ca="1">IF(SUM(DY$24:DY145)=DY$22,0,IF(AND($K146&gt;=DY$15,$K146&lt;(DY$16+1)),DY$22/(DY$16-DY$15+1),0))</f>
        <v>0</v>
      </c>
      <c r="EA146" s="749">
        <f t="shared" si="115"/>
        <v>123</v>
      </c>
      <c r="EB146" s="749" t="e">
        <f t="shared" ca="1" si="116"/>
        <v>#REF!</v>
      </c>
      <c r="EC146" s="750" t="e">
        <f t="shared" ca="1" si="82"/>
        <v>#REF!</v>
      </c>
      <c r="ED146" s="749" t="e">
        <f t="shared" ca="1" si="96"/>
        <v>#N/A</v>
      </c>
      <c r="EE146" s="749"/>
      <c r="EF146" s="749"/>
      <c r="EG146" s="749"/>
      <c r="EH146" s="749"/>
      <c r="EI146" s="714" t="e">
        <f t="shared" ca="1" si="83"/>
        <v>#REF!</v>
      </c>
      <c r="EJ146" s="231" t="e">
        <f ca="1">IF(SUM(EJ$24:EJ145)=EJ$22,0,IF(AND($K146&gt;=EJ$15,$K146&lt;(EJ$16+1)),EJ$22/(EJ$16-EJ$15+1),0))</f>
        <v>#REF!</v>
      </c>
      <c r="EK146" s="714" t="e">
        <f t="shared" ca="1" si="117"/>
        <v>#REF!</v>
      </c>
      <c r="EM146" s="60"/>
      <c r="EN146" s="60"/>
    </row>
    <row r="147" spans="1:144" ht="13.9" customHeight="1">
      <c r="A147" s="220"/>
      <c r="B147" s="236">
        <f t="shared" si="84"/>
        <v>124</v>
      </c>
      <c r="C147" s="221">
        <f t="shared" si="85"/>
        <v>47212.254100000195</v>
      </c>
      <c r="D147" s="746" t="e">
        <f t="shared" ca="1" si="86"/>
        <v>#DIV/0!</v>
      </c>
      <c r="E147" s="747" t="e">
        <f t="shared" ca="1" si="88"/>
        <v>#DIV/0!</v>
      </c>
      <c r="F147" s="748" t="e">
        <f ca="1">IF(F146=0,0,SUM($G$24:G147))</f>
        <v>#DIV/0!</v>
      </c>
      <c r="G147" s="225" t="e">
        <f t="shared" ca="1" si="111"/>
        <v>#DIV/0!</v>
      </c>
      <c r="H147" s="746">
        <f t="shared" ca="1" si="87"/>
        <v>0</v>
      </c>
      <c r="I147" s="60"/>
      <c r="J147" s="228"/>
      <c r="K147" s="228">
        <f t="shared" si="112"/>
        <v>124</v>
      </c>
      <c r="L147" s="221">
        <f t="shared" si="113"/>
        <v>47212.254100000195</v>
      </c>
      <c r="M147" s="229">
        <f t="shared" si="133"/>
        <v>0</v>
      </c>
      <c r="N147" s="229">
        <f t="shared" si="133"/>
        <v>0</v>
      </c>
      <c r="O147" s="229">
        <f t="shared" si="133"/>
        <v>0</v>
      </c>
      <c r="P147" s="229">
        <f t="shared" si="133"/>
        <v>0</v>
      </c>
      <c r="Q147" s="229">
        <f t="shared" si="133"/>
        <v>0</v>
      </c>
      <c r="R147" s="229">
        <f t="shared" si="132"/>
        <v>0</v>
      </c>
      <c r="S147" s="229">
        <f t="shared" si="132"/>
        <v>0</v>
      </c>
      <c r="T147" s="229">
        <f t="shared" si="132"/>
        <v>0</v>
      </c>
      <c r="U147" s="229">
        <f t="shared" si="133"/>
        <v>0</v>
      </c>
      <c r="V147" s="229">
        <f t="shared" si="133"/>
        <v>0</v>
      </c>
      <c r="W147" s="229">
        <f t="shared" si="133"/>
        <v>0</v>
      </c>
      <c r="X147" s="229">
        <f t="shared" si="133"/>
        <v>0</v>
      </c>
      <c r="Y147" s="229">
        <f t="shared" si="133"/>
        <v>0</v>
      </c>
      <c r="Z147" s="229">
        <f t="shared" si="133"/>
        <v>0</v>
      </c>
      <c r="AA147" s="229">
        <f t="shared" si="133"/>
        <v>0</v>
      </c>
      <c r="AB147" s="229">
        <f t="shared" si="133"/>
        <v>0</v>
      </c>
      <c r="AC147" s="229">
        <f t="shared" si="133"/>
        <v>0</v>
      </c>
      <c r="AD147" s="229">
        <f t="shared" si="133"/>
        <v>0</v>
      </c>
      <c r="AE147" s="229">
        <f t="shared" si="133"/>
        <v>0</v>
      </c>
      <c r="AF147" s="229">
        <f t="shared" si="133"/>
        <v>0</v>
      </c>
      <c r="AG147" s="229">
        <f t="shared" si="133"/>
        <v>0</v>
      </c>
      <c r="AH147" s="229">
        <f t="shared" si="133"/>
        <v>0</v>
      </c>
      <c r="AI147" s="229">
        <f t="shared" si="133"/>
        <v>0</v>
      </c>
      <c r="AJ147" s="229">
        <f t="shared" si="133"/>
        <v>0</v>
      </c>
      <c r="AK147" s="229">
        <f t="shared" si="133"/>
        <v>0</v>
      </c>
      <c r="AL147" s="229">
        <f t="shared" si="133"/>
        <v>0</v>
      </c>
      <c r="AM147" s="229">
        <f t="shared" si="133"/>
        <v>0</v>
      </c>
      <c r="AN147" s="229">
        <f t="shared" si="133"/>
        <v>0</v>
      </c>
      <c r="AO147" s="229">
        <f t="shared" si="133"/>
        <v>0</v>
      </c>
      <c r="AP147" s="229">
        <f t="shared" si="133"/>
        <v>0</v>
      </c>
      <c r="AQ147" s="229">
        <f t="shared" si="133"/>
        <v>0</v>
      </c>
      <c r="AR147" s="229">
        <f t="shared" si="134"/>
        <v>0</v>
      </c>
      <c r="AS147" s="229">
        <f t="shared" si="134"/>
        <v>0</v>
      </c>
      <c r="AT147" s="229">
        <f t="shared" si="134"/>
        <v>0</v>
      </c>
      <c r="AU147" s="229">
        <f t="shared" si="134"/>
        <v>0</v>
      </c>
      <c r="AV147" s="229">
        <f t="shared" si="134"/>
        <v>0</v>
      </c>
      <c r="AW147" s="229">
        <f t="shared" si="134"/>
        <v>0</v>
      </c>
      <c r="AX147" s="229">
        <f t="shared" si="134"/>
        <v>0</v>
      </c>
      <c r="AY147" s="229">
        <f t="shared" si="134"/>
        <v>0</v>
      </c>
      <c r="AZ147" s="229">
        <f t="shared" si="134"/>
        <v>0</v>
      </c>
      <c r="BA147" s="229">
        <f t="shared" si="134"/>
        <v>0</v>
      </c>
      <c r="BB147" s="229">
        <f t="shared" si="134"/>
        <v>0</v>
      </c>
      <c r="BC147" s="229">
        <f t="shared" si="135"/>
        <v>0</v>
      </c>
      <c r="BD147" s="229">
        <f t="shared" si="135"/>
        <v>0</v>
      </c>
      <c r="BE147" s="229">
        <f t="shared" si="135"/>
        <v>0</v>
      </c>
      <c r="BF147" s="229">
        <f t="shared" si="135"/>
        <v>0</v>
      </c>
      <c r="BG147" s="229">
        <f t="shared" si="135"/>
        <v>0</v>
      </c>
      <c r="BH147" s="229">
        <f t="shared" si="135"/>
        <v>0</v>
      </c>
      <c r="BI147" s="229">
        <f t="shared" si="135"/>
        <v>0</v>
      </c>
      <c r="BJ147" s="229">
        <f t="shared" si="135"/>
        <v>0</v>
      </c>
      <c r="BK147" s="229">
        <f t="shared" si="135"/>
        <v>0</v>
      </c>
      <c r="BL147" s="229">
        <f t="shared" si="135"/>
        <v>0</v>
      </c>
      <c r="BM147" s="229">
        <f t="shared" si="136"/>
        <v>0</v>
      </c>
      <c r="BN147" s="229">
        <f t="shared" si="136"/>
        <v>0</v>
      </c>
      <c r="BO147" s="229">
        <f t="shared" si="136"/>
        <v>0</v>
      </c>
      <c r="BP147" s="229">
        <f t="shared" si="136"/>
        <v>0</v>
      </c>
      <c r="BQ147" s="229">
        <f t="shared" si="136"/>
        <v>0</v>
      </c>
      <c r="BR147" s="229">
        <f t="shared" si="136"/>
        <v>0</v>
      </c>
      <c r="BS147" s="229">
        <f t="shared" si="136"/>
        <v>0</v>
      </c>
      <c r="BT147" s="229">
        <f t="shared" si="136"/>
        <v>0</v>
      </c>
      <c r="BU147" s="229">
        <f t="shared" si="136"/>
        <v>0</v>
      </c>
      <c r="BV147" s="229">
        <f t="shared" si="136"/>
        <v>0</v>
      </c>
      <c r="BW147" s="229">
        <f t="shared" si="136"/>
        <v>0</v>
      </c>
      <c r="BX147" s="229">
        <f t="shared" si="136"/>
        <v>0</v>
      </c>
      <c r="BY147" s="229">
        <f t="shared" si="136"/>
        <v>0</v>
      </c>
      <c r="BZ147" s="229">
        <f t="shared" si="136"/>
        <v>0</v>
      </c>
      <c r="CA147" s="229">
        <f t="shared" si="136"/>
        <v>0</v>
      </c>
      <c r="CB147" s="229">
        <f t="shared" si="137"/>
        <v>0</v>
      </c>
      <c r="CC147" s="229">
        <f t="shared" si="137"/>
        <v>0</v>
      </c>
      <c r="CD147" s="229">
        <f t="shared" si="137"/>
        <v>0</v>
      </c>
      <c r="CE147" s="229">
        <f t="shared" si="137"/>
        <v>0</v>
      </c>
      <c r="CF147" s="229">
        <f t="shared" si="137"/>
        <v>0</v>
      </c>
      <c r="CG147" s="229">
        <f t="shared" si="137"/>
        <v>0</v>
      </c>
      <c r="CH147" s="229">
        <f t="shared" si="137"/>
        <v>0</v>
      </c>
      <c r="CI147" s="229">
        <f t="shared" si="137"/>
        <v>0</v>
      </c>
      <c r="CJ147" s="229">
        <f t="shared" si="137"/>
        <v>0</v>
      </c>
      <c r="CK147" s="229">
        <f t="shared" si="137"/>
        <v>0</v>
      </c>
      <c r="CL147" s="229">
        <f t="shared" si="137"/>
        <v>0</v>
      </c>
      <c r="CM147" s="229">
        <f t="shared" si="137"/>
        <v>0</v>
      </c>
      <c r="CN147" s="229">
        <f t="shared" si="137"/>
        <v>0</v>
      </c>
      <c r="CO147" s="229">
        <f t="shared" si="137"/>
        <v>0</v>
      </c>
      <c r="CP147" s="229">
        <f t="shared" si="137"/>
        <v>0</v>
      </c>
      <c r="CQ147" s="229">
        <f t="shared" si="137"/>
        <v>0</v>
      </c>
      <c r="CR147" s="229">
        <f t="shared" si="137"/>
        <v>0</v>
      </c>
      <c r="CS147" s="230"/>
      <c r="CT147" s="231"/>
      <c r="CU147" s="231"/>
      <c r="CV147" s="231"/>
      <c r="CW147" s="231"/>
      <c r="CX147" s="231"/>
      <c r="CY147" s="231"/>
      <c r="CZ147" s="231"/>
      <c r="DA147" s="231" t="e">
        <f ca="1">IF(SUM(DA$32:DA146)&gt;=DA$22,0,DA$22/(DA$13*4))</f>
        <v>#N/A</v>
      </c>
      <c r="DB147" s="231">
        <f>IF(SUM(DB$24:DB146)=DB$22,0,IF(AND($K147&gt;=DB$15,$K147&lt;(DB$16+1)),DB$22/(DB$16-DB$15+1),0))</f>
        <v>0</v>
      </c>
      <c r="DC147" s="231">
        <f t="shared" si="131"/>
        <v>0</v>
      </c>
      <c r="DD147" s="231">
        <f t="shared" si="131"/>
        <v>0</v>
      </c>
      <c r="DE147" s="231">
        <f t="shared" si="131"/>
        <v>0</v>
      </c>
      <c r="DF147" s="231">
        <f t="shared" si="131"/>
        <v>0</v>
      </c>
      <c r="DG147" s="231">
        <f t="shared" si="131"/>
        <v>0</v>
      </c>
      <c r="DH147" s="231">
        <f t="shared" si="131"/>
        <v>0</v>
      </c>
      <c r="DI147" s="231">
        <f t="shared" si="131"/>
        <v>0</v>
      </c>
      <c r="DJ147" s="231">
        <f t="shared" si="131"/>
        <v>0</v>
      </c>
      <c r="DK147" s="231">
        <f t="shared" si="131"/>
        <v>0</v>
      </c>
      <c r="DL147" s="231">
        <f t="shared" si="131"/>
        <v>0</v>
      </c>
      <c r="DM147" s="231">
        <f t="shared" si="131"/>
        <v>0</v>
      </c>
      <c r="DN147" s="231">
        <f t="shared" si="131"/>
        <v>0</v>
      </c>
      <c r="DO147" s="231">
        <f t="shared" si="131"/>
        <v>0</v>
      </c>
      <c r="DP147" s="231">
        <f>'Offshore CF'!DR147</f>
        <v>0</v>
      </c>
      <c r="DQ147" s="231">
        <f>'Offshore CF'!DS147</f>
        <v>0</v>
      </c>
      <c r="DR147" s="231">
        <f ca="1">IF(SUM(DR$24:DR146)=DR$22,0,IF(AND($K147&gt;=DR$15,$K147&lt;(DR$16+1)),DR$22/(DR$16-DR$15+1),0))</f>
        <v>0</v>
      </c>
      <c r="DS147" s="231" t="e">
        <f ca="1">IF(SUM(DS$24:DS146)=DS$22,0,IF(AND($K147&gt;=DS$15,$K147&lt;(DS$16+1)),DS$22/(DS$16-DS$15+1),0))</f>
        <v>#REF!</v>
      </c>
      <c r="DT147" s="231" t="e">
        <f ca="1">IF(SUM(DT$24:DT146)=DT$22,0,IF(AND(K147&gt;=DT$15,K147&lt;(DT$16+1)),DT$22/(DT$16-DT$15+1),0))</f>
        <v>#REF!</v>
      </c>
      <c r="DU147" s="231" t="e">
        <f ca="1">IF(SUM(DU$24:DU146)=DU$22,0,IF(AND($K147&gt;=DU$15,$K147&lt;(DU$16+1)),DU$22/(DU$16-DU$15+1),0))</f>
        <v>#REF!</v>
      </c>
      <c r="DV147" s="231">
        <f ca="1">IF(SUM(DV$24:DV146)=DV$22,0,IF(AND($K147&gt;=DV$15,$K147&lt;(DV$16+1)),DV$22/(DV$16-DV$15+1),0))</f>
        <v>0</v>
      </c>
      <c r="DW147" s="231">
        <f ca="1">IF(SUM(DW$24:DW146)=DW$22,0,IF(AND($K147&gt;=DW$15,$K147&lt;(DW$16+1)),DW$22/(DW$16-DW$15+1),0))</f>
        <v>0</v>
      </c>
      <c r="DX147" s="231">
        <f ca="1">IF(SUM(DX$24:DX146)=DX$22,0,IF(AND($K147&gt;=DX$15,$K147&lt;(DX$16+1)),DX$22/(DX$16-DX$15+1),0))</f>
        <v>0</v>
      </c>
      <c r="DY147" s="231">
        <f ca="1">IF(SUM(DY$24:DY146)=DY$22,0,IF(AND($K147&gt;=DY$15,$K147&lt;(DY$16+1)),DY$22/(DY$16-DY$15+1),0))</f>
        <v>0</v>
      </c>
      <c r="EA147" s="749">
        <f t="shared" si="115"/>
        <v>124</v>
      </c>
      <c r="EB147" s="749" t="e">
        <f t="shared" ca="1" si="116"/>
        <v>#N/A</v>
      </c>
      <c r="EC147" s="750" t="e">
        <f t="shared" ca="1" si="82"/>
        <v>#N/A</v>
      </c>
      <c r="ED147" s="749" t="e">
        <f t="shared" ca="1" si="96"/>
        <v>#REF!</v>
      </c>
      <c r="EE147" s="749"/>
      <c r="EF147" s="749"/>
      <c r="EG147" s="749"/>
      <c r="EH147" s="749"/>
      <c r="EI147" s="714" t="e">
        <f t="shared" ca="1" si="83"/>
        <v>#N/A</v>
      </c>
      <c r="EJ147" s="231" t="e">
        <f ca="1">IF(SUM(EJ$24:EJ146)=EJ$22,0,IF(AND($K147&gt;=EJ$15,$K147&lt;(EJ$16+1)),EJ$22/(EJ$16-EJ$15+1),0))</f>
        <v>#REF!</v>
      </c>
      <c r="EK147" s="714" t="e">
        <f t="shared" ca="1" si="117"/>
        <v>#N/A</v>
      </c>
      <c r="EM147" s="60"/>
      <c r="EN147" s="60"/>
    </row>
    <row r="148" spans="1:144" ht="13.9" customHeight="1">
      <c r="A148" s="220"/>
      <c r="B148" s="236">
        <f t="shared" si="84"/>
        <v>125</v>
      </c>
      <c r="C148" s="221">
        <f t="shared" si="85"/>
        <v>47242.670800000196</v>
      </c>
      <c r="D148" s="746" t="e">
        <f t="shared" ca="1" si="86"/>
        <v>#DIV/0!</v>
      </c>
      <c r="E148" s="747" t="e">
        <f t="shared" ca="1" si="88"/>
        <v>#DIV/0!</v>
      </c>
      <c r="F148" s="748" t="e">
        <f ca="1">IF(F147=0,0,SUM($G$24:G148))</f>
        <v>#DIV/0!</v>
      </c>
      <c r="G148" s="225" t="e">
        <f t="shared" ca="1" si="111"/>
        <v>#DIV/0!</v>
      </c>
      <c r="H148" s="746">
        <f t="shared" ca="1" si="87"/>
        <v>0</v>
      </c>
      <c r="I148" s="60"/>
      <c r="J148" s="228"/>
      <c r="K148" s="228">
        <f t="shared" si="112"/>
        <v>125</v>
      </c>
      <c r="L148" s="221">
        <f t="shared" si="113"/>
        <v>47242.670800000196</v>
      </c>
      <c r="M148" s="229">
        <f t="shared" si="133"/>
        <v>0</v>
      </c>
      <c r="N148" s="229">
        <f t="shared" si="133"/>
        <v>0</v>
      </c>
      <c r="O148" s="229">
        <f t="shared" si="133"/>
        <v>0</v>
      </c>
      <c r="P148" s="229">
        <f t="shared" si="133"/>
        <v>0</v>
      </c>
      <c r="Q148" s="229">
        <f t="shared" si="133"/>
        <v>0</v>
      </c>
      <c r="R148" s="229">
        <f t="shared" si="132"/>
        <v>0</v>
      </c>
      <c r="S148" s="229">
        <f t="shared" si="132"/>
        <v>0</v>
      </c>
      <c r="T148" s="229">
        <f t="shared" si="132"/>
        <v>0</v>
      </c>
      <c r="U148" s="229">
        <f t="shared" si="133"/>
        <v>0</v>
      </c>
      <c r="V148" s="229">
        <f t="shared" si="133"/>
        <v>0</v>
      </c>
      <c r="W148" s="229">
        <f t="shared" si="133"/>
        <v>0</v>
      </c>
      <c r="X148" s="229">
        <f t="shared" si="133"/>
        <v>0</v>
      </c>
      <c r="Y148" s="229">
        <f t="shared" si="133"/>
        <v>0</v>
      </c>
      <c r="Z148" s="229">
        <f t="shared" si="133"/>
        <v>0</v>
      </c>
      <c r="AA148" s="229">
        <f t="shared" si="133"/>
        <v>0</v>
      </c>
      <c r="AB148" s="229">
        <f t="shared" si="133"/>
        <v>0</v>
      </c>
      <c r="AC148" s="229">
        <f t="shared" si="133"/>
        <v>0</v>
      </c>
      <c r="AD148" s="229">
        <f t="shared" si="133"/>
        <v>0</v>
      </c>
      <c r="AE148" s="229">
        <f t="shared" si="133"/>
        <v>0</v>
      </c>
      <c r="AF148" s="229">
        <f t="shared" si="133"/>
        <v>0</v>
      </c>
      <c r="AG148" s="229">
        <f t="shared" si="133"/>
        <v>0</v>
      </c>
      <c r="AH148" s="229">
        <f t="shared" si="133"/>
        <v>0</v>
      </c>
      <c r="AI148" s="229">
        <f t="shared" si="133"/>
        <v>0</v>
      </c>
      <c r="AJ148" s="229">
        <f t="shared" si="133"/>
        <v>0</v>
      </c>
      <c r="AK148" s="229">
        <f t="shared" si="133"/>
        <v>0</v>
      </c>
      <c r="AL148" s="229">
        <f t="shared" si="133"/>
        <v>0</v>
      </c>
      <c r="AM148" s="229">
        <f t="shared" si="133"/>
        <v>0</v>
      </c>
      <c r="AN148" s="229">
        <f t="shared" si="133"/>
        <v>0</v>
      </c>
      <c r="AO148" s="229">
        <f t="shared" si="133"/>
        <v>0</v>
      </c>
      <c r="AP148" s="229">
        <f t="shared" si="133"/>
        <v>0</v>
      </c>
      <c r="AQ148" s="229">
        <f t="shared" si="133"/>
        <v>0</v>
      </c>
      <c r="AR148" s="229">
        <f t="shared" si="134"/>
        <v>0</v>
      </c>
      <c r="AS148" s="229">
        <f t="shared" si="134"/>
        <v>0</v>
      </c>
      <c r="AT148" s="229">
        <f t="shared" si="134"/>
        <v>0</v>
      </c>
      <c r="AU148" s="229">
        <f t="shared" si="134"/>
        <v>0</v>
      </c>
      <c r="AV148" s="229">
        <f t="shared" si="134"/>
        <v>0</v>
      </c>
      <c r="AW148" s="229">
        <f t="shared" si="134"/>
        <v>0</v>
      </c>
      <c r="AX148" s="229">
        <f t="shared" si="134"/>
        <v>0</v>
      </c>
      <c r="AY148" s="229">
        <f t="shared" si="134"/>
        <v>0</v>
      </c>
      <c r="AZ148" s="229">
        <f t="shared" si="134"/>
        <v>0</v>
      </c>
      <c r="BA148" s="229">
        <f t="shared" si="134"/>
        <v>0</v>
      </c>
      <c r="BB148" s="229">
        <f t="shared" si="134"/>
        <v>0</v>
      </c>
      <c r="BC148" s="229">
        <f t="shared" si="135"/>
        <v>0</v>
      </c>
      <c r="BD148" s="229">
        <f t="shared" si="135"/>
        <v>0</v>
      </c>
      <c r="BE148" s="229">
        <f t="shared" si="135"/>
        <v>0</v>
      </c>
      <c r="BF148" s="229">
        <f t="shared" si="135"/>
        <v>0</v>
      </c>
      <c r="BG148" s="229">
        <f t="shared" si="135"/>
        <v>0</v>
      </c>
      <c r="BH148" s="229">
        <f t="shared" si="135"/>
        <v>0</v>
      </c>
      <c r="BI148" s="229">
        <f t="shared" si="135"/>
        <v>0</v>
      </c>
      <c r="BJ148" s="229">
        <f t="shared" si="135"/>
        <v>0</v>
      </c>
      <c r="BK148" s="229">
        <f t="shared" si="135"/>
        <v>0</v>
      </c>
      <c r="BL148" s="229">
        <f t="shared" si="135"/>
        <v>0</v>
      </c>
      <c r="BM148" s="229">
        <f t="shared" si="136"/>
        <v>0</v>
      </c>
      <c r="BN148" s="229">
        <f t="shared" si="136"/>
        <v>0</v>
      </c>
      <c r="BO148" s="229">
        <f t="shared" si="136"/>
        <v>0</v>
      </c>
      <c r="BP148" s="229">
        <f t="shared" si="136"/>
        <v>0</v>
      </c>
      <c r="BQ148" s="229">
        <f t="shared" si="136"/>
        <v>0</v>
      </c>
      <c r="BR148" s="229">
        <f t="shared" si="136"/>
        <v>0</v>
      </c>
      <c r="BS148" s="229">
        <f t="shared" si="136"/>
        <v>0</v>
      </c>
      <c r="BT148" s="229">
        <f t="shared" si="136"/>
        <v>0</v>
      </c>
      <c r="BU148" s="229">
        <f t="shared" si="136"/>
        <v>0</v>
      </c>
      <c r="BV148" s="229">
        <f t="shared" si="136"/>
        <v>0</v>
      </c>
      <c r="BW148" s="229">
        <f t="shared" si="136"/>
        <v>0</v>
      </c>
      <c r="BX148" s="229">
        <f t="shared" si="136"/>
        <v>0</v>
      </c>
      <c r="BY148" s="229">
        <f t="shared" si="136"/>
        <v>0</v>
      </c>
      <c r="BZ148" s="229">
        <f t="shared" si="136"/>
        <v>0</v>
      </c>
      <c r="CA148" s="229">
        <f t="shared" si="136"/>
        <v>0</v>
      </c>
      <c r="CB148" s="229">
        <f t="shared" si="137"/>
        <v>0</v>
      </c>
      <c r="CC148" s="229">
        <f t="shared" si="137"/>
        <v>0</v>
      </c>
      <c r="CD148" s="229">
        <f t="shared" si="137"/>
        <v>0</v>
      </c>
      <c r="CE148" s="229">
        <f t="shared" si="137"/>
        <v>0</v>
      </c>
      <c r="CF148" s="229">
        <f t="shared" si="137"/>
        <v>0</v>
      </c>
      <c r="CG148" s="229">
        <f t="shared" si="137"/>
        <v>0</v>
      </c>
      <c r="CH148" s="229">
        <f t="shared" si="137"/>
        <v>0</v>
      </c>
      <c r="CI148" s="229">
        <f t="shared" si="137"/>
        <v>0</v>
      </c>
      <c r="CJ148" s="229">
        <f t="shared" si="137"/>
        <v>0</v>
      </c>
      <c r="CK148" s="229">
        <f t="shared" si="137"/>
        <v>0</v>
      </c>
      <c r="CL148" s="229">
        <f t="shared" si="137"/>
        <v>0</v>
      </c>
      <c r="CM148" s="229">
        <f t="shared" si="137"/>
        <v>0</v>
      </c>
      <c r="CN148" s="229">
        <f t="shared" si="137"/>
        <v>0</v>
      </c>
      <c r="CO148" s="229">
        <f t="shared" si="137"/>
        <v>0</v>
      </c>
      <c r="CP148" s="229">
        <f t="shared" si="137"/>
        <v>0</v>
      </c>
      <c r="CQ148" s="229">
        <f t="shared" si="137"/>
        <v>0</v>
      </c>
      <c r="CR148" s="229">
        <f t="shared" si="137"/>
        <v>0</v>
      </c>
      <c r="CS148" s="230"/>
      <c r="CT148" s="231"/>
      <c r="CU148" s="231"/>
      <c r="CV148" s="231"/>
      <c r="CW148" s="231"/>
      <c r="CX148" s="231"/>
      <c r="CY148" s="231"/>
      <c r="CZ148" s="231"/>
      <c r="DA148" s="231"/>
      <c r="DB148" s="231">
        <f>IF(SUM(DB$24:DB147)=DB$22,0,IF(AND($K148&gt;=DB$15,$K148&lt;(DB$16+1)),DB$22/(DB$16-DB$15+1),0))</f>
        <v>0</v>
      </c>
      <c r="DC148" s="231">
        <f t="shared" si="131"/>
        <v>0</v>
      </c>
      <c r="DD148" s="231">
        <f t="shared" si="131"/>
        <v>0</v>
      </c>
      <c r="DE148" s="231">
        <f t="shared" si="131"/>
        <v>0</v>
      </c>
      <c r="DF148" s="231">
        <f t="shared" si="131"/>
        <v>0</v>
      </c>
      <c r="DG148" s="231">
        <f t="shared" si="131"/>
        <v>0</v>
      </c>
      <c r="DH148" s="231">
        <f t="shared" si="131"/>
        <v>0</v>
      </c>
      <c r="DI148" s="231">
        <f t="shared" si="131"/>
        <v>0</v>
      </c>
      <c r="DJ148" s="231">
        <f t="shared" si="131"/>
        <v>0</v>
      </c>
      <c r="DK148" s="231">
        <f t="shared" si="131"/>
        <v>0</v>
      </c>
      <c r="DL148" s="231">
        <f t="shared" si="131"/>
        <v>0</v>
      </c>
      <c r="DM148" s="231">
        <f t="shared" si="131"/>
        <v>0</v>
      </c>
      <c r="DN148" s="231">
        <f t="shared" si="131"/>
        <v>0</v>
      </c>
      <c r="DO148" s="231">
        <f t="shared" si="131"/>
        <v>0</v>
      </c>
      <c r="DP148" s="231">
        <f>'Offshore CF'!DR148</f>
        <v>0</v>
      </c>
      <c r="DQ148" s="231">
        <f>'Offshore CF'!DS148</f>
        <v>0</v>
      </c>
      <c r="DR148" s="231">
        <f ca="1">IF(SUM(DR$24:DR147)=DR$22,0,IF(AND($K148&gt;=DR$15,$K148&lt;(DR$16+1)),DR$22/(DR$16-DR$15+1),0))</f>
        <v>0</v>
      </c>
      <c r="DS148" s="231" t="e">
        <f ca="1">IF(SUM(DS$24:DS147)=DS$22,0,IF(AND($K148&gt;=DS$15,$K148&lt;(DS$16+1)),DS$22/(DS$16-DS$15+1),0))</f>
        <v>#REF!</v>
      </c>
      <c r="DT148" s="231" t="e">
        <f ca="1">IF(SUM(DT$24:DT147)=DT$22,0,IF(AND(K148&gt;=DT$15,K148&lt;(DT$16+1)),DT$22/(DT$16-DT$15+1),0))</f>
        <v>#REF!</v>
      </c>
      <c r="DU148" s="231" t="e">
        <f ca="1">IF(SUM(DU$24:DU147)=DU$22,0,IF(AND($K148&gt;=DU$15,$K148&lt;(DU$16+1)),DU$22/(DU$16-DU$15+1),0))</f>
        <v>#REF!</v>
      </c>
      <c r="DV148" s="231">
        <f ca="1">IF(SUM(DV$24:DV147)=DV$22,0,IF(AND($K148&gt;=DV$15,$K148&lt;(DV$16+1)),DV$22/(DV$16-DV$15+1),0))</f>
        <v>0</v>
      </c>
      <c r="DW148" s="231">
        <f ca="1">IF(SUM(DW$24:DW147)=DW$22,0,IF(AND($K148&gt;=DW$15,$K148&lt;(DW$16+1)),DW$22/(DW$16-DW$15+1),0))</f>
        <v>0</v>
      </c>
      <c r="DX148" s="231">
        <f ca="1">IF(SUM(DX$24:DX147)=DX$22,0,IF(AND($K148&gt;=DX$15,$K148&lt;(DX$16+1)),DX$22/(DX$16-DX$15+1),0))</f>
        <v>0</v>
      </c>
      <c r="DY148" s="231">
        <f ca="1">IF(SUM(DY$24:DY147)=DY$22,0,IF(AND($K148&gt;=DY$15,$K148&lt;(DY$16+1)),DY$22/(DY$16-DY$15+1),0))</f>
        <v>0</v>
      </c>
      <c r="EA148" s="749">
        <f t="shared" si="115"/>
        <v>125</v>
      </c>
      <c r="EB148" s="749" t="e">
        <f t="shared" ca="1" si="116"/>
        <v>#REF!</v>
      </c>
      <c r="EC148" s="750" t="e">
        <f t="shared" ca="1" si="82"/>
        <v>#REF!</v>
      </c>
      <c r="ED148" s="749" t="e">
        <f t="shared" ca="1" si="96"/>
        <v>#REF!</v>
      </c>
      <c r="EE148" s="749"/>
      <c r="EF148" s="749"/>
      <c r="EG148" s="749"/>
      <c r="EH148" s="749"/>
      <c r="EI148" s="714" t="e">
        <f t="shared" ca="1" si="83"/>
        <v>#REF!</v>
      </c>
      <c r="EJ148" s="231" t="e">
        <f ca="1">IF(SUM(EJ$24:EJ147)=EJ$22,0,IF(AND($K148&gt;=EJ$15,$K148&lt;(EJ$16+1)),EJ$22/(EJ$16-EJ$15+1),0))</f>
        <v>#REF!</v>
      </c>
      <c r="EK148" s="714" t="e">
        <f t="shared" ca="1" si="117"/>
        <v>#REF!</v>
      </c>
      <c r="EM148" s="60"/>
      <c r="EN148" s="60"/>
    </row>
    <row r="149" spans="1:144" ht="13.9" customHeight="1">
      <c r="A149" s="220"/>
      <c r="B149" s="236">
        <f t="shared" si="84"/>
        <v>126</v>
      </c>
      <c r="C149" s="221">
        <f t="shared" si="85"/>
        <v>47273.087500000198</v>
      </c>
      <c r="D149" s="746" t="e">
        <f t="shared" ca="1" si="86"/>
        <v>#DIV/0!</v>
      </c>
      <c r="E149" s="747" t="e">
        <f t="shared" ca="1" si="88"/>
        <v>#DIV/0!</v>
      </c>
      <c r="F149" s="748" t="e">
        <f ca="1">IF(F148=0,0,SUM($G$24:G149))</f>
        <v>#DIV/0!</v>
      </c>
      <c r="G149" s="225" t="e">
        <f t="shared" ca="1" si="111"/>
        <v>#DIV/0!</v>
      </c>
      <c r="H149" s="746">
        <f t="shared" ca="1" si="87"/>
        <v>0</v>
      </c>
      <c r="I149" s="60"/>
      <c r="J149" s="228"/>
      <c r="K149" s="228">
        <f t="shared" si="112"/>
        <v>126</v>
      </c>
      <c r="L149" s="221">
        <f t="shared" si="113"/>
        <v>47273.087500000198</v>
      </c>
      <c r="M149" s="229">
        <f t="shared" si="133"/>
        <v>0</v>
      </c>
      <c r="N149" s="229">
        <f t="shared" si="133"/>
        <v>0</v>
      </c>
      <c r="O149" s="229">
        <f t="shared" si="133"/>
        <v>0</v>
      </c>
      <c r="P149" s="229">
        <f t="shared" si="133"/>
        <v>0</v>
      </c>
      <c r="Q149" s="229">
        <f t="shared" si="133"/>
        <v>0</v>
      </c>
      <c r="R149" s="229">
        <f t="shared" si="132"/>
        <v>0</v>
      </c>
      <c r="S149" s="229">
        <f t="shared" si="132"/>
        <v>0</v>
      </c>
      <c r="T149" s="229">
        <f t="shared" si="132"/>
        <v>0</v>
      </c>
      <c r="U149" s="229">
        <f t="shared" si="133"/>
        <v>0</v>
      </c>
      <c r="V149" s="229">
        <f t="shared" si="133"/>
        <v>0</v>
      </c>
      <c r="W149" s="229">
        <f t="shared" si="133"/>
        <v>0</v>
      </c>
      <c r="X149" s="229">
        <f t="shared" si="133"/>
        <v>0</v>
      </c>
      <c r="Y149" s="229">
        <f t="shared" si="133"/>
        <v>0</v>
      </c>
      <c r="Z149" s="229">
        <f t="shared" si="133"/>
        <v>0</v>
      </c>
      <c r="AA149" s="229">
        <f t="shared" si="133"/>
        <v>0</v>
      </c>
      <c r="AB149" s="229">
        <f t="shared" si="133"/>
        <v>0</v>
      </c>
      <c r="AC149" s="229">
        <f t="shared" si="133"/>
        <v>0</v>
      </c>
      <c r="AD149" s="229">
        <f t="shared" si="133"/>
        <v>0</v>
      </c>
      <c r="AE149" s="229">
        <f t="shared" si="133"/>
        <v>0</v>
      </c>
      <c r="AF149" s="229">
        <f t="shared" si="133"/>
        <v>0</v>
      </c>
      <c r="AG149" s="229">
        <f t="shared" si="133"/>
        <v>0</v>
      </c>
      <c r="AH149" s="229">
        <f t="shared" si="133"/>
        <v>0</v>
      </c>
      <c r="AI149" s="229">
        <f t="shared" si="133"/>
        <v>0</v>
      </c>
      <c r="AJ149" s="229">
        <f t="shared" si="133"/>
        <v>0</v>
      </c>
      <c r="AK149" s="229">
        <f t="shared" si="133"/>
        <v>0</v>
      </c>
      <c r="AL149" s="229">
        <f t="shared" si="133"/>
        <v>0</v>
      </c>
      <c r="AM149" s="229">
        <f t="shared" si="133"/>
        <v>0</v>
      </c>
      <c r="AN149" s="229">
        <f t="shared" si="133"/>
        <v>0</v>
      </c>
      <c r="AO149" s="229">
        <f t="shared" si="133"/>
        <v>0</v>
      </c>
      <c r="AP149" s="229">
        <f t="shared" si="133"/>
        <v>0</v>
      </c>
      <c r="AQ149" s="229">
        <f t="shared" si="133"/>
        <v>0</v>
      </c>
      <c r="AR149" s="229">
        <f t="shared" si="134"/>
        <v>0</v>
      </c>
      <c r="AS149" s="229">
        <f t="shared" si="134"/>
        <v>0</v>
      </c>
      <c r="AT149" s="229">
        <f t="shared" si="134"/>
        <v>0</v>
      </c>
      <c r="AU149" s="229">
        <f t="shared" si="134"/>
        <v>0</v>
      </c>
      <c r="AV149" s="229">
        <f t="shared" si="134"/>
        <v>0</v>
      </c>
      <c r="AW149" s="229">
        <f t="shared" si="134"/>
        <v>0</v>
      </c>
      <c r="AX149" s="229">
        <f t="shared" si="134"/>
        <v>0</v>
      </c>
      <c r="AY149" s="229">
        <f t="shared" si="134"/>
        <v>0</v>
      </c>
      <c r="AZ149" s="229">
        <f t="shared" si="134"/>
        <v>0</v>
      </c>
      <c r="BA149" s="229">
        <f t="shared" si="134"/>
        <v>0</v>
      </c>
      <c r="BB149" s="229">
        <f t="shared" si="134"/>
        <v>0</v>
      </c>
      <c r="BC149" s="229">
        <f t="shared" si="135"/>
        <v>0</v>
      </c>
      <c r="BD149" s="229">
        <f t="shared" si="135"/>
        <v>0</v>
      </c>
      <c r="BE149" s="229">
        <f t="shared" si="135"/>
        <v>0</v>
      </c>
      <c r="BF149" s="229">
        <f t="shared" si="135"/>
        <v>0</v>
      </c>
      <c r="BG149" s="229">
        <f t="shared" si="135"/>
        <v>0</v>
      </c>
      <c r="BH149" s="229">
        <f t="shared" si="135"/>
        <v>0</v>
      </c>
      <c r="BI149" s="229">
        <f t="shared" si="135"/>
        <v>0</v>
      </c>
      <c r="BJ149" s="229">
        <f t="shared" si="135"/>
        <v>0</v>
      </c>
      <c r="BK149" s="229">
        <f t="shared" si="135"/>
        <v>0</v>
      </c>
      <c r="BL149" s="229">
        <f t="shared" si="135"/>
        <v>0</v>
      </c>
      <c r="BM149" s="229">
        <f t="shared" si="136"/>
        <v>0</v>
      </c>
      <c r="BN149" s="229">
        <f t="shared" si="136"/>
        <v>0</v>
      </c>
      <c r="BO149" s="229">
        <f t="shared" si="136"/>
        <v>0</v>
      </c>
      <c r="BP149" s="229">
        <f t="shared" si="136"/>
        <v>0</v>
      </c>
      <c r="BQ149" s="229">
        <f t="shared" si="136"/>
        <v>0</v>
      </c>
      <c r="BR149" s="229">
        <f t="shared" si="136"/>
        <v>0</v>
      </c>
      <c r="BS149" s="229">
        <f t="shared" si="136"/>
        <v>0</v>
      </c>
      <c r="BT149" s="229">
        <f t="shared" si="136"/>
        <v>0</v>
      </c>
      <c r="BU149" s="229">
        <f t="shared" si="136"/>
        <v>0</v>
      </c>
      <c r="BV149" s="229">
        <f t="shared" si="136"/>
        <v>0</v>
      </c>
      <c r="BW149" s="229">
        <f t="shared" si="136"/>
        <v>0</v>
      </c>
      <c r="BX149" s="229">
        <f t="shared" si="136"/>
        <v>0</v>
      </c>
      <c r="BY149" s="229">
        <f t="shared" si="136"/>
        <v>0</v>
      </c>
      <c r="BZ149" s="229">
        <f t="shared" si="136"/>
        <v>0</v>
      </c>
      <c r="CA149" s="229">
        <f t="shared" si="136"/>
        <v>0</v>
      </c>
      <c r="CB149" s="229">
        <f t="shared" si="137"/>
        <v>0</v>
      </c>
      <c r="CC149" s="229">
        <f t="shared" si="137"/>
        <v>0</v>
      </c>
      <c r="CD149" s="229">
        <f t="shared" si="137"/>
        <v>0</v>
      </c>
      <c r="CE149" s="229">
        <f t="shared" si="137"/>
        <v>0</v>
      </c>
      <c r="CF149" s="229">
        <f t="shared" si="137"/>
        <v>0</v>
      </c>
      <c r="CG149" s="229">
        <f t="shared" si="137"/>
        <v>0</v>
      </c>
      <c r="CH149" s="229">
        <f t="shared" si="137"/>
        <v>0</v>
      </c>
      <c r="CI149" s="229">
        <f t="shared" si="137"/>
        <v>0</v>
      </c>
      <c r="CJ149" s="229">
        <f t="shared" si="137"/>
        <v>0</v>
      </c>
      <c r="CK149" s="229">
        <f t="shared" si="137"/>
        <v>0</v>
      </c>
      <c r="CL149" s="229">
        <f t="shared" si="137"/>
        <v>0</v>
      </c>
      <c r="CM149" s="229">
        <f t="shared" si="137"/>
        <v>0</v>
      </c>
      <c r="CN149" s="229">
        <f t="shared" si="137"/>
        <v>0</v>
      </c>
      <c r="CO149" s="229">
        <f t="shared" si="137"/>
        <v>0</v>
      </c>
      <c r="CP149" s="229">
        <f t="shared" si="137"/>
        <v>0</v>
      </c>
      <c r="CQ149" s="229">
        <f t="shared" si="137"/>
        <v>0</v>
      </c>
      <c r="CR149" s="229">
        <f t="shared" si="137"/>
        <v>0</v>
      </c>
      <c r="CS149" s="230"/>
      <c r="CT149" s="231"/>
      <c r="CU149" s="231"/>
      <c r="CV149" s="231"/>
      <c r="CW149" s="231"/>
      <c r="CX149" s="231"/>
      <c r="CY149" s="231"/>
      <c r="CZ149" s="231"/>
      <c r="DA149" s="231"/>
      <c r="DB149" s="231">
        <f>IF(SUM(DB$24:DB148)=DB$22,0,IF(AND($K149&gt;=DB$15,$K149&lt;(DB$16+1)),DB$22/(DB$16-DB$15+1),0))</f>
        <v>0</v>
      </c>
      <c r="DC149" s="231">
        <f t="shared" si="131"/>
        <v>0</v>
      </c>
      <c r="DD149" s="231">
        <f t="shared" si="131"/>
        <v>0</v>
      </c>
      <c r="DE149" s="231">
        <f t="shared" si="131"/>
        <v>0</v>
      </c>
      <c r="DF149" s="231">
        <f t="shared" si="131"/>
        <v>0</v>
      </c>
      <c r="DG149" s="231">
        <f t="shared" si="131"/>
        <v>0</v>
      </c>
      <c r="DH149" s="231">
        <f t="shared" si="131"/>
        <v>0</v>
      </c>
      <c r="DI149" s="231">
        <f t="shared" si="131"/>
        <v>0</v>
      </c>
      <c r="DJ149" s="231">
        <f t="shared" si="131"/>
        <v>0</v>
      </c>
      <c r="DK149" s="231">
        <f t="shared" si="131"/>
        <v>0</v>
      </c>
      <c r="DL149" s="231">
        <f t="shared" si="131"/>
        <v>0</v>
      </c>
      <c r="DM149" s="231">
        <f t="shared" si="131"/>
        <v>0</v>
      </c>
      <c r="DN149" s="231">
        <f t="shared" si="131"/>
        <v>0</v>
      </c>
      <c r="DO149" s="231">
        <f t="shared" si="131"/>
        <v>0</v>
      </c>
      <c r="DP149" s="231">
        <f>'Offshore CF'!DR149</f>
        <v>0</v>
      </c>
      <c r="DQ149" s="231">
        <f>'Offshore CF'!DS149</f>
        <v>0</v>
      </c>
      <c r="DR149" s="231">
        <f ca="1">IF(SUM(DR$24:DR148)=DR$22,0,IF(AND($K149&gt;=DR$15,$K149&lt;(DR$16+1)),DR$22/(DR$16-DR$15+1),0))</f>
        <v>0</v>
      </c>
      <c r="DS149" s="231" t="e">
        <f ca="1">IF(SUM(DS$24:DS148)=DS$22,0,IF(AND($K149&gt;=DS$15,$K149&lt;(DS$16+1)),DS$22/(DS$16-DS$15+1),0))</f>
        <v>#REF!</v>
      </c>
      <c r="DT149" s="231" t="e">
        <f ca="1">IF(SUM(DT$24:DT148)=DT$22,0,IF(AND(K149&gt;=DT$15,K149&lt;(DT$16+1)),DT$22/(DT$16-DT$15+1),0))</f>
        <v>#REF!</v>
      </c>
      <c r="DU149" s="231" t="e">
        <f ca="1">IF(SUM(DU$24:DU148)=DU$22,0,IF(AND($K149&gt;=DU$15,$K149&lt;(DU$16+1)),DU$22/(DU$16-DU$15+1),0))</f>
        <v>#REF!</v>
      </c>
      <c r="DV149" s="231">
        <f ca="1">IF(SUM(DV$24:DV148)=DV$22,0,IF(AND($K149&gt;=DV$15,$K149&lt;(DV$16+1)),DV$22/(DV$16-DV$15+1),0))</f>
        <v>0</v>
      </c>
      <c r="DW149" s="231">
        <f ca="1">IF(SUM(DW$24:DW148)=DW$22,0,IF(AND($K149&gt;=DW$15,$K149&lt;(DW$16+1)),DW$22/(DW$16-DW$15+1),0))</f>
        <v>0</v>
      </c>
      <c r="DX149" s="231">
        <f ca="1">IF(SUM(DX$24:DX148)=DX$22,0,IF(AND($K149&gt;=DX$15,$K149&lt;(DX$16+1)),DX$22/(DX$16-DX$15+1),0))</f>
        <v>0</v>
      </c>
      <c r="DY149" s="231">
        <f ca="1">IF(SUM(DY$24:DY148)=DY$22,0,IF(AND($K149&gt;=DY$15,$K149&lt;(DY$16+1)),DY$22/(DY$16-DY$15+1),0))</f>
        <v>0</v>
      </c>
      <c r="EA149" s="749">
        <f t="shared" si="115"/>
        <v>126</v>
      </c>
      <c r="EB149" s="749" t="e">
        <f t="shared" ca="1" si="116"/>
        <v>#REF!</v>
      </c>
      <c r="EC149" s="750" t="e">
        <f t="shared" ca="1" si="82"/>
        <v>#REF!</v>
      </c>
      <c r="ED149" s="749" t="e">
        <f t="shared" ca="1" si="96"/>
        <v>#N/A</v>
      </c>
      <c r="EE149" s="749"/>
      <c r="EF149" s="749"/>
      <c r="EG149" s="749"/>
      <c r="EH149" s="749"/>
      <c r="EI149" s="714" t="e">
        <f t="shared" ca="1" si="83"/>
        <v>#REF!</v>
      </c>
      <c r="EJ149" s="231" t="e">
        <f ca="1">IF(SUM(EJ$24:EJ148)=EJ$22,0,IF(AND($K149&gt;=EJ$15,$K149&lt;(EJ$16+1)),EJ$22/(EJ$16-EJ$15+1),0))</f>
        <v>#REF!</v>
      </c>
      <c r="EK149" s="714" t="e">
        <f t="shared" ca="1" si="117"/>
        <v>#REF!</v>
      </c>
      <c r="EM149" s="60"/>
      <c r="EN149" s="60"/>
    </row>
    <row r="150" spans="1:144" ht="13.9" customHeight="1">
      <c r="A150" s="220"/>
      <c r="B150" s="236">
        <f t="shared" si="84"/>
        <v>127</v>
      </c>
      <c r="C150" s="221">
        <f t="shared" si="85"/>
        <v>47303.504200000199</v>
      </c>
      <c r="D150" s="746" t="e">
        <f t="shared" ca="1" si="86"/>
        <v>#DIV/0!</v>
      </c>
      <c r="E150" s="747" t="e">
        <f t="shared" ca="1" si="88"/>
        <v>#DIV/0!</v>
      </c>
      <c r="F150" s="748" t="e">
        <f ca="1">IF(F149=0,0,SUM($G$24:G150))</f>
        <v>#DIV/0!</v>
      </c>
      <c r="G150" s="225" t="e">
        <f t="shared" ca="1" si="111"/>
        <v>#DIV/0!</v>
      </c>
      <c r="H150" s="746">
        <f t="shared" ca="1" si="87"/>
        <v>0</v>
      </c>
      <c r="I150" s="60"/>
      <c r="J150" s="228"/>
      <c r="K150" s="228">
        <f t="shared" si="112"/>
        <v>127</v>
      </c>
      <c r="L150" s="221">
        <f t="shared" si="113"/>
        <v>47303.504200000199</v>
      </c>
      <c r="M150" s="229">
        <f t="shared" si="133"/>
        <v>0</v>
      </c>
      <c r="N150" s="229">
        <f t="shared" si="133"/>
        <v>0</v>
      </c>
      <c r="O150" s="229">
        <f t="shared" si="133"/>
        <v>0</v>
      </c>
      <c r="P150" s="229">
        <f t="shared" si="133"/>
        <v>0</v>
      </c>
      <c r="Q150" s="229">
        <f t="shared" si="133"/>
        <v>0</v>
      </c>
      <c r="R150" s="229">
        <f t="shared" si="132"/>
        <v>0</v>
      </c>
      <c r="S150" s="229">
        <f t="shared" si="132"/>
        <v>0</v>
      </c>
      <c r="T150" s="229">
        <f t="shared" si="132"/>
        <v>0</v>
      </c>
      <c r="U150" s="229">
        <f t="shared" si="133"/>
        <v>0</v>
      </c>
      <c r="V150" s="229">
        <f t="shared" si="133"/>
        <v>0</v>
      </c>
      <c r="W150" s="229">
        <f t="shared" si="133"/>
        <v>0</v>
      </c>
      <c r="X150" s="229">
        <f t="shared" si="133"/>
        <v>0</v>
      </c>
      <c r="Y150" s="229">
        <f t="shared" si="133"/>
        <v>0</v>
      </c>
      <c r="Z150" s="229">
        <f t="shared" si="133"/>
        <v>0</v>
      </c>
      <c r="AA150" s="229">
        <f t="shared" si="133"/>
        <v>0</v>
      </c>
      <c r="AB150" s="229">
        <f t="shared" si="133"/>
        <v>0</v>
      </c>
      <c r="AC150" s="229">
        <f t="shared" si="133"/>
        <v>0</v>
      </c>
      <c r="AD150" s="229">
        <f t="shared" si="133"/>
        <v>0</v>
      </c>
      <c r="AE150" s="229">
        <f t="shared" si="133"/>
        <v>0</v>
      </c>
      <c r="AF150" s="229">
        <f t="shared" si="133"/>
        <v>0</v>
      </c>
      <c r="AG150" s="229">
        <f t="shared" si="133"/>
        <v>0</v>
      </c>
      <c r="AH150" s="229">
        <f t="shared" si="133"/>
        <v>0</v>
      </c>
      <c r="AI150" s="229">
        <f t="shared" si="133"/>
        <v>0</v>
      </c>
      <c r="AJ150" s="229">
        <f t="shared" si="133"/>
        <v>0</v>
      </c>
      <c r="AK150" s="229">
        <f t="shared" si="133"/>
        <v>0</v>
      </c>
      <c r="AL150" s="229">
        <f t="shared" si="133"/>
        <v>0</v>
      </c>
      <c r="AM150" s="229">
        <f t="shared" si="133"/>
        <v>0</v>
      </c>
      <c r="AN150" s="229">
        <f t="shared" si="133"/>
        <v>0</v>
      </c>
      <c r="AO150" s="229">
        <f t="shared" si="133"/>
        <v>0</v>
      </c>
      <c r="AP150" s="229">
        <f t="shared" si="133"/>
        <v>0</v>
      </c>
      <c r="AQ150" s="229">
        <f t="shared" si="133"/>
        <v>0</v>
      </c>
      <c r="AR150" s="229">
        <f t="shared" si="134"/>
        <v>0</v>
      </c>
      <c r="AS150" s="229">
        <f t="shared" si="134"/>
        <v>0</v>
      </c>
      <c r="AT150" s="229">
        <f t="shared" si="134"/>
        <v>0</v>
      </c>
      <c r="AU150" s="229">
        <f t="shared" si="134"/>
        <v>0</v>
      </c>
      <c r="AV150" s="229">
        <f t="shared" si="134"/>
        <v>0</v>
      </c>
      <c r="AW150" s="229">
        <f t="shared" si="134"/>
        <v>0</v>
      </c>
      <c r="AX150" s="229">
        <f t="shared" si="134"/>
        <v>0</v>
      </c>
      <c r="AY150" s="229">
        <f t="shared" si="134"/>
        <v>0</v>
      </c>
      <c r="AZ150" s="229">
        <f t="shared" si="134"/>
        <v>0</v>
      </c>
      <c r="BA150" s="229">
        <f t="shared" si="134"/>
        <v>0</v>
      </c>
      <c r="BB150" s="229">
        <f t="shared" si="134"/>
        <v>0</v>
      </c>
      <c r="BC150" s="229">
        <f t="shared" si="135"/>
        <v>0</v>
      </c>
      <c r="BD150" s="229">
        <f t="shared" si="135"/>
        <v>0</v>
      </c>
      <c r="BE150" s="229">
        <f t="shared" si="135"/>
        <v>0</v>
      </c>
      <c r="BF150" s="229">
        <f t="shared" si="135"/>
        <v>0</v>
      </c>
      <c r="BG150" s="229">
        <f t="shared" si="135"/>
        <v>0</v>
      </c>
      <c r="BH150" s="229">
        <f t="shared" si="135"/>
        <v>0</v>
      </c>
      <c r="BI150" s="229">
        <f t="shared" si="135"/>
        <v>0</v>
      </c>
      <c r="BJ150" s="229">
        <f t="shared" si="135"/>
        <v>0</v>
      </c>
      <c r="BK150" s="229">
        <f t="shared" si="135"/>
        <v>0</v>
      </c>
      <c r="BL150" s="229">
        <f t="shared" si="135"/>
        <v>0</v>
      </c>
      <c r="BM150" s="229">
        <f t="shared" si="136"/>
        <v>0</v>
      </c>
      <c r="BN150" s="229">
        <f t="shared" si="136"/>
        <v>0</v>
      </c>
      <c r="BO150" s="229">
        <f t="shared" si="136"/>
        <v>0</v>
      </c>
      <c r="BP150" s="229">
        <f t="shared" si="136"/>
        <v>0</v>
      </c>
      <c r="BQ150" s="229">
        <f t="shared" si="136"/>
        <v>0</v>
      </c>
      <c r="BR150" s="229">
        <f t="shared" si="136"/>
        <v>0</v>
      </c>
      <c r="BS150" s="229">
        <f t="shared" si="136"/>
        <v>0</v>
      </c>
      <c r="BT150" s="229">
        <f t="shared" si="136"/>
        <v>0</v>
      </c>
      <c r="BU150" s="229">
        <f t="shared" si="136"/>
        <v>0</v>
      </c>
      <c r="BV150" s="229">
        <f t="shared" si="136"/>
        <v>0</v>
      </c>
      <c r="BW150" s="229">
        <f t="shared" si="136"/>
        <v>0</v>
      </c>
      <c r="BX150" s="229">
        <f t="shared" si="136"/>
        <v>0</v>
      </c>
      <c r="BY150" s="229">
        <f t="shared" si="136"/>
        <v>0</v>
      </c>
      <c r="BZ150" s="229">
        <f t="shared" si="136"/>
        <v>0</v>
      </c>
      <c r="CA150" s="229">
        <f t="shared" si="136"/>
        <v>0</v>
      </c>
      <c r="CB150" s="229">
        <f t="shared" si="137"/>
        <v>0</v>
      </c>
      <c r="CC150" s="229">
        <f t="shared" si="137"/>
        <v>0</v>
      </c>
      <c r="CD150" s="229">
        <f t="shared" si="137"/>
        <v>0</v>
      </c>
      <c r="CE150" s="229">
        <f t="shared" si="137"/>
        <v>0</v>
      </c>
      <c r="CF150" s="229">
        <f t="shared" si="137"/>
        <v>0</v>
      </c>
      <c r="CG150" s="229">
        <f t="shared" si="137"/>
        <v>0</v>
      </c>
      <c r="CH150" s="229">
        <f t="shared" si="137"/>
        <v>0</v>
      </c>
      <c r="CI150" s="229">
        <f t="shared" si="137"/>
        <v>0</v>
      </c>
      <c r="CJ150" s="229">
        <f t="shared" si="137"/>
        <v>0</v>
      </c>
      <c r="CK150" s="229">
        <f t="shared" si="137"/>
        <v>0</v>
      </c>
      <c r="CL150" s="229">
        <f t="shared" si="137"/>
        <v>0</v>
      </c>
      <c r="CM150" s="229">
        <f t="shared" si="137"/>
        <v>0</v>
      </c>
      <c r="CN150" s="229">
        <f t="shared" si="137"/>
        <v>0</v>
      </c>
      <c r="CO150" s="229">
        <f t="shared" si="137"/>
        <v>0</v>
      </c>
      <c r="CP150" s="229">
        <f t="shared" si="137"/>
        <v>0</v>
      </c>
      <c r="CQ150" s="229">
        <f t="shared" si="137"/>
        <v>0</v>
      </c>
      <c r="CR150" s="229">
        <f t="shared" si="137"/>
        <v>0</v>
      </c>
      <c r="CS150" s="230"/>
      <c r="CT150" s="231"/>
      <c r="CU150" s="231"/>
      <c r="CV150" s="231"/>
      <c r="CW150" s="231"/>
      <c r="CX150" s="231"/>
      <c r="CY150" s="231"/>
      <c r="CZ150" s="231"/>
      <c r="DA150" s="231" t="e">
        <f ca="1">IF(SUM(DA$32:DA149)&gt;=DA$22,0,DA$22/(DA$13*4))</f>
        <v>#N/A</v>
      </c>
      <c r="DB150" s="231">
        <f>IF(SUM(DB$24:DB149)=DB$22,0,IF(AND($K150&gt;=DB$15,$K150&lt;(DB$16+1)),DB$22/(DB$16-DB$15+1),0))</f>
        <v>0</v>
      </c>
      <c r="DC150" s="231">
        <f t="shared" si="131"/>
        <v>0</v>
      </c>
      <c r="DD150" s="231">
        <f t="shared" si="131"/>
        <v>0</v>
      </c>
      <c r="DE150" s="231">
        <f t="shared" si="131"/>
        <v>0</v>
      </c>
      <c r="DF150" s="231">
        <f t="shared" si="131"/>
        <v>0</v>
      </c>
      <c r="DG150" s="231">
        <f t="shared" si="131"/>
        <v>0</v>
      </c>
      <c r="DH150" s="231">
        <f t="shared" si="131"/>
        <v>0</v>
      </c>
      <c r="DI150" s="231">
        <f t="shared" si="131"/>
        <v>0</v>
      </c>
      <c r="DJ150" s="231">
        <f t="shared" si="131"/>
        <v>0</v>
      </c>
      <c r="DK150" s="231">
        <f t="shared" si="131"/>
        <v>0</v>
      </c>
      <c r="DL150" s="231">
        <f t="shared" si="131"/>
        <v>0</v>
      </c>
      <c r="DM150" s="231">
        <f t="shared" si="131"/>
        <v>0</v>
      </c>
      <c r="DN150" s="231">
        <f t="shared" si="131"/>
        <v>0</v>
      </c>
      <c r="DO150" s="231">
        <f t="shared" si="131"/>
        <v>0</v>
      </c>
      <c r="DP150" s="231">
        <f>'Offshore CF'!DR150</f>
        <v>0</v>
      </c>
      <c r="DQ150" s="231">
        <f>'Offshore CF'!DS150</f>
        <v>0</v>
      </c>
      <c r="DR150" s="231">
        <f ca="1">IF(SUM(DR$24:DR149)=DR$22,0,IF(AND($K150&gt;=DR$15,$K150&lt;(DR$16+1)),DR$22/(DR$16-DR$15+1),0))</f>
        <v>0</v>
      </c>
      <c r="DS150" s="231" t="e">
        <f ca="1">IF(SUM(DS$24:DS149)=DS$22,0,IF(AND($K150&gt;=DS$15,$K150&lt;(DS$16+1)),DS$22/(DS$16-DS$15+1),0))</f>
        <v>#REF!</v>
      </c>
      <c r="DT150" s="231" t="e">
        <f ca="1">IF(SUM(DT$24:DT149)=DT$22,0,IF(AND(K150&gt;=DT$15,K150&lt;(DT$16+1)),DT$22/(DT$16-DT$15+1),0))</f>
        <v>#REF!</v>
      </c>
      <c r="DU150" s="231" t="e">
        <f ca="1">IF(SUM(DU$24:DU149)=DU$22,0,IF(AND($K150&gt;=DU$15,$K150&lt;(DU$16+1)),DU$22/(DU$16-DU$15+1),0))</f>
        <v>#REF!</v>
      </c>
      <c r="DV150" s="231">
        <f ca="1">IF(SUM(DV$24:DV149)=DV$22,0,IF(AND($K150&gt;=DV$15,$K150&lt;(DV$16+1)),DV$22/(DV$16-DV$15+1),0))</f>
        <v>0</v>
      </c>
      <c r="DW150" s="231">
        <f ca="1">IF(SUM(DW$24:DW149)=DW$22,0,IF(AND($K150&gt;=DW$15,$K150&lt;(DW$16+1)),DW$22/(DW$16-DW$15+1),0))</f>
        <v>0</v>
      </c>
      <c r="DX150" s="231">
        <f ca="1">IF(SUM(DX$24:DX149)=DX$22,0,IF(AND($K150&gt;=DX$15,$K150&lt;(DX$16+1)),DX$22/(DX$16-DX$15+1),0))</f>
        <v>0</v>
      </c>
      <c r="DY150" s="231">
        <f ca="1">IF(SUM(DY$24:DY149)=DY$22,0,IF(AND($K150&gt;=DY$15,$K150&lt;(DY$16+1)),DY$22/(DY$16-DY$15+1),0))</f>
        <v>0</v>
      </c>
      <c r="EA150" s="749">
        <f t="shared" si="115"/>
        <v>127</v>
      </c>
      <c r="EB150" s="749" t="e">
        <f t="shared" ca="1" si="116"/>
        <v>#N/A</v>
      </c>
      <c r="EC150" s="750" t="e">
        <f t="shared" ca="1" si="82"/>
        <v>#N/A</v>
      </c>
      <c r="ED150" s="749" t="e">
        <f t="shared" ca="1" si="96"/>
        <v>#REF!</v>
      </c>
      <c r="EE150" s="749"/>
      <c r="EF150" s="749"/>
      <c r="EG150" s="749"/>
      <c r="EH150" s="749"/>
      <c r="EI150" s="714" t="e">
        <f t="shared" ca="1" si="83"/>
        <v>#N/A</v>
      </c>
      <c r="EJ150" s="231" t="e">
        <f ca="1">IF(SUM(EJ$24:EJ149)=EJ$22,0,IF(AND($K150&gt;=EJ$15,$K150&lt;(EJ$16+1)),EJ$22/(EJ$16-EJ$15+1),0))</f>
        <v>#REF!</v>
      </c>
      <c r="EK150" s="714" t="e">
        <f t="shared" ca="1" si="117"/>
        <v>#N/A</v>
      </c>
      <c r="EM150" s="60"/>
      <c r="EN150" s="60"/>
    </row>
    <row r="151" spans="1:144" ht="13.9" customHeight="1">
      <c r="A151" s="220"/>
      <c r="B151" s="236">
        <f t="shared" si="84"/>
        <v>128</v>
      </c>
      <c r="C151" s="221">
        <f t="shared" si="85"/>
        <v>47333.920900000201</v>
      </c>
      <c r="D151" s="746" t="e">
        <f t="shared" ca="1" si="86"/>
        <v>#DIV/0!</v>
      </c>
      <c r="E151" s="747" t="e">
        <f t="shared" ca="1" si="88"/>
        <v>#DIV/0!</v>
      </c>
      <c r="F151" s="748" t="e">
        <f ca="1">IF(F150=0,0,SUM($G$24:G151))</f>
        <v>#DIV/0!</v>
      </c>
      <c r="G151" s="225" t="e">
        <f t="shared" ca="1" si="111"/>
        <v>#DIV/0!</v>
      </c>
      <c r="H151" s="746">
        <f t="shared" ca="1" si="87"/>
        <v>0</v>
      </c>
      <c r="I151" s="60"/>
      <c r="J151" s="228"/>
      <c r="K151" s="228">
        <f t="shared" si="112"/>
        <v>128</v>
      </c>
      <c r="L151" s="221">
        <f t="shared" si="113"/>
        <v>47333.920900000201</v>
      </c>
      <c r="M151" s="229">
        <f t="shared" si="133"/>
        <v>0</v>
      </c>
      <c r="N151" s="229">
        <f t="shared" si="133"/>
        <v>0</v>
      </c>
      <c r="O151" s="229">
        <f t="shared" si="133"/>
        <v>0</v>
      </c>
      <c r="P151" s="229">
        <f t="shared" si="133"/>
        <v>0</v>
      </c>
      <c r="Q151" s="229">
        <f t="shared" si="133"/>
        <v>0</v>
      </c>
      <c r="R151" s="229">
        <f t="shared" si="132"/>
        <v>0</v>
      </c>
      <c r="S151" s="229">
        <f t="shared" si="132"/>
        <v>0</v>
      </c>
      <c r="T151" s="229">
        <f t="shared" si="132"/>
        <v>0</v>
      </c>
      <c r="U151" s="229">
        <f t="shared" si="133"/>
        <v>0</v>
      </c>
      <c r="V151" s="229">
        <f t="shared" si="133"/>
        <v>0</v>
      </c>
      <c r="W151" s="229">
        <f t="shared" si="133"/>
        <v>0</v>
      </c>
      <c r="X151" s="229">
        <f t="shared" si="133"/>
        <v>0</v>
      </c>
      <c r="Y151" s="229">
        <f t="shared" si="133"/>
        <v>0</v>
      </c>
      <c r="Z151" s="229">
        <f t="shared" si="133"/>
        <v>0</v>
      </c>
      <c r="AA151" s="229">
        <f t="shared" si="133"/>
        <v>0</v>
      </c>
      <c r="AB151" s="229">
        <f t="shared" si="133"/>
        <v>0</v>
      </c>
      <c r="AC151" s="229">
        <f t="shared" si="133"/>
        <v>0</v>
      </c>
      <c r="AD151" s="229">
        <f t="shared" ref="P151:AD153" si="138">IF($K151=AD$13,AD$22*AD$3,IF($K151=AD$14,AD$22*AD$4,IF($K151=AD$15,AD$22*AD$5,IF($K151=AD$16,AD$22*AD$6,IF($K151=AD$17,AD$22*AD$7,IF($K151=AD$18,AD$22*AD$8,IF($K151=AD$19,AD$22*AD$9,IF($K151=AD$20,AD$22*AD$10,0))))))))</f>
        <v>0</v>
      </c>
      <c r="AE151" s="229">
        <f t="shared" si="133"/>
        <v>0</v>
      </c>
      <c r="AF151" s="229">
        <f t="shared" si="133"/>
        <v>0</v>
      </c>
      <c r="AG151" s="229">
        <f t="shared" si="133"/>
        <v>0</v>
      </c>
      <c r="AH151" s="229">
        <f t="shared" si="133"/>
        <v>0</v>
      </c>
      <c r="AI151" s="229">
        <f t="shared" si="133"/>
        <v>0</v>
      </c>
      <c r="AJ151" s="229">
        <f t="shared" si="133"/>
        <v>0</v>
      </c>
      <c r="AK151" s="229">
        <f t="shared" si="133"/>
        <v>0</v>
      </c>
      <c r="AL151" s="229">
        <f t="shared" si="133"/>
        <v>0</v>
      </c>
      <c r="AM151" s="229">
        <f t="shared" si="133"/>
        <v>0</v>
      </c>
      <c r="AN151" s="229">
        <f t="shared" si="133"/>
        <v>0</v>
      </c>
      <c r="AO151" s="229">
        <f t="shared" si="133"/>
        <v>0</v>
      </c>
      <c r="AP151" s="229">
        <f t="shared" si="133"/>
        <v>0</v>
      </c>
      <c r="AQ151" s="229">
        <f t="shared" si="133"/>
        <v>0</v>
      </c>
      <c r="AR151" s="229">
        <f t="shared" si="134"/>
        <v>0</v>
      </c>
      <c r="AS151" s="229">
        <f t="shared" si="134"/>
        <v>0</v>
      </c>
      <c r="AT151" s="229">
        <f t="shared" si="134"/>
        <v>0</v>
      </c>
      <c r="AU151" s="229">
        <f t="shared" si="134"/>
        <v>0</v>
      </c>
      <c r="AV151" s="229">
        <f t="shared" si="134"/>
        <v>0</v>
      </c>
      <c r="AW151" s="229">
        <f t="shared" si="134"/>
        <v>0</v>
      </c>
      <c r="AX151" s="229">
        <f t="shared" si="134"/>
        <v>0</v>
      </c>
      <c r="AY151" s="229">
        <f t="shared" si="134"/>
        <v>0</v>
      </c>
      <c r="AZ151" s="229">
        <f t="shared" si="134"/>
        <v>0</v>
      </c>
      <c r="BA151" s="229">
        <f t="shared" si="134"/>
        <v>0</v>
      </c>
      <c r="BB151" s="229">
        <f t="shared" si="134"/>
        <v>0</v>
      </c>
      <c r="BC151" s="229">
        <f t="shared" si="135"/>
        <v>0</v>
      </c>
      <c r="BD151" s="229">
        <f t="shared" si="135"/>
        <v>0</v>
      </c>
      <c r="BE151" s="229">
        <f t="shared" si="135"/>
        <v>0</v>
      </c>
      <c r="BF151" s="229">
        <f t="shared" si="135"/>
        <v>0</v>
      </c>
      <c r="BG151" s="229">
        <f t="shared" si="135"/>
        <v>0</v>
      </c>
      <c r="BH151" s="229">
        <f t="shared" si="135"/>
        <v>0</v>
      </c>
      <c r="BI151" s="229">
        <f t="shared" si="135"/>
        <v>0</v>
      </c>
      <c r="BJ151" s="229">
        <f t="shared" si="135"/>
        <v>0</v>
      </c>
      <c r="BK151" s="229">
        <f t="shared" si="135"/>
        <v>0</v>
      </c>
      <c r="BL151" s="229">
        <f t="shared" si="135"/>
        <v>0</v>
      </c>
      <c r="BM151" s="229">
        <f t="shared" si="136"/>
        <v>0</v>
      </c>
      <c r="BN151" s="229">
        <f t="shared" si="136"/>
        <v>0</v>
      </c>
      <c r="BO151" s="229">
        <f t="shared" si="136"/>
        <v>0</v>
      </c>
      <c r="BP151" s="229">
        <f t="shared" si="136"/>
        <v>0</v>
      </c>
      <c r="BQ151" s="229">
        <f t="shared" si="136"/>
        <v>0</v>
      </c>
      <c r="BR151" s="229">
        <f t="shared" si="136"/>
        <v>0</v>
      </c>
      <c r="BS151" s="229">
        <f t="shared" si="136"/>
        <v>0</v>
      </c>
      <c r="BT151" s="229">
        <f t="shared" si="136"/>
        <v>0</v>
      </c>
      <c r="BU151" s="229">
        <f t="shared" si="136"/>
        <v>0</v>
      </c>
      <c r="BV151" s="229">
        <f t="shared" si="136"/>
        <v>0</v>
      </c>
      <c r="BW151" s="229">
        <f t="shared" si="136"/>
        <v>0</v>
      </c>
      <c r="BX151" s="229">
        <f t="shared" si="136"/>
        <v>0</v>
      </c>
      <c r="BY151" s="229">
        <f t="shared" si="136"/>
        <v>0</v>
      </c>
      <c r="BZ151" s="229">
        <f t="shared" si="136"/>
        <v>0</v>
      </c>
      <c r="CA151" s="229">
        <f t="shared" si="136"/>
        <v>0</v>
      </c>
      <c r="CB151" s="229">
        <f t="shared" si="137"/>
        <v>0</v>
      </c>
      <c r="CC151" s="229">
        <f t="shared" si="137"/>
        <v>0</v>
      </c>
      <c r="CD151" s="229">
        <f t="shared" si="137"/>
        <v>0</v>
      </c>
      <c r="CE151" s="229">
        <f t="shared" si="137"/>
        <v>0</v>
      </c>
      <c r="CF151" s="229">
        <f t="shared" si="137"/>
        <v>0</v>
      </c>
      <c r="CG151" s="229">
        <f t="shared" si="137"/>
        <v>0</v>
      </c>
      <c r="CH151" s="229">
        <f t="shared" si="137"/>
        <v>0</v>
      </c>
      <c r="CI151" s="229">
        <f t="shared" si="137"/>
        <v>0</v>
      </c>
      <c r="CJ151" s="229">
        <f t="shared" si="137"/>
        <v>0</v>
      </c>
      <c r="CK151" s="229">
        <f t="shared" si="137"/>
        <v>0</v>
      </c>
      <c r="CL151" s="229">
        <f t="shared" si="137"/>
        <v>0</v>
      </c>
      <c r="CM151" s="229">
        <f t="shared" si="137"/>
        <v>0</v>
      </c>
      <c r="CN151" s="229">
        <f t="shared" si="137"/>
        <v>0</v>
      </c>
      <c r="CO151" s="229">
        <f t="shared" si="137"/>
        <v>0</v>
      </c>
      <c r="CP151" s="229">
        <f t="shared" si="137"/>
        <v>0</v>
      </c>
      <c r="CQ151" s="229">
        <f t="shared" si="137"/>
        <v>0</v>
      </c>
      <c r="CR151" s="229">
        <f t="shared" si="137"/>
        <v>0</v>
      </c>
      <c r="CS151" s="230"/>
      <c r="CT151" s="231"/>
      <c r="CU151" s="231"/>
      <c r="CV151" s="231"/>
      <c r="CW151" s="231"/>
      <c r="CX151" s="231"/>
      <c r="CY151" s="231"/>
      <c r="CZ151" s="231"/>
      <c r="DA151" s="231"/>
      <c r="DB151" s="231">
        <f>IF(SUM(DB$24:DB150)=DB$22,0,IF(AND($K151&gt;=DB$15,$K151&lt;(DB$16+1)),DB$22/(DB$16-DB$15+1),0))</f>
        <v>0</v>
      </c>
      <c r="DC151" s="231">
        <f t="shared" si="131"/>
        <v>0</v>
      </c>
      <c r="DD151" s="231">
        <f t="shared" si="131"/>
        <v>0</v>
      </c>
      <c r="DE151" s="231">
        <f t="shared" si="131"/>
        <v>0</v>
      </c>
      <c r="DF151" s="231">
        <f t="shared" si="131"/>
        <v>0</v>
      </c>
      <c r="DG151" s="231">
        <f t="shared" si="131"/>
        <v>0</v>
      </c>
      <c r="DH151" s="231">
        <f t="shared" si="131"/>
        <v>0</v>
      </c>
      <c r="DI151" s="231">
        <f t="shared" si="131"/>
        <v>0</v>
      </c>
      <c r="DJ151" s="231">
        <f t="shared" si="131"/>
        <v>0</v>
      </c>
      <c r="DK151" s="231">
        <f t="shared" si="131"/>
        <v>0</v>
      </c>
      <c r="DL151" s="231">
        <f t="shared" si="131"/>
        <v>0</v>
      </c>
      <c r="DM151" s="231">
        <f t="shared" si="131"/>
        <v>0</v>
      </c>
      <c r="DN151" s="231">
        <f t="shared" si="131"/>
        <v>0</v>
      </c>
      <c r="DO151" s="231">
        <f t="shared" si="131"/>
        <v>0</v>
      </c>
      <c r="DP151" s="231">
        <f>'Offshore CF'!DR151</f>
        <v>0</v>
      </c>
      <c r="DQ151" s="231">
        <f>'Offshore CF'!DS151</f>
        <v>0</v>
      </c>
      <c r="DR151" s="231">
        <f ca="1">IF(SUM(DR$24:DR150)=DR$22,0,IF(AND($K151&gt;=DR$15,$K151&lt;(DR$16+1)),DR$22/(DR$16-DR$15+1),0))</f>
        <v>0</v>
      </c>
      <c r="DS151" s="231" t="e">
        <f ca="1">IF(SUM(DS$24:DS150)=DS$22,0,IF(AND($K151&gt;=DS$15,$K151&lt;(DS$16+1)),DS$22/(DS$16-DS$15+1),0))</f>
        <v>#REF!</v>
      </c>
      <c r="DT151" s="231" t="e">
        <f ca="1">IF(SUM(DT$24:DT150)=DT$22,0,IF(AND(K151&gt;=DT$15,K151&lt;(DT$16+1)),DT$22/(DT$16-DT$15+1),0))</f>
        <v>#REF!</v>
      </c>
      <c r="DU151" s="231" t="e">
        <f ca="1">IF(SUM(DU$24:DU150)=DU$22,0,IF(AND($K151&gt;=DU$15,$K151&lt;(DU$16+1)),DU$22/(DU$16-DU$15+1),0))</f>
        <v>#REF!</v>
      </c>
      <c r="DV151" s="231">
        <f ca="1">IF(SUM(DV$24:DV150)=DV$22,0,IF(AND($K151&gt;=DV$15,$K151&lt;(DV$16+1)),DV$22/(DV$16-DV$15+1),0))</f>
        <v>0</v>
      </c>
      <c r="DW151" s="231">
        <f ca="1">IF(SUM(DW$24:DW150)=DW$22,0,IF(AND($K151&gt;=DW$15,$K151&lt;(DW$16+1)),DW$22/(DW$16-DW$15+1),0))</f>
        <v>0</v>
      </c>
      <c r="DX151" s="231">
        <f ca="1">IF(SUM(DX$24:DX150)=DX$22,0,IF(AND($K151&gt;=DX$15,$K151&lt;(DX$16+1)),DX$22/(DX$16-DX$15+1),0))</f>
        <v>0</v>
      </c>
      <c r="DY151" s="231">
        <f ca="1">IF(SUM(DY$24:DY150)=DY$22,0,IF(AND($K151&gt;=DY$15,$K151&lt;(DY$16+1)),DY$22/(DY$16-DY$15+1),0))</f>
        <v>0</v>
      </c>
      <c r="EA151" s="749">
        <f t="shared" si="115"/>
        <v>128</v>
      </c>
      <c r="EB151" s="749" t="e">
        <f t="shared" ca="1" si="116"/>
        <v>#REF!</v>
      </c>
      <c r="EC151" s="750" t="e">
        <f t="shared" ca="1" si="82"/>
        <v>#REF!</v>
      </c>
      <c r="ED151" s="749" t="e">
        <f t="shared" ca="1" si="96"/>
        <v>#REF!</v>
      </c>
      <c r="EE151" s="749"/>
      <c r="EF151" s="749"/>
      <c r="EG151" s="749"/>
      <c r="EH151" s="749"/>
      <c r="EI151" s="714" t="e">
        <f t="shared" ca="1" si="83"/>
        <v>#REF!</v>
      </c>
      <c r="EJ151" s="231" t="e">
        <f ca="1">IF(SUM(EJ$24:EJ150)=EJ$22,0,IF(AND($K151&gt;=EJ$15,$K151&lt;(EJ$16+1)),EJ$22/(EJ$16-EJ$15+1),0))</f>
        <v>#REF!</v>
      </c>
      <c r="EK151" s="714" t="e">
        <f t="shared" ca="1" si="117"/>
        <v>#REF!</v>
      </c>
      <c r="EM151" s="60"/>
      <c r="EN151" s="60"/>
    </row>
    <row r="152" spans="1:144" ht="13.9" customHeight="1">
      <c r="A152" s="220"/>
      <c r="B152" s="236">
        <f t="shared" si="84"/>
        <v>129</v>
      </c>
      <c r="C152" s="221">
        <f t="shared" si="85"/>
        <v>47364.337600000203</v>
      </c>
      <c r="D152" s="746" t="e">
        <f t="shared" ca="1" si="86"/>
        <v>#DIV/0!</v>
      </c>
      <c r="E152" s="747" t="e">
        <f t="shared" ca="1" si="88"/>
        <v>#DIV/0!</v>
      </c>
      <c r="F152" s="748" t="e">
        <f ca="1">IF(F151=0,0,SUM($G$24:G152))</f>
        <v>#DIV/0!</v>
      </c>
      <c r="G152" s="225" t="e">
        <f ca="1">IF(G$3=0,0,H152/H$155)</f>
        <v>#DIV/0!</v>
      </c>
      <c r="H152" s="746">
        <f t="shared" ca="1" si="87"/>
        <v>0</v>
      </c>
      <c r="I152" s="60"/>
      <c r="J152" s="228"/>
      <c r="K152" s="228">
        <f t="shared" si="112"/>
        <v>129</v>
      </c>
      <c r="L152" s="221">
        <f t="shared" si="113"/>
        <v>47364.337600000203</v>
      </c>
      <c r="M152" s="229">
        <f t="shared" si="133"/>
        <v>0</v>
      </c>
      <c r="N152" s="229">
        <f t="shared" si="133"/>
        <v>0</v>
      </c>
      <c r="O152" s="229">
        <f t="shared" si="133"/>
        <v>0</v>
      </c>
      <c r="P152" s="229">
        <f t="shared" si="138"/>
        <v>0</v>
      </c>
      <c r="Q152" s="229">
        <f t="shared" si="138"/>
        <v>0</v>
      </c>
      <c r="R152" s="229">
        <f t="shared" si="138"/>
        <v>0</v>
      </c>
      <c r="S152" s="229">
        <f t="shared" si="138"/>
        <v>0</v>
      </c>
      <c r="T152" s="229">
        <f t="shared" si="138"/>
        <v>0</v>
      </c>
      <c r="U152" s="229">
        <f t="shared" si="138"/>
        <v>0</v>
      </c>
      <c r="V152" s="229">
        <f t="shared" si="138"/>
        <v>0</v>
      </c>
      <c r="W152" s="229">
        <f t="shared" si="138"/>
        <v>0</v>
      </c>
      <c r="X152" s="229">
        <f t="shared" si="138"/>
        <v>0</v>
      </c>
      <c r="Y152" s="229">
        <f t="shared" si="138"/>
        <v>0</v>
      </c>
      <c r="Z152" s="229">
        <f t="shared" si="138"/>
        <v>0</v>
      </c>
      <c r="AA152" s="229">
        <f t="shared" si="138"/>
        <v>0</v>
      </c>
      <c r="AB152" s="229">
        <f t="shared" si="138"/>
        <v>0</v>
      </c>
      <c r="AC152" s="229">
        <f t="shared" si="138"/>
        <v>0</v>
      </c>
      <c r="AD152" s="229">
        <f t="shared" si="138"/>
        <v>0</v>
      </c>
      <c r="AE152" s="229">
        <f t="shared" si="133"/>
        <v>0</v>
      </c>
      <c r="AF152" s="229">
        <f t="shared" si="133"/>
        <v>0</v>
      </c>
      <c r="AG152" s="229">
        <f t="shared" si="133"/>
        <v>0</v>
      </c>
      <c r="AH152" s="229">
        <f t="shared" si="133"/>
        <v>0</v>
      </c>
      <c r="AI152" s="229">
        <f t="shared" si="133"/>
        <v>0</v>
      </c>
      <c r="AJ152" s="229">
        <f t="shared" si="133"/>
        <v>0</v>
      </c>
      <c r="AK152" s="229">
        <f t="shared" si="133"/>
        <v>0</v>
      </c>
      <c r="AL152" s="229">
        <f t="shared" si="133"/>
        <v>0</v>
      </c>
      <c r="AM152" s="229">
        <f t="shared" si="133"/>
        <v>0</v>
      </c>
      <c r="AN152" s="229">
        <f t="shared" si="133"/>
        <v>0</v>
      </c>
      <c r="AO152" s="229">
        <f t="shared" si="133"/>
        <v>0</v>
      </c>
      <c r="AP152" s="229">
        <f t="shared" si="133"/>
        <v>0</v>
      </c>
      <c r="AQ152" s="229">
        <f t="shared" si="133"/>
        <v>0</v>
      </c>
      <c r="AR152" s="229">
        <f t="shared" si="134"/>
        <v>0</v>
      </c>
      <c r="AS152" s="229">
        <f t="shared" si="134"/>
        <v>0</v>
      </c>
      <c r="AT152" s="229">
        <f t="shared" si="134"/>
        <v>0</v>
      </c>
      <c r="AU152" s="229">
        <f t="shared" si="134"/>
        <v>0</v>
      </c>
      <c r="AV152" s="229">
        <f t="shared" si="134"/>
        <v>0</v>
      </c>
      <c r="AW152" s="229">
        <f t="shared" si="134"/>
        <v>0</v>
      </c>
      <c r="AX152" s="229">
        <f t="shared" si="134"/>
        <v>0</v>
      </c>
      <c r="AY152" s="229">
        <f t="shared" si="134"/>
        <v>0</v>
      </c>
      <c r="AZ152" s="229">
        <f t="shared" si="134"/>
        <v>0</v>
      </c>
      <c r="BA152" s="229">
        <f t="shared" si="134"/>
        <v>0</v>
      </c>
      <c r="BB152" s="229">
        <f t="shared" si="134"/>
        <v>0</v>
      </c>
      <c r="BC152" s="229">
        <f t="shared" si="135"/>
        <v>0</v>
      </c>
      <c r="BD152" s="229">
        <f t="shared" si="135"/>
        <v>0</v>
      </c>
      <c r="BE152" s="229">
        <f t="shared" si="135"/>
        <v>0</v>
      </c>
      <c r="BF152" s="229">
        <f t="shared" si="135"/>
        <v>0</v>
      </c>
      <c r="BG152" s="229">
        <f t="shared" si="135"/>
        <v>0</v>
      </c>
      <c r="BH152" s="229">
        <f t="shared" si="135"/>
        <v>0</v>
      </c>
      <c r="BI152" s="229">
        <f t="shared" si="135"/>
        <v>0</v>
      </c>
      <c r="BJ152" s="229">
        <f t="shared" si="135"/>
        <v>0</v>
      </c>
      <c r="BK152" s="229">
        <f t="shared" si="135"/>
        <v>0</v>
      </c>
      <c r="BL152" s="229">
        <f t="shared" si="135"/>
        <v>0</v>
      </c>
      <c r="BM152" s="229">
        <f t="shared" si="136"/>
        <v>0</v>
      </c>
      <c r="BN152" s="229">
        <f t="shared" si="136"/>
        <v>0</v>
      </c>
      <c r="BO152" s="229">
        <f t="shared" si="136"/>
        <v>0</v>
      </c>
      <c r="BP152" s="229">
        <f t="shared" si="136"/>
        <v>0</v>
      </c>
      <c r="BQ152" s="229">
        <f t="shared" si="136"/>
        <v>0</v>
      </c>
      <c r="BR152" s="229">
        <f t="shared" si="136"/>
        <v>0</v>
      </c>
      <c r="BS152" s="229">
        <f t="shared" si="136"/>
        <v>0</v>
      </c>
      <c r="BT152" s="229">
        <f t="shared" si="136"/>
        <v>0</v>
      </c>
      <c r="BU152" s="229">
        <f t="shared" si="136"/>
        <v>0</v>
      </c>
      <c r="BV152" s="229">
        <f t="shared" si="136"/>
        <v>0</v>
      </c>
      <c r="BW152" s="229">
        <f t="shared" si="136"/>
        <v>0</v>
      </c>
      <c r="BX152" s="229">
        <f t="shared" si="136"/>
        <v>0</v>
      </c>
      <c r="BY152" s="229">
        <f t="shared" si="136"/>
        <v>0</v>
      </c>
      <c r="BZ152" s="229">
        <f t="shared" si="136"/>
        <v>0</v>
      </c>
      <c r="CA152" s="229">
        <f t="shared" si="136"/>
        <v>0</v>
      </c>
      <c r="CB152" s="229">
        <f t="shared" si="137"/>
        <v>0</v>
      </c>
      <c r="CC152" s="229">
        <f t="shared" si="137"/>
        <v>0</v>
      </c>
      <c r="CD152" s="229">
        <f t="shared" si="137"/>
        <v>0</v>
      </c>
      <c r="CE152" s="229">
        <f t="shared" si="137"/>
        <v>0</v>
      </c>
      <c r="CF152" s="229">
        <f t="shared" si="137"/>
        <v>0</v>
      </c>
      <c r="CG152" s="229">
        <f t="shared" si="137"/>
        <v>0</v>
      </c>
      <c r="CH152" s="229">
        <f t="shared" si="137"/>
        <v>0</v>
      </c>
      <c r="CI152" s="229">
        <f t="shared" si="137"/>
        <v>0</v>
      </c>
      <c r="CJ152" s="229">
        <f t="shared" si="137"/>
        <v>0</v>
      </c>
      <c r="CK152" s="229">
        <f t="shared" si="137"/>
        <v>0</v>
      </c>
      <c r="CL152" s="229">
        <f t="shared" si="137"/>
        <v>0</v>
      </c>
      <c r="CM152" s="229">
        <f t="shared" si="137"/>
        <v>0</v>
      </c>
      <c r="CN152" s="229">
        <f t="shared" si="137"/>
        <v>0</v>
      </c>
      <c r="CO152" s="229">
        <f t="shared" si="137"/>
        <v>0</v>
      </c>
      <c r="CP152" s="229">
        <f t="shared" si="137"/>
        <v>0</v>
      </c>
      <c r="CQ152" s="229">
        <f t="shared" si="137"/>
        <v>0</v>
      </c>
      <c r="CR152" s="229">
        <f t="shared" si="137"/>
        <v>0</v>
      </c>
      <c r="CS152" s="230"/>
      <c r="CT152" s="231"/>
      <c r="CU152" s="231"/>
      <c r="CV152" s="231"/>
      <c r="CW152" s="231"/>
      <c r="CX152" s="231"/>
      <c r="CY152" s="231"/>
      <c r="CZ152" s="231"/>
      <c r="DA152" s="231"/>
      <c r="DB152" s="231">
        <f>IF(SUM(DB$24:DB151)=DB$22,0,IF(AND($K152&gt;=DB$15,$K152&lt;(DB$16+1)),DB$22/(DB$16-DB$15+1),0))</f>
        <v>0</v>
      </c>
      <c r="DC152" s="231">
        <f t="shared" si="131"/>
        <v>0</v>
      </c>
      <c r="DD152" s="231">
        <f t="shared" si="131"/>
        <v>0</v>
      </c>
      <c r="DE152" s="231">
        <f t="shared" si="131"/>
        <v>0</v>
      </c>
      <c r="DF152" s="231">
        <f t="shared" si="131"/>
        <v>0</v>
      </c>
      <c r="DG152" s="231">
        <f t="shared" si="131"/>
        <v>0</v>
      </c>
      <c r="DH152" s="231">
        <f t="shared" si="131"/>
        <v>0</v>
      </c>
      <c r="DI152" s="231">
        <f t="shared" si="131"/>
        <v>0</v>
      </c>
      <c r="DJ152" s="231">
        <f t="shared" si="131"/>
        <v>0</v>
      </c>
      <c r="DK152" s="231">
        <f t="shared" si="131"/>
        <v>0</v>
      </c>
      <c r="DL152" s="231">
        <f t="shared" si="131"/>
        <v>0</v>
      </c>
      <c r="DM152" s="231">
        <f t="shared" si="131"/>
        <v>0</v>
      </c>
      <c r="DN152" s="231">
        <f t="shared" si="131"/>
        <v>0</v>
      </c>
      <c r="DO152" s="231">
        <f t="shared" si="131"/>
        <v>0</v>
      </c>
      <c r="DP152" s="231">
        <f>'Offshore CF'!DR152</f>
        <v>0</v>
      </c>
      <c r="DQ152" s="231">
        <f>'Offshore CF'!DS152</f>
        <v>0</v>
      </c>
      <c r="DR152" s="231">
        <f ca="1">IF(SUM(DR$24:DR151)=DR$22,0,IF(AND($K152&gt;=DR$15,$K152&lt;(DR$16+1)),DR$22/(DR$16-DR$15+1),0))</f>
        <v>0</v>
      </c>
      <c r="DS152" s="231" t="e">
        <f ca="1">IF(SUM(DS$24:DS151)=DS$22,0,IF(AND($K152&gt;=DS$15,$K152&lt;(DS$16+1)),DS$22/(DS$16-DS$15+1),0))</f>
        <v>#REF!</v>
      </c>
      <c r="DT152" s="231" t="e">
        <f ca="1">IF(SUM(DT$24:DT151)=DT$22,0,IF(AND(K152&gt;=DT$15,K152&lt;(DT$16+1)),DT$22/(DT$16-DT$15+1),0))</f>
        <v>#REF!</v>
      </c>
      <c r="DU152" s="231" t="e">
        <f ca="1">IF(SUM(DU$24:DU151)=DU$22,0,IF(AND($K152&gt;=DU$15,$K152&lt;(DU$16+1)),DU$22/(DU$16-DU$15+1),0))</f>
        <v>#REF!</v>
      </c>
      <c r="DV152" s="231">
        <f ca="1">IF(SUM(DV$24:DV151)=DV$22,0,IF(AND($K152&gt;=DV$15,$K152&lt;(DV$16+1)),DV$22/(DV$16-DV$15+1),0))</f>
        <v>0</v>
      </c>
      <c r="DW152" s="231">
        <f ca="1">IF(SUM(DW$24:DW151)=DW$22,0,IF(AND($K152&gt;=DW$15,$K152&lt;(DW$16+1)),DW$22/(DW$16-DW$15+1),0))</f>
        <v>0</v>
      </c>
      <c r="DX152" s="231">
        <f ca="1">IF(SUM(DX$24:DX151)=DX$22,0,IF(AND($K152&gt;=DX$15,$K152&lt;(DX$16+1)),DX$22/(DX$16-DX$15+1),0))</f>
        <v>0</v>
      </c>
      <c r="DY152" s="231">
        <f ca="1">IF(SUM(DY$24:DY151)=DY$22,0,IF(AND($K152&gt;=DY$15,$K152&lt;(DY$16+1)),DY$22/(DY$16-DY$15+1),0))</f>
        <v>0</v>
      </c>
      <c r="EA152" s="749">
        <f t="shared" si="115"/>
        <v>129</v>
      </c>
      <c r="EB152" s="749" t="e">
        <f t="shared" ca="1" si="116"/>
        <v>#REF!</v>
      </c>
      <c r="EC152" s="750" t="e">
        <f ca="1">EB152/EB$22</f>
        <v>#REF!</v>
      </c>
      <c r="ED152" s="749" t="e">
        <f t="shared" ca="1" si="96"/>
        <v>#N/A</v>
      </c>
      <c r="EE152" s="749"/>
      <c r="EF152" s="749"/>
      <c r="EG152" s="749"/>
      <c r="EH152" s="749"/>
      <c r="EI152" s="714" t="e">
        <f ca="1">SUM(EB152,ED152:EH152)</f>
        <v>#REF!</v>
      </c>
      <c r="EJ152" s="231" t="e">
        <f ca="1">IF(SUM(EJ$24:EJ151)=EJ$22,0,IF(AND($K152&gt;=EJ$15,$K152&lt;(EJ$16+1)),EJ$22/(EJ$16-EJ$15+1),0))</f>
        <v>#REF!</v>
      </c>
      <c r="EK152" s="714" t="e">
        <f ca="1">SUM(EI152:EJ152)</f>
        <v>#REF!</v>
      </c>
      <c r="EM152" s="60"/>
      <c r="EN152" s="60"/>
    </row>
    <row r="153" spans="1:144">
      <c r="A153" s="220"/>
      <c r="B153" s="236">
        <f>B152+1</f>
        <v>130</v>
      </c>
      <c r="C153" s="221">
        <f>C152+30.4167</f>
        <v>47394.754300000204</v>
      </c>
      <c r="D153" s="746" t="e">
        <f ca="1">E153*G$3</f>
        <v>#DIV/0!</v>
      </c>
      <c r="E153" s="747" t="e">
        <f t="shared" ca="1" si="88"/>
        <v>#DIV/0!</v>
      </c>
      <c r="F153" s="748" t="e">
        <f ca="1">IF(F152=0,0,SUM($G$24:G153))</f>
        <v>#DIV/0!</v>
      </c>
      <c r="G153" s="225" t="e">
        <f ca="1">IF(G$3=0,0,H153/H$155)</f>
        <v>#DIV/0!</v>
      </c>
      <c r="H153" s="746">
        <f ca="1">IF(ISERROR(SUM(EK153)),0,SUM(EK153))</f>
        <v>0</v>
      </c>
      <c r="I153" s="60"/>
      <c r="J153" s="228"/>
      <c r="K153" s="228">
        <f t="shared" si="112"/>
        <v>130</v>
      </c>
      <c r="L153" s="221">
        <f t="shared" si="113"/>
        <v>47394.754300000204</v>
      </c>
      <c r="M153" s="229">
        <f t="shared" si="133"/>
        <v>0</v>
      </c>
      <c r="N153" s="229">
        <f t="shared" si="133"/>
        <v>0</v>
      </c>
      <c r="O153" s="229">
        <f t="shared" si="133"/>
        <v>0</v>
      </c>
      <c r="P153" s="229">
        <f t="shared" si="138"/>
        <v>0</v>
      </c>
      <c r="Q153" s="229">
        <f t="shared" si="138"/>
        <v>0</v>
      </c>
      <c r="R153" s="229">
        <f t="shared" si="138"/>
        <v>0</v>
      </c>
      <c r="S153" s="229">
        <f t="shared" si="138"/>
        <v>0</v>
      </c>
      <c r="T153" s="229">
        <f t="shared" si="138"/>
        <v>0</v>
      </c>
      <c r="U153" s="229">
        <f t="shared" si="138"/>
        <v>0</v>
      </c>
      <c r="V153" s="229">
        <f t="shared" si="138"/>
        <v>0</v>
      </c>
      <c r="W153" s="229">
        <f t="shared" si="138"/>
        <v>0</v>
      </c>
      <c r="X153" s="229">
        <f t="shared" si="138"/>
        <v>0</v>
      </c>
      <c r="Y153" s="229">
        <f t="shared" si="138"/>
        <v>0</v>
      </c>
      <c r="Z153" s="229">
        <f t="shared" si="138"/>
        <v>0</v>
      </c>
      <c r="AA153" s="229">
        <f t="shared" si="138"/>
        <v>0</v>
      </c>
      <c r="AB153" s="229">
        <f t="shared" si="138"/>
        <v>0</v>
      </c>
      <c r="AC153" s="229">
        <f t="shared" si="138"/>
        <v>0</v>
      </c>
      <c r="AD153" s="229">
        <f t="shared" si="138"/>
        <v>0</v>
      </c>
      <c r="AE153" s="229">
        <f t="shared" si="133"/>
        <v>0</v>
      </c>
      <c r="AF153" s="229">
        <f t="shared" si="133"/>
        <v>0</v>
      </c>
      <c r="AG153" s="229">
        <f t="shared" si="133"/>
        <v>0</v>
      </c>
      <c r="AH153" s="229">
        <f t="shared" si="133"/>
        <v>0</v>
      </c>
      <c r="AI153" s="229">
        <f t="shared" si="133"/>
        <v>0</v>
      </c>
      <c r="AJ153" s="229">
        <f t="shared" si="133"/>
        <v>0</v>
      </c>
      <c r="AK153" s="229">
        <f t="shared" si="133"/>
        <v>0</v>
      </c>
      <c r="AL153" s="229">
        <f t="shared" si="133"/>
        <v>0</v>
      </c>
      <c r="AM153" s="229">
        <f t="shared" si="133"/>
        <v>0</v>
      </c>
      <c r="AN153" s="229">
        <f t="shared" si="133"/>
        <v>0</v>
      </c>
      <c r="AO153" s="229">
        <f t="shared" si="133"/>
        <v>0</v>
      </c>
      <c r="AP153" s="229">
        <f t="shared" si="133"/>
        <v>0</v>
      </c>
      <c r="AQ153" s="229">
        <f t="shared" si="133"/>
        <v>0</v>
      </c>
      <c r="AR153" s="229">
        <f t="shared" si="134"/>
        <v>0</v>
      </c>
      <c r="AS153" s="229">
        <f t="shared" si="134"/>
        <v>0</v>
      </c>
      <c r="AT153" s="229">
        <f t="shared" si="134"/>
        <v>0</v>
      </c>
      <c r="AU153" s="229">
        <f t="shared" si="134"/>
        <v>0</v>
      </c>
      <c r="AV153" s="229">
        <f t="shared" si="134"/>
        <v>0</v>
      </c>
      <c r="AW153" s="229">
        <f t="shared" si="134"/>
        <v>0</v>
      </c>
      <c r="AX153" s="229">
        <f t="shared" si="134"/>
        <v>0</v>
      </c>
      <c r="AY153" s="229">
        <f t="shared" si="134"/>
        <v>0</v>
      </c>
      <c r="AZ153" s="229">
        <f t="shared" si="134"/>
        <v>0</v>
      </c>
      <c r="BA153" s="229">
        <f t="shared" si="134"/>
        <v>0</v>
      </c>
      <c r="BB153" s="229">
        <f t="shared" si="134"/>
        <v>0</v>
      </c>
      <c r="BC153" s="229">
        <f t="shared" si="135"/>
        <v>0</v>
      </c>
      <c r="BD153" s="229">
        <f t="shared" si="135"/>
        <v>0</v>
      </c>
      <c r="BE153" s="229">
        <f t="shared" si="135"/>
        <v>0</v>
      </c>
      <c r="BF153" s="229">
        <f t="shared" si="135"/>
        <v>0</v>
      </c>
      <c r="BG153" s="229">
        <f t="shared" si="135"/>
        <v>0</v>
      </c>
      <c r="BH153" s="229">
        <f t="shared" si="135"/>
        <v>0</v>
      </c>
      <c r="BI153" s="229">
        <f t="shared" si="135"/>
        <v>0</v>
      </c>
      <c r="BJ153" s="229">
        <f t="shared" si="135"/>
        <v>0</v>
      </c>
      <c r="BK153" s="229">
        <f t="shared" si="135"/>
        <v>0</v>
      </c>
      <c r="BL153" s="229">
        <f t="shared" si="135"/>
        <v>0</v>
      </c>
      <c r="BM153" s="229">
        <f t="shared" si="136"/>
        <v>0</v>
      </c>
      <c r="BN153" s="229">
        <f t="shared" si="136"/>
        <v>0</v>
      </c>
      <c r="BO153" s="229">
        <f t="shared" si="136"/>
        <v>0</v>
      </c>
      <c r="BP153" s="229">
        <f t="shared" si="136"/>
        <v>0</v>
      </c>
      <c r="BQ153" s="229">
        <f t="shared" si="136"/>
        <v>0</v>
      </c>
      <c r="BR153" s="229">
        <f t="shared" si="136"/>
        <v>0</v>
      </c>
      <c r="BS153" s="229">
        <f t="shared" si="136"/>
        <v>0</v>
      </c>
      <c r="BT153" s="229">
        <f t="shared" si="136"/>
        <v>0</v>
      </c>
      <c r="BU153" s="229">
        <f t="shared" si="136"/>
        <v>0</v>
      </c>
      <c r="BV153" s="229">
        <f t="shared" si="136"/>
        <v>0</v>
      </c>
      <c r="BW153" s="229">
        <f t="shared" si="136"/>
        <v>0</v>
      </c>
      <c r="BX153" s="229">
        <f t="shared" si="136"/>
        <v>0</v>
      </c>
      <c r="BY153" s="229">
        <f t="shared" si="136"/>
        <v>0</v>
      </c>
      <c r="BZ153" s="229">
        <f t="shared" si="136"/>
        <v>0</v>
      </c>
      <c r="CA153" s="229">
        <f t="shared" si="136"/>
        <v>0</v>
      </c>
      <c r="CB153" s="229">
        <f t="shared" si="137"/>
        <v>0</v>
      </c>
      <c r="CC153" s="229">
        <f t="shared" si="137"/>
        <v>0</v>
      </c>
      <c r="CD153" s="229">
        <f t="shared" si="137"/>
        <v>0</v>
      </c>
      <c r="CE153" s="229">
        <f t="shared" si="137"/>
        <v>0</v>
      </c>
      <c r="CF153" s="229">
        <f t="shared" si="137"/>
        <v>0</v>
      </c>
      <c r="CG153" s="229">
        <f t="shared" si="137"/>
        <v>0</v>
      </c>
      <c r="CH153" s="229">
        <f t="shared" si="137"/>
        <v>0</v>
      </c>
      <c r="CI153" s="229">
        <f t="shared" si="137"/>
        <v>0</v>
      </c>
      <c r="CJ153" s="229">
        <f t="shared" si="137"/>
        <v>0</v>
      </c>
      <c r="CK153" s="229">
        <f t="shared" si="137"/>
        <v>0</v>
      </c>
      <c r="CL153" s="229">
        <f t="shared" si="137"/>
        <v>0</v>
      </c>
      <c r="CM153" s="229">
        <f t="shared" si="137"/>
        <v>0</v>
      </c>
      <c r="CN153" s="229">
        <f t="shared" si="137"/>
        <v>0</v>
      </c>
      <c r="CO153" s="229">
        <f t="shared" si="137"/>
        <v>0</v>
      </c>
      <c r="CP153" s="229">
        <f t="shared" si="137"/>
        <v>0</v>
      </c>
      <c r="CQ153" s="229">
        <f t="shared" si="137"/>
        <v>0</v>
      </c>
      <c r="CR153" s="229">
        <f t="shared" si="137"/>
        <v>0</v>
      </c>
      <c r="CS153" s="230"/>
      <c r="CT153" s="231"/>
      <c r="CU153" s="231"/>
      <c r="CV153" s="231"/>
      <c r="CW153" s="231"/>
      <c r="CX153" s="231"/>
      <c r="CY153" s="231"/>
      <c r="CZ153" s="231"/>
      <c r="DA153" s="231" t="e">
        <f ca="1">IF(SUM(DA$32:DA152)&gt;=DA$22,0,DA$22/(DA$13*4))</f>
        <v>#N/A</v>
      </c>
      <c r="DB153" s="231">
        <f>IF(SUM(DB$24:DB152)=DB$22,0,IF(AND($K153&gt;=DB$15,$K153&lt;(DB$16+1)),DB$22/(DB$16-DB$15+1),0))</f>
        <v>0</v>
      </c>
      <c r="DC153" s="231">
        <f t="shared" si="131"/>
        <v>0</v>
      </c>
      <c r="DD153" s="231">
        <f t="shared" si="131"/>
        <v>0</v>
      </c>
      <c r="DE153" s="231">
        <f t="shared" si="131"/>
        <v>0</v>
      </c>
      <c r="DF153" s="231">
        <f t="shared" si="131"/>
        <v>0</v>
      </c>
      <c r="DG153" s="231">
        <f t="shared" si="131"/>
        <v>0</v>
      </c>
      <c r="DH153" s="231">
        <f t="shared" si="131"/>
        <v>0</v>
      </c>
      <c r="DI153" s="231">
        <f t="shared" si="131"/>
        <v>0</v>
      </c>
      <c r="DJ153" s="231">
        <f t="shared" si="131"/>
        <v>0</v>
      </c>
      <c r="DK153" s="231">
        <f t="shared" si="131"/>
        <v>0</v>
      </c>
      <c r="DL153" s="231">
        <f t="shared" si="131"/>
        <v>0</v>
      </c>
      <c r="DM153" s="231">
        <f t="shared" si="131"/>
        <v>0</v>
      </c>
      <c r="DN153" s="231">
        <f t="shared" si="131"/>
        <v>0</v>
      </c>
      <c r="DO153" s="231">
        <f t="shared" si="131"/>
        <v>0</v>
      </c>
      <c r="DP153" s="231">
        <f>'Offshore CF'!DR153</f>
        <v>0</v>
      </c>
      <c r="DQ153" s="231">
        <f>'Offshore CF'!DS153</f>
        <v>0</v>
      </c>
      <c r="DR153" s="231">
        <f ca="1">IF(SUM(DR$24:DR152)=DR$22,0,IF(AND($K153&gt;=DR$15,$K153&lt;(DR$16+1)),DR$22/(DR$16-DR$15+1),0))</f>
        <v>0</v>
      </c>
      <c r="DS153" s="231" t="e">
        <f ca="1">IF(SUM(DS$24:DS152)=DS$22,0,IF(AND($K153&gt;=DS$15,$K153&lt;(DS$16+1)),DS$22/(DS$16-DS$15+1),0))</f>
        <v>#REF!</v>
      </c>
      <c r="DT153" s="231" t="e">
        <f ca="1">IF(SUM(DT$24:DT152)=DT$22,0,IF(AND(K153&gt;=DT$15,K153&lt;(DT$16+1)),DT$22/(DT$16-DT$15+1),0))</f>
        <v>#REF!</v>
      </c>
      <c r="DU153" s="231" t="e">
        <f ca="1">IF(SUM(DU$24:DU152)=DU$22,0,IF(AND($K153&gt;=DU$15,$K153&lt;(DU$16+1)),DU$22/(DU$16-DU$15+1),0))</f>
        <v>#REF!</v>
      </c>
      <c r="DV153" s="231">
        <f ca="1">IF(SUM(DV$24:DV152)=DV$22,0,IF(AND($K153&gt;=DV$15,$K153&lt;(DV$16+1)),DV$22/(DV$16-DV$15+1),0))</f>
        <v>0</v>
      </c>
      <c r="DW153" s="231">
        <f ca="1">IF(SUM(DW$24:DW152)=DW$22,0,IF(AND($K153&gt;=DW$15,$K153&lt;(DW$16+1)),DW$22/(DW$16-DW$15+1),0))</f>
        <v>0</v>
      </c>
      <c r="DX153" s="231">
        <f ca="1">IF(SUM(DX$24:DX152)=DX$22,0,IF(AND($K153&gt;=DX$15,$K153&lt;(DX$16+1)),DX$22/(DX$16-DX$15+1),0))</f>
        <v>0</v>
      </c>
      <c r="DY153" s="231">
        <f ca="1">IF(SUM(DY$24:DY152)=DY$22,0,IF(AND($K153&gt;=DY$15,$K153&lt;(DY$16+1)),DY$22/(DY$16-DY$15+1),0))</f>
        <v>0</v>
      </c>
      <c r="EA153" s="749">
        <f t="shared" si="115"/>
        <v>130</v>
      </c>
      <c r="EB153" s="749" t="e">
        <f t="shared" ca="1" si="116"/>
        <v>#N/A</v>
      </c>
      <c r="EC153" s="750" t="e">
        <f ca="1">EB153/EB$22</f>
        <v>#N/A</v>
      </c>
      <c r="ED153" s="749" t="e">
        <f t="shared" ca="1" si="96"/>
        <v>#REF!</v>
      </c>
      <c r="EE153" s="749"/>
      <c r="EF153" s="749"/>
      <c r="EG153" s="749"/>
      <c r="EH153" s="749"/>
      <c r="EI153" s="714" t="e">
        <f ca="1">SUM(EB153,ED153:EH153)</f>
        <v>#N/A</v>
      </c>
      <c r="EJ153" s="231" t="e">
        <f ca="1">IF(SUM(EJ$24:EJ152)=EJ$22,0,IF(AND($K153&gt;=EJ$15,$K153&lt;(EJ$16+1)),EJ$22/(EJ$16-EJ$15+1),0))</f>
        <v>#REF!</v>
      </c>
      <c r="EK153" s="714" t="e">
        <f ca="1">SUM(EI153:EJ153)</f>
        <v>#N/A</v>
      </c>
      <c r="EM153" s="60"/>
      <c r="EN153" s="60"/>
    </row>
    <row r="154" spans="1:144">
      <c r="A154" s="257"/>
      <c r="B154" s="236"/>
      <c r="C154" s="221"/>
      <c r="D154" s="746"/>
      <c r="E154" s="223"/>
      <c r="F154" s="258"/>
      <c r="G154" s="225"/>
      <c r="H154" s="753"/>
      <c r="I154" s="223"/>
      <c r="J154" s="228"/>
      <c r="K154" s="228"/>
      <c r="L154" s="221"/>
      <c r="M154" s="223"/>
      <c r="N154" s="223"/>
      <c r="O154" s="223"/>
      <c r="P154" s="223"/>
      <c r="Q154" s="223"/>
      <c r="R154" s="223"/>
      <c r="S154" s="223"/>
      <c r="T154" s="223"/>
      <c r="U154" s="223"/>
      <c r="V154" s="223"/>
      <c r="W154" s="223"/>
      <c r="X154" s="223"/>
      <c r="Y154" s="223"/>
      <c r="Z154" s="223"/>
      <c r="AA154" s="223"/>
      <c r="AB154" s="223"/>
      <c r="AC154" s="223"/>
      <c r="AD154" s="223"/>
      <c r="AE154" s="223"/>
      <c r="AF154" s="223"/>
      <c r="AG154" s="223"/>
      <c r="AH154" s="223"/>
      <c r="AI154" s="223"/>
      <c r="AJ154" s="223"/>
      <c r="AK154" s="223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3"/>
      <c r="BB154" s="223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59"/>
      <c r="BO154" s="259"/>
      <c r="BP154" s="259"/>
      <c r="BQ154" s="259"/>
      <c r="BR154" s="223"/>
      <c r="BS154" s="223"/>
      <c r="BT154" s="223"/>
      <c r="BU154" s="223"/>
      <c r="BV154" s="223"/>
      <c r="BW154" s="223"/>
      <c r="BX154" s="223"/>
      <c r="BY154" s="223"/>
      <c r="BZ154" s="223"/>
      <c r="CA154" s="223"/>
      <c r="CB154" s="223"/>
      <c r="CC154" s="223"/>
      <c r="CD154" s="223"/>
      <c r="CE154" s="223"/>
      <c r="CF154" s="223"/>
      <c r="CG154" s="223"/>
      <c r="CH154" s="223"/>
      <c r="CI154" s="223"/>
      <c r="CJ154" s="223"/>
      <c r="CK154" s="223"/>
      <c r="CL154" s="223"/>
      <c r="CM154" s="223"/>
      <c r="CN154" s="223"/>
      <c r="CO154" s="223"/>
      <c r="CP154" s="223"/>
      <c r="CQ154" s="223"/>
      <c r="CR154" s="223"/>
      <c r="CS154" s="260"/>
      <c r="CT154" s="243"/>
      <c r="CU154" s="243"/>
      <c r="CV154" s="243"/>
      <c r="CW154" s="243"/>
      <c r="CX154" s="243"/>
      <c r="CY154" s="231"/>
      <c r="CZ154" s="231"/>
      <c r="DA154" s="231"/>
      <c r="DB154" s="223"/>
      <c r="DC154" s="231"/>
      <c r="DD154" s="231"/>
      <c r="DE154" s="231"/>
      <c r="DF154" s="231"/>
      <c r="DG154" s="231"/>
      <c r="DH154" s="231"/>
      <c r="DI154" s="231"/>
      <c r="DJ154" s="231"/>
      <c r="DK154" s="231"/>
      <c r="DL154" s="231"/>
      <c r="DM154" s="231"/>
      <c r="DN154" s="231"/>
      <c r="DO154" s="231"/>
      <c r="DP154" s="223"/>
      <c r="DQ154" s="223"/>
      <c r="DR154" s="223"/>
      <c r="DS154" s="223"/>
      <c r="DT154" s="223"/>
      <c r="DU154" s="223"/>
      <c r="DV154" s="223"/>
      <c r="DW154" s="223"/>
      <c r="DX154" s="223"/>
      <c r="DY154" s="223"/>
      <c r="EF154" s="749"/>
      <c r="EG154" s="749"/>
      <c r="EH154" s="749"/>
      <c r="EI154" s="714"/>
      <c r="EJ154" s="223"/>
      <c r="EK154" s="714"/>
      <c r="EM154" s="60"/>
      <c r="EN154" s="60"/>
    </row>
    <row r="155" spans="1:144">
      <c r="A155" s="2714" t="s">
        <v>118</v>
      </c>
      <c r="B155" s="2714"/>
      <c r="C155" s="2714"/>
      <c r="D155" s="261"/>
      <c r="E155" s="261"/>
      <c r="F155" s="262"/>
      <c r="G155" s="262" t="e">
        <f ca="1">SUM(G24:G154)</f>
        <v>#DIV/0!</v>
      </c>
      <c r="H155" s="754">
        <f ca="1">SUM(H24:H154)</f>
        <v>0</v>
      </c>
      <c r="I155" s="181"/>
      <c r="J155" s="265" t="s">
        <v>119</v>
      </c>
      <c r="K155" s="266"/>
      <c r="L155" s="266"/>
      <c r="M155" s="261">
        <f>SUM(M24:M154)</f>
        <v>0</v>
      </c>
      <c r="N155" s="261">
        <f t="shared" ref="N155:CR155" si="139">SUM(N24:N154)</f>
        <v>0</v>
      </c>
      <c r="O155" s="261">
        <f t="shared" si="139"/>
        <v>0</v>
      </c>
      <c r="P155" s="261">
        <f t="shared" ref="P155:AD155" si="140">SUM(P24:P154)</f>
        <v>0</v>
      </c>
      <c r="Q155" s="261">
        <f t="shared" si="140"/>
        <v>0</v>
      </c>
      <c r="R155" s="261">
        <f t="shared" ref="R155:T155" si="141">SUM(R24:R154)</f>
        <v>0</v>
      </c>
      <c r="S155" s="261">
        <f t="shared" si="141"/>
        <v>0</v>
      </c>
      <c r="T155" s="261">
        <f t="shared" si="141"/>
        <v>0</v>
      </c>
      <c r="U155" s="261">
        <f t="shared" si="140"/>
        <v>0</v>
      </c>
      <c r="V155" s="261">
        <f t="shared" si="140"/>
        <v>0</v>
      </c>
      <c r="W155" s="261">
        <f t="shared" si="140"/>
        <v>0</v>
      </c>
      <c r="X155" s="261">
        <f t="shared" si="140"/>
        <v>0</v>
      </c>
      <c r="Y155" s="261">
        <f t="shared" si="140"/>
        <v>0</v>
      </c>
      <c r="Z155" s="261">
        <f t="shared" si="140"/>
        <v>0</v>
      </c>
      <c r="AA155" s="261">
        <f t="shared" si="140"/>
        <v>0</v>
      </c>
      <c r="AB155" s="261">
        <f t="shared" si="140"/>
        <v>0</v>
      </c>
      <c r="AC155" s="261">
        <f t="shared" si="140"/>
        <v>0</v>
      </c>
      <c r="AD155" s="261">
        <f t="shared" si="140"/>
        <v>0</v>
      </c>
      <c r="AE155" s="261">
        <f t="shared" si="139"/>
        <v>0</v>
      </c>
      <c r="AF155" s="261">
        <f>SUM(AF24:AF154)</f>
        <v>0</v>
      </c>
      <c r="AG155" s="261">
        <f>SUM(AG24:AG154)</f>
        <v>0</v>
      </c>
      <c r="AH155" s="261">
        <f>SUM(AH24:AH154)</f>
        <v>0</v>
      </c>
      <c r="AI155" s="261">
        <f t="shared" si="139"/>
        <v>0</v>
      </c>
      <c r="AJ155" s="261">
        <f t="shared" si="139"/>
        <v>0</v>
      </c>
      <c r="AK155" s="261">
        <f t="shared" si="139"/>
        <v>0</v>
      </c>
      <c r="AL155" s="261">
        <f t="shared" si="139"/>
        <v>0</v>
      </c>
      <c r="AM155" s="261">
        <f>SUM(AM24:AM154)</f>
        <v>0</v>
      </c>
      <c r="AN155" s="261">
        <f>SUM(AN24:AN154)</f>
        <v>93.6268400850239</v>
      </c>
      <c r="AO155" s="261">
        <f>SUM(AO24:AO154)</f>
        <v>0</v>
      </c>
      <c r="AP155" s="261">
        <f>SUM(AP24:AP154)</f>
        <v>0</v>
      </c>
      <c r="AQ155" s="261">
        <f t="shared" si="139"/>
        <v>0</v>
      </c>
      <c r="AR155" s="261">
        <f t="shared" si="139"/>
        <v>0</v>
      </c>
      <c r="AS155" s="261">
        <f t="shared" si="139"/>
        <v>0</v>
      </c>
      <c r="AT155" s="261">
        <f t="shared" si="139"/>
        <v>0</v>
      </c>
      <c r="AU155" s="261">
        <f t="shared" si="139"/>
        <v>0</v>
      </c>
      <c r="AV155" s="261">
        <f>SUM(AV24:AV154)</f>
        <v>0</v>
      </c>
      <c r="AW155" s="261">
        <f t="shared" si="139"/>
        <v>0</v>
      </c>
      <c r="AX155" s="261">
        <f t="shared" si="139"/>
        <v>0</v>
      </c>
      <c r="AY155" s="261">
        <f t="shared" si="139"/>
        <v>3.589467835601261</v>
      </c>
      <c r="AZ155" s="261">
        <f t="shared" si="139"/>
        <v>0</v>
      </c>
      <c r="BA155" s="261">
        <f t="shared" si="139"/>
        <v>0</v>
      </c>
      <c r="BB155" s="261">
        <f t="shared" si="139"/>
        <v>0</v>
      </c>
      <c r="BC155" s="261">
        <f t="shared" si="139"/>
        <v>0</v>
      </c>
      <c r="BD155" s="261">
        <f t="shared" si="139"/>
        <v>0</v>
      </c>
      <c r="BE155" s="261">
        <f t="shared" si="139"/>
        <v>0</v>
      </c>
      <c r="BF155" s="261">
        <f t="shared" si="139"/>
        <v>0</v>
      </c>
      <c r="BG155" s="261">
        <f t="shared" si="139"/>
        <v>0</v>
      </c>
      <c r="BH155" s="261">
        <f t="shared" si="139"/>
        <v>0</v>
      </c>
      <c r="BI155" s="261">
        <f t="shared" si="139"/>
        <v>0</v>
      </c>
      <c r="BJ155" s="261">
        <f t="shared" si="139"/>
        <v>0</v>
      </c>
      <c r="BK155" s="261">
        <f t="shared" si="139"/>
        <v>0</v>
      </c>
      <c r="BL155" s="261">
        <f t="shared" si="139"/>
        <v>0</v>
      </c>
      <c r="BM155" s="261">
        <f t="shared" si="139"/>
        <v>0</v>
      </c>
      <c r="BN155" s="261">
        <f>SUM(BN24:BN154)</f>
        <v>0</v>
      </c>
      <c r="BO155" s="261">
        <f>SUM(BO24:BO154)</f>
        <v>0</v>
      </c>
      <c r="BP155" s="261">
        <f>SUM(BP24:BP154)</f>
        <v>0</v>
      </c>
      <c r="BQ155" s="261">
        <f>SUM(BQ24:BQ154)</f>
        <v>0</v>
      </c>
      <c r="BR155" s="261">
        <f t="shared" si="139"/>
        <v>0</v>
      </c>
      <c r="BS155" s="261">
        <f t="shared" si="139"/>
        <v>0</v>
      </c>
      <c r="BT155" s="261">
        <f t="shared" si="139"/>
        <v>0</v>
      </c>
      <c r="BU155" s="261">
        <f t="shared" si="139"/>
        <v>0</v>
      </c>
      <c r="BV155" s="261">
        <f t="shared" si="139"/>
        <v>0</v>
      </c>
      <c r="BW155" s="261">
        <f t="shared" si="139"/>
        <v>0</v>
      </c>
      <c r="BX155" s="261">
        <f>SUM(BX24:BX154)</f>
        <v>0</v>
      </c>
      <c r="BY155" s="261">
        <f>SUM(BY24:BY154)</f>
        <v>0</v>
      </c>
      <c r="BZ155" s="261">
        <f t="shared" si="139"/>
        <v>0</v>
      </c>
      <c r="CA155" s="261">
        <f t="shared" si="139"/>
        <v>0</v>
      </c>
      <c r="CB155" s="261">
        <f t="shared" si="139"/>
        <v>0</v>
      </c>
      <c r="CC155" s="261">
        <f t="shared" ref="CC155" si="142">SUM(CC24:CC154)</f>
        <v>0</v>
      </c>
      <c r="CD155" s="261">
        <f t="shared" si="139"/>
        <v>0</v>
      </c>
      <c r="CE155" s="261">
        <f t="shared" ref="CE155:CK155" si="143">SUM(CE24:CE154)</f>
        <v>0</v>
      </c>
      <c r="CF155" s="261">
        <f t="shared" si="143"/>
        <v>0</v>
      </c>
      <c r="CG155" s="261">
        <f t="shared" si="143"/>
        <v>0</v>
      </c>
      <c r="CH155" s="261">
        <f>SUM(CH24:CH154)</f>
        <v>0</v>
      </c>
      <c r="CI155" s="261">
        <f>SUM(CI24:CI154)</f>
        <v>0</v>
      </c>
      <c r="CJ155" s="261">
        <f t="shared" si="143"/>
        <v>0</v>
      </c>
      <c r="CK155" s="261">
        <f t="shared" si="143"/>
        <v>0</v>
      </c>
      <c r="CL155" s="261">
        <f>SUM(CL24:CL154)</f>
        <v>0</v>
      </c>
      <c r="CM155" s="261">
        <f t="shared" si="139"/>
        <v>0</v>
      </c>
      <c r="CN155" s="261">
        <f t="shared" si="139"/>
        <v>0</v>
      </c>
      <c r="CO155" s="261">
        <f t="shared" si="139"/>
        <v>0</v>
      </c>
      <c r="CP155" s="261">
        <f t="shared" si="139"/>
        <v>28</v>
      </c>
      <c r="CQ155" s="261">
        <f t="shared" si="139"/>
        <v>0</v>
      </c>
      <c r="CR155" s="261">
        <f t="shared" si="139"/>
        <v>0</v>
      </c>
      <c r="CS155" s="267"/>
      <c r="CT155" s="261">
        <f t="shared" ref="CT155" si="144">SUM(CT24:CT154)</f>
        <v>0</v>
      </c>
      <c r="CU155" s="261">
        <f t="shared" ref="CU155:DX155" si="145">SUM(CU24:CU154)</f>
        <v>0</v>
      </c>
      <c r="CV155" s="261">
        <f t="shared" si="145"/>
        <v>0</v>
      </c>
      <c r="CW155" s="261" t="e">
        <f t="shared" ca="1" si="145"/>
        <v>#N/A</v>
      </c>
      <c r="CX155" s="261" t="e">
        <f t="shared" ca="1" si="145"/>
        <v>#N/A</v>
      </c>
      <c r="CY155" s="261" t="e">
        <f t="shared" ca="1" si="145"/>
        <v>#N/A</v>
      </c>
      <c r="CZ155" s="261" t="e">
        <f t="shared" ref="CZ155" ca="1" si="146">SUM(CZ24:CZ154)</f>
        <v>#N/A</v>
      </c>
      <c r="DA155" s="261" t="e">
        <f ca="1">SUM(DA32:DA154)</f>
        <v>#N/A</v>
      </c>
      <c r="DB155" s="261">
        <f t="shared" si="145"/>
        <v>0</v>
      </c>
      <c r="DC155" s="261">
        <f t="shared" si="145"/>
        <v>0</v>
      </c>
      <c r="DD155" s="261">
        <f t="shared" si="145"/>
        <v>0</v>
      </c>
      <c r="DE155" s="261">
        <f t="shared" si="145"/>
        <v>0</v>
      </c>
      <c r="DF155" s="261">
        <f t="shared" ref="DF155:DH155" si="147">SUM(DF24:DF154)</f>
        <v>0</v>
      </c>
      <c r="DG155" s="261">
        <f t="shared" si="147"/>
        <v>0</v>
      </c>
      <c r="DH155" s="261">
        <f t="shared" si="147"/>
        <v>0</v>
      </c>
      <c r="DI155" s="261">
        <f>SUM(DI24:DI154)</f>
        <v>0</v>
      </c>
      <c r="DJ155" s="261">
        <f>SUM(DJ24:DJ154)</f>
        <v>0</v>
      </c>
      <c r="DK155" s="261">
        <f>SUM(DK24:DK154)</f>
        <v>1.716</v>
      </c>
      <c r="DL155" s="261">
        <f>SUM(DL24:DL154)</f>
        <v>0</v>
      </c>
      <c r="DM155" s="261">
        <f>SUM(DM24:DM154)</f>
        <v>0</v>
      </c>
      <c r="DN155" s="261">
        <f t="shared" ref="DN155:DO155" si="148">SUM(DN24:DN154)</f>
        <v>0</v>
      </c>
      <c r="DO155" s="261">
        <f t="shared" si="148"/>
        <v>9.8280000000000006E-2</v>
      </c>
      <c r="DP155" s="261">
        <f t="shared" si="145"/>
        <v>2.4000000000000004</v>
      </c>
      <c r="DQ155" s="261">
        <f t="shared" si="145"/>
        <v>17.920000000000016</v>
      </c>
      <c r="DR155" s="261">
        <f ca="1">SUM(DR24:DR154)</f>
        <v>0</v>
      </c>
      <c r="DS155" s="261" t="e">
        <f ca="1">SUM(DS24:DS154)</f>
        <v>#REF!</v>
      </c>
      <c r="DT155" s="261" t="e">
        <f t="shared" ca="1" si="145"/>
        <v>#REF!</v>
      </c>
      <c r="DU155" s="261" t="e">
        <f t="shared" ref="DU155" ca="1" si="149">SUM(DU24:DU154)</f>
        <v>#REF!</v>
      </c>
      <c r="DV155" s="261">
        <f t="shared" ca="1" si="145"/>
        <v>0</v>
      </c>
      <c r="DW155" s="261">
        <f t="shared" ca="1" si="145"/>
        <v>0</v>
      </c>
      <c r="DX155" s="261">
        <f t="shared" ca="1" si="145"/>
        <v>0</v>
      </c>
      <c r="DY155" s="261">
        <f ca="1">SUM(DY24:DY154)</f>
        <v>0</v>
      </c>
      <c r="EB155" s="261" t="e">
        <f t="shared" ref="EB155:EJ155" ca="1" si="150">SUM(EB24:EB154)</f>
        <v>#REF!</v>
      </c>
      <c r="EC155" s="262" t="e">
        <f t="shared" ca="1" si="150"/>
        <v>#REF!</v>
      </c>
      <c r="ED155" s="261" t="e">
        <f ca="1">SUM(ED24:ED154)</f>
        <v>#REF!</v>
      </c>
      <c r="EE155" s="261">
        <f t="shared" si="150"/>
        <v>0</v>
      </c>
      <c r="EF155" s="261">
        <f t="shared" si="150"/>
        <v>0</v>
      </c>
      <c r="EG155" s="261">
        <f t="shared" si="150"/>
        <v>0</v>
      </c>
      <c r="EH155" s="261">
        <f>SUM(EH24:EH154)</f>
        <v>0</v>
      </c>
      <c r="EI155" s="754" t="e">
        <f t="shared" ca="1" si="150"/>
        <v>#REF!</v>
      </c>
      <c r="EJ155" s="261" t="e">
        <f t="shared" ca="1" si="150"/>
        <v>#REF!</v>
      </c>
      <c r="EK155" s="754" t="e">
        <f ca="1">SUM(EK24:EK154)</f>
        <v>#REF!</v>
      </c>
      <c r="EM155" s="60"/>
      <c r="EN155" s="60"/>
    </row>
    <row r="156" spans="1:144">
      <c r="A156" s="2713"/>
      <c r="B156" s="2713"/>
      <c r="C156" s="2713"/>
      <c r="D156" s="268"/>
      <c r="E156" s="268"/>
      <c r="F156" s="269"/>
      <c r="G156" s="269"/>
      <c r="H156" s="269"/>
      <c r="I156" s="60"/>
      <c r="J156" s="270" t="s">
        <v>120</v>
      </c>
      <c r="K156" s="271"/>
      <c r="L156" s="271"/>
      <c r="M156" s="272">
        <f>M22</f>
        <v>0</v>
      </c>
      <c r="N156" s="272">
        <f t="shared" ref="N156:CR156" si="151">N22</f>
        <v>0</v>
      </c>
      <c r="O156" s="272">
        <f t="shared" si="151"/>
        <v>0</v>
      </c>
      <c r="P156" s="272">
        <f t="shared" ref="P156:AD156" si="152">P22</f>
        <v>0</v>
      </c>
      <c r="Q156" s="272">
        <f t="shared" si="152"/>
        <v>0</v>
      </c>
      <c r="R156" s="272">
        <f t="shared" ref="R156:T156" si="153">R22</f>
        <v>0</v>
      </c>
      <c r="S156" s="272">
        <f t="shared" si="153"/>
        <v>0</v>
      </c>
      <c r="T156" s="272">
        <f t="shared" si="153"/>
        <v>0</v>
      </c>
      <c r="U156" s="272">
        <f t="shared" si="152"/>
        <v>0</v>
      </c>
      <c r="V156" s="272">
        <f t="shared" si="152"/>
        <v>0</v>
      </c>
      <c r="W156" s="272">
        <f t="shared" si="152"/>
        <v>0</v>
      </c>
      <c r="X156" s="272">
        <f t="shared" si="152"/>
        <v>0</v>
      </c>
      <c r="Y156" s="272">
        <f t="shared" si="152"/>
        <v>0</v>
      </c>
      <c r="Z156" s="272">
        <f t="shared" si="152"/>
        <v>0</v>
      </c>
      <c r="AA156" s="272">
        <f t="shared" si="152"/>
        <v>0</v>
      </c>
      <c r="AB156" s="272">
        <f t="shared" si="152"/>
        <v>0</v>
      </c>
      <c r="AC156" s="272">
        <f t="shared" si="152"/>
        <v>0</v>
      </c>
      <c r="AD156" s="272">
        <f t="shared" si="152"/>
        <v>0</v>
      </c>
      <c r="AE156" s="272">
        <f t="shared" si="151"/>
        <v>0</v>
      </c>
      <c r="AF156" s="272">
        <f>AF22</f>
        <v>0</v>
      </c>
      <c r="AG156" s="272">
        <f>AG22</f>
        <v>0</v>
      </c>
      <c r="AH156" s="272">
        <f>AH22</f>
        <v>0</v>
      </c>
      <c r="AI156" s="272">
        <f t="shared" si="151"/>
        <v>0</v>
      </c>
      <c r="AJ156" s="272">
        <f t="shared" si="151"/>
        <v>0</v>
      </c>
      <c r="AK156" s="272">
        <f t="shared" si="151"/>
        <v>0</v>
      </c>
      <c r="AL156" s="272">
        <f t="shared" si="151"/>
        <v>0</v>
      </c>
      <c r="AM156" s="272">
        <f>AM22</f>
        <v>0</v>
      </c>
      <c r="AN156" s="272">
        <f>AN22</f>
        <v>93.6268400850239</v>
      </c>
      <c r="AO156" s="272">
        <f>AO22</f>
        <v>0</v>
      </c>
      <c r="AP156" s="272">
        <f>AP22</f>
        <v>0</v>
      </c>
      <c r="AQ156" s="272">
        <f t="shared" si="151"/>
        <v>0</v>
      </c>
      <c r="AR156" s="272">
        <f t="shared" si="151"/>
        <v>0</v>
      </c>
      <c r="AS156" s="272">
        <f t="shared" si="151"/>
        <v>0</v>
      </c>
      <c r="AT156" s="272">
        <f t="shared" si="151"/>
        <v>0</v>
      </c>
      <c r="AU156" s="272">
        <f t="shared" si="151"/>
        <v>0</v>
      </c>
      <c r="AV156" s="272">
        <f>AV22</f>
        <v>0</v>
      </c>
      <c r="AW156" s="272">
        <f t="shared" si="151"/>
        <v>0</v>
      </c>
      <c r="AX156" s="272">
        <f t="shared" si="151"/>
        <v>0</v>
      </c>
      <c r="AY156" s="272">
        <f t="shared" si="151"/>
        <v>3.589467835601261</v>
      </c>
      <c r="AZ156" s="272">
        <f t="shared" si="151"/>
        <v>0</v>
      </c>
      <c r="BA156" s="272">
        <f t="shared" si="151"/>
        <v>0</v>
      </c>
      <c r="BB156" s="272">
        <f t="shared" si="151"/>
        <v>0</v>
      </c>
      <c r="BC156" s="272">
        <f t="shared" si="151"/>
        <v>0</v>
      </c>
      <c r="BD156" s="272">
        <f t="shared" si="151"/>
        <v>0</v>
      </c>
      <c r="BE156" s="272">
        <f t="shared" si="151"/>
        <v>0</v>
      </c>
      <c r="BF156" s="272">
        <f t="shared" si="151"/>
        <v>0</v>
      </c>
      <c r="BG156" s="272">
        <f t="shared" si="151"/>
        <v>0</v>
      </c>
      <c r="BH156" s="272">
        <f t="shared" si="151"/>
        <v>0</v>
      </c>
      <c r="BI156" s="272">
        <f t="shared" si="151"/>
        <v>0</v>
      </c>
      <c r="BJ156" s="272">
        <f t="shared" si="151"/>
        <v>0</v>
      </c>
      <c r="BK156" s="272">
        <f t="shared" si="151"/>
        <v>0</v>
      </c>
      <c r="BL156" s="272">
        <f t="shared" si="151"/>
        <v>0</v>
      </c>
      <c r="BM156" s="272">
        <f t="shared" si="151"/>
        <v>0</v>
      </c>
      <c r="BN156" s="272">
        <f>BN22</f>
        <v>0</v>
      </c>
      <c r="BO156" s="272">
        <f>BO22</f>
        <v>0</v>
      </c>
      <c r="BP156" s="272">
        <f>BP22</f>
        <v>0</v>
      </c>
      <c r="BQ156" s="272">
        <f>BQ22</f>
        <v>0</v>
      </c>
      <c r="BR156" s="272">
        <f t="shared" si="151"/>
        <v>0</v>
      </c>
      <c r="BS156" s="272">
        <f t="shared" si="151"/>
        <v>0</v>
      </c>
      <c r="BT156" s="272">
        <f t="shared" si="151"/>
        <v>0</v>
      </c>
      <c r="BU156" s="272">
        <f t="shared" si="151"/>
        <v>0</v>
      </c>
      <c r="BV156" s="272">
        <f t="shared" si="151"/>
        <v>0</v>
      </c>
      <c r="BW156" s="272">
        <f t="shared" si="151"/>
        <v>0</v>
      </c>
      <c r="BX156" s="272">
        <f>BX22</f>
        <v>0</v>
      </c>
      <c r="BY156" s="272">
        <f>BY22</f>
        <v>0</v>
      </c>
      <c r="BZ156" s="272">
        <f t="shared" si="151"/>
        <v>0</v>
      </c>
      <c r="CA156" s="272">
        <f t="shared" si="151"/>
        <v>0</v>
      </c>
      <c r="CB156" s="272">
        <f t="shared" si="151"/>
        <v>0</v>
      </c>
      <c r="CC156" s="272">
        <f t="shared" ref="CC156" si="154">CC22</f>
        <v>0</v>
      </c>
      <c r="CD156" s="272">
        <f t="shared" si="151"/>
        <v>0</v>
      </c>
      <c r="CE156" s="272">
        <f t="shared" ref="CE156:CK156" si="155">CE22</f>
        <v>0</v>
      </c>
      <c r="CF156" s="272">
        <f t="shared" si="155"/>
        <v>0</v>
      </c>
      <c r="CG156" s="272">
        <f t="shared" si="155"/>
        <v>0</v>
      </c>
      <c r="CH156" s="272">
        <f>CH22</f>
        <v>0</v>
      </c>
      <c r="CI156" s="272">
        <f>CI22</f>
        <v>0</v>
      </c>
      <c r="CJ156" s="272">
        <f t="shared" si="155"/>
        <v>0</v>
      </c>
      <c r="CK156" s="272">
        <f t="shared" si="155"/>
        <v>0</v>
      </c>
      <c r="CL156" s="272">
        <f>CL22</f>
        <v>0</v>
      </c>
      <c r="CM156" s="272">
        <f t="shared" si="151"/>
        <v>0</v>
      </c>
      <c r="CN156" s="272">
        <f t="shared" si="151"/>
        <v>0</v>
      </c>
      <c r="CO156" s="272">
        <f t="shared" si="151"/>
        <v>0</v>
      </c>
      <c r="CP156" s="272">
        <f t="shared" si="151"/>
        <v>28</v>
      </c>
      <c r="CQ156" s="272">
        <f t="shared" si="151"/>
        <v>0</v>
      </c>
      <c r="CR156" s="272">
        <f t="shared" si="151"/>
        <v>0</v>
      </c>
      <c r="CS156" s="273"/>
      <c r="CT156" s="272">
        <f t="shared" ref="CT156" si="156">CT22</f>
        <v>0</v>
      </c>
      <c r="CU156" s="272">
        <f t="shared" ref="CU156:DX156" si="157">CU22</f>
        <v>0</v>
      </c>
      <c r="CV156" s="272">
        <f t="shared" si="157"/>
        <v>0</v>
      </c>
      <c r="CW156" s="272" t="e">
        <f t="shared" ca="1" si="157"/>
        <v>#N/A</v>
      </c>
      <c r="CX156" s="272" t="e">
        <f t="shared" ca="1" si="157"/>
        <v>#N/A</v>
      </c>
      <c r="CY156" s="272" t="e">
        <f t="shared" ca="1" si="157"/>
        <v>#N/A</v>
      </c>
      <c r="CZ156" s="272" t="e">
        <f t="shared" ref="CZ156" ca="1" si="158">CZ22</f>
        <v>#N/A</v>
      </c>
      <c r="DA156" s="272" t="e">
        <f t="shared" ca="1" si="157"/>
        <v>#N/A</v>
      </c>
      <c r="DB156" s="272">
        <f t="shared" si="157"/>
        <v>0</v>
      </c>
      <c r="DC156" s="272">
        <f t="shared" si="157"/>
        <v>0</v>
      </c>
      <c r="DD156" s="272">
        <f t="shared" si="157"/>
        <v>0</v>
      </c>
      <c r="DE156" s="272">
        <f t="shared" si="157"/>
        <v>0</v>
      </c>
      <c r="DF156" s="272">
        <f t="shared" ref="DF156:DH156" si="159">DF22</f>
        <v>0</v>
      </c>
      <c r="DG156" s="272">
        <f t="shared" si="159"/>
        <v>0</v>
      </c>
      <c r="DH156" s="272">
        <f t="shared" si="159"/>
        <v>0</v>
      </c>
      <c r="DI156" s="272">
        <f>DI22</f>
        <v>0</v>
      </c>
      <c r="DJ156" s="272">
        <f>DJ22</f>
        <v>0</v>
      </c>
      <c r="DK156" s="272">
        <f>DK22</f>
        <v>1.716</v>
      </c>
      <c r="DL156" s="272">
        <f>DL22</f>
        <v>0</v>
      </c>
      <c r="DM156" s="272">
        <f>DM22</f>
        <v>0</v>
      </c>
      <c r="DN156" s="272">
        <f t="shared" ref="DN156:DO156" si="160">DN22</f>
        <v>0</v>
      </c>
      <c r="DO156" s="272">
        <f t="shared" si="160"/>
        <v>9.828000000000002E-2</v>
      </c>
      <c r="DP156" s="272">
        <f t="shared" si="157"/>
        <v>2.4</v>
      </c>
      <c r="DQ156" s="272">
        <f t="shared" si="157"/>
        <v>17.920000000000002</v>
      </c>
      <c r="DR156" s="272">
        <f>DR22</f>
        <v>0</v>
      </c>
      <c r="DS156" s="272">
        <f>DS22</f>
        <v>21.734999999999999</v>
      </c>
      <c r="DT156" s="272">
        <f t="shared" si="157"/>
        <v>0</v>
      </c>
      <c r="DU156" s="272">
        <f t="shared" ref="DU156" si="161">DU22</f>
        <v>0</v>
      </c>
      <c r="DV156" s="272">
        <f t="shared" si="157"/>
        <v>0</v>
      </c>
      <c r="DW156" s="272">
        <f t="shared" si="157"/>
        <v>0</v>
      </c>
      <c r="DX156" s="272">
        <f t="shared" si="157"/>
        <v>0</v>
      </c>
      <c r="DY156" s="272">
        <f>DY22</f>
        <v>0</v>
      </c>
      <c r="ED156" s="110">
        <f>ED22</f>
        <v>0</v>
      </c>
      <c r="EE156" s="110">
        <f>EE22</f>
        <v>0</v>
      </c>
      <c r="EF156" s="110">
        <f>EF22</f>
        <v>0</v>
      </c>
      <c r="EG156" s="110">
        <f>EG22</f>
        <v>0</v>
      </c>
      <c r="EH156" s="110">
        <f>EH22</f>
        <v>0</v>
      </c>
      <c r="EJ156" s="272" t="e">
        <f t="shared" ref="EJ156" ca="1" si="162">EJ22</f>
        <v>#N/A</v>
      </c>
      <c r="EM156" s="60"/>
      <c r="EN156" s="60"/>
    </row>
    <row r="157" spans="1:144">
      <c r="I157" s="60"/>
      <c r="J157" s="60"/>
      <c r="K157" s="60"/>
      <c r="M157" s="272">
        <f>M155-M156</f>
        <v>0</v>
      </c>
      <c r="N157" s="272">
        <f t="shared" ref="N157:CR157" si="163">N155-N156</f>
        <v>0</v>
      </c>
      <c r="O157" s="272">
        <f t="shared" si="163"/>
        <v>0</v>
      </c>
      <c r="P157" s="272">
        <f t="shared" ref="P157:AD157" si="164">P155-P156</f>
        <v>0</v>
      </c>
      <c r="Q157" s="272">
        <f t="shared" si="164"/>
        <v>0</v>
      </c>
      <c r="R157" s="272">
        <f t="shared" ref="R157:T157" si="165">R155-R156</f>
        <v>0</v>
      </c>
      <c r="S157" s="272">
        <f t="shared" si="165"/>
        <v>0</v>
      </c>
      <c r="T157" s="272">
        <f t="shared" si="165"/>
        <v>0</v>
      </c>
      <c r="U157" s="272">
        <f t="shared" si="164"/>
        <v>0</v>
      </c>
      <c r="V157" s="272">
        <f t="shared" si="164"/>
        <v>0</v>
      </c>
      <c r="W157" s="272">
        <f t="shared" si="164"/>
        <v>0</v>
      </c>
      <c r="X157" s="272">
        <f t="shared" si="164"/>
        <v>0</v>
      </c>
      <c r="Y157" s="272">
        <f t="shared" si="164"/>
        <v>0</v>
      </c>
      <c r="Z157" s="272">
        <f t="shared" si="164"/>
        <v>0</v>
      </c>
      <c r="AA157" s="272">
        <f t="shared" si="164"/>
        <v>0</v>
      </c>
      <c r="AB157" s="272">
        <f t="shared" si="164"/>
        <v>0</v>
      </c>
      <c r="AC157" s="272">
        <f t="shared" si="164"/>
        <v>0</v>
      </c>
      <c r="AD157" s="272">
        <f t="shared" si="164"/>
        <v>0</v>
      </c>
      <c r="AE157" s="272">
        <f t="shared" si="163"/>
        <v>0</v>
      </c>
      <c r="AF157" s="272">
        <f>AF155-AF156</f>
        <v>0</v>
      </c>
      <c r="AG157" s="272">
        <f>AG155-AG156</f>
        <v>0</v>
      </c>
      <c r="AH157" s="272">
        <f>AH155-AH156</f>
        <v>0</v>
      </c>
      <c r="AI157" s="272">
        <f t="shared" si="163"/>
        <v>0</v>
      </c>
      <c r="AJ157" s="272">
        <f t="shared" si="163"/>
        <v>0</v>
      </c>
      <c r="AK157" s="272">
        <f t="shared" si="163"/>
        <v>0</v>
      </c>
      <c r="AL157" s="272">
        <f t="shared" si="163"/>
        <v>0</v>
      </c>
      <c r="AM157" s="272">
        <f>AM155-AM156</f>
        <v>0</v>
      </c>
      <c r="AN157" s="272">
        <f>AN155-AN156</f>
        <v>0</v>
      </c>
      <c r="AO157" s="272">
        <f>AO155-AO156</f>
        <v>0</v>
      </c>
      <c r="AP157" s="272">
        <f>AP155-AP156</f>
        <v>0</v>
      </c>
      <c r="AQ157" s="272">
        <f t="shared" si="163"/>
        <v>0</v>
      </c>
      <c r="AR157" s="272">
        <f t="shared" si="163"/>
        <v>0</v>
      </c>
      <c r="AS157" s="272">
        <f t="shared" si="163"/>
        <v>0</v>
      </c>
      <c r="AT157" s="272">
        <f t="shared" si="163"/>
        <v>0</v>
      </c>
      <c r="AU157" s="272">
        <f t="shared" si="163"/>
        <v>0</v>
      </c>
      <c r="AV157" s="272">
        <f>AV155-AV156</f>
        <v>0</v>
      </c>
      <c r="AW157" s="272">
        <f t="shared" si="163"/>
        <v>0</v>
      </c>
      <c r="AX157" s="272">
        <f t="shared" si="163"/>
        <v>0</v>
      </c>
      <c r="AY157" s="272">
        <f t="shared" si="163"/>
        <v>0</v>
      </c>
      <c r="AZ157" s="272">
        <f t="shared" si="163"/>
        <v>0</v>
      </c>
      <c r="BA157" s="272">
        <f t="shared" si="163"/>
        <v>0</v>
      </c>
      <c r="BB157" s="272">
        <f t="shared" si="163"/>
        <v>0</v>
      </c>
      <c r="BC157" s="272">
        <f t="shared" si="163"/>
        <v>0</v>
      </c>
      <c r="BD157" s="272">
        <f t="shared" si="163"/>
        <v>0</v>
      </c>
      <c r="BE157" s="272">
        <f t="shared" si="163"/>
        <v>0</v>
      </c>
      <c r="BF157" s="272">
        <f t="shared" si="163"/>
        <v>0</v>
      </c>
      <c r="BG157" s="272">
        <f t="shared" si="163"/>
        <v>0</v>
      </c>
      <c r="BH157" s="272">
        <f t="shared" si="163"/>
        <v>0</v>
      </c>
      <c r="BI157" s="272">
        <f t="shared" si="163"/>
        <v>0</v>
      </c>
      <c r="BJ157" s="272">
        <f t="shared" si="163"/>
        <v>0</v>
      </c>
      <c r="BK157" s="272">
        <f t="shared" si="163"/>
        <v>0</v>
      </c>
      <c r="BL157" s="272">
        <f t="shared" si="163"/>
        <v>0</v>
      </c>
      <c r="BM157" s="272">
        <f t="shared" si="163"/>
        <v>0</v>
      </c>
      <c r="BN157" s="272">
        <f>BN155-BN156</f>
        <v>0</v>
      </c>
      <c r="BO157" s="272">
        <f>BO155-BO156</f>
        <v>0</v>
      </c>
      <c r="BP157" s="272">
        <f>BP155-BP156</f>
        <v>0</v>
      </c>
      <c r="BQ157" s="272">
        <f>BQ155-BQ156</f>
        <v>0</v>
      </c>
      <c r="BR157" s="272">
        <f t="shared" si="163"/>
        <v>0</v>
      </c>
      <c r="BS157" s="272">
        <f t="shared" si="163"/>
        <v>0</v>
      </c>
      <c r="BT157" s="272">
        <f t="shared" si="163"/>
        <v>0</v>
      </c>
      <c r="BU157" s="272">
        <f t="shared" si="163"/>
        <v>0</v>
      </c>
      <c r="BV157" s="272">
        <f t="shared" si="163"/>
        <v>0</v>
      </c>
      <c r="BW157" s="272">
        <f t="shared" si="163"/>
        <v>0</v>
      </c>
      <c r="BX157" s="272">
        <f>BX155-BX156</f>
        <v>0</v>
      </c>
      <c r="BY157" s="272">
        <f>BY155-BY156</f>
        <v>0</v>
      </c>
      <c r="BZ157" s="272">
        <f t="shared" si="163"/>
        <v>0</v>
      </c>
      <c r="CA157" s="272">
        <f t="shared" si="163"/>
        <v>0</v>
      </c>
      <c r="CB157" s="272">
        <f t="shared" si="163"/>
        <v>0</v>
      </c>
      <c r="CC157" s="272">
        <f t="shared" ref="CC157" si="166">CC155-CC156</f>
        <v>0</v>
      </c>
      <c r="CD157" s="272">
        <f t="shared" si="163"/>
        <v>0</v>
      </c>
      <c r="CE157" s="272">
        <f t="shared" ref="CE157:CK157" si="167">CE155-CE156</f>
        <v>0</v>
      </c>
      <c r="CF157" s="272">
        <f t="shared" si="167"/>
        <v>0</v>
      </c>
      <c r="CG157" s="272">
        <f t="shared" si="167"/>
        <v>0</v>
      </c>
      <c r="CH157" s="272">
        <f>CH155-CH156</f>
        <v>0</v>
      </c>
      <c r="CI157" s="272">
        <f>CI155-CI156</f>
        <v>0</v>
      </c>
      <c r="CJ157" s="272">
        <f t="shared" si="167"/>
        <v>0</v>
      </c>
      <c r="CK157" s="272">
        <f t="shared" si="167"/>
        <v>0</v>
      </c>
      <c r="CL157" s="272">
        <f>CL155-CL156</f>
        <v>0</v>
      </c>
      <c r="CM157" s="272">
        <f t="shared" si="163"/>
        <v>0</v>
      </c>
      <c r="CN157" s="272">
        <f t="shared" si="163"/>
        <v>0</v>
      </c>
      <c r="CO157" s="272">
        <f t="shared" si="163"/>
        <v>0</v>
      </c>
      <c r="CP157" s="272">
        <f t="shared" si="163"/>
        <v>0</v>
      </c>
      <c r="CQ157" s="272">
        <f t="shared" si="163"/>
        <v>0</v>
      </c>
      <c r="CR157" s="272">
        <f t="shared" si="163"/>
        <v>0</v>
      </c>
      <c r="CS157" s="273"/>
      <c r="CT157" s="272">
        <f t="shared" ref="CT157" si="168">CT155-CT156</f>
        <v>0</v>
      </c>
      <c r="CU157" s="272">
        <f t="shared" ref="CU157:DX157" si="169">CU155-CU156</f>
        <v>0</v>
      </c>
      <c r="CV157" s="272">
        <f t="shared" si="169"/>
        <v>0</v>
      </c>
      <c r="CW157" s="272" t="e">
        <f t="shared" ca="1" si="169"/>
        <v>#N/A</v>
      </c>
      <c r="CX157" s="272" t="e">
        <f t="shared" ca="1" si="169"/>
        <v>#N/A</v>
      </c>
      <c r="CY157" s="272" t="e">
        <f t="shared" ca="1" si="169"/>
        <v>#N/A</v>
      </c>
      <c r="CZ157" s="272" t="e">
        <f t="shared" ref="CZ157" ca="1" si="170">CZ155-CZ156</f>
        <v>#N/A</v>
      </c>
      <c r="DA157" s="272" t="e">
        <f t="shared" ca="1" si="169"/>
        <v>#N/A</v>
      </c>
      <c r="DB157" s="272">
        <f t="shared" si="169"/>
        <v>0</v>
      </c>
      <c r="DC157" s="272">
        <f t="shared" si="169"/>
        <v>0</v>
      </c>
      <c r="DD157" s="272">
        <f t="shared" si="169"/>
        <v>0</v>
      </c>
      <c r="DE157" s="272">
        <f t="shared" si="169"/>
        <v>0</v>
      </c>
      <c r="DF157" s="272">
        <f t="shared" ref="DF157:DH157" si="171">DF155-DF156</f>
        <v>0</v>
      </c>
      <c r="DG157" s="272">
        <f t="shared" si="171"/>
        <v>0</v>
      </c>
      <c r="DH157" s="272">
        <f t="shared" si="171"/>
        <v>0</v>
      </c>
      <c r="DI157" s="272">
        <f>DI155-DI156</f>
        <v>0</v>
      </c>
      <c r="DJ157" s="272">
        <f>DJ155-DJ156</f>
        <v>0</v>
      </c>
      <c r="DK157" s="272">
        <f>DK155-DK156</f>
        <v>0</v>
      </c>
      <c r="DL157" s="272">
        <f>DL155-DL156</f>
        <v>0</v>
      </c>
      <c r="DM157" s="272">
        <f>DM155-DM156</f>
        <v>0</v>
      </c>
      <c r="DN157" s="272">
        <f t="shared" ref="DN157:DO157" si="172">DN155-DN156</f>
        <v>0</v>
      </c>
      <c r="DO157" s="272">
        <f t="shared" si="172"/>
        <v>0</v>
      </c>
      <c r="DP157" s="272">
        <f t="shared" si="169"/>
        <v>0</v>
      </c>
      <c r="DQ157" s="272">
        <f t="shared" si="169"/>
        <v>0</v>
      </c>
      <c r="DR157" s="272">
        <f ca="1">DR155-DR156</f>
        <v>0</v>
      </c>
      <c r="DS157" s="272" t="e">
        <f ca="1">DS155-DS156</f>
        <v>#REF!</v>
      </c>
      <c r="DT157" s="272" t="e">
        <f t="shared" ca="1" si="169"/>
        <v>#REF!</v>
      </c>
      <c r="DU157" s="272" t="e">
        <f t="shared" ref="DU157" ca="1" si="173">DU155-DU156</f>
        <v>#REF!</v>
      </c>
      <c r="DV157" s="272">
        <f t="shared" ca="1" si="169"/>
        <v>0</v>
      </c>
      <c r="DW157" s="272">
        <f t="shared" ca="1" si="169"/>
        <v>0</v>
      </c>
      <c r="DX157" s="272">
        <f t="shared" ca="1" si="169"/>
        <v>0</v>
      </c>
      <c r="DY157" s="272">
        <f ca="1">DY155-DY156</f>
        <v>0</v>
      </c>
      <c r="ED157" s="110" t="e">
        <f ca="1">ED155-ED156</f>
        <v>#REF!</v>
      </c>
      <c r="EE157" s="110">
        <f>EE155-EE156</f>
        <v>0</v>
      </c>
      <c r="EF157" s="110">
        <f>EF155-EF156</f>
        <v>0</v>
      </c>
      <c r="EG157" s="110">
        <f>EG155-EG156</f>
        <v>0</v>
      </c>
      <c r="EH157" s="110">
        <f>EH155-EH156</f>
        <v>0</v>
      </c>
      <c r="EJ157" s="272" t="e">
        <f t="shared" ref="EJ157" ca="1" si="174">EJ155-EJ156</f>
        <v>#REF!</v>
      </c>
      <c r="EM157" s="60"/>
      <c r="EN157" s="60"/>
    </row>
    <row r="158" spans="1:144">
      <c r="I158" s="60"/>
      <c r="J158" s="60"/>
      <c r="K158" s="60"/>
      <c r="DZ158" s="60"/>
      <c r="EA158" s="60"/>
      <c r="EB158" s="60"/>
      <c r="EC158" s="60"/>
      <c r="ED158" s="60"/>
      <c r="EE158" s="60"/>
      <c r="EF158" s="60"/>
      <c r="EG158" s="725"/>
      <c r="EH158" s="725"/>
      <c r="EJ158" s="714"/>
      <c r="EM158" s="60"/>
      <c r="EN158" s="60"/>
    </row>
    <row r="159" spans="1:144">
      <c r="B159" s="269" t="s">
        <v>16</v>
      </c>
      <c r="DZ159" s="60"/>
      <c r="EA159" s="60"/>
      <c r="EB159" s="60"/>
      <c r="EC159" s="60"/>
      <c r="ED159" s="60"/>
      <c r="EE159" s="60"/>
      <c r="EF159" s="60"/>
      <c r="EG159" s="725"/>
      <c r="EH159" s="725"/>
      <c r="EJ159" s="714"/>
      <c r="EM159" s="60"/>
      <c r="EN159" s="60"/>
    </row>
    <row r="160" spans="1:144">
      <c r="EG160" s="725"/>
      <c r="EH160" s="725"/>
      <c r="EJ160" s="714"/>
      <c r="EM160" s="60"/>
      <c r="EN160" s="60"/>
    </row>
    <row r="161" spans="6:144">
      <c r="CY161" s="231"/>
      <c r="CZ161" s="2036"/>
      <c r="EG161" s="725"/>
      <c r="EH161" s="725"/>
      <c r="EJ161" s="714"/>
      <c r="EM161" s="60"/>
      <c r="EN161" s="60"/>
    </row>
    <row r="162" spans="6:144">
      <c r="DT162" s="229"/>
      <c r="EG162" s="725"/>
      <c r="EH162" s="725"/>
      <c r="EJ162" s="714"/>
      <c r="EM162" s="60"/>
      <c r="EN162" s="60"/>
    </row>
    <row r="163" spans="6:144">
      <c r="DT163" s="274"/>
      <c r="EG163" s="725"/>
      <c r="EH163" s="725"/>
      <c r="EJ163" s="714"/>
    </row>
    <row r="164" spans="6:144">
      <c r="F164" s="206"/>
      <c r="EJ164" s="714"/>
    </row>
    <row r="165" spans="6:144">
      <c r="H165" s="206"/>
      <c r="EJ165" s="714"/>
    </row>
    <row r="166" spans="6:144">
      <c r="F166" s="206"/>
      <c r="G166" s="206"/>
      <c r="EJ166" s="714"/>
    </row>
    <row r="167" spans="6:144">
      <c r="F167" s="206"/>
      <c r="EJ167" s="714"/>
    </row>
    <row r="168" spans="6:144">
      <c r="EJ168" s="714"/>
    </row>
    <row r="169" spans="6:144">
      <c r="EJ169" s="714"/>
    </row>
  </sheetData>
  <mergeCells count="4">
    <mergeCell ref="ED19:EG19"/>
    <mergeCell ref="D22:E22"/>
    <mergeCell ref="A155:C155"/>
    <mergeCell ref="A156:C156"/>
  </mergeCells>
  <phoneticPr fontId="42" type="noConversion"/>
  <conditionalFormatting sqref="ED18:EH18 ED24:EH153">
    <cfRule type="expression" dxfId="26" priority="3" stopIfTrue="1">
      <formula>ED$20=$EA18</formula>
    </cfRule>
  </conditionalFormatting>
  <conditionalFormatting sqref="EF154:EH154">
    <cfRule type="expression" dxfId="25" priority="4" stopIfTrue="1">
      <formula>EF$20=$EA154</formula>
    </cfRule>
  </conditionalFormatting>
  <conditionalFormatting sqref="ED157:EH157 M157:CR157 CT157:DY157">
    <cfRule type="cellIs" dxfId="24" priority="5" stopIfTrue="1" operator="notEqual">
      <formula>0</formula>
    </cfRule>
  </conditionalFormatting>
  <conditionalFormatting sqref="EJ157">
    <cfRule type="cellIs" dxfId="23" priority="1" stopIfTrue="1" operator="notEqual">
      <formula>0</formula>
    </cfRule>
  </conditionalFormatting>
  <printOptions horizontalCentered="1"/>
  <pageMargins left="0.18" right="0" top="0.74803149606299213" bottom="0.31496062992125984" header="0.23622047244094491" footer="0.23622047244094491"/>
  <pageSetup scale="50" fitToWidth="15" pageOrder="overThenDown" orientation="landscape" blackAndWhite="1" horizontalDpi="4294967292" verticalDpi="4294967292" r:id="rId1"/>
  <headerFooter alignWithMargins="0">
    <oddHeader>&amp;R&amp;"Times New Roman,Bold"&amp;20CASH FLOW</oddHeader>
    <oddFooter xml:space="preserve">&amp;L&amp;"Times New Roman,Regular"&amp;F  &amp;A
&amp;D  &amp;T&amp;C&amp;"Times New Roman,Regular"All Dollar Values in 1000's Unless Noted&amp;R&amp;"Times New Roman,Regular"Felix Rev. 9 dated 3/14/05
Page &amp;P of &amp;N&amp;"Times New Roman,Bold"&amp;8
</oddFooter>
  </headerFooter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9"/>
  <dimension ref="A1:J397"/>
  <sheetViews>
    <sheetView workbookViewId="0">
      <selection activeCell="C5" sqref="C5"/>
    </sheetView>
  </sheetViews>
  <sheetFormatPr defaultRowHeight="12.75"/>
  <cols>
    <col min="1" max="1" width="15.140625" bestFit="1" customWidth="1"/>
    <col min="2" max="2" width="14.28515625" bestFit="1" customWidth="1"/>
    <col min="3" max="3" width="17.5703125" style="1463" customWidth="1"/>
    <col min="4" max="4" width="5" style="1463" customWidth="1"/>
    <col min="5" max="5" width="15.28515625" customWidth="1"/>
    <col min="6" max="6" width="22.28515625" bestFit="1" customWidth="1"/>
    <col min="7" max="7" width="24" bestFit="1" customWidth="1"/>
    <col min="8" max="8" width="12.140625" bestFit="1" customWidth="1"/>
    <col min="9" max="9" width="11.7109375" customWidth="1"/>
    <col min="10" max="10" width="28" bestFit="1" customWidth="1"/>
  </cols>
  <sheetData>
    <row r="1" spans="1:10">
      <c r="A1" s="2385" t="s">
        <v>1328</v>
      </c>
      <c r="E1" s="2385" t="s">
        <v>1329</v>
      </c>
    </row>
    <row r="3" spans="1:10" ht="36" customHeight="1">
      <c r="A3" s="695" t="s">
        <v>722</v>
      </c>
      <c r="B3" s="695" t="s">
        <v>723</v>
      </c>
      <c r="C3" s="688" t="s">
        <v>1330</v>
      </c>
      <c r="D3"/>
      <c r="E3" s="695" t="s">
        <v>1332</v>
      </c>
      <c r="F3" s="695" t="s">
        <v>1239</v>
      </c>
      <c r="G3" s="695" t="s">
        <v>63</v>
      </c>
      <c r="H3" s="695" t="s">
        <v>255</v>
      </c>
      <c r="I3" s="695" t="s">
        <v>83</v>
      </c>
      <c r="J3" s="688" t="s">
        <v>1331</v>
      </c>
    </row>
    <row r="4" spans="1:10">
      <c r="A4" s="2088" t="s">
        <v>733</v>
      </c>
      <c r="B4" s="2088" t="s">
        <v>205</v>
      </c>
      <c r="C4" s="688">
        <v>3052.333816546</v>
      </c>
      <c r="D4"/>
      <c r="E4" s="2088" t="s">
        <v>29</v>
      </c>
      <c r="J4" s="688"/>
    </row>
    <row r="5" spans="1:10">
      <c r="A5" s="2088" t="s">
        <v>29</v>
      </c>
      <c r="C5" s="688">
        <v>3052.333816546</v>
      </c>
      <c r="D5"/>
    </row>
    <row r="6" spans="1:10">
      <c r="C6"/>
      <c r="D6"/>
    </row>
    <row r="7" spans="1:10">
      <c r="C7"/>
      <c r="D7"/>
    </row>
    <row r="8" spans="1:10">
      <c r="C8"/>
      <c r="D8"/>
    </row>
    <row r="9" spans="1:10">
      <c r="C9"/>
      <c r="D9"/>
    </row>
    <row r="10" spans="1:10">
      <c r="C10"/>
      <c r="D10"/>
    </row>
    <row r="11" spans="1:10">
      <c r="C11"/>
      <c r="D11"/>
    </row>
    <row r="12" spans="1:10">
      <c r="C12"/>
      <c r="D12"/>
    </row>
    <row r="13" spans="1:10">
      <c r="C13"/>
      <c r="D13"/>
    </row>
    <row r="14" spans="1:10">
      <c r="C14"/>
      <c r="D14"/>
    </row>
    <row r="15" spans="1:10">
      <c r="C15"/>
      <c r="D15"/>
    </row>
    <row r="16" spans="1:10">
      <c r="C16"/>
      <c r="D16"/>
    </row>
    <row r="17" spans="3:4">
      <c r="C17"/>
      <c r="D17"/>
    </row>
    <row r="18" spans="3:4">
      <c r="C18"/>
      <c r="D18"/>
    </row>
    <row r="19" spans="3:4">
      <c r="C19"/>
      <c r="D19"/>
    </row>
    <row r="20" spans="3:4">
      <c r="C20"/>
      <c r="D20"/>
    </row>
    <row r="21" spans="3:4">
      <c r="C21"/>
      <c r="D21"/>
    </row>
    <row r="22" spans="3:4">
      <c r="C22"/>
      <c r="D22"/>
    </row>
    <row r="23" spans="3:4">
      <c r="C23"/>
      <c r="D23"/>
    </row>
    <row r="24" spans="3:4">
      <c r="C24"/>
      <c r="D24"/>
    </row>
    <row r="25" spans="3:4">
      <c r="C25"/>
      <c r="D25"/>
    </row>
    <row r="26" spans="3:4">
      <c r="C26"/>
      <c r="D26"/>
    </row>
    <row r="27" spans="3:4">
      <c r="C27"/>
      <c r="D27"/>
    </row>
    <row r="28" spans="3:4">
      <c r="C28"/>
      <c r="D28"/>
    </row>
    <row r="29" spans="3:4">
      <c r="C29"/>
      <c r="D29"/>
    </row>
    <row r="30" spans="3:4">
      <c r="C30"/>
      <c r="D30"/>
    </row>
    <row r="31" spans="3:4">
      <c r="C31"/>
      <c r="D31"/>
    </row>
    <row r="32" spans="3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  <row r="64" spans="3:4">
      <c r="C64"/>
      <c r="D64"/>
    </row>
    <row r="65" spans="3:4">
      <c r="C65"/>
      <c r="D65"/>
    </row>
    <row r="66" spans="3:4">
      <c r="C66"/>
      <c r="D66"/>
    </row>
    <row r="67" spans="3:4">
      <c r="C67"/>
      <c r="D67"/>
    </row>
    <row r="68" spans="3:4">
      <c r="C68"/>
      <c r="D68"/>
    </row>
    <row r="69" spans="3:4">
      <c r="C69"/>
      <c r="D69"/>
    </row>
    <row r="70" spans="3:4">
      <c r="C70"/>
      <c r="D70"/>
    </row>
    <row r="71" spans="3:4">
      <c r="C71"/>
      <c r="D71"/>
    </row>
    <row r="72" spans="3:4">
      <c r="C72"/>
      <c r="D72"/>
    </row>
    <row r="73" spans="3:4">
      <c r="C73"/>
      <c r="D73"/>
    </row>
    <row r="74" spans="3:4">
      <c r="C74"/>
      <c r="D74"/>
    </row>
    <row r="75" spans="3:4">
      <c r="C75"/>
      <c r="D75"/>
    </row>
    <row r="76" spans="3:4">
      <c r="C76"/>
      <c r="D76"/>
    </row>
    <row r="77" spans="3:4">
      <c r="C77"/>
      <c r="D77"/>
    </row>
    <row r="78" spans="3:4">
      <c r="C78"/>
      <c r="D78"/>
    </row>
    <row r="79" spans="3:4">
      <c r="C79"/>
      <c r="D79"/>
    </row>
    <row r="80" spans="3:4">
      <c r="C80"/>
      <c r="D80"/>
    </row>
    <row r="81" spans="3:4">
      <c r="C81"/>
      <c r="D81"/>
    </row>
    <row r="82" spans="3:4">
      <c r="C82"/>
      <c r="D82"/>
    </row>
    <row r="83" spans="3:4">
      <c r="C83"/>
      <c r="D83"/>
    </row>
    <row r="84" spans="3:4">
      <c r="C84"/>
      <c r="D84"/>
    </row>
    <row r="85" spans="3:4">
      <c r="C85"/>
      <c r="D85"/>
    </row>
    <row r="86" spans="3:4">
      <c r="C86"/>
      <c r="D86"/>
    </row>
    <row r="87" spans="3:4">
      <c r="C87"/>
      <c r="D87"/>
    </row>
    <row r="88" spans="3:4">
      <c r="C88"/>
      <c r="D88"/>
    </row>
    <row r="89" spans="3:4">
      <c r="C89"/>
      <c r="D89"/>
    </row>
    <row r="90" spans="3:4">
      <c r="C90"/>
      <c r="D90"/>
    </row>
    <row r="91" spans="3:4">
      <c r="C91"/>
      <c r="D91"/>
    </row>
    <row r="92" spans="3:4">
      <c r="C92"/>
      <c r="D92"/>
    </row>
    <row r="93" spans="3:4">
      <c r="C93"/>
      <c r="D93"/>
    </row>
    <row r="94" spans="3:4">
      <c r="C94"/>
      <c r="D94"/>
    </row>
    <row r="95" spans="3:4">
      <c r="C95"/>
      <c r="D95"/>
    </row>
    <row r="96" spans="3:4">
      <c r="C96"/>
      <c r="D96"/>
    </row>
    <row r="97" spans="3:4">
      <c r="C97"/>
      <c r="D97"/>
    </row>
    <row r="98" spans="3:4">
      <c r="C98"/>
      <c r="D98"/>
    </row>
    <row r="99" spans="3:4">
      <c r="C99"/>
      <c r="D99"/>
    </row>
    <row r="100" spans="3:4">
      <c r="C100"/>
      <c r="D100"/>
    </row>
    <row r="101" spans="3:4">
      <c r="C101"/>
      <c r="D101"/>
    </row>
    <row r="102" spans="3:4">
      <c r="C102"/>
      <c r="D102"/>
    </row>
    <row r="103" spans="3:4">
      <c r="C103"/>
      <c r="D103"/>
    </row>
    <row r="104" spans="3:4">
      <c r="C104"/>
      <c r="D104"/>
    </row>
    <row r="105" spans="3:4">
      <c r="C105"/>
      <c r="D105"/>
    </row>
    <row r="106" spans="3:4">
      <c r="C106"/>
      <c r="D106"/>
    </row>
    <row r="107" spans="3:4">
      <c r="C107"/>
      <c r="D107"/>
    </row>
    <row r="108" spans="3:4">
      <c r="C108"/>
      <c r="D108"/>
    </row>
    <row r="109" spans="3:4">
      <c r="C109"/>
      <c r="D109"/>
    </row>
    <row r="110" spans="3:4">
      <c r="C110"/>
      <c r="D110"/>
    </row>
    <row r="111" spans="3:4">
      <c r="C111"/>
      <c r="D111"/>
    </row>
    <row r="112" spans="3:4">
      <c r="C112"/>
      <c r="D112"/>
    </row>
    <row r="113" spans="3:4">
      <c r="C113"/>
      <c r="D113"/>
    </row>
    <row r="114" spans="3:4">
      <c r="C114"/>
      <c r="D114"/>
    </row>
    <row r="115" spans="3:4">
      <c r="C115"/>
      <c r="D115"/>
    </row>
    <row r="116" spans="3:4">
      <c r="C116"/>
      <c r="D116"/>
    </row>
    <row r="117" spans="3:4">
      <c r="C117"/>
      <c r="D117"/>
    </row>
    <row r="118" spans="3:4">
      <c r="C118"/>
      <c r="D118"/>
    </row>
    <row r="119" spans="3:4">
      <c r="C119"/>
      <c r="D119"/>
    </row>
    <row r="120" spans="3:4">
      <c r="C120"/>
      <c r="D120"/>
    </row>
    <row r="121" spans="3:4">
      <c r="C121"/>
      <c r="D121"/>
    </row>
    <row r="122" spans="3:4">
      <c r="C122"/>
      <c r="D122"/>
    </row>
    <row r="123" spans="3:4">
      <c r="C123"/>
      <c r="D123"/>
    </row>
    <row r="124" spans="3:4">
      <c r="C124"/>
      <c r="D124"/>
    </row>
    <row r="125" spans="3:4">
      <c r="C125"/>
      <c r="D125"/>
    </row>
    <row r="126" spans="3:4">
      <c r="C126"/>
      <c r="D126"/>
    </row>
    <row r="127" spans="3:4">
      <c r="C127"/>
      <c r="D127"/>
    </row>
    <row r="128" spans="3:4">
      <c r="C128"/>
      <c r="D128"/>
    </row>
    <row r="129" spans="3:4">
      <c r="C129"/>
      <c r="D129"/>
    </row>
    <row r="130" spans="3:4">
      <c r="C130"/>
      <c r="D130"/>
    </row>
    <row r="131" spans="3:4">
      <c r="C131"/>
      <c r="D131"/>
    </row>
    <row r="132" spans="3:4">
      <c r="C132"/>
      <c r="D132"/>
    </row>
    <row r="133" spans="3:4">
      <c r="C133"/>
      <c r="D133"/>
    </row>
    <row r="134" spans="3:4">
      <c r="C134"/>
      <c r="D134"/>
    </row>
    <row r="135" spans="3:4">
      <c r="C135"/>
      <c r="D135"/>
    </row>
    <row r="136" spans="3:4">
      <c r="C136"/>
      <c r="D136"/>
    </row>
    <row r="137" spans="3:4">
      <c r="C137"/>
      <c r="D137"/>
    </row>
    <row r="138" spans="3:4">
      <c r="C138"/>
      <c r="D138"/>
    </row>
    <row r="139" spans="3:4" s="986" customFormat="1"/>
    <row r="140" spans="3:4" s="986" customFormat="1"/>
    <row r="141" spans="3:4" s="986" customFormat="1"/>
    <row r="142" spans="3:4" s="986" customFormat="1"/>
    <row r="143" spans="3:4" s="986" customFormat="1"/>
    <row r="144" spans="3:4" s="986" customFormat="1"/>
    <row r="145" s="986" customFormat="1"/>
    <row r="146" s="986" customFormat="1"/>
    <row r="147" s="986" customFormat="1"/>
    <row r="148" s="986" customFormat="1"/>
    <row r="149" s="986" customFormat="1"/>
    <row r="150" s="986" customFormat="1"/>
    <row r="151" s="986" customFormat="1"/>
    <row r="152" s="986" customFormat="1"/>
    <row r="153" s="986" customFormat="1"/>
    <row r="154" s="986" customFormat="1"/>
    <row r="155" s="986" customFormat="1"/>
    <row r="156" s="986" customFormat="1"/>
    <row r="157" s="986" customFormat="1"/>
    <row r="158" s="986" customFormat="1"/>
    <row r="159" s="986" customFormat="1"/>
    <row r="160" s="986" customFormat="1"/>
    <row r="161" s="986" customFormat="1"/>
    <row r="162" s="986" customFormat="1"/>
    <row r="163" s="986" customFormat="1"/>
    <row r="164" s="986" customFormat="1"/>
    <row r="165" s="986" customFormat="1"/>
    <row r="166" s="986" customFormat="1"/>
    <row r="167" s="986" customFormat="1"/>
    <row r="168" s="986" customFormat="1"/>
    <row r="169" s="986" customFormat="1"/>
    <row r="170" s="986" customFormat="1"/>
    <row r="171" s="986" customFormat="1"/>
    <row r="172" s="986" customFormat="1"/>
    <row r="173" s="986" customFormat="1"/>
    <row r="174" s="986" customFormat="1"/>
    <row r="175" s="986" customFormat="1"/>
    <row r="176" s="986" customFormat="1"/>
    <row r="177" s="986" customFormat="1"/>
    <row r="178" s="986" customFormat="1"/>
    <row r="179" s="986" customFormat="1"/>
    <row r="180" s="986" customFormat="1"/>
    <row r="181" s="986" customFormat="1"/>
    <row r="182" s="986" customFormat="1"/>
    <row r="183" s="986" customFormat="1"/>
    <row r="184" s="986" customFormat="1"/>
    <row r="185" s="986" customFormat="1"/>
    <row r="186" s="986" customFormat="1"/>
    <row r="187" s="986" customFormat="1"/>
    <row r="188" s="986" customFormat="1"/>
    <row r="189" s="986" customFormat="1"/>
    <row r="190" s="986" customFormat="1"/>
    <row r="191" s="986" customFormat="1"/>
    <row r="192" s="986" customFormat="1"/>
    <row r="193" s="986" customFormat="1"/>
    <row r="194" s="986" customFormat="1"/>
    <row r="195" s="986" customFormat="1"/>
    <row r="196" s="986" customFormat="1"/>
    <row r="197" s="986" customFormat="1"/>
    <row r="198" s="986" customFormat="1"/>
    <row r="199" s="986" customFormat="1"/>
    <row r="200" s="986" customFormat="1"/>
    <row r="201" s="986" customFormat="1"/>
    <row r="202" s="986" customFormat="1"/>
    <row r="203" s="986" customFormat="1"/>
    <row r="204" s="986" customFormat="1"/>
    <row r="205" s="986" customFormat="1"/>
    <row r="206" s="986" customFormat="1"/>
    <row r="207" s="986" customFormat="1"/>
    <row r="208" s="986" customFormat="1"/>
    <row r="209" s="986" customFormat="1"/>
    <row r="210" s="986" customFormat="1"/>
    <row r="211" s="986" customFormat="1"/>
    <row r="212" s="986" customFormat="1"/>
    <row r="213" s="986" customFormat="1"/>
    <row r="214" s="986" customFormat="1"/>
    <row r="215" s="986" customFormat="1"/>
    <row r="216" s="986" customFormat="1"/>
    <row r="217" s="986" customFormat="1"/>
    <row r="218" s="986" customFormat="1"/>
    <row r="219" s="986" customFormat="1"/>
    <row r="220" s="986" customFormat="1"/>
    <row r="221" s="986" customFormat="1"/>
    <row r="222" s="986" customFormat="1"/>
    <row r="223" s="986" customFormat="1"/>
    <row r="224" s="986" customFormat="1"/>
    <row r="225" spans="3:4" s="986" customFormat="1"/>
    <row r="226" spans="3:4" s="986" customFormat="1"/>
    <row r="227" spans="3:4" s="986" customFormat="1"/>
    <row r="228" spans="3:4" s="986" customFormat="1"/>
    <row r="229" spans="3:4" s="986" customFormat="1"/>
    <row r="230" spans="3:4">
      <c r="C230"/>
      <c r="D230"/>
    </row>
    <row r="231" spans="3:4">
      <c r="C231"/>
      <c r="D231"/>
    </row>
    <row r="232" spans="3:4">
      <c r="C232"/>
      <c r="D232"/>
    </row>
    <row r="233" spans="3:4">
      <c r="C233"/>
      <c r="D233"/>
    </row>
    <row r="234" spans="3:4">
      <c r="C234"/>
      <c r="D234"/>
    </row>
    <row r="235" spans="3:4">
      <c r="C235"/>
      <c r="D235"/>
    </row>
    <row r="236" spans="3:4">
      <c r="C236"/>
      <c r="D236"/>
    </row>
    <row r="237" spans="3:4">
      <c r="C237"/>
      <c r="D237"/>
    </row>
    <row r="238" spans="3:4">
      <c r="C238"/>
      <c r="D238"/>
    </row>
    <row r="239" spans="3:4">
      <c r="C239"/>
      <c r="D239"/>
    </row>
    <row r="240" spans="3:4">
      <c r="C240"/>
      <c r="D240"/>
    </row>
    <row r="241" spans="1:4">
      <c r="C241"/>
      <c r="D241"/>
    </row>
    <row r="242" spans="1:4">
      <c r="C242"/>
      <c r="D242"/>
    </row>
    <row r="243" spans="1:4">
      <c r="C243"/>
      <c r="D243"/>
    </row>
    <row r="244" spans="1:4">
      <c r="C244"/>
      <c r="D244"/>
    </row>
    <row r="245" spans="1:4">
      <c r="C245"/>
      <c r="D245"/>
    </row>
    <row r="246" spans="1:4">
      <c r="C246"/>
      <c r="D246"/>
    </row>
    <row r="247" spans="1:4">
      <c r="C247"/>
      <c r="D247"/>
    </row>
    <row r="248" spans="1:4">
      <c r="C248"/>
      <c r="D248"/>
    </row>
    <row r="249" spans="1:4">
      <c r="C249"/>
      <c r="D249"/>
    </row>
    <row r="250" spans="1:4">
      <c r="A250" s="695" t="s">
        <v>722</v>
      </c>
      <c r="B250" s="695" t="s">
        <v>723</v>
      </c>
      <c r="C250" s="688" t="s">
        <v>1336</v>
      </c>
      <c r="D250" s="688" t="s">
        <v>1337</v>
      </c>
    </row>
    <row r="251" spans="1:4">
      <c r="A251" s="986" t="s">
        <v>724</v>
      </c>
      <c r="B251" s="986" t="s">
        <v>725</v>
      </c>
      <c r="C251" s="688">
        <v>41524.1789086192</v>
      </c>
      <c r="D251" s="688">
        <v>1713.308212143201</v>
      </c>
    </row>
    <row r="252" spans="1:4">
      <c r="A252" s="986" t="s">
        <v>726</v>
      </c>
      <c r="B252" s="986" t="s">
        <v>735</v>
      </c>
      <c r="C252" s="688">
        <v>48579.433684039424</v>
      </c>
      <c r="D252" s="688">
        <v>1897.251839635124</v>
      </c>
    </row>
    <row r="253" spans="1:4">
      <c r="A253" s="986" t="s">
        <v>784</v>
      </c>
      <c r="B253" s="986" t="s">
        <v>785</v>
      </c>
      <c r="C253" s="688">
        <v>26712.178475722947</v>
      </c>
      <c r="D253" s="688">
        <v>1091.2482594968744</v>
      </c>
    </row>
    <row r="254" spans="1:4">
      <c r="A254" s="986" t="s">
        <v>727</v>
      </c>
      <c r="B254" s="986" t="s">
        <v>222</v>
      </c>
      <c r="C254" s="688">
        <v>32048.317407537801</v>
      </c>
      <c r="D254" s="688">
        <v>1404.1147145468169</v>
      </c>
    </row>
    <row r="255" spans="1:4">
      <c r="A255" s="986" t="s">
        <v>728</v>
      </c>
      <c r="B255" s="986" t="s">
        <v>221</v>
      </c>
      <c r="C255" s="688">
        <v>26669.825517144673</v>
      </c>
      <c r="D255" s="688">
        <v>1136.0670677049302</v>
      </c>
    </row>
    <row r="256" spans="1:4">
      <c r="A256" s="986" t="s">
        <v>732</v>
      </c>
      <c r="B256" s="986" t="s">
        <v>736</v>
      </c>
      <c r="C256" s="688">
        <v>8855.0671050683341</v>
      </c>
      <c r="D256" s="688">
        <v>383.29705034162163</v>
      </c>
    </row>
    <row r="257" spans="1:4">
      <c r="A257" s="986" t="s">
        <v>734</v>
      </c>
      <c r="B257" s="986" t="s">
        <v>740</v>
      </c>
      <c r="C257" s="688">
        <v>2556.0849150817371</v>
      </c>
      <c r="D257" s="688">
        <v>111.70035454584102</v>
      </c>
    </row>
    <row r="258" spans="1:4">
      <c r="A258" s="986" t="s">
        <v>1242</v>
      </c>
      <c r="C258" s="688">
        <v>186945.08601321411</v>
      </c>
      <c r="D258" s="688">
        <v>7736.9874984144089</v>
      </c>
    </row>
    <row r="259" spans="1:4">
      <c r="C259"/>
      <c r="D259"/>
    </row>
    <row r="260" spans="1:4">
      <c r="C260"/>
      <c r="D260"/>
    </row>
    <row r="261" spans="1:4">
      <c r="C261"/>
      <c r="D261"/>
    </row>
    <row r="262" spans="1:4">
      <c r="C262"/>
      <c r="D262"/>
    </row>
    <row r="263" spans="1:4">
      <c r="C263"/>
      <c r="D263"/>
    </row>
    <row r="264" spans="1:4">
      <c r="C264"/>
      <c r="D264"/>
    </row>
    <row r="265" spans="1:4">
      <c r="C265"/>
      <c r="D265"/>
    </row>
    <row r="266" spans="1:4">
      <c r="C266"/>
      <c r="D266"/>
    </row>
    <row r="267" spans="1:4">
      <c r="C267"/>
      <c r="D267"/>
    </row>
    <row r="268" spans="1:4">
      <c r="C268"/>
      <c r="D268"/>
    </row>
    <row r="269" spans="1:4">
      <c r="C269"/>
      <c r="D269"/>
    </row>
    <row r="270" spans="1:4">
      <c r="C270"/>
      <c r="D270"/>
    </row>
    <row r="271" spans="1:4">
      <c r="C271"/>
      <c r="D271"/>
    </row>
    <row r="272" spans="1:4">
      <c r="C272"/>
      <c r="D272"/>
    </row>
    <row r="273" spans="3:4">
      <c r="C273"/>
      <c r="D273"/>
    </row>
    <row r="274" spans="3:4">
      <c r="C274"/>
      <c r="D274"/>
    </row>
    <row r="275" spans="3:4">
      <c r="C275"/>
      <c r="D275"/>
    </row>
    <row r="276" spans="3:4">
      <c r="C276"/>
      <c r="D276"/>
    </row>
    <row r="277" spans="3:4">
      <c r="C277"/>
      <c r="D277"/>
    </row>
    <row r="278" spans="3:4">
      <c r="C278"/>
      <c r="D278"/>
    </row>
    <row r="279" spans="3:4">
      <c r="C279"/>
      <c r="D279"/>
    </row>
    <row r="280" spans="3:4">
      <c r="C280"/>
      <c r="D280"/>
    </row>
    <row r="281" spans="3:4">
      <c r="C281"/>
      <c r="D281"/>
    </row>
    <row r="282" spans="3:4">
      <c r="C282"/>
      <c r="D282"/>
    </row>
    <row r="283" spans="3:4">
      <c r="C283"/>
      <c r="D283"/>
    </row>
    <row r="284" spans="3:4">
      <c r="C284"/>
      <c r="D284"/>
    </row>
    <row r="285" spans="3:4">
      <c r="C285"/>
      <c r="D285"/>
    </row>
    <row r="286" spans="3:4">
      <c r="C286"/>
      <c r="D286"/>
    </row>
    <row r="287" spans="3:4">
      <c r="C287"/>
      <c r="D287"/>
    </row>
    <row r="288" spans="3:4">
      <c r="C288"/>
      <c r="D288"/>
    </row>
    <row r="289" spans="3:4">
      <c r="C289"/>
      <c r="D289"/>
    </row>
    <row r="290" spans="3:4">
      <c r="C290"/>
      <c r="D290"/>
    </row>
    <row r="291" spans="3:4">
      <c r="C291"/>
      <c r="D291"/>
    </row>
    <row r="292" spans="3:4">
      <c r="C292"/>
      <c r="D292"/>
    </row>
    <row r="293" spans="3:4">
      <c r="C293"/>
      <c r="D293"/>
    </row>
    <row r="294" spans="3:4">
      <c r="C294"/>
      <c r="D294"/>
    </row>
    <row r="295" spans="3:4">
      <c r="C295"/>
      <c r="D295"/>
    </row>
    <row r="296" spans="3:4">
      <c r="C296"/>
      <c r="D296"/>
    </row>
    <row r="297" spans="3:4">
      <c r="C297"/>
      <c r="D297"/>
    </row>
    <row r="298" spans="3:4">
      <c r="C298"/>
      <c r="D298"/>
    </row>
    <row r="299" spans="3:4">
      <c r="C299"/>
      <c r="D299"/>
    </row>
    <row r="300" spans="3:4">
      <c r="C300"/>
      <c r="D300"/>
    </row>
    <row r="301" spans="3:4">
      <c r="C301"/>
      <c r="D301"/>
    </row>
    <row r="302" spans="3:4">
      <c r="C302"/>
      <c r="D302"/>
    </row>
    <row r="303" spans="3:4">
      <c r="C303"/>
      <c r="D303"/>
    </row>
    <row r="304" spans="3:4">
      <c r="C304"/>
      <c r="D304"/>
    </row>
    <row r="305" spans="3:4">
      <c r="C305"/>
      <c r="D305"/>
    </row>
    <row r="306" spans="3:4">
      <c r="C306"/>
      <c r="D306"/>
    </row>
    <row r="307" spans="3:4">
      <c r="C307"/>
      <c r="D307"/>
    </row>
    <row r="308" spans="3:4">
      <c r="C308"/>
      <c r="D308"/>
    </row>
    <row r="309" spans="3:4">
      <c r="C309"/>
      <c r="D309"/>
    </row>
    <row r="310" spans="3:4">
      <c r="C310"/>
      <c r="D310"/>
    </row>
    <row r="311" spans="3:4">
      <c r="C311"/>
      <c r="D311"/>
    </row>
    <row r="312" spans="3:4">
      <c r="C312"/>
      <c r="D312"/>
    </row>
    <row r="313" spans="3:4">
      <c r="C313"/>
      <c r="D313"/>
    </row>
    <row r="314" spans="3:4">
      <c r="C314"/>
      <c r="D314"/>
    </row>
    <row r="315" spans="3:4">
      <c r="C315"/>
      <c r="D315"/>
    </row>
    <row r="316" spans="3:4">
      <c r="C316"/>
      <c r="D316"/>
    </row>
    <row r="317" spans="3:4">
      <c r="C317"/>
      <c r="D317"/>
    </row>
    <row r="318" spans="3:4">
      <c r="C318"/>
      <c r="D318"/>
    </row>
    <row r="319" spans="3:4">
      <c r="C319"/>
      <c r="D319"/>
    </row>
    <row r="320" spans="3:4">
      <c r="C320"/>
      <c r="D320"/>
    </row>
    <row r="321" spans="3:4">
      <c r="C321"/>
      <c r="D321"/>
    </row>
    <row r="322" spans="3:4">
      <c r="C322"/>
      <c r="D322"/>
    </row>
    <row r="323" spans="3:4">
      <c r="C323"/>
      <c r="D323"/>
    </row>
    <row r="324" spans="3:4">
      <c r="C324"/>
      <c r="D324"/>
    </row>
    <row r="325" spans="3:4">
      <c r="C325"/>
      <c r="D325"/>
    </row>
    <row r="326" spans="3:4">
      <c r="C326"/>
      <c r="D326"/>
    </row>
    <row r="327" spans="3:4">
      <c r="C327"/>
      <c r="D327"/>
    </row>
    <row r="328" spans="3:4">
      <c r="C328"/>
      <c r="D328"/>
    </row>
    <row r="329" spans="3:4">
      <c r="C329"/>
      <c r="D329"/>
    </row>
    <row r="330" spans="3:4">
      <c r="C330"/>
      <c r="D330"/>
    </row>
    <row r="331" spans="3:4">
      <c r="C331"/>
      <c r="D331"/>
    </row>
    <row r="332" spans="3:4">
      <c r="C332"/>
      <c r="D332"/>
    </row>
    <row r="333" spans="3:4">
      <c r="C333"/>
      <c r="D333"/>
    </row>
    <row r="334" spans="3:4">
      <c r="C334"/>
      <c r="D334"/>
    </row>
    <row r="335" spans="3:4">
      <c r="C335"/>
      <c r="D335"/>
    </row>
    <row r="336" spans="3:4">
      <c r="C336"/>
      <c r="D336"/>
    </row>
    <row r="337" spans="3:4">
      <c r="C337"/>
      <c r="D337"/>
    </row>
    <row r="338" spans="3:4">
      <c r="C338"/>
      <c r="D338"/>
    </row>
    <row r="339" spans="3:4">
      <c r="C339"/>
      <c r="D339"/>
    </row>
    <row r="340" spans="3:4">
      <c r="C340"/>
      <c r="D340"/>
    </row>
    <row r="341" spans="3:4">
      <c r="C341"/>
      <c r="D341"/>
    </row>
    <row r="342" spans="3:4">
      <c r="C342"/>
      <c r="D342"/>
    </row>
    <row r="343" spans="3:4">
      <c r="C343"/>
      <c r="D343"/>
    </row>
    <row r="344" spans="3:4">
      <c r="C344"/>
      <c r="D344"/>
    </row>
    <row r="345" spans="3:4">
      <c r="C345"/>
      <c r="D345"/>
    </row>
    <row r="346" spans="3:4">
      <c r="C346"/>
      <c r="D346"/>
    </row>
    <row r="347" spans="3:4">
      <c r="C347"/>
      <c r="D347"/>
    </row>
    <row r="348" spans="3:4">
      <c r="C348"/>
      <c r="D348"/>
    </row>
    <row r="349" spans="3:4">
      <c r="C349"/>
      <c r="D349"/>
    </row>
    <row r="350" spans="3:4">
      <c r="C350"/>
      <c r="D350"/>
    </row>
    <row r="351" spans="3:4">
      <c r="C351"/>
      <c r="D351"/>
    </row>
    <row r="352" spans="3:4">
      <c r="C352"/>
      <c r="D352"/>
    </row>
    <row r="353" spans="3:4">
      <c r="C353"/>
      <c r="D353"/>
    </row>
    <row r="354" spans="3:4">
      <c r="C354"/>
      <c r="D354"/>
    </row>
    <row r="355" spans="3:4">
      <c r="C355"/>
      <c r="D355"/>
    </row>
    <row r="356" spans="3:4">
      <c r="C356"/>
      <c r="D356"/>
    </row>
    <row r="357" spans="3:4">
      <c r="C357"/>
      <c r="D357"/>
    </row>
    <row r="358" spans="3:4">
      <c r="C358"/>
      <c r="D358"/>
    </row>
    <row r="359" spans="3:4">
      <c r="C359"/>
      <c r="D359"/>
    </row>
    <row r="360" spans="3:4">
      <c r="C360"/>
      <c r="D360"/>
    </row>
    <row r="361" spans="3:4">
      <c r="C361"/>
      <c r="D361"/>
    </row>
    <row r="362" spans="3:4">
      <c r="C362"/>
      <c r="D362"/>
    </row>
    <row r="363" spans="3:4">
      <c r="C363"/>
      <c r="D363"/>
    </row>
    <row r="364" spans="3:4">
      <c r="C364"/>
      <c r="D364"/>
    </row>
    <row r="365" spans="3:4">
      <c r="C365"/>
      <c r="D365"/>
    </row>
    <row r="366" spans="3:4">
      <c r="C366"/>
      <c r="D366"/>
    </row>
    <row r="367" spans="3:4">
      <c r="C367"/>
      <c r="D367"/>
    </row>
    <row r="368" spans="3:4">
      <c r="C368"/>
      <c r="D368"/>
    </row>
    <row r="369" spans="3:4">
      <c r="C369"/>
      <c r="D369"/>
    </row>
    <row r="370" spans="3:4">
      <c r="C370"/>
      <c r="D370"/>
    </row>
    <row r="371" spans="3:4">
      <c r="C371"/>
      <c r="D371"/>
    </row>
    <row r="372" spans="3:4">
      <c r="C372"/>
      <c r="D372"/>
    </row>
    <row r="373" spans="3:4">
      <c r="C373"/>
      <c r="D373"/>
    </row>
    <row r="374" spans="3:4">
      <c r="C374"/>
      <c r="D374"/>
    </row>
    <row r="375" spans="3:4">
      <c r="C375"/>
      <c r="D375"/>
    </row>
    <row r="376" spans="3:4">
      <c r="C376"/>
      <c r="D376"/>
    </row>
    <row r="377" spans="3:4">
      <c r="C377"/>
      <c r="D377"/>
    </row>
    <row r="378" spans="3:4">
      <c r="C378"/>
      <c r="D378"/>
    </row>
    <row r="379" spans="3:4">
      <c r="C379"/>
      <c r="D379"/>
    </row>
    <row r="380" spans="3:4">
      <c r="C380"/>
      <c r="D380"/>
    </row>
    <row r="381" spans="3:4">
      <c r="C381"/>
      <c r="D381"/>
    </row>
    <row r="382" spans="3:4">
      <c r="C382"/>
      <c r="D382"/>
    </row>
    <row r="383" spans="3:4">
      <c r="C383"/>
      <c r="D383"/>
    </row>
    <row r="384" spans="3:4">
      <c r="C384"/>
      <c r="D384"/>
    </row>
    <row r="385" spans="3:4">
      <c r="C385"/>
      <c r="D385"/>
    </row>
    <row r="386" spans="3:4">
      <c r="C386"/>
      <c r="D386"/>
    </row>
    <row r="387" spans="3:4">
      <c r="C387"/>
      <c r="D387"/>
    </row>
    <row r="388" spans="3:4">
      <c r="C388"/>
      <c r="D388"/>
    </row>
    <row r="389" spans="3:4">
      <c r="C389"/>
      <c r="D389"/>
    </row>
    <row r="390" spans="3:4">
      <c r="C390"/>
      <c r="D390"/>
    </row>
    <row r="391" spans="3:4">
      <c r="C391"/>
      <c r="D391"/>
    </row>
    <row r="392" spans="3:4">
      <c r="C392"/>
      <c r="D392"/>
    </row>
    <row r="393" spans="3:4">
      <c r="C393"/>
      <c r="D393"/>
    </row>
    <row r="394" spans="3:4">
      <c r="C394"/>
      <c r="D394"/>
    </row>
    <row r="395" spans="3:4">
      <c r="C395"/>
      <c r="D395"/>
    </row>
    <row r="396" spans="3:4">
      <c r="C396"/>
      <c r="D396"/>
    </row>
    <row r="397" spans="3:4">
      <c r="C397"/>
      <c r="D397"/>
    </row>
  </sheetData>
  <phoneticPr fontId="4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1"/>
  <dimension ref="B1:Y146"/>
  <sheetViews>
    <sheetView zoomScaleNormal="100" workbookViewId="0">
      <pane ySplit="12" topLeftCell="A13" activePane="bottomLeft" state="frozen"/>
      <selection activeCell="D9" sqref="D9"/>
      <selection pane="bottomLeft" activeCell="B72" sqref="B72:C72"/>
    </sheetView>
  </sheetViews>
  <sheetFormatPr defaultRowHeight="12.75"/>
  <cols>
    <col min="1" max="1" width="1" style="174" customWidth="1"/>
    <col min="2" max="2" width="3.7109375" style="174" customWidth="1"/>
    <col min="3" max="3" width="7.7109375" style="174" customWidth="1"/>
    <col min="4" max="4" width="7" style="174" customWidth="1"/>
    <col min="5" max="5" width="10.140625" style="174" customWidth="1"/>
    <col min="6" max="6" width="7.85546875" style="174" customWidth="1"/>
    <col min="7" max="7" width="7.28515625" style="174" customWidth="1"/>
    <col min="8" max="8" width="10.28515625" style="174" customWidth="1"/>
    <col min="9" max="10" width="7.28515625" style="174" customWidth="1"/>
    <col min="11" max="11" width="1.5703125" style="174" customWidth="1"/>
    <col min="12" max="16" width="7.140625" style="174" customWidth="1"/>
    <col min="17" max="17" width="1.28515625" style="174" customWidth="1"/>
    <col min="18" max="18" width="8" style="174" customWidth="1"/>
    <col min="19" max="19" width="1.28515625" style="174" customWidth="1"/>
    <col min="20" max="20" width="8.28515625" style="174" customWidth="1"/>
    <col min="21" max="22" width="7.7109375" style="174" customWidth="1"/>
    <col min="23" max="23" width="1.28515625" style="174" customWidth="1"/>
    <col min="24" max="24" width="10.7109375" style="174" customWidth="1"/>
    <col min="25" max="25" width="9.28515625" style="174" bestFit="1" customWidth="1"/>
    <col min="26" max="16384" width="9.140625" style="174"/>
  </cols>
  <sheetData>
    <row r="1" spans="2:25">
      <c r="B1" s="2723" t="s">
        <v>156</v>
      </c>
      <c r="C1" s="2723"/>
      <c r="D1" s="2723"/>
      <c r="E1" s="275">
        <f>'Estimate Summary'!AT5</f>
        <v>0</v>
      </c>
      <c r="F1" s="275"/>
      <c r="G1" s="275"/>
    </row>
    <row r="2" spans="2:25">
      <c r="B2" s="2723" t="s">
        <v>227</v>
      </c>
      <c r="C2" s="2723"/>
      <c r="D2" s="2723"/>
      <c r="E2" s="275">
        <f>'Estimate Summary'!AT6</f>
        <v>0</v>
      </c>
      <c r="F2" s="275"/>
      <c r="G2" s="275"/>
    </row>
    <row r="3" spans="2:25">
      <c r="B3" s="2723" t="s">
        <v>230</v>
      </c>
      <c r="C3" s="2723"/>
      <c r="D3" s="2723"/>
      <c r="E3" s="815">
        <f>'Estimate Summary'!AT7</f>
        <v>0</v>
      </c>
      <c r="F3" s="275"/>
      <c r="G3" s="275"/>
    </row>
    <row r="4" spans="2:25">
      <c r="B4" s="2723" t="s">
        <v>232</v>
      </c>
      <c r="C4" s="2723"/>
      <c r="D4" s="2723"/>
      <c r="E4" s="275">
        <f>'Estimate Summary'!AT8</f>
        <v>0</v>
      </c>
      <c r="F4" s="276"/>
      <c r="G4" s="276"/>
    </row>
    <row r="5" spans="2:25">
      <c r="B5" s="277"/>
      <c r="D5" s="278"/>
      <c r="F5" s="279"/>
    </row>
    <row r="6" spans="2:25">
      <c r="B6" s="277"/>
      <c r="D6" s="278"/>
      <c r="F6" s="279"/>
    </row>
    <row r="7" spans="2:25">
      <c r="B7" s="277"/>
      <c r="D7" s="280"/>
      <c r="F7" s="279"/>
    </row>
    <row r="8" spans="2:25">
      <c r="B8" s="277"/>
      <c r="D8" s="280"/>
      <c r="F8" s="279"/>
    </row>
    <row r="9" spans="2:25">
      <c r="B9" s="281" t="s">
        <v>306</v>
      </c>
    </row>
    <row r="10" spans="2:25">
      <c r="C10" s="282" t="s">
        <v>17</v>
      </c>
      <c r="D10" s="283">
        <v>1.35</v>
      </c>
      <c r="E10" s="283">
        <v>4.5999999999999996</v>
      </c>
      <c r="F10" s="174" t="s">
        <v>18</v>
      </c>
      <c r="G10" s="628" t="s">
        <v>429</v>
      </c>
      <c r="H10" s="815">
        <v>42277</v>
      </c>
    </row>
    <row r="11" spans="2:25" ht="28.5" customHeight="1" thickBot="1">
      <c r="B11" s="285"/>
      <c r="C11" s="286" t="s">
        <v>19</v>
      </c>
      <c r="D11" s="287">
        <f>E4</f>
        <v>0</v>
      </c>
      <c r="E11" s="285"/>
      <c r="F11" s="2724" t="s">
        <v>20</v>
      </c>
      <c r="G11" s="2725"/>
      <c r="H11" s="2725"/>
      <c r="I11" s="2725"/>
      <c r="J11" s="2726"/>
      <c r="L11" s="288" t="s">
        <v>21</v>
      </c>
      <c r="M11" s="289"/>
      <c r="N11" s="290"/>
      <c r="O11" s="290"/>
      <c r="P11" s="291"/>
      <c r="R11" s="292" t="s">
        <v>94</v>
      </c>
      <c r="S11" s="285"/>
      <c r="T11" s="293" t="s">
        <v>22</v>
      </c>
      <c r="U11" s="294"/>
      <c r="V11" s="295"/>
      <c r="W11" s="296"/>
      <c r="X11" s="296"/>
    </row>
    <row r="12" spans="2:25" ht="53.25" thickBot="1">
      <c r="B12" s="297" t="s">
        <v>23</v>
      </c>
      <c r="C12" s="298" t="s">
        <v>93</v>
      </c>
      <c r="D12" s="299" t="s">
        <v>24</v>
      </c>
      <c r="E12" s="300" t="s">
        <v>25</v>
      </c>
      <c r="F12" s="301" t="s">
        <v>1</v>
      </c>
      <c r="G12" s="301" t="s">
        <v>14</v>
      </c>
      <c r="H12" s="301" t="s">
        <v>15</v>
      </c>
      <c r="I12" s="301" t="s">
        <v>148</v>
      </c>
      <c r="J12" s="301" t="s">
        <v>149</v>
      </c>
      <c r="K12" s="302"/>
      <c r="L12" s="303" t="s">
        <v>150</v>
      </c>
      <c r="M12" s="303" t="s">
        <v>26</v>
      </c>
      <c r="N12" s="303" t="s">
        <v>27</v>
      </c>
      <c r="O12" s="303" t="s">
        <v>28</v>
      </c>
      <c r="P12" s="303" t="s">
        <v>130</v>
      </c>
      <c r="R12" s="304" t="s">
        <v>131</v>
      </c>
      <c r="S12" s="305"/>
      <c r="T12" s="306" t="s">
        <v>132</v>
      </c>
      <c r="U12" s="306" t="s">
        <v>133</v>
      </c>
      <c r="V12" s="306" t="s">
        <v>134</v>
      </c>
      <c r="W12" s="307"/>
      <c r="X12" s="308" t="s">
        <v>223</v>
      </c>
    </row>
    <row r="13" spans="2:25">
      <c r="B13" s="309">
        <f>'Offshore CF'!B24</f>
        <v>1</v>
      </c>
      <c r="C13" s="310">
        <f>'Offshore CF'!C24</f>
        <v>43471</v>
      </c>
      <c r="D13" s="311">
        <f t="shared" ref="D13:D44" ca="1" si="0">IF(R13&lt;0,E$10/100,D$10/100)</f>
        <v>4.5999999999999999E-2</v>
      </c>
      <c r="E13" s="312">
        <f t="shared" ref="E13:E44" ca="1" si="1">IF(ISNUMBER(D13),((1+D13)^(1/12))-1,0)</f>
        <v>3.7548121811461499E-3</v>
      </c>
      <c r="F13" s="313">
        <f ca="1">IF(ISERROR('Offshore CF'!E24),0,'Offshore CF'!E24)</f>
        <v>0</v>
      </c>
      <c r="G13" s="313">
        <f ca="1">SUM($F$13:F13)</f>
        <v>0</v>
      </c>
      <c r="H13" s="314">
        <f ca="1">E13*G13/2</f>
        <v>0</v>
      </c>
      <c r="I13" s="314">
        <f ca="1">SUM($H13:H$13)</f>
        <v>0</v>
      </c>
      <c r="J13" s="314">
        <f ca="1">I13+G13</f>
        <v>0</v>
      </c>
      <c r="K13" s="305"/>
      <c r="L13" s="315">
        <f ca="1">IF(ISERROR('Offshore CF'!J24),0,'Offshore CF'!J24)</f>
        <v>1E-3</v>
      </c>
      <c r="M13" s="315">
        <f ca="1">SUM($L$13:L13)</f>
        <v>1E-3</v>
      </c>
      <c r="N13" s="316">
        <f ca="1">M13*E13/2</f>
        <v>1.877406090573075E-6</v>
      </c>
      <c r="O13" s="316">
        <f ca="1">SUM($N13:N$13)</f>
        <v>1.877406090573075E-6</v>
      </c>
      <c r="P13" s="316">
        <f ca="1">M13+O13</f>
        <v>1.001877406090573E-3</v>
      </c>
      <c r="R13" s="317">
        <f ca="1">G13-M13</f>
        <v>-1E-3</v>
      </c>
      <c r="S13" s="318"/>
      <c r="T13" s="317">
        <f ca="1">E13*(R13/2)</f>
        <v>-1.877406090573075E-6</v>
      </c>
      <c r="U13" s="319">
        <f t="shared" ref="U13:U44" ca="1" si="2">IF(T13&gt;0,T13,0)</f>
        <v>0</v>
      </c>
      <c r="V13" s="319">
        <f t="shared" ref="V13:V44" ca="1" si="3">IF(T13&lt;0,-T13,0)</f>
        <v>1.877406090573075E-6</v>
      </c>
      <c r="W13" s="320"/>
      <c r="Y13" s="321"/>
    </row>
    <row r="14" spans="2:25">
      <c r="B14" s="309">
        <f>'Offshore CF'!B25</f>
        <v>-2</v>
      </c>
      <c r="C14" s="310">
        <f>'Offshore CF'!C25</f>
        <v>43501</v>
      </c>
      <c r="D14" s="311" t="e">
        <f t="shared" ca="1" si="0"/>
        <v>#N/A</v>
      </c>
      <c r="E14" s="312">
        <f t="shared" ca="1" si="1"/>
        <v>0</v>
      </c>
      <c r="F14" s="313">
        <f ca="1">IF(ISERROR('Offshore CF'!E25),0,'Offshore CF'!E25)</f>
        <v>0</v>
      </c>
      <c r="G14" s="319">
        <f ca="1">SUM($F$13:F14)</f>
        <v>0</v>
      </c>
      <c r="H14" s="322" t="e">
        <f ca="1">IF(OR(SUM('Offshore CF'!E26:$E$153)&lt;&gt;0,SUM('Offshore CF'!J26:$J$153)&lt;&gt;0),E14*(((G13+G14)/2)+I13),IF(SUM('Offshore CF'!E25:$E$153)-SUM('Offshore CF'!J25:$J$153)&lt;&gt;0,E14*(((G13+G14)/2)+I13),0))</f>
        <v>#N/A</v>
      </c>
      <c r="I14" s="322" t="e">
        <f ca="1">IF(OR(SUM('Offshore CF'!E26:$E$153)&lt;&gt;0,SUM('Offshore CF'!J26:$J$153)&lt;&gt;0),SUM($H$13:H14),IF(SUM('Offshore CF'!E$153:$E212)-SUM('Offshore CF'!J25:$J$153)&lt;&gt;0,SUM($H$13:H14),0))</f>
        <v>#N/A</v>
      </c>
      <c r="J14" s="322" t="e">
        <f ca="1">IF(OR(SUM('Offshore CF'!E26:$E$153)&lt;&gt;0,SUM('Offshore CF'!J26:$J$153)&lt;&gt;0),I14+G14,IF(SUM('Offshore CF'!E25:$E$153)-SUM('Offshore CF'!J25:$J$153)&lt;&gt;0,I14+G14,0))</f>
        <v>#N/A</v>
      </c>
      <c r="K14" s="323"/>
      <c r="L14" s="324">
        <f ca="1">IF(ISERROR('Offshore CF'!J25),0,'Offshore CF'!J25)</f>
        <v>0</v>
      </c>
      <c r="M14" s="325">
        <f ca="1">SUM($L$13:L14)</f>
        <v>1E-3</v>
      </c>
      <c r="N14" s="322" t="e">
        <f ca="1">IF(OR(SUM('Offshore CF'!E26:$E$153)&lt;&gt;0,SUM('Offshore CF'!J26:$J$153)&lt;&gt;0),E14*(((M13+M14)/2)+O13),IF(SUM('Offshore CF'!E25:$E$153)-SUM('Offshore CF'!J25:$J$153)&lt;&gt;0,E14*(((M13+M14)/2)+O13),0))</f>
        <v>#N/A</v>
      </c>
      <c r="O14" s="322" t="e">
        <f ca="1">IF(OR(SUM('Offshore CF'!E26:$E$153)&lt;&gt;0,SUM('Offshore CF'!J26:$J$153)&lt;&gt;0),SUM($N$13:N14),IF(SUM('Offshore CF'!E25:$E$153)-SUM('Offshore CF'!J25:$J$153)&lt;&gt;0,SUM($N$13:N14),0))</f>
        <v>#N/A</v>
      </c>
      <c r="P14" s="322" t="e">
        <f ca="1">IF(OR(SUM('Offshore CF'!E26:$E$153)&lt;&gt;0,SUM('Offshore CF'!J26:$J$153)&lt;&gt;0),O14+M14,IF(SUM('Offshore CF'!E25:$E$153)-SUM('Offshore CF'!J25:$J$153)&lt;&gt;0,O14+M14,0))</f>
        <v>#N/A</v>
      </c>
      <c r="R14" s="322" t="e">
        <f ca="1">IF(OR(SUM('Offshore CF'!E26:$E$153)&lt;&gt;0,SUM('Offshore CF'!J26:$J$153)&lt;&gt;0),G14-M14,IF(SUM('Offshore CF'!E25:$E$153)-SUM('Offshore CF'!J25:$J$153)&lt;&gt;0,G14-M14,0))</f>
        <v>#N/A</v>
      </c>
      <c r="S14" s="285"/>
      <c r="T14" s="322" t="e">
        <f ca="1">IF(OR(SUM('Offshore CF'!E26:$E$153)&lt;&gt;0,SUM('Offshore CF'!J26:$J$153)&lt;&gt;0),E14*(((R13+R14)/2)+SUM($T$13:T13)),IF(SUM('Offshore CF'!E25:$E$153)-SUM('Offshore CF'!J25:$J$153)&lt;&gt;0,E14*(((R13+R14)/2)+SUM($T$13:T13)),0))</f>
        <v>#N/A</v>
      </c>
      <c r="U14" s="322" t="e">
        <f t="shared" ca="1" si="2"/>
        <v>#N/A</v>
      </c>
      <c r="V14" s="319" t="e">
        <f t="shared" ca="1" si="3"/>
        <v>#N/A</v>
      </c>
      <c r="W14" s="285"/>
      <c r="X14" s="326"/>
      <c r="Y14" s="321"/>
    </row>
    <row r="15" spans="2:25">
      <c r="B15" s="309">
        <f>'Offshore CF'!B26</f>
        <v>-1</v>
      </c>
      <c r="C15" s="310">
        <f>'Offshore CF'!C26</f>
        <v>43531</v>
      </c>
      <c r="D15" s="311" t="e">
        <f t="shared" ca="1" si="0"/>
        <v>#N/A</v>
      </c>
      <c r="E15" s="312">
        <f t="shared" ca="1" si="1"/>
        <v>0</v>
      </c>
      <c r="F15" s="313">
        <f ca="1">IF(ISERROR('Offshore CF'!E26),0,'Offshore CF'!E26)</f>
        <v>0</v>
      </c>
      <c r="G15" s="319">
        <f ca="1">SUM($F$13:F15)</f>
        <v>0</v>
      </c>
      <c r="H15" s="322" t="e">
        <f ca="1">IF(OR(SUM('Offshore CF'!E27:$E$153)&lt;&gt;0,SUM('Offshore CF'!J27:$J$153)&lt;&gt;0),E15*(((G14+G15)/2)+I14),IF(SUM('Offshore CF'!E26:$E$153)-SUM('Offshore CF'!J26:$J$153)&lt;&gt;0,E15*(((G14+G15)/2)+I14),0))</f>
        <v>#N/A</v>
      </c>
      <c r="I15" s="322" t="e">
        <f ca="1">IF(OR(SUM('Offshore CF'!E27:$E$153)&lt;&gt;0,SUM('Offshore CF'!J27:$J$153)&lt;&gt;0),SUM($H$13:H15),IF(SUM('Offshore CF'!E$153:$E213)-SUM('Offshore CF'!J26:$J$153)&lt;&gt;0,SUM($H$13:H15),0))</f>
        <v>#N/A</v>
      </c>
      <c r="J15" s="322" t="e">
        <f ca="1">IF(OR(SUM('Offshore CF'!E27:$E$153)&lt;&gt;0,SUM('Offshore CF'!J27:$J$153)&lt;&gt;0),I15+G15,IF(SUM('Offshore CF'!E26:$E$153)-SUM('Offshore CF'!J26:$J$153)&lt;&gt;0,I15+G15,0))</f>
        <v>#N/A</v>
      </c>
      <c r="K15" s="323"/>
      <c r="L15" s="324">
        <f ca="1">IF(ISERROR('Offshore CF'!J26),0,'Offshore CF'!J26)</f>
        <v>0</v>
      </c>
      <c r="M15" s="325">
        <f ca="1">SUM($L$13:L15)</f>
        <v>1E-3</v>
      </c>
      <c r="N15" s="322" t="e">
        <f ca="1">IF(OR(SUM('Offshore CF'!E27:$E$153)&lt;&gt;0,SUM('Offshore CF'!J27:$J$153)&lt;&gt;0),E15*(((M14+M15)/2)+O14),IF(SUM('Offshore CF'!E26:$E$153)-SUM('Offshore CF'!J26:$J$153)&lt;&gt;0,E15*(((M14+M15)/2)+O14),0))</f>
        <v>#N/A</v>
      </c>
      <c r="O15" s="322" t="e">
        <f ca="1">IF(OR(SUM('Offshore CF'!E27:$E$153)&lt;&gt;0,SUM('Offshore CF'!J27:$J$153)&lt;&gt;0),SUM($N$13:N15),IF(SUM('Offshore CF'!E26:$E$153)-SUM('Offshore CF'!J26:$J$153)&lt;&gt;0,SUM($N$13:N15),0))</f>
        <v>#N/A</v>
      </c>
      <c r="P15" s="322" t="e">
        <f ca="1">IF(OR(SUM('Offshore CF'!E27:$E$153)&lt;&gt;0,SUM('Offshore CF'!J27:$J$153)&lt;&gt;0),O15+M15,IF(SUM('Offshore CF'!E26:$E$153)-SUM('Offshore CF'!J26:$J$153)&lt;&gt;0,O15+M15,0))</f>
        <v>#N/A</v>
      </c>
      <c r="R15" s="322" t="e">
        <f ca="1">IF(OR(SUM('Offshore CF'!E27:$E$153)&lt;&gt;0,SUM('Offshore CF'!J27:$J$153)&lt;&gt;0),G15-M15,IF(SUM('Offshore CF'!E26:$E$153)-SUM('Offshore CF'!J26:$J$153)&lt;&gt;0,G15-M15,0))</f>
        <v>#N/A</v>
      </c>
      <c r="S15" s="285"/>
      <c r="T15" s="322" t="e">
        <f ca="1">IF(OR(SUM('Offshore CF'!E27:$E$153)&lt;&gt;0,SUM('Offshore CF'!J27:$J$153)&lt;&gt;0),E15*(((R14+R15)/2)+SUM($T$13:T14)),IF(SUM('Offshore CF'!E26:$E$153)-SUM('Offshore CF'!J26:$J$153)&lt;&gt;0,E15*(((R14+R15)/2)+SUM($T$13:T14)),0))</f>
        <v>#N/A</v>
      </c>
      <c r="U15" s="322" t="e">
        <f t="shared" ca="1" si="2"/>
        <v>#N/A</v>
      </c>
      <c r="V15" s="319" t="e">
        <f t="shared" ca="1" si="3"/>
        <v>#N/A</v>
      </c>
      <c r="W15" s="285"/>
      <c r="X15" s="326"/>
    </row>
    <row r="16" spans="2:25">
      <c r="B16" s="309">
        <f>'Offshore CF'!B27</f>
        <v>0</v>
      </c>
      <c r="C16" s="310">
        <f>'Offshore CF'!C27</f>
        <v>43561</v>
      </c>
      <c r="D16" s="311" t="e">
        <f t="shared" ca="1" si="0"/>
        <v>#N/A</v>
      </c>
      <c r="E16" s="312">
        <f t="shared" ca="1" si="1"/>
        <v>0</v>
      </c>
      <c r="F16" s="313">
        <f ca="1">IF(ISERROR('Offshore CF'!E27),0,'Offshore CF'!E27)</f>
        <v>0</v>
      </c>
      <c r="G16" s="319">
        <f ca="1">SUM($F$13:F16)</f>
        <v>0</v>
      </c>
      <c r="H16" s="322" t="e">
        <f ca="1">IF(OR(SUM('Offshore CF'!E28:$E$153)&lt;&gt;0,SUM('Offshore CF'!J28:$J$153)&lt;&gt;0),E16*(((G15+G16)/2)+I15),IF(SUM('Offshore CF'!E27:$E$153)-SUM('Offshore CF'!J27:$J$153)&lt;&gt;0,E16*(((G15+G16)/2)+I15),0))</f>
        <v>#N/A</v>
      </c>
      <c r="I16" s="322" t="e">
        <f ca="1">IF(OR(SUM('Offshore CF'!E28:$E$153)&lt;&gt;0,SUM('Offshore CF'!J28:$J$153)&lt;&gt;0),SUM($H$13:H16),IF(SUM('Offshore CF'!E$153:$E214)-SUM('Offshore CF'!J27:$J$153)&lt;&gt;0,SUM($H$13:H16),0))</f>
        <v>#N/A</v>
      </c>
      <c r="J16" s="322" t="e">
        <f ca="1">IF(OR(SUM('Offshore CF'!E28:$E$153)&lt;&gt;0,SUM('Offshore CF'!J28:$J$153)&lt;&gt;0),I16+G16,IF(SUM('Offshore CF'!E27:$E$153)-SUM('Offshore CF'!J27:$J$153)&lt;&gt;0,I16+G16,0))</f>
        <v>#N/A</v>
      </c>
      <c r="K16" s="323"/>
      <c r="L16" s="324">
        <f ca="1">IF(ISERROR('Offshore CF'!J27),0,'Offshore CF'!J27)</f>
        <v>0</v>
      </c>
      <c r="M16" s="325">
        <f ca="1">SUM($L$13:L16)</f>
        <v>1E-3</v>
      </c>
      <c r="N16" s="322" t="e">
        <f ca="1">IF(OR(SUM('Offshore CF'!E28:$E$153)&lt;&gt;0,SUM('Offshore CF'!J28:$J$153)&lt;&gt;0),E16*(((M15+M16)/2)+O15),IF(SUM('Offshore CF'!E27:$E$153)-SUM('Offshore CF'!J27:$J$153)&lt;&gt;0,E16*(((M15+M16)/2)+O15),0))</f>
        <v>#N/A</v>
      </c>
      <c r="O16" s="322" t="e">
        <f ca="1">IF(OR(SUM('Offshore CF'!E28:$E$153)&lt;&gt;0,SUM('Offshore CF'!J28:$J$153)&lt;&gt;0),SUM($N$13:N16),IF(SUM('Offshore CF'!E27:$E$153)-SUM('Offshore CF'!J27:$J$153)&lt;&gt;0,SUM($N$13:N16),0))</f>
        <v>#N/A</v>
      </c>
      <c r="P16" s="322" t="e">
        <f ca="1">IF(OR(SUM('Offshore CF'!E28:$E$153)&lt;&gt;0,SUM('Offshore CF'!J28:$J$153)&lt;&gt;0),O16+M16,IF(SUM('Offshore CF'!E27:$E$153)-SUM('Offshore CF'!J27:$J$153)&lt;&gt;0,O16+M16,0))</f>
        <v>#N/A</v>
      </c>
      <c r="R16" s="322" t="e">
        <f ca="1">IF(OR(SUM('Offshore CF'!E28:$E$153)&lt;&gt;0,SUM('Offshore CF'!J28:$J$153)&lt;&gt;0),G16-M16,IF(SUM('Offshore CF'!E27:$E$153)-SUM('Offshore CF'!J27:$J$153)&lt;&gt;0,G16-M16,0))</f>
        <v>#N/A</v>
      </c>
      <c r="S16" s="285"/>
      <c r="T16" s="322" t="e">
        <f ca="1">IF(OR(SUM('Offshore CF'!E28:$E$153)&lt;&gt;0,SUM('Offshore CF'!J28:$J$153)&lt;&gt;0),E16*(((R15+R16)/2)+SUM($T$13:T15)),IF(SUM('Offshore CF'!E27:$E$153)-SUM('Offshore CF'!J27:$J$153)&lt;&gt;0,E16*(((R15+R16)/2)+SUM($T$13:T15)),0))</f>
        <v>#N/A</v>
      </c>
      <c r="U16" s="322" t="e">
        <f t="shared" ca="1" si="2"/>
        <v>#N/A</v>
      </c>
      <c r="V16" s="319" t="e">
        <f t="shared" ca="1" si="3"/>
        <v>#N/A</v>
      </c>
      <c r="W16" s="285"/>
      <c r="X16" s="326"/>
    </row>
    <row r="17" spans="2:24">
      <c r="B17" s="309">
        <f>'Offshore CF'!B28</f>
        <v>1</v>
      </c>
      <c r="C17" s="310">
        <f>'Offshore CF'!C28</f>
        <v>43591</v>
      </c>
      <c r="D17" s="311" t="e">
        <f t="shared" ca="1" si="0"/>
        <v>#N/A</v>
      </c>
      <c r="E17" s="312">
        <f t="shared" ca="1" si="1"/>
        <v>0</v>
      </c>
      <c r="F17" s="313">
        <f ca="1">IF(ISERROR('Offshore CF'!E28),0,'Offshore CF'!E28)</f>
        <v>0</v>
      </c>
      <c r="G17" s="319">
        <f ca="1">SUM($F$13:F17)</f>
        <v>0</v>
      </c>
      <c r="H17" s="322" t="e">
        <f ca="1">IF(OR(SUM('Offshore CF'!E29:$E$153)&lt;&gt;0,SUM('Offshore CF'!J29:$J$153)&lt;&gt;0),E17*(((G16+G17)/2)+I16),IF(SUM('Offshore CF'!E28:$E$153)-SUM('Offshore CF'!J28:$J$153)&lt;&gt;0,E17*(((G16+G17)/2)+I16),0))</f>
        <v>#N/A</v>
      </c>
      <c r="I17" s="322" t="e">
        <f ca="1">IF(OR(SUM('Offshore CF'!E29:$E$153)&lt;&gt;0,SUM('Offshore CF'!J29:$J$153)&lt;&gt;0),SUM($H$13:H17),IF(SUM('Offshore CF'!E$153:$E215)-SUM('Offshore CF'!J28:$J$153)&lt;&gt;0,SUM($H$13:H17),0))</f>
        <v>#N/A</v>
      </c>
      <c r="J17" s="322" t="e">
        <f ca="1">IF(OR(SUM('Offshore CF'!E29:$E$153)&lt;&gt;0,SUM('Offshore CF'!J29:$J$153)&lt;&gt;0),I17+G17,IF(SUM('Offshore CF'!E28:$E$153)-SUM('Offshore CF'!J28:$J$153)&lt;&gt;0,I17+G17,0))</f>
        <v>#N/A</v>
      </c>
      <c r="K17" s="323"/>
      <c r="L17" s="324">
        <f ca="1">IF(ISERROR('Offshore CF'!J28),0,'Offshore CF'!J28)</f>
        <v>0</v>
      </c>
      <c r="M17" s="325">
        <f ca="1">SUM($L$13:L17)</f>
        <v>1E-3</v>
      </c>
      <c r="N17" s="322" t="e">
        <f ca="1">IF(OR(SUM('Offshore CF'!E29:$E$153)&lt;&gt;0,SUM('Offshore CF'!J29:$J$153)&lt;&gt;0),E17*(((M16+M17)/2)+O16),IF(SUM('Offshore CF'!E28:$E$153)-SUM('Offshore CF'!J28:$J$153)&lt;&gt;0,E17*(((M16+M17)/2)+O16),0))</f>
        <v>#N/A</v>
      </c>
      <c r="O17" s="322" t="e">
        <f ca="1">IF(OR(SUM('Offshore CF'!E29:$E$153)&lt;&gt;0,SUM('Offshore CF'!J29:$J$153)&lt;&gt;0),SUM($N$13:N17),IF(SUM('Offshore CF'!E28:$E$153)-SUM('Offshore CF'!J28:$J$153)&lt;&gt;0,SUM($N$13:N17),0))</f>
        <v>#N/A</v>
      </c>
      <c r="P17" s="322" t="e">
        <f ca="1">IF(OR(SUM('Offshore CF'!E29:$E$153)&lt;&gt;0,SUM('Offshore CF'!J29:$J$153)&lt;&gt;0),O17+M17,IF(SUM('Offshore CF'!E28:$E$153)-SUM('Offshore CF'!J28:$J$153)&lt;&gt;0,O17+M17,0))</f>
        <v>#N/A</v>
      </c>
      <c r="R17" s="322" t="e">
        <f ca="1">IF(OR(SUM('Offshore CF'!E29:$E$153)&lt;&gt;0,SUM('Offshore CF'!J29:$J$153)&lt;&gt;0),G17-M17,IF(SUM('Offshore CF'!E28:$E$153)-SUM('Offshore CF'!J28:$J$153)&lt;&gt;0,G17-M17,0))</f>
        <v>#N/A</v>
      </c>
      <c r="S17" s="285"/>
      <c r="T17" s="322" t="e">
        <f ca="1">IF(OR(SUM('Offshore CF'!E29:$E$153)&lt;&gt;0,SUM('Offshore CF'!J29:$J$153)&lt;&gt;0),E17*(((R16+R17)/2)+SUM($T$13:T16)),IF(SUM('Offshore CF'!E28:$E$153)-SUM('Offshore CF'!J28:$J$153)&lt;&gt;0,E17*(((R16+R17)/2)+SUM($T$13:T16)),0))</f>
        <v>#N/A</v>
      </c>
      <c r="U17" s="322" t="e">
        <f t="shared" ca="1" si="2"/>
        <v>#N/A</v>
      </c>
      <c r="V17" s="319" t="e">
        <f t="shared" ca="1" si="3"/>
        <v>#N/A</v>
      </c>
      <c r="W17" s="285"/>
      <c r="X17" s="326"/>
    </row>
    <row r="18" spans="2:24">
      <c r="B18" s="309">
        <f>'Offshore CF'!B29</f>
        <v>2</v>
      </c>
      <c r="C18" s="310">
        <f>'Offshore CF'!C29</f>
        <v>43621.416700000002</v>
      </c>
      <c r="D18" s="311" t="e">
        <f t="shared" ca="1" si="0"/>
        <v>#N/A</v>
      </c>
      <c r="E18" s="312">
        <f t="shared" ca="1" si="1"/>
        <v>0</v>
      </c>
      <c r="F18" s="313">
        <f ca="1">IF(ISERROR('Offshore CF'!E29),0,'Offshore CF'!E29)</f>
        <v>0</v>
      </c>
      <c r="G18" s="319">
        <f ca="1">SUM($F$13:F18)</f>
        <v>0</v>
      </c>
      <c r="H18" s="322" t="e">
        <f ca="1">IF(OR(SUM('Offshore CF'!E30:$E$153)&lt;&gt;0,SUM('Offshore CF'!J30:$J$153)&lt;&gt;0),E18*(((G17+G18)/2)+I17),IF(SUM('Offshore CF'!E29:$E$153)-SUM('Offshore CF'!J29:$J$153)&lt;&gt;0,E18*(((G17+G18)/2)+I17),0))</f>
        <v>#N/A</v>
      </c>
      <c r="I18" s="322" t="e">
        <f ca="1">IF(OR(SUM('Offshore CF'!E30:$E$153)&lt;&gt;0,SUM('Offshore CF'!J30:$J$153)&lt;&gt;0),SUM($H$13:H18),IF(SUM('Offshore CF'!E$153:$E216)-SUM('Offshore CF'!J29:$J$153)&lt;&gt;0,SUM($H$13:H18),0))</f>
        <v>#N/A</v>
      </c>
      <c r="J18" s="322" t="e">
        <f ca="1">IF(OR(SUM('Offshore CF'!E30:$E$153)&lt;&gt;0,SUM('Offshore CF'!J30:$J$153)&lt;&gt;0),I18+G18,IF(SUM('Offshore CF'!E29:$E$153)-SUM('Offshore CF'!J29:$J$153)&lt;&gt;0,I18+G18,0))</f>
        <v>#N/A</v>
      </c>
      <c r="K18" s="323"/>
      <c r="L18" s="324">
        <f ca="1">IF(ISERROR('Offshore CF'!J29),0,'Offshore CF'!J29)</f>
        <v>0</v>
      </c>
      <c r="M18" s="325">
        <f ca="1">SUM($L$13:L18)</f>
        <v>1E-3</v>
      </c>
      <c r="N18" s="322" t="e">
        <f ca="1">IF(OR(SUM('Offshore CF'!E30:$E$153)&lt;&gt;0,SUM('Offshore CF'!J30:$J$153)&lt;&gt;0),E18*(((M17+M18)/2)+O17),IF(SUM('Offshore CF'!E29:$E$153)-SUM('Offshore CF'!J29:$J$153)&lt;&gt;0,E18*(((M17+M18)/2)+O17),0))</f>
        <v>#N/A</v>
      </c>
      <c r="O18" s="322" t="e">
        <f ca="1">IF(OR(SUM('Offshore CF'!E30:$E$153)&lt;&gt;0,SUM('Offshore CF'!J30:$J$153)&lt;&gt;0),SUM($N$13:N18),IF(SUM('Offshore CF'!E29:$E$153)-SUM('Offshore CF'!J29:$J$153)&lt;&gt;0,SUM($N$13:N18),0))</f>
        <v>#N/A</v>
      </c>
      <c r="P18" s="322" t="e">
        <f ca="1">IF(OR(SUM('Offshore CF'!E30:$E$153)&lt;&gt;0,SUM('Offshore CF'!J30:$J$153)&lt;&gt;0),O18+M18,IF(SUM('Offshore CF'!E29:$E$153)-SUM('Offshore CF'!J29:$J$153)&lt;&gt;0,O18+M18,0))</f>
        <v>#N/A</v>
      </c>
      <c r="R18" s="322" t="e">
        <f ca="1">IF(OR(SUM('Offshore CF'!E30:$E$153)&lt;&gt;0,SUM('Offshore CF'!J30:$J$153)&lt;&gt;0),G18-M18,IF(SUM('Offshore CF'!E29:$E$153)-SUM('Offshore CF'!J29:$J$153)&lt;&gt;0,G18-M18,0))</f>
        <v>#N/A</v>
      </c>
      <c r="S18" s="285"/>
      <c r="T18" s="322" t="e">
        <f ca="1">IF(OR(SUM('Offshore CF'!E30:$E$153)&lt;&gt;0,SUM('Offshore CF'!J30:$J$153)&lt;&gt;0),E18*(((R17+R18)/2)+SUM($T$13:T17)),IF(SUM('Offshore CF'!E29:$E$153)-SUM('Offshore CF'!J29:$J$153)&lt;&gt;0,E18*(((R17+R18)/2)+SUM($T$13:T17)),0))</f>
        <v>#N/A</v>
      </c>
      <c r="U18" s="322" t="e">
        <f t="shared" ca="1" si="2"/>
        <v>#N/A</v>
      </c>
      <c r="V18" s="319" t="e">
        <f t="shared" ca="1" si="3"/>
        <v>#N/A</v>
      </c>
      <c r="W18" s="285"/>
      <c r="X18" s="326"/>
    </row>
    <row r="19" spans="2:24">
      <c r="B19" s="309">
        <f>'Offshore CF'!B30</f>
        <v>3</v>
      </c>
      <c r="C19" s="310">
        <f>'Offshore CF'!C30</f>
        <v>43651.833400000003</v>
      </c>
      <c r="D19" s="311" t="e">
        <f t="shared" ca="1" si="0"/>
        <v>#N/A</v>
      </c>
      <c r="E19" s="312">
        <f t="shared" ca="1" si="1"/>
        <v>0</v>
      </c>
      <c r="F19" s="313">
        <f ca="1">IF(ISERROR('Offshore CF'!E30),0,'Offshore CF'!E30)</f>
        <v>0</v>
      </c>
      <c r="G19" s="319">
        <f ca="1">SUM($F$13:F19)</f>
        <v>0</v>
      </c>
      <c r="H19" s="322" t="e">
        <f ca="1">IF(OR(SUM('Offshore CF'!E31:$E$153)&lt;&gt;0,SUM('Offshore CF'!J31:$J$153)&lt;&gt;0),E19*(((G18+G19)/2)+I18),IF(SUM('Offshore CF'!E30:$E$153)-SUM('Offshore CF'!J30:$J$153)&lt;&gt;0,E19*(((G18+G19)/2)+I18),0))</f>
        <v>#N/A</v>
      </c>
      <c r="I19" s="322" t="e">
        <f ca="1">IF(OR(SUM('Offshore CF'!E31:$E$153)&lt;&gt;0,SUM('Offshore CF'!J31:$J$153)&lt;&gt;0),SUM($H$13:H19),IF(SUM('Offshore CF'!E$153:$E217)-SUM('Offshore CF'!J30:$J$153)&lt;&gt;0,SUM($H$13:H19),0))</f>
        <v>#N/A</v>
      </c>
      <c r="J19" s="322" t="e">
        <f ca="1">IF(OR(SUM('Offshore CF'!E31:$E$153)&lt;&gt;0,SUM('Offshore CF'!J31:$J$153)&lt;&gt;0),I19+G19,IF(SUM('Offshore CF'!E30:$E$153)-SUM('Offshore CF'!J30:$J$153)&lt;&gt;0,I19+G19,0))</f>
        <v>#N/A</v>
      </c>
      <c r="K19" s="323"/>
      <c r="L19" s="324">
        <f ca="1">IF(ISERROR('Offshore CF'!J30),0,'Offshore CF'!J30)</f>
        <v>0</v>
      </c>
      <c r="M19" s="325">
        <f ca="1">SUM($L$13:L19)</f>
        <v>1E-3</v>
      </c>
      <c r="N19" s="322" t="e">
        <f ca="1">IF(OR(SUM('Offshore CF'!E31:$E$153)&lt;&gt;0,SUM('Offshore CF'!J31:$J$153)&lt;&gt;0),E19*(((M18+M19)/2)+O18),IF(SUM('Offshore CF'!E30:$E$153)-SUM('Offshore CF'!J30:$J$153)&lt;&gt;0,E19*(((M18+M19)/2)+O18),0))</f>
        <v>#N/A</v>
      </c>
      <c r="O19" s="322" t="e">
        <f ca="1">IF(OR(SUM('Offshore CF'!E31:$E$153)&lt;&gt;0,SUM('Offshore CF'!J31:$J$153)&lt;&gt;0),SUM($N$13:N19),IF(SUM('Offshore CF'!E30:$E$153)-SUM('Offshore CF'!J30:$J$153)&lt;&gt;0,SUM($N$13:N19),0))</f>
        <v>#N/A</v>
      </c>
      <c r="P19" s="322" t="e">
        <f ca="1">IF(OR(SUM('Offshore CF'!E31:$E$153)&lt;&gt;0,SUM('Offshore CF'!J31:$J$153)&lt;&gt;0),O19+M19,IF(SUM('Offshore CF'!E30:$E$153)-SUM('Offshore CF'!J30:$J$153)&lt;&gt;0,O19+M19,0))</f>
        <v>#N/A</v>
      </c>
      <c r="R19" s="322" t="e">
        <f ca="1">IF(OR(SUM('Offshore CF'!E31:$E$153)&lt;&gt;0,SUM('Offshore CF'!J31:$J$153)&lt;&gt;0),G19-M19,IF(SUM('Offshore CF'!E30:$E$153)-SUM('Offshore CF'!J30:$J$153)&lt;&gt;0,G19-M19,0))</f>
        <v>#N/A</v>
      </c>
      <c r="S19" s="285"/>
      <c r="T19" s="322" t="e">
        <f ca="1">IF(OR(SUM('Offshore CF'!E31:$E$153)&lt;&gt;0,SUM('Offshore CF'!J31:$J$153)&lt;&gt;0),E19*(((R18+R19)/2)+SUM($T$13:T18)),IF(SUM('Offshore CF'!E30:$E$153)-SUM('Offshore CF'!J30:$J$153)&lt;&gt;0,E19*(((R18+R19)/2)+SUM($T$13:T18)),0))</f>
        <v>#N/A</v>
      </c>
      <c r="U19" s="322" t="e">
        <f t="shared" ca="1" si="2"/>
        <v>#N/A</v>
      </c>
      <c r="V19" s="319" t="e">
        <f t="shared" ca="1" si="3"/>
        <v>#N/A</v>
      </c>
      <c r="W19" s="285"/>
      <c r="X19" s="326"/>
    </row>
    <row r="20" spans="2:24">
      <c r="B20" s="309">
        <f>'Offshore CF'!B31</f>
        <v>4</v>
      </c>
      <c r="C20" s="310">
        <f>'Offshore CF'!C31</f>
        <v>43682.250100000005</v>
      </c>
      <c r="D20" s="311" t="e">
        <f t="shared" ca="1" si="0"/>
        <v>#N/A</v>
      </c>
      <c r="E20" s="312">
        <f t="shared" ca="1" si="1"/>
        <v>0</v>
      </c>
      <c r="F20" s="313">
        <f ca="1">IF(ISERROR('Offshore CF'!E31),0,'Offshore CF'!E31)</f>
        <v>0</v>
      </c>
      <c r="G20" s="319">
        <f ca="1">SUM($F$13:F20)</f>
        <v>0</v>
      </c>
      <c r="H20" s="322" t="e">
        <f ca="1">IF(OR(SUM('Offshore CF'!E32:$E$153)&lt;&gt;0,SUM('Offshore CF'!J32:$J$153)&lt;&gt;0),E20*(((G19+G20)/2)+I19),IF(SUM('Offshore CF'!E31:$E$153)-SUM('Offshore CF'!J31:$J$153)&lt;&gt;0,E20*(((G19+G20)/2)+I19),0))</f>
        <v>#N/A</v>
      </c>
      <c r="I20" s="322" t="e">
        <f ca="1">IF(OR(SUM('Offshore CF'!E32:$E$153)&lt;&gt;0,SUM('Offshore CF'!J32:$J$153)&lt;&gt;0),SUM($H$13:H20),IF(SUM('Offshore CF'!E$153:$E218)-SUM('Offshore CF'!J31:$J$153)&lt;&gt;0,SUM($H$13:H20),0))</f>
        <v>#N/A</v>
      </c>
      <c r="J20" s="322" t="e">
        <f ca="1">IF(OR(SUM('Offshore CF'!E32:$E$153)&lt;&gt;0,SUM('Offshore CF'!J32:$J$153)&lt;&gt;0),I20+G20,IF(SUM('Offshore CF'!E31:$E$153)-SUM('Offshore CF'!J31:$J$153)&lt;&gt;0,I20+G20,0))</f>
        <v>#N/A</v>
      </c>
      <c r="K20" s="323"/>
      <c r="L20" s="324">
        <f ca="1">IF(ISERROR('Offshore CF'!J31),0,'Offshore CF'!J31)</f>
        <v>0</v>
      </c>
      <c r="M20" s="325">
        <f ca="1">SUM($L$13:L20)</f>
        <v>1E-3</v>
      </c>
      <c r="N20" s="322" t="e">
        <f ca="1">IF(OR(SUM('Offshore CF'!E32:$E$153)&lt;&gt;0,SUM('Offshore CF'!J32:$J$153)&lt;&gt;0),E20*(((M19+M20)/2)+O19),IF(SUM('Offshore CF'!E31:$E$153)-SUM('Offshore CF'!J31:$J$153)&lt;&gt;0,E20*(((M19+M20)/2)+O19),0))</f>
        <v>#N/A</v>
      </c>
      <c r="O20" s="322" t="e">
        <f ca="1">IF(OR(SUM('Offshore CF'!E32:$E$153)&lt;&gt;0,SUM('Offshore CF'!J32:$J$153)&lt;&gt;0),SUM($N$13:N20),IF(SUM('Offshore CF'!E31:$E$153)-SUM('Offshore CF'!J31:$J$153)&lt;&gt;0,SUM($N$13:N20),0))</f>
        <v>#N/A</v>
      </c>
      <c r="P20" s="322" t="e">
        <f ca="1">IF(OR(SUM('Offshore CF'!E32:$E$153)&lt;&gt;0,SUM('Offshore CF'!J32:$J$153)&lt;&gt;0),O20+M20,IF(SUM('Offshore CF'!E31:$E$153)-SUM('Offshore CF'!J31:$J$153)&lt;&gt;0,O20+M20,0))</f>
        <v>#N/A</v>
      </c>
      <c r="R20" s="322" t="e">
        <f ca="1">IF(OR(SUM('Offshore CF'!E32:$E$153)&lt;&gt;0,SUM('Offshore CF'!J32:$J$153)&lt;&gt;0),G20-M20,IF(SUM('Offshore CF'!E31:$E$153)-SUM('Offshore CF'!J31:$J$153)&lt;&gt;0,G20-M20,0))</f>
        <v>#N/A</v>
      </c>
      <c r="S20" s="285"/>
      <c r="T20" s="322" t="e">
        <f ca="1">IF(OR(SUM('Offshore CF'!E32:$E$153)&lt;&gt;0,SUM('Offshore CF'!J32:$J$153)&lt;&gt;0),E20*(((R19+R20)/2)+SUM($T$13:T19)),IF(SUM('Offshore CF'!E31:$E$153)-SUM('Offshore CF'!J31:$J$153)&lt;&gt;0,E20*(((R19+R20)/2)+SUM($T$13:T19)),0))</f>
        <v>#N/A</v>
      </c>
      <c r="U20" s="322" t="e">
        <f t="shared" ca="1" si="2"/>
        <v>#N/A</v>
      </c>
      <c r="V20" s="319" t="e">
        <f t="shared" ca="1" si="3"/>
        <v>#N/A</v>
      </c>
      <c r="W20" s="285"/>
      <c r="X20" s="326"/>
    </row>
    <row r="21" spans="2:24">
      <c r="B21" s="309">
        <f>'Offshore CF'!B32</f>
        <v>5</v>
      </c>
      <c r="C21" s="310">
        <f>'Offshore CF'!C32</f>
        <v>43712.666800000006</v>
      </c>
      <c r="D21" s="311" t="e">
        <f t="shared" ca="1" si="0"/>
        <v>#N/A</v>
      </c>
      <c r="E21" s="312">
        <f t="shared" ca="1" si="1"/>
        <v>0</v>
      </c>
      <c r="F21" s="313">
        <f ca="1">IF(ISERROR('Offshore CF'!E32),0,'Offshore CF'!E32)</f>
        <v>0</v>
      </c>
      <c r="G21" s="319">
        <f ca="1">SUM($F$13:F21)</f>
        <v>0</v>
      </c>
      <c r="H21" s="322" t="e">
        <f ca="1">IF(OR(SUM('Offshore CF'!E33:$E$153)&lt;&gt;0,SUM('Offshore CF'!J33:$J$153)&lt;&gt;0),E21*(((G20+G21)/2)+I20),IF(SUM('Offshore CF'!E32:$E$153)-SUM('Offshore CF'!J32:$J$153)&lt;&gt;0,E21*(((G20+G21)/2)+I20),0))</f>
        <v>#N/A</v>
      </c>
      <c r="I21" s="322" t="e">
        <f ca="1">IF(OR(SUM('Offshore CF'!E33:$E$153)&lt;&gt;0,SUM('Offshore CF'!J33:$J$153)&lt;&gt;0),SUM($H$13:H21),IF(SUM('Offshore CF'!E$153:$E219)-SUM('Offshore CF'!J32:$J$153)&lt;&gt;0,SUM($H$13:H21),0))</f>
        <v>#N/A</v>
      </c>
      <c r="J21" s="322" t="e">
        <f ca="1">IF(OR(SUM('Offshore CF'!E33:$E$153)&lt;&gt;0,SUM('Offshore CF'!J33:$J$153)&lt;&gt;0),I21+G21,IF(SUM('Offshore CF'!E32:$E$153)-SUM('Offshore CF'!J32:$J$153)&lt;&gt;0,I21+G21,0))</f>
        <v>#N/A</v>
      </c>
      <c r="K21" s="323"/>
      <c r="L21" s="324">
        <f ca="1">IF(ISERROR('Offshore CF'!J32),0,'Offshore CF'!J32)</f>
        <v>0</v>
      </c>
      <c r="M21" s="325">
        <f ca="1">SUM($L$13:L21)</f>
        <v>1E-3</v>
      </c>
      <c r="N21" s="322" t="e">
        <f ca="1">IF(OR(SUM('Offshore CF'!E33:$E$153)&lt;&gt;0,SUM('Offshore CF'!J33:$J$153)&lt;&gt;0),E21*(((M20+M21)/2)+O20),IF(SUM('Offshore CF'!E32:$E$153)-SUM('Offshore CF'!J32:$J$153)&lt;&gt;0,E21*(((M20+M21)/2)+O20),0))</f>
        <v>#N/A</v>
      </c>
      <c r="O21" s="322" t="e">
        <f ca="1">IF(OR(SUM('Offshore CF'!E33:$E$153)&lt;&gt;0,SUM('Offshore CF'!J33:$J$153)&lt;&gt;0),SUM($N$13:N21),IF(SUM('Offshore CF'!E32:$E$153)-SUM('Offshore CF'!J32:$J$153)&lt;&gt;0,SUM($N$13:N21),0))</f>
        <v>#N/A</v>
      </c>
      <c r="P21" s="322" t="e">
        <f ca="1">IF(OR(SUM('Offshore CF'!E33:$E$153)&lt;&gt;0,SUM('Offshore CF'!J33:$J$153)&lt;&gt;0),O21+M21,IF(SUM('Offshore CF'!E32:$E$153)-SUM('Offshore CF'!J32:$J$153)&lt;&gt;0,O21+M21,0))</f>
        <v>#N/A</v>
      </c>
      <c r="R21" s="322" t="e">
        <f ca="1">IF(OR(SUM('Offshore CF'!E33:$E$153)&lt;&gt;0,SUM('Offshore CF'!J33:$J$153)&lt;&gt;0),G21-M21,IF(SUM('Offshore CF'!E32:$E$153)-SUM('Offshore CF'!J32:$J$153)&lt;&gt;0,G21-M21,0))</f>
        <v>#N/A</v>
      </c>
      <c r="S21" s="285"/>
      <c r="T21" s="322" t="e">
        <f ca="1">IF(OR(SUM('Offshore CF'!E33:$E$153)&lt;&gt;0,SUM('Offshore CF'!J33:$J$153)&lt;&gt;0),E21*(((R20+R21)/2)+SUM($T$13:T20)),IF(SUM('Offshore CF'!E32:$E$153)-SUM('Offshore CF'!J32:$J$153)&lt;&gt;0,E21*(((R20+R21)/2)+SUM($T$13:T20)),0))</f>
        <v>#N/A</v>
      </c>
      <c r="U21" s="322" t="e">
        <f t="shared" ca="1" si="2"/>
        <v>#N/A</v>
      </c>
      <c r="V21" s="319" t="e">
        <f t="shared" ca="1" si="3"/>
        <v>#N/A</v>
      </c>
      <c r="W21" s="285"/>
      <c r="X21" s="326"/>
    </row>
    <row r="22" spans="2:24">
      <c r="B22" s="309">
        <f>'Offshore CF'!B33</f>
        <v>6</v>
      </c>
      <c r="C22" s="310">
        <f>'Offshore CF'!C33</f>
        <v>43743.083500000008</v>
      </c>
      <c r="D22" s="311" t="e">
        <f t="shared" ca="1" si="0"/>
        <v>#N/A</v>
      </c>
      <c r="E22" s="312">
        <f t="shared" ca="1" si="1"/>
        <v>0</v>
      </c>
      <c r="F22" s="313">
        <f ca="1">IF(ISERROR('Offshore CF'!E33),0,'Offshore CF'!E33)</f>
        <v>0</v>
      </c>
      <c r="G22" s="319">
        <f ca="1">SUM($F$13:F22)</f>
        <v>0</v>
      </c>
      <c r="H22" s="322" t="e">
        <f ca="1">IF(OR(SUM('Offshore CF'!E34:$E$153)&lt;&gt;0,SUM('Offshore CF'!J34:$J$153)&lt;&gt;0),E22*(((G21+G22)/2)+I21),IF(SUM('Offshore CF'!E33:$E$153)-SUM('Offshore CF'!J33:$J$153)&lt;&gt;0,E22*(((G21+G22)/2)+I21),0))</f>
        <v>#N/A</v>
      </c>
      <c r="I22" s="322" t="e">
        <f ca="1">IF(OR(SUM('Offshore CF'!E34:$E$153)&lt;&gt;0,SUM('Offshore CF'!J34:$J$153)&lt;&gt;0),SUM($H$13:H22),IF(SUM('Offshore CF'!E$153:$E220)-SUM('Offshore CF'!J33:$J$153)&lt;&gt;0,SUM($H$13:H22),0))</f>
        <v>#N/A</v>
      </c>
      <c r="J22" s="322" t="e">
        <f ca="1">IF(OR(SUM('Offshore CF'!E34:$E$153)&lt;&gt;0,SUM('Offshore CF'!J34:$J$153)&lt;&gt;0),I22+G22,IF(SUM('Offshore CF'!E33:$E$153)-SUM('Offshore CF'!J33:$J$153)&lt;&gt;0,I22+G22,0))</f>
        <v>#N/A</v>
      </c>
      <c r="K22" s="323"/>
      <c r="L22" s="324">
        <f ca="1">IF(ISERROR('Offshore CF'!J33),0,'Offshore CF'!J33)</f>
        <v>0</v>
      </c>
      <c r="M22" s="325">
        <f ca="1">SUM($L$13:L22)</f>
        <v>1E-3</v>
      </c>
      <c r="N22" s="322" t="e">
        <f ca="1">IF(OR(SUM('Offshore CF'!E34:$E$153)&lt;&gt;0,SUM('Offshore CF'!J34:$J$153)&lt;&gt;0),E22*(((M21+M22)/2)+O21),IF(SUM('Offshore CF'!E33:$E$153)-SUM('Offshore CF'!J33:$J$153)&lt;&gt;0,E22*(((M21+M22)/2)+O21),0))</f>
        <v>#N/A</v>
      </c>
      <c r="O22" s="322" t="e">
        <f ca="1">IF(OR(SUM('Offshore CF'!E34:$E$153)&lt;&gt;0,SUM('Offshore CF'!J34:$J$153)&lt;&gt;0),SUM($N$13:N22),IF(SUM('Offshore CF'!E33:$E$153)-SUM('Offshore CF'!J33:$J$153)&lt;&gt;0,SUM($N$13:N22),0))</f>
        <v>#N/A</v>
      </c>
      <c r="P22" s="322" t="e">
        <f ca="1">IF(OR(SUM('Offshore CF'!E34:$E$153)&lt;&gt;0,SUM('Offshore CF'!J34:$J$153)&lt;&gt;0),O22+M22,IF(SUM('Offshore CF'!E33:$E$153)-SUM('Offshore CF'!J33:$J$153)&lt;&gt;0,O22+M22,0))</f>
        <v>#N/A</v>
      </c>
      <c r="R22" s="322" t="e">
        <f ca="1">IF(OR(SUM('Offshore CF'!E34:$E$153)&lt;&gt;0,SUM('Offshore CF'!J34:$J$153)&lt;&gt;0),G22-M22,IF(SUM('Offshore CF'!E33:$E$153)-SUM('Offshore CF'!J33:$J$153)&lt;&gt;0,G22-M22,0))</f>
        <v>#N/A</v>
      </c>
      <c r="S22" s="285"/>
      <c r="T22" s="322" t="e">
        <f ca="1">IF(OR(SUM('Offshore CF'!E34:$E$153)&lt;&gt;0,SUM('Offshore CF'!J34:$J$153)&lt;&gt;0),E22*(((R21+R22)/2)+SUM($T$13:T21)),IF(SUM('Offshore CF'!E33:$E$153)-SUM('Offshore CF'!J33:$J$153)&lt;&gt;0,E22*(((R21+R22)/2)+SUM($T$13:T21)),0))</f>
        <v>#N/A</v>
      </c>
      <c r="U22" s="322" t="e">
        <f t="shared" ca="1" si="2"/>
        <v>#N/A</v>
      </c>
      <c r="V22" s="319" t="e">
        <f t="shared" ca="1" si="3"/>
        <v>#N/A</v>
      </c>
      <c r="W22" s="285"/>
      <c r="X22" s="326"/>
    </row>
    <row r="23" spans="2:24">
      <c r="B23" s="309">
        <f>'Offshore CF'!B34</f>
        <v>7</v>
      </c>
      <c r="C23" s="310">
        <f>'Offshore CF'!C34</f>
        <v>43773.500200000009</v>
      </c>
      <c r="D23" s="311" t="e">
        <f t="shared" ca="1" si="0"/>
        <v>#N/A</v>
      </c>
      <c r="E23" s="312">
        <f t="shared" ca="1" si="1"/>
        <v>0</v>
      </c>
      <c r="F23" s="313">
        <f ca="1">IF(ISERROR('Offshore CF'!E34),0,'Offshore CF'!E34)</f>
        <v>0</v>
      </c>
      <c r="G23" s="319">
        <f ca="1">SUM($F$13:F23)</f>
        <v>0</v>
      </c>
      <c r="H23" s="322" t="e">
        <f ca="1">IF(OR(SUM('Offshore CF'!E35:$E$153)&lt;&gt;0,SUM('Offshore CF'!J35:$J$153)&lt;&gt;0),E23*(((G22+G23)/2)+I22),IF(SUM('Offshore CF'!E34:$E$153)-SUM('Offshore CF'!J34:$J$153)&lt;&gt;0,E23*(((G22+G23)/2)+I22),0))</f>
        <v>#N/A</v>
      </c>
      <c r="I23" s="322" t="e">
        <f ca="1">IF(OR(SUM('Offshore CF'!E35:$E$153)&lt;&gt;0,SUM('Offshore CF'!J35:$J$153)&lt;&gt;0),SUM($H$13:H23),IF(SUM('Offshore CF'!E$153:$E221)-SUM('Offshore CF'!J34:$J$153)&lt;&gt;0,SUM($H$13:H23),0))</f>
        <v>#N/A</v>
      </c>
      <c r="J23" s="322" t="e">
        <f ca="1">IF(OR(SUM('Offshore CF'!E35:$E$153)&lt;&gt;0,SUM('Offshore CF'!J35:$J$153)&lt;&gt;0),I23+G23,IF(SUM('Offshore CF'!E34:$E$153)-SUM('Offshore CF'!J34:$J$153)&lt;&gt;0,I23+G23,0))</f>
        <v>#N/A</v>
      </c>
      <c r="K23" s="323"/>
      <c r="L23" s="324">
        <f ca="1">IF(ISERROR('Offshore CF'!J34),0,'Offshore CF'!J34)</f>
        <v>0</v>
      </c>
      <c r="M23" s="325">
        <f ca="1">SUM($L$13:L23)</f>
        <v>1E-3</v>
      </c>
      <c r="N23" s="322" t="e">
        <f ca="1">IF(OR(SUM('Offshore CF'!E35:$E$153)&lt;&gt;0,SUM('Offshore CF'!J35:$J$153)&lt;&gt;0),E23*(((M22+M23)/2)+O22),IF(SUM('Offshore CF'!E34:$E$153)-SUM('Offshore CF'!J34:$J$153)&lt;&gt;0,E23*(((M22+M23)/2)+O22),0))</f>
        <v>#N/A</v>
      </c>
      <c r="O23" s="322" t="e">
        <f ca="1">IF(OR(SUM('Offshore CF'!E35:$E$153)&lt;&gt;0,SUM('Offshore CF'!J35:$J$153)&lt;&gt;0),SUM($N$13:N23),IF(SUM('Offshore CF'!E34:$E$153)-SUM('Offshore CF'!J34:$J$153)&lt;&gt;0,SUM($N$13:N23),0))</f>
        <v>#N/A</v>
      </c>
      <c r="P23" s="322" t="e">
        <f ca="1">IF(OR(SUM('Offshore CF'!E35:$E$153)&lt;&gt;0,SUM('Offshore CF'!J35:$J$153)&lt;&gt;0),O23+M23,IF(SUM('Offshore CF'!E34:$E$153)-SUM('Offshore CF'!J34:$J$153)&lt;&gt;0,O23+M23,0))</f>
        <v>#N/A</v>
      </c>
      <c r="R23" s="322" t="e">
        <f ca="1">IF(OR(SUM('Offshore CF'!E35:$E$153)&lt;&gt;0,SUM('Offshore CF'!J35:$J$153)&lt;&gt;0),G23-M23,IF(SUM('Offshore CF'!E34:$E$153)-SUM('Offshore CF'!J34:$J$153)&lt;&gt;0,G23-M23,0))</f>
        <v>#N/A</v>
      </c>
      <c r="S23" s="285"/>
      <c r="T23" s="322" t="e">
        <f ca="1">IF(OR(SUM('Offshore CF'!E35:$E$153)&lt;&gt;0,SUM('Offshore CF'!J35:$J$153)&lt;&gt;0),E23*(((R22+R23)/2)+SUM($T$13:T22)),IF(SUM('Offshore CF'!E34:$E$153)-SUM('Offshore CF'!J34:$J$153)&lt;&gt;0,E23*(((R22+R23)/2)+SUM($T$13:T22)),0))</f>
        <v>#N/A</v>
      </c>
      <c r="U23" s="322" t="e">
        <f t="shared" ca="1" si="2"/>
        <v>#N/A</v>
      </c>
      <c r="V23" s="319" t="e">
        <f t="shared" ca="1" si="3"/>
        <v>#N/A</v>
      </c>
      <c r="W23" s="285"/>
      <c r="X23" s="326"/>
    </row>
    <row r="24" spans="2:24">
      <c r="B24" s="309">
        <f>'Offshore CF'!B35</f>
        <v>8</v>
      </c>
      <c r="C24" s="310">
        <f>'Offshore CF'!C35</f>
        <v>43803.916900000011</v>
      </c>
      <c r="D24" s="311" t="e">
        <f t="shared" ca="1" si="0"/>
        <v>#N/A</v>
      </c>
      <c r="E24" s="312">
        <f t="shared" ca="1" si="1"/>
        <v>0</v>
      </c>
      <c r="F24" s="313">
        <f ca="1">IF(ISERROR('Offshore CF'!E35),0,'Offshore CF'!E35)</f>
        <v>0</v>
      </c>
      <c r="G24" s="319">
        <f ca="1">SUM($F$13:F24)</f>
        <v>0</v>
      </c>
      <c r="H24" s="322" t="e">
        <f ca="1">IF(OR(SUM('Offshore CF'!E36:$E$153)&lt;&gt;0,SUM('Offshore CF'!J36:$J$153)&lt;&gt;0),E24*(((G23+G24)/2)+I23),IF(SUM('Offshore CF'!E35:$E$153)-SUM('Offshore CF'!J35:$J$153)&lt;&gt;0,E24*(((G23+G24)/2)+I23),0))</f>
        <v>#N/A</v>
      </c>
      <c r="I24" s="322" t="e">
        <f ca="1">IF(OR(SUM('Offshore CF'!E36:$E$153)&lt;&gt;0,SUM('Offshore CF'!J36:$J$153)&lt;&gt;0),SUM($H$13:H24),IF(SUM('Offshore CF'!E$153:$E222)-SUM('Offshore CF'!J35:$J$153)&lt;&gt;0,SUM($H$13:H24),0))</f>
        <v>#N/A</v>
      </c>
      <c r="J24" s="322" t="e">
        <f ca="1">IF(OR(SUM('Offshore CF'!E36:$E$153)&lt;&gt;0,SUM('Offshore CF'!J36:$J$153)&lt;&gt;0),I24+G24,IF(SUM('Offshore CF'!E35:$E$153)-SUM('Offshore CF'!J35:$J$153)&lt;&gt;0,I24+G24,0))</f>
        <v>#N/A</v>
      </c>
      <c r="K24" s="323"/>
      <c r="L24" s="324">
        <f ca="1">IF(ISERROR('Offshore CF'!J35),0,'Offshore CF'!J35)</f>
        <v>0</v>
      </c>
      <c r="M24" s="325">
        <f ca="1">SUM($L$13:L24)</f>
        <v>1E-3</v>
      </c>
      <c r="N24" s="322" t="e">
        <f ca="1">IF(OR(SUM('Offshore CF'!E36:$E$153)&lt;&gt;0,SUM('Offshore CF'!J36:$J$153)&lt;&gt;0),E24*(((M23+M24)/2)+O23),IF(SUM('Offshore CF'!E35:$E$153)-SUM('Offshore CF'!J35:$J$153)&lt;&gt;0,E24*(((M23+M24)/2)+O23),0))</f>
        <v>#N/A</v>
      </c>
      <c r="O24" s="322" t="e">
        <f ca="1">IF(OR(SUM('Offshore CF'!E36:$E$153)&lt;&gt;0,SUM('Offshore CF'!J36:$J$153)&lt;&gt;0),SUM($N$13:N24),IF(SUM('Offshore CF'!E35:$E$153)-SUM('Offshore CF'!J35:$J$153)&lt;&gt;0,SUM($N$13:N24),0))</f>
        <v>#N/A</v>
      </c>
      <c r="P24" s="322" t="e">
        <f ca="1">IF(OR(SUM('Offshore CF'!E36:$E$153)&lt;&gt;0,SUM('Offshore CF'!J36:$J$153)&lt;&gt;0),O24+M24,IF(SUM('Offshore CF'!E35:$E$153)-SUM('Offshore CF'!J35:$J$153)&lt;&gt;0,O24+M24,0))</f>
        <v>#N/A</v>
      </c>
      <c r="R24" s="322" t="e">
        <f ca="1">IF(OR(SUM('Offshore CF'!E36:$E$153)&lt;&gt;0,SUM('Offshore CF'!J36:$J$153)&lt;&gt;0),G24-M24,IF(SUM('Offshore CF'!E35:$E$153)-SUM('Offshore CF'!J35:$J$153)&lt;&gt;0,G24-M24,0))</f>
        <v>#N/A</v>
      </c>
      <c r="S24" s="285"/>
      <c r="T24" s="322" t="e">
        <f ca="1">IF(OR(SUM('Offshore CF'!E36:$E$153)&lt;&gt;0,SUM('Offshore CF'!J36:$J$153)&lt;&gt;0),E24*(((R23+R24)/2)+SUM($T$13:T23)),IF(SUM('Offshore CF'!E35:$E$153)-SUM('Offshore CF'!J35:$J$153)&lt;&gt;0,E24*(((R23+R24)/2)+SUM($T$13:T23)),0))</f>
        <v>#N/A</v>
      </c>
      <c r="U24" s="322" t="e">
        <f t="shared" ca="1" si="2"/>
        <v>#N/A</v>
      </c>
      <c r="V24" s="319" t="e">
        <f t="shared" ca="1" si="3"/>
        <v>#N/A</v>
      </c>
      <c r="W24" s="285"/>
      <c r="X24" s="326"/>
    </row>
    <row r="25" spans="2:24">
      <c r="B25" s="309">
        <f>'Offshore CF'!B36</f>
        <v>9</v>
      </c>
      <c r="C25" s="310">
        <f>'Offshore CF'!C36</f>
        <v>43834.333600000013</v>
      </c>
      <c r="D25" s="311" t="e">
        <f t="shared" ca="1" si="0"/>
        <v>#N/A</v>
      </c>
      <c r="E25" s="312">
        <f t="shared" ca="1" si="1"/>
        <v>0</v>
      </c>
      <c r="F25" s="313">
        <f ca="1">IF(ISERROR('Offshore CF'!E36),0,'Offshore CF'!E36)</f>
        <v>0</v>
      </c>
      <c r="G25" s="319">
        <f ca="1">SUM($F$13:F25)</f>
        <v>0</v>
      </c>
      <c r="H25" s="322" t="e">
        <f ca="1">IF(OR(SUM('Offshore CF'!E37:$E$153)&lt;&gt;0,SUM('Offshore CF'!J37:$J$153)&lt;&gt;0),E25*(((G24+G25)/2)+I24),IF(SUM('Offshore CF'!E36:$E$153)-SUM('Offshore CF'!J36:$J$153)&lt;&gt;0,E25*(((G24+G25)/2)+I24),0))</f>
        <v>#N/A</v>
      </c>
      <c r="I25" s="322" t="e">
        <f ca="1">IF(OR(SUM('Offshore CF'!E37:$E$153)&lt;&gt;0,SUM('Offshore CF'!J37:$J$153)&lt;&gt;0),SUM($H$13:H25),IF(SUM('Offshore CF'!E$153:$E223)-SUM('Offshore CF'!J36:$J$153)&lt;&gt;0,SUM($H$13:H25),0))</f>
        <v>#N/A</v>
      </c>
      <c r="J25" s="322" t="e">
        <f ca="1">IF(OR(SUM('Offshore CF'!E37:$E$153)&lt;&gt;0,SUM('Offshore CF'!J37:$J$153)&lt;&gt;0),I25+G25,IF(SUM('Offshore CF'!E36:$E$153)-SUM('Offshore CF'!J36:$J$153)&lt;&gt;0,I25+G25,0))</f>
        <v>#N/A</v>
      </c>
      <c r="K25" s="323"/>
      <c r="L25" s="324">
        <f ca="1">IF(ISERROR('Offshore CF'!J36),0,'Offshore CF'!J36)</f>
        <v>0</v>
      </c>
      <c r="M25" s="325">
        <f ca="1">SUM($L$13:L25)</f>
        <v>1E-3</v>
      </c>
      <c r="N25" s="322" t="e">
        <f ca="1">IF(OR(SUM('Offshore CF'!E37:$E$153)&lt;&gt;0,SUM('Offshore CF'!J37:$J$153)&lt;&gt;0),E25*(((M24+M25)/2)+O24),IF(SUM('Offshore CF'!E36:$E$153)-SUM('Offshore CF'!J36:$J$153)&lt;&gt;0,E25*(((M24+M25)/2)+O24),0))</f>
        <v>#N/A</v>
      </c>
      <c r="O25" s="322" t="e">
        <f ca="1">IF(OR(SUM('Offshore CF'!E37:$E$153)&lt;&gt;0,SUM('Offshore CF'!J37:$J$153)&lt;&gt;0),SUM($N$13:N25),IF(SUM('Offshore CF'!E36:$E$153)-SUM('Offshore CF'!J36:$J$153)&lt;&gt;0,SUM($N$13:N25),0))</f>
        <v>#N/A</v>
      </c>
      <c r="P25" s="322" t="e">
        <f ca="1">IF(OR(SUM('Offshore CF'!E37:$E$153)&lt;&gt;0,SUM('Offshore CF'!J37:$J$153)&lt;&gt;0),O25+M25,IF(SUM('Offshore CF'!E36:$E$153)-SUM('Offshore CF'!J36:$J$153)&lt;&gt;0,O25+M25,0))</f>
        <v>#N/A</v>
      </c>
      <c r="R25" s="322" t="e">
        <f ca="1">IF(OR(SUM('Offshore CF'!E37:$E$153)&lt;&gt;0,SUM('Offshore CF'!J37:$J$153)&lt;&gt;0),G25-M25,IF(SUM('Offshore CF'!E36:$E$153)-SUM('Offshore CF'!J36:$J$153)&lt;&gt;0,G25-M25,0))</f>
        <v>#N/A</v>
      </c>
      <c r="S25" s="285"/>
      <c r="T25" s="322" t="e">
        <f ca="1">IF(OR(SUM('Offshore CF'!E37:$E$153)&lt;&gt;0,SUM('Offshore CF'!J37:$J$153)&lt;&gt;0),E25*(((R24+R25)/2)+SUM($T$13:T24)),IF(SUM('Offshore CF'!E36:$E$153)-SUM('Offshore CF'!J36:$J$153)&lt;&gt;0,E25*(((R24+R25)/2)+SUM($T$13:T24)),0))</f>
        <v>#N/A</v>
      </c>
      <c r="U25" s="322" t="e">
        <f t="shared" ca="1" si="2"/>
        <v>#N/A</v>
      </c>
      <c r="V25" s="319" t="e">
        <f t="shared" ca="1" si="3"/>
        <v>#N/A</v>
      </c>
      <c r="W25" s="285"/>
      <c r="X25" s="326"/>
    </row>
    <row r="26" spans="2:24">
      <c r="B26" s="309">
        <f>'Offshore CF'!B37</f>
        <v>10</v>
      </c>
      <c r="C26" s="310">
        <f>'Offshore CF'!C37</f>
        <v>43864.750300000014</v>
      </c>
      <c r="D26" s="311" t="e">
        <f t="shared" ca="1" si="0"/>
        <v>#N/A</v>
      </c>
      <c r="E26" s="312">
        <f t="shared" ca="1" si="1"/>
        <v>0</v>
      </c>
      <c r="F26" s="313">
        <f ca="1">IF(ISERROR('Offshore CF'!E37),0,'Offshore CF'!E37)</f>
        <v>0</v>
      </c>
      <c r="G26" s="319">
        <f ca="1">SUM($F$13:F26)</f>
        <v>0</v>
      </c>
      <c r="H26" s="322" t="e">
        <f ca="1">IF(OR(SUM('Offshore CF'!E38:$E$153)&lt;&gt;0,SUM('Offshore CF'!J38:$J$153)&lt;&gt;0),E26*(((G25+G26)/2)+I25),IF(SUM('Offshore CF'!E37:$E$153)-SUM('Offshore CF'!J37:$J$153)&lt;&gt;0,E26*(((G25+G26)/2)+I25),0))</f>
        <v>#N/A</v>
      </c>
      <c r="I26" s="322" t="e">
        <f ca="1">IF(OR(SUM('Offshore CF'!E38:$E$153)&lt;&gt;0,SUM('Offshore CF'!J38:$J$153)&lt;&gt;0),SUM($H$13:H26),IF(SUM('Offshore CF'!E$153:$E224)-SUM('Offshore CF'!J37:$J$153)&lt;&gt;0,SUM($H$13:H26),0))</f>
        <v>#N/A</v>
      </c>
      <c r="J26" s="322" t="e">
        <f ca="1">IF(OR(SUM('Offshore CF'!E38:$E$153)&lt;&gt;0,SUM('Offshore CF'!J38:$J$153)&lt;&gt;0),I26+G26,IF(SUM('Offshore CF'!E37:$E$153)-SUM('Offshore CF'!J37:$J$153)&lt;&gt;0,I26+G26,0))</f>
        <v>#N/A</v>
      </c>
      <c r="K26" s="323"/>
      <c r="L26" s="324">
        <f ca="1">IF(ISERROR('Offshore CF'!J37),0,'Offshore CF'!J37)</f>
        <v>0</v>
      </c>
      <c r="M26" s="325">
        <f ca="1">SUM($L$13:L26)</f>
        <v>1E-3</v>
      </c>
      <c r="N26" s="322" t="e">
        <f ca="1">IF(OR(SUM('Offshore CF'!E38:$E$153)&lt;&gt;0,SUM('Offshore CF'!J38:$J$153)&lt;&gt;0),E26*(((M25+M26)/2)+O25),IF(SUM('Offshore CF'!E37:$E$153)-SUM('Offshore CF'!J37:$J$153)&lt;&gt;0,E26*(((M25+M26)/2)+O25),0))</f>
        <v>#N/A</v>
      </c>
      <c r="O26" s="322" t="e">
        <f ca="1">IF(OR(SUM('Offshore CF'!E38:$E$153)&lt;&gt;0,SUM('Offshore CF'!J38:$J$153)&lt;&gt;0),SUM($N$13:N26),IF(SUM('Offshore CF'!E37:$E$153)-SUM('Offshore CF'!J37:$J$153)&lt;&gt;0,SUM($N$13:N26),0))</f>
        <v>#N/A</v>
      </c>
      <c r="P26" s="322" t="e">
        <f ca="1">IF(OR(SUM('Offshore CF'!E38:$E$153)&lt;&gt;0,SUM('Offshore CF'!J38:$J$153)&lt;&gt;0),O26+M26,IF(SUM('Offshore CF'!E37:$E$153)-SUM('Offshore CF'!J37:$J$153)&lt;&gt;0,O26+M26,0))</f>
        <v>#N/A</v>
      </c>
      <c r="R26" s="322" t="e">
        <f ca="1">IF(OR(SUM('Offshore CF'!E38:$E$153)&lt;&gt;0,SUM('Offshore CF'!J38:$J$153)&lt;&gt;0),G26-M26,IF(SUM('Offshore CF'!E37:$E$153)-SUM('Offshore CF'!J37:$J$153)&lt;&gt;0,G26-M26,0))</f>
        <v>#N/A</v>
      </c>
      <c r="S26" s="285"/>
      <c r="T26" s="322" t="e">
        <f ca="1">IF(OR(SUM('Offshore CF'!E38:$E$153)&lt;&gt;0,SUM('Offshore CF'!J38:$J$153)&lt;&gt;0),E26*(((R25+R26)/2)+SUM($T$13:T25)),IF(SUM('Offshore CF'!E37:$E$153)-SUM('Offshore CF'!J37:$J$153)&lt;&gt;0,E26*(((R25+R26)/2)+SUM($T$13:T25)),0))</f>
        <v>#N/A</v>
      </c>
      <c r="U26" s="322" t="e">
        <f t="shared" ca="1" si="2"/>
        <v>#N/A</v>
      </c>
      <c r="V26" s="319" t="e">
        <f t="shared" ca="1" si="3"/>
        <v>#N/A</v>
      </c>
      <c r="W26" s="285"/>
      <c r="X26" s="326"/>
    </row>
    <row r="27" spans="2:24">
      <c r="B27" s="327">
        <f>'Offshore CF'!B38</f>
        <v>11</v>
      </c>
      <c r="C27" s="310">
        <f>'Offshore CF'!C38</f>
        <v>43895.167000000016</v>
      </c>
      <c r="D27" s="311" t="e">
        <f t="shared" ca="1" si="0"/>
        <v>#N/A</v>
      </c>
      <c r="E27" s="312">
        <f t="shared" ca="1" si="1"/>
        <v>0</v>
      </c>
      <c r="F27" s="313">
        <f ca="1">IF(ISERROR('Offshore CF'!E38),0,'Offshore CF'!E38)</f>
        <v>0</v>
      </c>
      <c r="G27" s="319">
        <f ca="1">SUM($F$13:F27)</f>
        <v>0</v>
      </c>
      <c r="H27" s="322" t="e">
        <f ca="1">IF(OR(SUM('Offshore CF'!E39:$E$153)&lt;&gt;0,SUM('Offshore CF'!J39:$J$153)&lt;&gt;0),E27*(((G26+G27)/2)+I26),IF(SUM('Offshore CF'!E38:$E$153)-SUM('Offshore CF'!J38:$J$153)&lt;&gt;0,E27*(((G26+G27)/2)+I26),0))</f>
        <v>#N/A</v>
      </c>
      <c r="I27" s="322" t="e">
        <f ca="1">IF(OR(SUM('Offshore CF'!E39:$E$153)&lt;&gt;0,SUM('Offshore CF'!J39:$J$153)&lt;&gt;0),SUM($H$13:H27),IF(SUM('Offshore CF'!E$153:$E225)-SUM('Offshore CF'!J38:$J$153)&lt;&gt;0,SUM($H$13:H27),0))</f>
        <v>#N/A</v>
      </c>
      <c r="J27" s="322" t="e">
        <f ca="1">IF(OR(SUM('Offshore CF'!E39:$E$153)&lt;&gt;0,SUM('Offshore CF'!J39:$J$153)&lt;&gt;0),I27+G27,IF(SUM('Offshore CF'!E38:$E$153)-SUM('Offshore CF'!J38:$J$153)&lt;&gt;0,I27+G27,0))</f>
        <v>#N/A</v>
      </c>
      <c r="K27" s="323"/>
      <c r="L27" s="324">
        <f ca="1">IF(ISERROR('Offshore CF'!J38),0,'Offshore CF'!J38)</f>
        <v>0</v>
      </c>
      <c r="M27" s="325">
        <f ca="1">SUM($L$13:L27)</f>
        <v>1E-3</v>
      </c>
      <c r="N27" s="322" t="e">
        <f ca="1">IF(OR(SUM('Offshore CF'!E39:$E$153)&lt;&gt;0,SUM('Offshore CF'!J39:$J$153)&lt;&gt;0),E27*(((M26+M27)/2)+O26),IF(SUM('Offshore CF'!E38:$E$153)-SUM('Offshore CF'!J38:$J$153)&lt;&gt;0,E27*(((M26+M27)/2)+O26),0))</f>
        <v>#N/A</v>
      </c>
      <c r="O27" s="322" t="e">
        <f ca="1">IF(OR(SUM('Offshore CF'!E39:$E$153)&lt;&gt;0,SUM('Offshore CF'!J39:$J$153)&lt;&gt;0),SUM($N$13:N27),IF(SUM('Offshore CF'!E38:$E$153)-SUM('Offshore CF'!J38:$J$153)&lt;&gt;0,SUM($N$13:N27),0))</f>
        <v>#N/A</v>
      </c>
      <c r="P27" s="322" t="e">
        <f ca="1">IF(OR(SUM('Offshore CF'!E39:$E$153)&lt;&gt;0,SUM('Offshore CF'!J39:$J$153)&lt;&gt;0),O27+M27,IF(SUM('Offshore CF'!E38:$E$153)-SUM('Offshore CF'!J38:$J$153)&lt;&gt;0,O27+M27,0))</f>
        <v>#N/A</v>
      </c>
      <c r="R27" s="322" t="e">
        <f ca="1">IF(OR(SUM('Offshore CF'!E39:$E$153)&lt;&gt;0,SUM('Offshore CF'!J39:$J$153)&lt;&gt;0),G27-M27,IF(SUM('Offshore CF'!E38:$E$153)-SUM('Offshore CF'!J38:$J$153)&lt;&gt;0,G27-M27,0))</f>
        <v>#N/A</v>
      </c>
      <c r="S27" s="285"/>
      <c r="T27" s="322" t="e">
        <f ca="1">IF(OR(SUM('Offshore CF'!E39:$E$153)&lt;&gt;0,SUM('Offshore CF'!J39:$J$153)&lt;&gt;0),E27*(((R26+R27)/2)+SUM($T$13:T26)),IF(SUM('Offshore CF'!E38:$E$153)-SUM('Offshore CF'!J38:$J$153)&lt;&gt;0,E27*(((R26+R27)/2)+SUM($T$13:T26)),0))</f>
        <v>#N/A</v>
      </c>
      <c r="U27" s="322" t="e">
        <f t="shared" ca="1" si="2"/>
        <v>#N/A</v>
      </c>
      <c r="V27" s="319" t="e">
        <f t="shared" ca="1" si="3"/>
        <v>#N/A</v>
      </c>
      <c r="W27" s="285"/>
      <c r="X27" s="326"/>
    </row>
    <row r="28" spans="2:24">
      <c r="B28" s="327">
        <f>'Offshore CF'!B39</f>
        <v>12</v>
      </c>
      <c r="C28" s="310">
        <f>'Offshore CF'!C39</f>
        <v>43925.583700000017</v>
      </c>
      <c r="D28" s="311" t="e">
        <f t="shared" ca="1" si="0"/>
        <v>#N/A</v>
      </c>
      <c r="E28" s="312">
        <f t="shared" ca="1" si="1"/>
        <v>0</v>
      </c>
      <c r="F28" s="313">
        <f ca="1">IF(ISERROR('Offshore CF'!E39),0,'Offshore CF'!E39)</f>
        <v>0</v>
      </c>
      <c r="G28" s="319">
        <f ca="1">SUM($F$13:F28)</f>
        <v>0</v>
      </c>
      <c r="H28" s="322" t="e">
        <f ca="1">IF(OR(SUM('Offshore CF'!E40:$E$153)&lt;&gt;0,SUM('Offshore CF'!J40:$J$153)&lt;&gt;0),E28*(((G27+G28)/2)+I27),IF(SUM('Offshore CF'!E39:$E$153)-SUM('Offshore CF'!J39:$J$153)&lt;&gt;0,E28*(((G27+G28)/2)+I27),0))</f>
        <v>#N/A</v>
      </c>
      <c r="I28" s="322" t="e">
        <f ca="1">IF(OR(SUM('Offshore CF'!E40:$E$153)&lt;&gt;0,SUM('Offshore CF'!J40:$J$153)&lt;&gt;0),SUM($H$13:H28),IF(SUM('Offshore CF'!E$153:$E226)-SUM('Offshore CF'!J39:$J$153)&lt;&gt;0,SUM($H$13:H28),0))</f>
        <v>#N/A</v>
      </c>
      <c r="J28" s="322" t="e">
        <f ca="1">IF(OR(SUM('Offshore CF'!E40:$E$153)&lt;&gt;0,SUM('Offshore CF'!J40:$J$153)&lt;&gt;0),I28+G28,IF(SUM('Offshore CF'!E39:$E$153)-SUM('Offshore CF'!J39:$J$153)&lt;&gt;0,I28+G28,0))</f>
        <v>#N/A</v>
      </c>
      <c r="K28" s="323"/>
      <c r="L28" s="324">
        <f ca="1">IF(ISERROR('Offshore CF'!J39),0,'Offshore CF'!J39)</f>
        <v>0</v>
      </c>
      <c r="M28" s="325">
        <f ca="1">SUM($L$13:L28)</f>
        <v>1E-3</v>
      </c>
      <c r="N28" s="322" t="e">
        <f ca="1">IF(OR(SUM('Offshore CF'!E40:$E$153)&lt;&gt;0,SUM('Offshore CF'!J40:$J$153)&lt;&gt;0),E28*(((M27+M28)/2)+O27),IF(SUM('Offshore CF'!E39:$E$153)-SUM('Offshore CF'!J39:$J$153)&lt;&gt;0,E28*(((M27+M28)/2)+O27),0))</f>
        <v>#N/A</v>
      </c>
      <c r="O28" s="322" t="e">
        <f ca="1">IF(OR(SUM('Offshore CF'!E40:$E$153)&lt;&gt;0,SUM('Offshore CF'!J40:$J$153)&lt;&gt;0),SUM($N$13:N28),IF(SUM('Offshore CF'!E39:$E$153)-SUM('Offshore CF'!J39:$J$153)&lt;&gt;0,SUM($N$13:N28),0))</f>
        <v>#N/A</v>
      </c>
      <c r="P28" s="322" t="e">
        <f ca="1">IF(OR(SUM('Offshore CF'!E40:$E$153)&lt;&gt;0,SUM('Offshore CF'!J40:$J$153)&lt;&gt;0),O28+M28,IF(SUM('Offshore CF'!E39:$E$153)-SUM('Offshore CF'!J39:$J$153)&lt;&gt;0,O28+M28,0))</f>
        <v>#N/A</v>
      </c>
      <c r="R28" s="322" t="e">
        <f ca="1">IF(OR(SUM('Offshore CF'!E40:$E$153)&lt;&gt;0,SUM('Offshore CF'!J40:$J$153)&lt;&gt;0),G28-M28,IF(SUM('Offshore CF'!E39:$E$153)-SUM('Offshore CF'!J39:$J$153)&lt;&gt;0,G28-M28,0))</f>
        <v>#N/A</v>
      </c>
      <c r="S28" s="285"/>
      <c r="T28" s="322" t="e">
        <f ca="1">IF(OR(SUM('Offshore CF'!E40:$E$153)&lt;&gt;0,SUM('Offshore CF'!J40:$J$153)&lt;&gt;0),E28*(((R27+R28)/2)+SUM($T$13:T27)),IF(SUM('Offshore CF'!E39:$E$153)-SUM('Offshore CF'!J39:$J$153)&lt;&gt;0,E28*(((R27+R28)/2)+SUM($T$13:T27)),0))</f>
        <v>#N/A</v>
      </c>
      <c r="U28" s="322" t="e">
        <f t="shared" ca="1" si="2"/>
        <v>#N/A</v>
      </c>
      <c r="V28" s="319" t="e">
        <f t="shared" ca="1" si="3"/>
        <v>#N/A</v>
      </c>
      <c r="W28" s="285"/>
      <c r="X28" s="326"/>
    </row>
    <row r="29" spans="2:24">
      <c r="B29" s="327">
        <f>'Offshore CF'!B40</f>
        <v>13</v>
      </c>
      <c r="C29" s="310">
        <f>'Offshore CF'!C40</f>
        <v>43956.000400000019</v>
      </c>
      <c r="D29" s="311" t="e">
        <f t="shared" ca="1" si="0"/>
        <v>#N/A</v>
      </c>
      <c r="E29" s="312">
        <f t="shared" ca="1" si="1"/>
        <v>0</v>
      </c>
      <c r="F29" s="313">
        <f ca="1">IF(ISERROR('Offshore CF'!E40),0,'Offshore CF'!E40)</f>
        <v>0</v>
      </c>
      <c r="G29" s="319">
        <f ca="1">SUM($F$13:F29)</f>
        <v>0</v>
      </c>
      <c r="H29" s="322" t="e">
        <f ca="1">IF(OR(SUM('Offshore CF'!E41:$E$153)&lt;&gt;0,SUM('Offshore CF'!J41:$J$153)&lt;&gt;0),E29*(((G28+G29)/2)+I28),IF(SUM('Offshore CF'!E40:$E$153)-SUM('Offshore CF'!J40:$J$153)&lt;&gt;0,E29*(((G28+G29)/2)+I28),0))</f>
        <v>#N/A</v>
      </c>
      <c r="I29" s="322" t="e">
        <f ca="1">IF(OR(SUM('Offshore CF'!E41:$E$153)&lt;&gt;0,SUM('Offshore CF'!J41:$J$153)&lt;&gt;0),SUM($H$13:H29),IF(SUM('Offshore CF'!E$153:$E227)-SUM('Offshore CF'!J40:$J$153)&lt;&gt;0,SUM($H$13:H29),0))</f>
        <v>#N/A</v>
      </c>
      <c r="J29" s="322" t="e">
        <f ca="1">IF(OR(SUM('Offshore CF'!E41:$E$153)&lt;&gt;0,SUM('Offshore CF'!J41:$J$153)&lt;&gt;0),I29+G29,IF(SUM('Offshore CF'!E40:$E$153)-SUM('Offshore CF'!J40:$J$153)&lt;&gt;0,I29+G29,0))</f>
        <v>#N/A</v>
      </c>
      <c r="K29" s="323"/>
      <c r="L29" s="324">
        <f ca="1">IF(ISERROR('Offshore CF'!J40),0,'Offshore CF'!J40)</f>
        <v>0</v>
      </c>
      <c r="M29" s="325">
        <f ca="1">SUM($L$13:L29)</f>
        <v>1E-3</v>
      </c>
      <c r="N29" s="322" t="e">
        <f ca="1">IF(OR(SUM('Offshore CF'!E41:$E$153)&lt;&gt;0,SUM('Offshore CF'!J41:$J$153)&lt;&gt;0),E29*(((M28+M29)/2)+O28),IF(SUM('Offshore CF'!E40:$E$153)-SUM('Offshore CF'!J40:$J$153)&lt;&gt;0,E29*(((M28+M29)/2)+O28),0))</f>
        <v>#N/A</v>
      </c>
      <c r="O29" s="322" t="e">
        <f ca="1">IF(OR(SUM('Offshore CF'!E41:$E$153)&lt;&gt;0,SUM('Offshore CF'!J41:$J$153)&lt;&gt;0),SUM($N$13:N29),IF(SUM('Offshore CF'!E40:$E$153)-SUM('Offshore CF'!J40:$J$153)&lt;&gt;0,SUM($N$13:N29),0))</f>
        <v>#N/A</v>
      </c>
      <c r="P29" s="322" t="e">
        <f ca="1">IF(OR(SUM('Offshore CF'!E41:$E$153)&lt;&gt;0,SUM('Offshore CF'!J41:$J$153)&lt;&gt;0),O29+M29,IF(SUM('Offshore CF'!E40:$E$153)-SUM('Offshore CF'!J40:$J$153)&lt;&gt;0,O29+M29,0))</f>
        <v>#N/A</v>
      </c>
      <c r="R29" s="322" t="e">
        <f ca="1">IF(OR(SUM('Offshore CF'!E41:$E$153)&lt;&gt;0,SUM('Offshore CF'!J41:$J$153)&lt;&gt;0),G29-M29,IF(SUM('Offshore CF'!E40:$E$153)-SUM('Offshore CF'!J40:$J$153)&lt;&gt;0,G29-M29,0))</f>
        <v>#N/A</v>
      </c>
      <c r="S29" s="285"/>
      <c r="T29" s="322" t="e">
        <f ca="1">IF(OR(SUM('Offshore CF'!E41:$E$153)&lt;&gt;0,SUM('Offshore CF'!J41:$J$153)&lt;&gt;0),E29*(((R28+R29)/2)+SUM($T$13:T28)),IF(SUM('Offshore CF'!E40:$E$153)-SUM('Offshore CF'!J40:$J$153)&lt;&gt;0,E29*(((R28+R29)/2)+SUM($T$13:T28)),0))</f>
        <v>#N/A</v>
      </c>
      <c r="U29" s="322" t="e">
        <f t="shared" ca="1" si="2"/>
        <v>#N/A</v>
      </c>
      <c r="V29" s="319" t="e">
        <f t="shared" ca="1" si="3"/>
        <v>#N/A</v>
      </c>
      <c r="W29" s="285"/>
      <c r="X29" s="326"/>
    </row>
    <row r="30" spans="2:24">
      <c r="B30" s="327">
        <f>'Offshore CF'!B41</f>
        <v>14</v>
      </c>
      <c r="C30" s="310">
        <f>'Offshore CF'!C41</f>
        <v>43986.417100000021</v>
      </c>
      <c r="D30" s="311" t="e">
        <f t="shared" ca="1" si="0"/>
        <v>#N/A</v>
      </c>
      <c r="E30" s="312">
        <f t="shared" ca="1" si="1"/>
        <v>0</v>
      </c>
      <c r="F30" s="313">
        <f ca="1">IF(ISERROR('Offshore CF'!E41),0,'Offshore CF'!E41)</f>
        <v>0</v>
      </c>
      <c r="G30" s="319">
        <f ca="1">SUM($F$13:F30)</f>
        <v>0</v>
      </c>
      <c r="H30" s="322" t="e">
        <f ca="1">IF(OR(SUM('Offshore CF'!E42:$E$153)&lt;&gt;0,SUM('Offshore CF'!J42:$J$153)&lt;&gt;0),E30*(((G29+G30)/2)+I29),IF(SUM('Offshore CF'!E41:$E$153)-SUM('Offshore CF'!J41:$J$153)&lt;&gt;0,E30*(((G29+G30)/2)+I29),0))</f>
        <v>#N/A</v>
      </c>
      <c r="I30" s="322" t="e">
        <f ca="1">IF(OR(SUM('Offshore CF'!E42:$E$153)&lt;&gt;0,SUM('Offshore CF'!J42:$J$153)&lt;&gt;0),SUM($H$13:H30),IF(SUM('Offshore CF'!E$153:$E228)-SUM('Offshore CF'!J41:$J$153)&lt;&gt;0,SUM($H$13:H30),0))</f>
        <v>#N/A</v>
      </c>
      <c r="J30" s="322" t="e">
        <f ca="1">IF(OR(SUM('Offshore CF'!E42:$E$153)&lt;&gt;0,SUM('Offshore CF'!J42:$J$153)&lt;&gt;0),I30+G30,IF(SUM('Offshore CF'!E41:$E$153)-SUM('Offshore CF'!J41:$J$153)&lt;&gt;0,I30+G30,0))</f>
        <v>#N/A</v>
      </c>
      <c r="K30" s="323"/>
      <c r="L30" s="324">
        <f ca="1">IF(ISERROR('Offshore CF'!J41),0,'Offshore CF'!J41)</f>
        <v>0</v>
      </c>
      <c r="M30" s="325">
        <f ca="1">SUM($L$13:L30)</f>
        <v>1E-3</v>
      </c>
      <c r="N30" s="322" t="e">
        <f ca="1">IF(OR(SUM('Offshore CF'!E42:$E$153)&lt;&gt;0,SUM('Offshore CF'!J42:$J$153)&lt;&gt;0),E30*(((M29+M30)/2)+O29),IF(SUM('Offshore CF'!E41:$E$153)-SUM('Offshore CF'!J41:$J$153)&lt;&gt;0,E30*(((M29+M30)/2)+O29),0))</f>
        <v>#N/A</v>
      </c>
      <c r="O30" s="322" t="e">
        <f ca="1">IF(OR(SUM('Offshore CF'!E42:$E$153)&lt;&gt;0,SUM('Offshore CF'!J42:$J$153)&lt;&gt;0),SUM($N$13:N30),IF(SUM('Offshore CF'!E41:$E$153)-SUM('Offshore CF'!J41:$J$153)&lt;&gt;0,SUM($N$13:N30),0))</f>
        <v>#N/A</v>
      </c>
      <c r="P30" s="322" t="e">
        <f ca="1">IF(OR(SUM('Offshore CF'!E42:$E$153)&lt;&gt;0,SUM('Offshore CF'!J42:$J$153)&lt;&gt;0),O30+M30,IF(SUM('Offshore CF'!E41:$E$153)-SUM('Offshore CF'!J41:$J$153)&lt;&gt;0,O30+M30,0))</f>
        <v>#N/A</v>
      </c>
      <c r="R30" s="322" t="e">
        <f ca="1">IF(OR(SUM('Offshore CF'!E42:$E$153)&lt;&gt;0,SUM('Offshore CF'!J42:$J$153)&lt;&gt;0),G30-M30,IF(SUM('Offshore CF'!E41:$E$153)-SUM('Offshore CF'!J41:$J$153)&lt;&gt;0,G30-M30,0))</f>
        <v>#N/A</v>
      </c>
      <c r="S30" s="285"/>
      <c r="T30" s="322" t="e">
        <f ca="1">IF(OR(SUM('Offshore CF'!E42:$E$153)&lt;&gt;0,SUM('Offshore CF'!J42:$J$153)&lt;&gt;0),E30*(((R29+R30)/2)+SUM($T$13:T29)),IF(SUM('Offshore CF'!E41:$E$153)-SUM('Offshore CF'!J41:$J$153)&lt;&gt;0,E30*(((R29+R30)/2)+SUM($T$13:T29)),0))</f>
        <v>#N/A</v>
      </c>
      <c r="U30" s="322" t="e">
        <f t="shared" ca="1" si="2"/>
        <v>#N/A</v>
      </c>
      <c r="V30" s="319" t="e">
        <f t="shared" ca="1" si="3"/>
        <v>#N/A</v>
      </c>
      <c r="W30" s="285"/>
      <c r="X30" s="326"/>
    </row>
    <row r="31" spans="2:24">
      <c r="B31" s="327">
        <f>'Offshore CF'!B42</f>
        <v>15</v>
      </c>
      <c r="C31" s="310">
        <f>'Offshore CF'!C42</f>
        <v>44016.833800000022</v>
      </c>
      <c r="D31" s="311" t="e">
        <f t="shared" ca="1" si="0"/>
        <v>#N/A</v>
      </c>
      <c r="E31" s="312">
        <f t="shared" ca="1" si="1"/>
        <v>0</v>
      </c>
      <c r="F31" s="313">
        <f ca="1">IF(ISERROR('Offshore CF'!E42),0,'Offshore CF'!E42)</f>
        <v>0</v>
      </c>
      <c r="G31" s="319">
        <f ca="1">SUM($F$13:F31)</f>
        <v>0</v>
      </c>
      <c r="H31" s="322" t="e">
        <f ca="1">IF(OR(SUM('Offshore CF'!E43:$E$153)&lt;&gt;0,SUM('Offshore CF'!J43:$J$153)&lt;&gt;0),E31*(((G30+G31)/2)+I30),IF(SUM('Offshore CF'!E42:$E$153)-SUM('Offshore CF'!J42:$J$153)&lt;&gt;0,E31*(((G30+G31)/2)+I30),0))</f>
        <v>#N/A</v>
      </c>
      <c r="I31" s="322" t="e">
        <f ca="1">IF(OR(SUM('Offshore CF'!E43:$E$153)&lt;&gt;0,SUM('Offshore CF'!J43:$J$153)&lt;&gt;0),SUM($H$13:H31),IF(SUM('Offshore CF'!E$153:$E229)-SUM('Offshore CF'!J42:$J$153)&lt;&gt;0,SUM($H$13:H31),0))</f>
        <v>#N/A</v>
      </c>
      <c r="J31" s="322" t="e">
        <f ca="1">IF(OR(SUM('Offshore CF'!E43:$E$153)&lt;&gt;0,SUM('Offshore CF'!J43:$J$153)&lt;&gt;0),I31+G31,IF(SUM('Offshore CF'!E42:$E$153)-SUM('Offshore CF'!J42:$J$153)&lt;&gt;0,I31+G31,0))</f>
        <v>#N/A</v>
      </c>
      <c r="K31" s="323"/>
      <c r="L31" s="324">
        <f ca="1">IF(ISERROR('Offshore CF'!J42),0,'Offshore CF'!J42)</f>
        <v>0</v>
      </c>
      <c r="M31" s="325">
        <f ca="1">SUM($L$13:L31)</f>
        <v>1E-3</v>
      </c>
      <c r="N31" s="322" t="e">
        <f ca="1">IF(OR(SUM('Offshore CF'!E43:$E$153)&lt;&gt;0,SUM('Offshore CF'!J43:$J$153)&lt;&gt;0),E31*(((M30+M31)/2)+O30),IF(SUM('Offshore CF'!E42:$E$153)-SUM('Offshore CF'!J42:$J$153)&lt;&gt;0,E31*(((M30+M31)/2)+O30),0))</f>
        <v>#N/A</v>
      </c>
      <c r="O31" s="322" t="e">
        <f ca="1">IF(OR(SUM('Offshore CF'!E43:$E$153)&lt;&gt;0,SUM('Offshore CF'!J43:$J$153)&lt;&gt;0),SUM($N$13:N31),IF(SUM('Offshore CF'!E42:$E$153)-SUM('Offshore CF'!J42:$J$153)&lt;&gt;0,SUM($N$13:N31),0))</f>
        <v>#N/A</v>
      </c>
      <c r="P31" s="322" t="e">
        <f ca="1">IF(OR(SUM('Offshore CF'!E43:$E$153)&lt;&gt;0,SUM('Offshore CF'!J43:$J$153)&lt;&gt;0),O31+M31,IF(SUM('Offshore CF'!E42:$E$153)-SUM('Offshore CF'!J42:$J$153)&lt;&gt;0,O31+M31,0))</f>
        <v>#N/A</v>
      </c>
      <c r="R31" s="322" t="e">
        <f ca="1">IF(OR(SUM('Offshore CF'!E43:$E$153)&lt;&gt;0,SUM('Offshore CF'!J43:$J$153)&lt;&gt;0),G31-M31,IF(SUM('Offshore CF'!E42:$E$153)-SUM('Offshore CF'!J42:$J$153)&lt;&gt;0,G31-M31,0))</f>
        <v>#N/A</v>
      </c>
      <c r="S31" s="285"/>
      <c r="T31" s="322" t="e">
        <f ca="1">IF(OR(SUM('Offshore CF'!E43:$E$153)&lt;&gt;0,SUM('Offshore CF'!J43:$J$153)&lt;&gt;0),E31*(((R30+R31)/2)+SUM($T$13:T30)),IF(SUM('Offshore CF'!E42:$E$153)-SUM('Offshore CF'!J42:$J$153)&lt;&gt;0,E31*(((R30+R31)/2)+SUM($T$13:T30)),0))</f>
        <v>#N/A</v>
      </c>
      <c r="U31" s="322" t="e">
        <f t="shared" ca="1" si="2"/>
        <v>#N/A</v>
      </c>
      <c r="V31" s="319" t="e">
        <f t="shared" ca="1" si="3"/>
        <v>#N/A</v>
      </c>
      <c r="W31" s="285"/>
      <c r="X31" s="326"/>
    </row>
    <row r="32" spans="2:24">
      <c r="B32" s="327">
        <f>'Offshore CF'!B43</f>
        <v>16</v>
      </c>
      <c r="C32" s="310">
        <f>'Offshore CF'!C43</f>
        <v>44047.250500000024</v>
      </c>
      <c r="D32" s="311" t="e">
        <f t="shared" ca="1" si="0"/>
        <v>#N/A</v>
      </c>
      <c r="E32" s="312">
        <f t="shared" ca="1" si="1"/>
        <v>0</v>
      </c>
      <c r="F32" s="313">
        <f ca="1">IF(ISERROR('Offshore CF'!E43),0,'Offshore CF'!E43)</f>
        <v>0</v>
      </c>
      <c r="G32" s="319">
        <f ca="1">SUM($F$13:F32)</f>
        <v>0</v>
      </c>
      <c r="H32" s="322" t="e">
        <f ca="1">IF(OR(SUM('Offshore CF'!E44:$E$153)&lt;&gt;0,SUM('Offshore CF'!J44:$J$153)&lt;&gt;0),E32*(((G31+G32)/2)+I31),IF(SUM('Offshore CF'!E43:$E$153)-SUM('Offshore CF'!J43:$J$153)&lt;&gt;0,E32*(((G31+G32)/2)+I31),0))</f>
        <v>#N/A</v>
      </c>
      <c r="I32" s="322" t="e">
        <f ca="1">IF(OR(SUM('Offshore CF'!E44:$E$153)&lt;&gt;0,SUM('Offshore CF'!J44:$J$153)&lt;&gt;0),SUM($H$13:H32),IF(SUM('Offshore CF'!E$153:$E230)-SUM('Offshore CF'!J43:$J$153)&lt;&gt;0,SUM($H$13:H32),0))</f>
        <v>#N/A</v>
      </c>
      <c r="J32" s="322" t="e">
        <f ca="1">IF(OR(SUM('Offshore CF'!E44:$E$153)&lt;&gt;0,SUM('Offshore CF'!J44:$J$153)&lt;&gt;0),I32+G32,IF(SUM('Offshore CF'!E43:$E$153)-SUM('Offshore CF'!J43:$J$153)&lt;&gt;0,I32+G32,0))</f>
        <v>#N/A</v>
      </c>
      <c r="K32" s="323"/>
      <c r="L32" s="324">
        <f ca="1">IF(ISERROR('Offshore CF'!J43),0,'Offshore CF'!J43)</f>
        <v>0</v>
      </c>
      <c r="M32" s="325">
        <f ca="1">SUM($L$13:L32)</f>
        <v>1E-3</v>
      </c>
      <c r="N32" s="322" t="e">
        <f ca="1">IF(OR(SUM('Offshore CF'!E44:$E$153)&lt;&gt;0,SUM('Offshore CF'!J44:$J$153)&lt;&gt;0),E32*(((M31+M32)/2)+O31),IF(SUM('Offshore CF'!E43:$E$153)-SUM('Offshore CF'!J43:$J$153)&lt;&gt;0,E32*(((M31+M32)/2)+O31),0))</f>
        <v>#N/A</v>
      </c>
      <c r="O32" s="322" t="e">
        <f ca="1">IF(OR(SUM('Offshore CF'!E44:$E$153)&lt;&gt;0,SUM('Offshore CF'!J44:$J$153)&lt;&gt;0),SUM($N$13:N32),IF(SUM('Offshore CF'!E43:$E$153)-SUM('Offshore CF'!J43:$J$153)&lt;&gt;0,SUM($N$13:N32),0))</f>
        <v>#N/A</v>
      </c>
      <c r="P32" s="322" t="e">
        <f ca="1">IF(OR(SUM('Offshore CF'!E44:$E$153)&lt;&gt;0,SUM('Offshore CF'!J44:$J$153)&lt;&gt;0),O32+M32,IF(SUM('Offshore CF'!E43:$E$153)-SUM('Offshore CF'!J43:$J$153)&lt;&gt;0,O32+M32,0))</f>
        <v>#N/A</v>
      </c>
      <c r="R32" s="322" t="e">
        <f ca="1">IF(OR(SUM('Offshore CF'!E44:$E$153)&lt;&gt;0,SUM('Offshore CF'!J44:$J$153)&lt;&gt;0),G32-M32,IF(SUM('Offshore CF'!E43:$E$153)-SUM('Offshore CF'!J43:$J$153)&lt;&gt;0,G32-M32,0))</f>
        <v>#N/A</v>
      </c>
      <c r="S32" s="285"/>
      <c r="T32" s="322" t="e">
        <f ca="1">IF(OR(SUM('Offshore CF'!E44:$E$153)&lt;&gt;0,SUM('Offshore CF'!J44:$J$153)&lt;&gt;0),E32*(((R31+R32)/2)+SUM($T$13:T31)),IF(SUM('Offshore CF'!E43:$E$153)-SUM('Offshore CF'!J43:$J$153)&lt;&gt;0,E32*(((R31+R32)/2)+SUM($T$13:T31)),0))</f>
        <v>#N/A</v>
      </c>
      <c r="U32" s="322" t="e">
        <f t="shared" ca="1" si="2"/>
        <v>#N/A</v>
      </c>
      <c r="V32" s="319" t="e">
        <f t="shared" ca="1" si="3"/>
        <v>#N/A</v>
      </c>
      <c r="W32" s="285"/>
      <c r="X32" s="326"/>
    </row>
    <row r="33" spans="2:24">
      <c r="B33" s="849">
        <f>'Offshore CF'!B44</f>
        <v>17</v>
      </c>
      <c r="C33" s="850">
        <f>'Offshore CF'!C44</f>
        <v>44077.667200000025</v>
      </c>
      <c r="D33" s="311" t="e">
        <f t="shared" ca="1" si="0"/>
        <v>#N/A</v>
      </c>
      <c r="E33" s="312">
        <f t="shared" ca="1" si="1"/>
        <v>0</v>
      </c>
      <c r="F33" s="313">
        <f ca="1">IF(ISERROR('Offshore CF'!E44),0,'Offshore CF'!E44)</f>
        <v>0</v>
      </c>
      <c r="G33" s="319">
        <f ca="1">SUM($F$13:F33)</f>
        <v>0</v>
      </c>
      <c r="H33" s="322" t="e">
        <f ca="1">IF(OR(SUM('Offshore CF'!E45:$E$153)&lt;&gt;0,SUM('Offshore CF'!J45:$J$153)&lt;&gt;0),E33*(((G32+G33)/2)+I32),IF(SUM('Offshore CF'!E44:$E$153)-SUM('Offshore CF'!J44:$J$153)&lt;&gt;0,E33*(((G32+G33)/2)+I32),0))</f>
        <v>#N/A</v>
      </c>
      <c r="I33" s="322" t="e">
        <f ca="1">IF(OR(SUM('Offshore CF'!E45:$E$153)&lt;&gt;0,SUM('Offshore CF'!J45:$J$153)&lt;&gt;0),SUM($H$13:H33),IF(SUM('Offshore CF'!E$153:$E231)-SUM('Offshore CF'!J44:$J$153)&lt;&gt;0,SUM($H$13:H33),0))</f>
        <v>#N/A</v>
      </c>
      <c r="J33" s="322" t="e">
        <f ca="1">IF(OR(SUM('Offshore CF'!E45:$E$153)&lt;&gt;0,SUM('Offshore CF'!J45:$J$153)&lt;&gt;0),I33+G33,IF(SUM('Offshore CF'!E44:$E$153)-SUM('Offshore CF'!J44:$J$153)&lt;&gt;0,I33+G33,0))</f>
        <v>#N/A</v>
      </c>
      <c r="K33" s="323"/>
      <c r="L33" s="324">
        <f ca="1">IF(ISERROR('Offshore CF'!J44),0,'Offshore CF'!J44)</f>
        <v>0</v>
      </c>
      <c r="M33" s="325">
        <f ca="1">SUM($L$13:L33)</f>
        <v>1E-3</v>
      </c>
      <c r="N33" s="322" t="e">
        <f ca="1">IF(OR(SUM('Offshore CF'!E45:$E$153)&lt;&gt;0,SUM('Offshore CF'!J45:$J$153)&lt;&gt;0),E33*(((M32+M33)/2)+O32),IF(SUM('Offshore CF'!E44:$E$153)-SUM('Offshore CF'!J44:$J$153)&lt;&gt;0,E33*(((M32+M33)/2)+O32),0))</f>
        <v>#N/A</v>
      </c>
      <c r="O33" s="322" t="e">
        <f ca="1">IF(OR(SUM('Offshore CF'!E45:$E$153)&lt;&gt;0,SUM('Offshore CF'!J45:$J$153)&lt;&gt;0),SUM($N$13:N33),IF(SUM('Offshore CF'!E44:$E$153)-SUM('Offshore CF'!J44:$J$153)&lt;&gt;0,SUM($N$13:N33),0))</f>
        <v>#N/A</v>
      </c>
      <c r="P33" s="322" t="e">
        <f ca="1">IF(OR(SUM('Offshore CF'!E45:$E$153)&lt;&gt;0,SUM('Offshore CF'!J45:$J$153)&lt;&gt;0),O33+M33,IF(SUM('Offshore CF'!E44:$E$153)-SUM('Offshore CF'!J44:$J$153)&lt;&gt;0,O33+M33,0))</f>
        <v>#N/A</v>
      </c>
      <c r="R33" s="322" t="e">
        <f ca="1">IF(OR(SUM('Offshore CF'!E45:$E$153)&lt;&gt;0,SUM('Offshore CF'!J45:$J$153)&lt;&gt;0),G33-M33,IF(SUM('Offshore CF'!E44:$E$153)-SUM('Offshore CF'!J44:$J$153)&lt;&gt;0,G33-M33,0))</f>
        <v>#N/A</v>
      </c>
      <c r="S33" s="285"/>
      <c r="T33" s="322" t="e">
        <f ca="1">IF(OR(SUM('Offshore CF'!E45:$E$153)&lt;&gt;0,SUM('Offshore CF'!J45:$J$153)&lt;&gt;0),E33*(((R32+R33)/2)+SUM($T$13:T32)),IF(SUM('Offshore CF'!E44:$E$153)-SUM('Offshore CF'!J44:$J$153)&lt;&gt;0,E33*(((R32+R33)/2)+SUM($T$13:T32)),0))</f>
        <v>#N/A</v>
      </c>
      <c r="U33" s="322" t="e">
        <f t="shared" ca="1" si="2"/>
        <v>#N/A</v>
      </c>
      <c r="V33" s="319" t="e">
        <f t="shared" ca="1" si="3"/>
        <v>#N/A</v>
      </c>
      <c r="W33" s="285"/>
      <c r="X33" s="326"/>
    </row>
    <row r="34" spans="2:24">
      <c r="B34" s="327">
        <f>'Offshore CF'!B45</f>
        <v>18</v>
      </c>
      <c r="C34" s="310">
        <f>'Offshore CF'!C45</f>
        <v>44108.083900000027</v>
      </c>
      <c r="D34" s="311" t="e">
        <f t="shared" ca="1" si="0"/>
        <v>#N/A</v>
      </c>
      <c r="E34" s="312">
        <f t="shared" ca="1" si="1"/>
        <v>0</v>
      </c>
      <c r="F34" s="313">
        <f ca="1">IF(ISERROR('Offshore CF'!E45),0,'Offshore CF'!E45)</f>
        <v>0</v>
      </c>
      <c r="G34" s="319">
        <f ca="1">SUM($F$13:F34)</f>
        <v>0</v>
      </c>
      <c r="H34" s="322" t="e">
        <f ca="1">IF(OR(SUM('Offshore CF'!E46:$E$153)&lt;&gt;0,SUM('Offshore CF'!J46:$J$153)&lt;&gt;0),E34*(((G33+G34)/2)+I33),IF(SUM('Offshore CF'!E45:$E$153)-SUM('Offshore CF'!J45:$J$153)&lt;&gt;0,E34*(((G33+G34)/2)+I33),0))</f>
        <v>#N/A</v>
      </c>
      <c r="I34" s="322" t="e">
        <f ca="1">IF(OR(SUM('Offshore CF'!E46:$E$153)&lt;&gt;0,SUM('Offshore CF'!J46:$J$153)&lt;&gt;0),SUM($H$13:H34),IF(SUM('Offshore CF'!E$153:$E232)-SUM('Offshore CF'!J45:$J$153)&lt;&gt;0,SUM($H$13:H34),0))</f>
        <v>#N/A</v>
      </c>
      <c r="J34" s="322" t="e">
        <f ca="1">IF(OR(SUM('Offshore CF'!E46:$E$153)&lt;&gt;0,SUM('Offshore CF'!J46:$J$153)&lt;&gt;0),I34+G34,IF(SUM('Offshore CF'!E45:$E$153)-SUM('Offshore CF'!J45:$J$153)&lt;&gt;0,I34+G34,0))</f>
        <v>#N/A</v>
      </c>
      <c r="K34" s="323"/>
      <c r="L34" s="324">
        <f ca="1">IF(ISERROR('Offshore CF'!J45),0,'Offshore CF'!J45)</f>
        <v>0</v>
      </c>
      <c r="M34" s="325">
        <f ca="1">SUM($L$13:L34)</f>
        <v>1E-3</v>
      </c>
      <c r="N34" s="322" t="e">
        <f ca="1">IF(OR(SUM('Offshore CF'!E46:$E$153)&lt;&gt;0,SUM('Offshore CF'!J46:$J$153)&lt;&gt;0),E34*(((M33+M34)/2)+O33),IF(SUM('Offshore CF'!E45:$E$153)-SUM('Offshore CF'!J45:$J$153)&lt;&gt;0,E34*(((M33+M34)/2)+O33),0))</f>
        <v>#N/A</v>
      </c>
      <c r="O34" s="322" t="e">
        <f ca="1">IF(OR(SUM('Offshore CF'!E46:$E$153)&lt;&gt;0,SUM('Offshore CF'!J46:$J$153)&lt;&gt;0),SUM($N$13:N34),IF(SUM('Offshore CF'!E45:$E$153)-SUM('Offshore CF'!J45:$J$153)&lt;&gt;0,SUM($N$13:N34),0))</f>
        <v>#N/A</v>
      </c>
      <c r="P34" s="322" t="e">
        <f ca="1">IF(OR(SUM('Offshore CF'!E46:$E$153)&lt;&gt;0,SUM('Offshore CF'!J46:$J$153)&lt;&gt;0),O34+M34,IF(SUM('Offshore CF'!E45:$E$153)-SUM('Offshore CF'!J45:$J$153)&lt;&gt;0,O34+M34,0))</f>
        <v>#N/A</v>
      </c>
      <c r="R34" s="322" t="e">
        <f ca="1">IF(OR(SUM('Offshore CF'!E46:$E$153)&lt;&gt;0,SUM('Offshore CF'!J46:$J$153)&lt;&gt;0),G34-M34,IF(SUM('Offshore CF'!E45:$E$153)-SUM('Offshore CF'!J45:$J$153)&lt;&gt;0,G34-M34,0))</f>
        <v>#N/A</v>
      </c>
      <c r="S34" s="285"/>
      <c r="T34" s="322" t="e">
        <f ca="1">IF(OR(SUM('Offshore CF'!E46:$E$153)&lt;&gt;0,SUM('Offshore CF'!J46:$J$153)&lt;&gt;0),E34*(((R33+R34)/2)+SUM($T$13:T33)),IF(SUM('Offshore CF'!E45:$E$153)-SUM('Offshore CF'!J45:$J$153)&lt;&gt;0,E34*(((R33+R34)/2)+SUM($T$13:T33)),0))</f>
        <v>#N/A</v>
      </c>
      <c r="U34" s="322" t="e">
        <f t="shared" ca="1" si="2"/>
        <v>#N/A</v>
      </c>
      <c r="V34" s="319" t="e">
        <f t="shared" ca="1" si="3"/>
        <v>#N/A</v>
      </c>
      <c r="W34" s="285"/>
      <c r="X34" s="326"/>
    </row>
    <row r="35" spans="2:24">
      <c r="B35" s="327">
        <f>'Offshore CF'!B46</f>
        <v>19</v>
      </c>
      <c r="C35" s="310">
        <f>'Offshore CF'!C46</f>
        <v>44138.500600000028</v>
      </c>
      <c r="D35" s="311" t="e">
        <f t="shared" ca="1" si="0"/>
        <v>#N/A</v>
      </c>
      <c r="E35" s="312">
        <f t="shared" ca="1" si="1"/>
        <v>0</v>
      </c>
      <c r="F35" s="313">
        <f ca="1">IF(ISERROR('Offshore CF'!E46),0,'Offshore CF'!E46)</f>
        <v>0</v>
      </c>
      <c r="G35" s="319">
        <f ca="1">SUM($F$13:F35)</f>
        <v>0</v>
      </c>
      <c r="H35" s="322" t="e">
        <f ca="1">IF(OR(SUM('Offshore CF'!E47:$E$153)&lt;&gt;0,SUM('Offshore CF'!J47:$J$153)&lt;&gt;0),E35*(((G34+G35)/2)+I34),IF(SUM('Offshore CF'!E46:$E$153)-SUM('Offshore CF'!J46:$J$153)&lt;&gt;0,E35*(((G34+G35)/2)+I34),0))</f>
        <v>#N/A</v>
      </c>
      <c r="I35" s="322" t="e">
        <f ca="1">IF(OR(SUM('Offshore CF'!E47:$E$153)&lt;&gt;0,SUM('Offshore CF'!J47:$J$153)&lt;&gt;0),SUM($H$13:H35),IF(SUM('Offshore CF'!E$153:$E233)-SUM('Offshore CF'!J46:$J$153)&lt;&gt;0,SUM($H$13:H35),0))</f>
        <v>#N/A</v>
      </c>
      <c r="J35" s="322" t="e">
        <f ca="1">IF(OR(SUM('Offshore CF'!E47:$E$153)&lt;&gt;0,SUM('Offshore CF'!J47:$J$153)&lt;&gt;0),I35+G35,IF(SUM('Offshore CF'!E46:$E$153)-SUM('Offshore CF'!J46:$J$153)&lt;&gt;0,I35+G35,0))</f>
        <v>#N/A</v>
      </c>
      <c r="K35" s="323"/>
      <c r="L35" s="324">
        <f ca="1">IF(ISERROR('Offshore CF'!J46),0,'Offshore CF'!J46)</f>
        <v>0</v>
      </c>
      <c r="M35" s="325">
        <f ca="1">SUM($L$13:L35)</f>
        <v>1E-3</v>
      </c>
      <c r="N35" s="322" t="e">
        <f ca="1">IF(OR(SUM('Offshore CF'!E47:$E$153)&lt;&gt;0,SUM('Offshore CF'!J47:$J$153)&lt;&gt;0),E35*(((M34+M35)/2)+O34),IF(SUM('Offshore CF'!E46:$E$153)-SUM('Offshore CF'!J46:$J$153)&lt;&gt;0,E35*(((M34+M35)/2)+O34),0))</f>
        <v>#N/A</v>
      </c>
      <c r="O35" s="322" t="e">
        <f ca="1">IF(OR(SUM('Offshore CF'!E47:$E$153)&lt;&gt;0,SUM('Offshore CF'!J47:$J$153)&lt;&gt;0),SUM($N$13:N35),IF(SUM('Offshore CF'!E46:$E$153)-SUM('Offshore CF'!J46:$J$153)&lt;&gt;0,SUM($N$13:N35),0))</f>
        <v>#N/A</v>
      </c>
      <c r="P35" s="322" t="e">
        <f ca="1">IF(OR(SUM('Offshore CF'!E47:$E$153)&lt;&gt;0,SUM('Offshore CF'!J47:$J$153)&lt;&gt;0),O35+M35,IF(SUM('Offshore CF'!E46:$E$153)-SUM('Offshore CF'!J46:$J$153)&lt;&gt;0,O35+M35,0))</f>
        <v>#N/A</v>
      </c>
      <c r="R35" s="322" t="e">
        <f ca="1">IF(OR(SUM('Offshore CF'!E47:$E$153)&lt;&gt;0,SUM('Offshore CF'!J47:$J$153)&lt;&gt;0),G35-M35,IF(SUM('Offshore CF'!E46:$E$153)-SUM('Offshore CF'!J46:$J$153)&lt;&gt;0,G35-M35,0))</f>
        <v>#N/A</v>
      </c>
      <c r="S35" s="285"/>
      <c r="T35" s="322" t="e">
        <f ca="1">IF(OR(SUM('Offshore CF'!E47:$E$153)&lt;&gt;0,SUM('Offshore CF'!J47:$J$153)&lt;&gt;0),E35*(((R34+R35)/2)+SUM($T$13:T34)),IF(SUM('Offshore CF'!E46:$E$153)-SUM('Offshore CF'!J46:$J$153)&lt;&gt;0,E35*(((R34+R35)/2)+SUM($T$13:T34)),0))</f>
        <v>#N/A</v>
      </c>
      <c r="U35" s="322" t="e">
        <f t="shared" ca="1" si="2"/>
        <v>#N/A</v>
      </c>
      <c r="V35" s="319" t="e">
        <f t="shared" ca="1" si="3"/>
        <v>#N/A</v>
      </c>
      <c r="W35" s="285"/>
      <c r="X35" s="326"/>
    </row>
    <row r="36" spans="2:24">
      <c r="B36" s="327">
        <f>'Offshore CF'!B47</f>
        <v>20</v>
      </c>
      <c r="C36" s="310">
        <f>'Offshore CF'!C47</f>
        <v>44168.91730000003</v>
      </c>
      <c r="D36" s="311" t="e">
        <f t="shared" ca="1" si="0"/>
        <v>#N/A</v>
      </c>
      <c r="E36" s="312">
        <f t="shared" ca="1" si="1"/>
        <v>0</v>
      </c>
      <c r="F36" s="313">
        <f ca="1">IF(ISERROR('Offshore CF'!E47),0,'Offshore CF'!E47)</f>
        <v>0</v>
      </c>
      <c r="G36" s="319">
        <f ca="1">SUM($F$13:F36)</f>
        <v>0</v>
      </c>
      <c r="H36" s="322" t="e">
        <f ca="1">IF(OR(SUM('Offshore CF'!E48:$E$153)&lt;&gt;0,SUM('Offshore CF'!J48:$J$153)&lt;&gt;0),E36*(((G35+G36)/2)+I35),IF(SUM('Offshore CF'!E47:$E$153)-SUM('Offshore CF'!J47:$J$153)&lt;&gt;0,E36*(((G35+G36)/2)+I35),0))</f>
        <v>#N/A</v>
      </c>
      <c r="I36" s="322" t="e">
        <f ca="1">IF(OR(SUM('Offshore CF'!E48:$E$153)&lt;&gt;0,SUM('Offshore CF'!J48:$J$153)&lt;&gt;0),SUM($H$13:H36),IF(SUM('Offshore CF'!E$153:$E234)-SUM('Offshore CF'!J47:$J$153)&lt;&gt;0,SUM($H$13:H36),0))</f>
        <v>#N/A</v>
      </c>
      <c r="J36" s="322" t="e">
        <f ca="1">IF(OR(SUM('Offshore CF'!E48:$E$153)&lt;&gt;0,SUM('Offshore CF'!J48:$J$153)&lt;&gt;0),I36+G36,IF(SUM('Offshore CF'!E47:$E$153)-SUM('Offshore CF'!J47:$J$153)&lt;&gt;0,I36+G36,0))</f>
        <v>#N/A</v>
      </c>
      <c r="K36" s="323"/>
      <c r="L36" s="324">
        <f ca="1">IF(ISERROR('Offshore CF'!J47),0,'Offshore CF'!J47)</f>
        <v>0</v>
      </c>
      <c r="M36" s="325">
        <f ca="1">SUM($L$13:L36)</f>
        <v>1E-3</v>
      </c>
      <c r="N36" s="322" t="e">
        <f ca="1">IF(OR(SUM('Offshore CF'!E48:$E$153)&lt;&gt;0,SUM('Offshore CF'!J48:$J$153)&lt;&gt;0),E36*(((M35+M36)/2)+O35),IF(SUM('Offshore CF'!E47:$E$153)-SUM('Offshore CF'!J47:$J$153)&lt;&gt;0,E36*(((M35+M36)/2)+O35),0))</f>
        <v>#N/A</v>
      </c>
      <c r="O36" s="322" t="e">
        <f ca="1">IF(OR(SUM('Offshore CF'!E48:$E$153)&lt;&gt;0,SUM('Offshore CF'!J48:$J$153)&lt;&gt;0),SUM($N$13:N36),IF(SUM('Offshore CF'!E47:$E$153)-SUM('Offshore CF'!J47:$J$153)&lt;&gt;0,SUM($N$13:N36),0))</f>
        <v>#N/A</v>
      </c>
      <c r="P36" s="322" t="e">
        <f ca="1">IF(OR(SUM('Offshore CF'!E48:$E$153)&lt;&gt;0,SUM('Offshore CF'!J48:$J$153)&lt;&gt;0),O36+M36,IF(SUM('Offshore CF'!E47:$E$153)-SUM('Offshore CF'!J47:$J$153)&lt;&gt;0,O36+M36,0))</f>
        <v>#N/A</v>
      </c>
      <c r="R36" s="322" t="e">
        <f ca="1">IF(OR(SUM('Offshore CF'!E48:$E$153)&lt;&gt;0,SUM('Offshore CF'!J48:$J$153)&lt;&gt;0),G36-M36,IF(SUM('Offshore CF'!E47:$E$153)-SUM('Offshore CF'!J47:$J$153)&lt;&gt;0,G36-M36,0))</f>
        <v>#N/A</v>
      </c>
      <c r="S36" s="285"/>
      <c r="T36" s="322" t="e">
        <f ca="1">IF(OR(SUM('Offshore CF'!E48:$E$153)&lt;&gt;0,SUM('Offshore CF'!J48:$J$153)&lt;&gt;0),E36*(((R35+R36)/2)+SUM($T$13:T35)),IF(SUM('Offshore CF'!E47:$E$153)-SUM('Offshore CF'!J47:$J$153)&lt;&gt;0,E36*(((R35+R36)/2)+SUM($T$13:T35)),0))</f>
        <v>#N/A</v>
      </c>
      <c r="U36" s="322" t="e">
        <f t="shared" ca="1" si="2"/>
        <v>#N/A</v>
      </c>
      <c r="V36" s="319" t="e">
        <f t="shared" ca="1" si="3"/>
        <v>#N/A</v>
      </c>
      <c r="W36" s="285"/>
      <c r="X36" s="326"/>
    </row>
    <row r="37" spans="2:24">
      <c r="B37" s="849">
        <f>'Offshore CF'!B48</f>
        <v>21</v>
      </c>
      <c r="C37" s="850">
        <f>'Offshore CF'!C48</f>
        <v>44199.334000000032</v>
      </c>
      <c r="D37" s="311" t="e">
        <f t="shared" ca="1" si="0"/>
        <v>#N/A</v>
      </c>
      <c r="E37" s="312">
        <f t="shared" ca="1" si="1"/>
        <v>0</v>
      </c>
      <c r="F37" s="313">
        <f ca="1">IF(ISERROR('Offshore CF'!E48),0,'Offshore CF'!E48)</f>
        <v>0</v>
      </c>
      <c r="G37" s="319">
        <f ca="1">SUM($F$13:F37)</f>
        <v>0</v>
      </c>
      <c r="H37" s="322" t="e">
        <f ca="1">IF(OR(SUM('Offshore CF'!E49:$E$153)&lt;&gt;0,SUM('Offshore CF'!J49:$J$153)&lt;&gt;0),E37*(((G36+G37)/2)+I36),IF(SUM('Offshore CF'!E48:$E$153)-SUM('Offshore CF'!J48:$J$153)&lt;&gt;0,E37*(((G36+G37)/2)+I36),0))</f>
        <v>#N/A</v>
      </c>
      <c r="I37" s="322" t="e">
        <f ca="1">IF(OR(SUM('Offshore CF'!E49:$E$153)&lt;&gt;0,SUM('Offshore CF'!J49:$J$153)&lt;&gt;0),SUM($H$13:H37),IF(SUM('Offshore CF'!E$153:$E235)-SUM('Offshore CF'!J48:$J$153)&lt;&gt;0,SUM($H$13:H37),0))</f>
        <v>#N/A</v>
      </c>
      <c r="J37" s="322" t="e">
        <f ca="1">IF(OR(SUM('Offshore CF'!E49:$E$153)&lt;&gt;0,SUM('Offshore CF'!J49:$J$153)&lt;&gt;0),I37+G37,IF(SUM('Offshore CF'!E48:$E$153)-SUM('Offshore CF'!J48:$J$153)&lt;&gt;0,I37+G37,0))</f>
        <v>#N/A</v>
      </c>
      <c r="K37" s="323"/>
      <c r="L37" s="324">
        <f ca="1">IF(ISERROR('Offshore CF'!J48),0,'Offshore CF'!J48)</f>
        <v>0</v>
      </c>
      <c r="M37" s="325">
        <f ca="1">SUM($L$13:L37)</f>
        <v>1E-3</v>
      </c>
      <c r="N37" s="322" t="e">
        <f ca="1">IF(OR(SUM('Offshore CF'!E49:$E$153)&lt;&gt;0,SUM('Offshore CF'!J49:$J$153)&lt;&gt;0),E37*(((M36+M37)/2)+O36),IF(SUM('Offshore CF'!E48:$E$153)-SUM('Offshore CF'!J48:$J$153)&lt;&gt;0,E37*(((M36+M37)/2)+O36),0))</f>
        <v>#N/A</v>
      </c>
      <c r="O37" s="322" t="e">
        <f ca="1">IF(OR(SUM('Offshore CF'!E49:$E$153)&lt;&gt;0,SUM('Offshore CF'!J49:$J$153)&lt;&gt;0),SUM($N$13:N37),IF(SUM('Offshore CF'!E48:$E$153)-SUM('Offshore CF'!J48:$J$153)&lt;&gt;0,SUM($N$13:N37),0))</f>
        <v>#N/A</v>
      </c>
      <c r="P37" s="322" t="e">
        <f ca="1">IF(OR(SUM('Offshore CF'!E49:$E$153)&lt;&gt;0,SUM('Offshore CF'!J49:$J$153)&lt;&gt;0),O37+M37,IF(SUM('Offshore CF'!E48:$E$153)-SUM('Offshore CF'!J48:$J$153)&lt;&gt;0,O37+M37,0))</f>
        <v>#N/A</v>
      </c>
      <c r="R37" s="322" t="e">
        <f ca="1">IF(OR(SUM('Offshore CF'!E49:$E$153)&lt;&gt;0,SUM('Offshore CF'!J49:$J$153)&lt;&gt;0),G37-M37,IF(SUM('Offshore CF'!E48:$E$153)-SUM('Offshore CF'!J48:$J$153)&lt;&gt;0,G37-M37,0))</f>
        <v>#N/A</v>
      </c>
      <c r="S37" s="285"/>
      <c r="T37" s="322" t="e">
        <f ca="1">IF(OR(SUM('Offshore CF'!E49:$E$153)&lt;&gt;0,SUM('Offshore CF'!J49:$J$153)&lt;&gt;0),E37*(((R36+R37)/2)+SUM($T$13:T36)),IF(SUM('Offshore CF'!E48:$E$153)-SUM('Offshore CF'!J48:$J$153)&lt;&gt;0,E37*(((R36+R37)/2)+SUM($T$13:T36)),0))</f>
        <v>#N/A</v>
      </c>
      <c r="U37" s="322" t="e">
        <f t="shared" ca="1" si="2"/>
        <v>#N/A</v>
      </c>
      <c r="V37" s="319" t="e">
        <f t="shared" ca="1" si="3"/>
        <v>#N/A</v>
      </c>
      <c r="W37" s="285"/>
      <c r="X37" s="326"/>
    </row>
    <row r="38" spans="2:24">
      <c r="B38" s="327">
        <f>'Offshore CF'!B49</f>
        <v>22</v>
      </c>
      <c r="C38" s="310">
        <f>'Offshore CF'!C49</f>
        <v>44229.750700000033</v>
      </c>
      <c r="D38" s="311" t="e">
        <f t="shared" ca="1" si="0"/>
        <v>#N/A</v>
      </c>
      <c r="E38" s="312">
        <f t="shared" ca="1" si="1"/>
        <v>0</v>
      </c>
      <c r="F38" s="313">
        <f ca="1">IF(ISERROR('Offshore CF'!E49),0,'Offshore CF'!E49)</f>
        <v>0</v>
      </c>
      <c r="G38" s="319">
        <f ca="1">SUM($F$13:F38)</f>
        <v>0</v>
      </c>
      <c r="H38" s="322" t="e">
        <f ca="1">IF(OR(SUM('Offshore CF'!E50:$E$153)&lt;&gt;0,SUM('Offshore CF'!J50:$J$153)&lt;&gt;0),E38*(((G37+G38)/2)+I37),IF(SUM('Offshore CF'!E49:$E$153)-SUM('Offshore CF'!J49:$J$153)&lt;&gt;0,E38*(((G37+G38)/2)+I37),0))</f>
        <v>#N/A</v>
      </c>
      <c r="I38" s="322" t="e">
        <f ca="1">IF(OR(SUM('Offshore CF'!E50:$E$153)&lt;&gt;0,SUM('Offshore CF'!J50:$J$153)&lt;&gt;0),SUM($H$13:H38),IF(SUM('Offshore CF'!E$153:$E236)-SUM('Offshore CF'!J49:$J$153)&lt;&gt;0,SUM($H$13:H38),0))</f>
        <v>#N/A</v>
      </c>
      <c r="J38" s="322" t="e">
        <f ca="1">IF(OR(SUM('Offshore CF'!E50:$E$153)&lt;&gt;0,SUM('Offshore CF'!J50:$J$153)&lt;&gt;0),I38+G38,IF(SUM('Offshore CF'!E49:$E$153)-SUM('Offshore CF'!J49:$J$153)&lt;&gt;0,I38+G38,0))</f>
        <v>#N/A</v>
      </c>
      <c r="K38" s="323"/>
      <c r="L38" s="324">
        <f ca="1">IF(ISERROR('Offshore CF'!J49),0,'Offshore CF'!J49)</f>
        <v>0</v>
      </c>
      <c r="M38" s="325">
        <f ca="1">SUM($L$13:L38)</f>
        <v>1E-3</v>
      </c>
      <c r="N38" s="322" t="e">
        <f ca="1">IF(OR(SUM('Offshore CF'!E50:$E$153)&lt;&gt;0,SUM('Offshore CF'!J50:$J$153)&lt;&gt;0),E38*(((M37+M38)/2)+O37),IF(SUM('Offshore CF'!E49:$E$153)-SUM('Offshore CF'!J49:$J$153)&lt;&gt;0,E38*(((M37+M38)/2)+O37),0))</f>
        <v>#N/A</v>
      </c>
      <c r="O38" s="322" t="e">
        <f ca="1">IF(OR(SUM('Offshore CF'!E50:$E$153)&lt;&gt;0,SUM('Offshore CF'!J50:$J$153)&lt;&gt;0),SUM($N$13:N38),IF(SUM('Offshore CF'!E49:$E$153)-SUM('Offshore CF'!J49:$J$153)&lt;&gt;0,SUM($N$13:N38),0))</f>
        <v>#N/A</v>
      </c>
      <c r="P38" s="322" t="e">
        <f ca="1">IF(OR(SUM('Offshore CF'!E50:$E$153)&lt;&gt;0,SUM('Offshore CF'!J50:$J$153)&lt;&gt;0),O38+M38,IF(SUM('Offshore CF'!E49:$E$153)-SUM('Offshore CF'!J49:$J$153)&lt;&gt;0,O38+M38,0))</f>
        <v>#N/A</v>
      </c>
      <c r="R38" s="322" t="e">
        <f ca="1">IF(OR(SUM('Offshore CF'!E50:$E$153)&lt;&gt;0,SUM('Offshore CF'!J50:$J$153)&lt;&gt;0),G38-M38,IF(SUM('Offshore CF'!E49:$E$153)-SUM('Offshore CF'!J49:$J$153)&lt;&gt;0,G38-M38,0))</f>
        <v>#N/A</v>
      </c>
      <c r="S38" s="285"/>
      <c r="T38" s="322" t="e">
        <f ca="1">IF(OR(SUM('Offshore CF'!E50:$E$153)&lt;&gt;0,SUM('Offshore CF'!J50:$J$153)&lt;&gt;0),E38*(((R37+R38)/2)+SUM($T$13:T37)),IF(SUM('Offshore CF'!E49:$E$153)-SUM('Offshore CF'!J49:$J$153)&lt;&gt;0,E38*(((R37+R38)/2)+SUM($T$13:T37)),0))</f>
        <v>#N/A</v>
      </c>
      <c r="U38" s="322" t="e">
        <f t="shared" ca="1" si="2"/>
        <v>#N/A</v>
      </c>
      <c r="V38" s="319" t="e">
        <f t="shared" ca="1" si="3"/>
        <v>#N/A</v>
      </c>
      <c r="W38" s="285"/>
      <c r="X38" s="326"/>
    </row>
    <row r="39" spans="2:24">
      <c r="B39" s="327">
        <f>'Offshore CF'!B50</f>
        <v>23</v>
      </c>
      <c r="C39" s="310">
        <f>'Offshore CF'!C50</f>
        <v>44260.167400000035</v>
      </c>
      <c r="D39" s="311" t="e">
        <f t="shared" ca="1" si="0"/>
        <v>#N/A</v>
      </c>
      <c r="E39" s="312">
        <f t="shared" ca="1" si="1"/>
        <v>0</v>
      </c>
      <c r="F39" s="313">
        <f ca="1">IF(ISERROR('Offshore CF'!E50),0,'Offshore CF'!E50)</f>
        <v>0</v>
      </c>
      <c r="G39" s="319">
        <f ca="1">SUM($F$13:F39)</f>
        <v>0</v>
      </c>
      <c r="H39" s="322" t="e">
        <f ca="1">IF(OR(SUM('Offshore CF'!E51:$E$153)&lt;&gt;0,SUM('Offshore CF'!J51:$J$153)&lt;&gt;0),E39*(((G38+G39)/2)+I38),IF(SUM('Offshore CF'!E50:$E$153)-SUM('Offshore CF'!J50:$J$153)&lt;&gt;0,E39*(((G38+G39)/2)+I38),0))</f>
        <v>#N/A</v>
      </c>
      <c r="I39" s="322" t="e">
        <f ca="1">IF(OR(SUM('Offshore CF'!E51:$E$153)&lt;&gt;0,SUM('Offshore CF'!J51:$J$153)&lt;&gt;0),SUM($H$13:H39),IF(SUM('Offshore CF'!E$153:$E237)-SUM('Offshore CF'!J50:$J$153)&lt;&gt;0,SUM($H$13:H39),0))</f>
        <v>#N/A</v>
      </c>
      <c r="J39" s="322" t="e">
        <f ca="1">IF(OR(SUM('Offshore CF'!E51:$E$153)&lt;&gt;0,SUM('Offshore CF'!J51:$J$153)&lt;&gt;0),I39+G39,IF(SUM('Offshore CF'!E50:$E$153)-SUM('Offshore CF'!J50:$J$153)&lt;&gt;0,I39+G39,0))</f>
        <v>#N/A</v>
      </c>
      <c r="K39" s="323"/>
      <c r="L39" s="324">
        <f ca="1">IF(ISERROR('Offshore CF'!J50),0,'Offshore CF'!J50)</f>
        <v>0</v>
      </c>
      <c r="M39" s="325">
        <f ca="1">SUM($L$13:L39)</f>
        <v>1E-3</v>
      </c>
      <c r="N39" s="322" t="e">
        <f ca="1">IF(OR(SUM('Offshore CF'!E51:$E$153)&lt;&gt;0,SUM('Offshore CF'!J51:$J$153)&lt;&gt;0),E39*(((M38+M39)/2)+O38),IF(SUM('Offshore CF'!E50:$E$153)-SUM('Offshore CF'!J50:$J$153)&lt;&gt;0,E39*(((M38+M39)/2)+O38),0))</f>
        <v>#N/A</v>
      </c>
      <c r="O39" s="322" t="e">
        <f ca="1">IF(OR(SUM('Offshore CF'!E51:$E$153)&lt;&gt;0,SUM('Offshore CF'!J51:$J$153)&lt;&gt;0),SUM($N$13:N39),IF(SUM('Offshore CF'!E50:$E$153)-SUM('Offshore CF'!J50:$J$153)&lt;&gt;0,SUM($N$13:N39),0))</f>
        <v>#N/A</v>
      </c>
      <c r="P39" s="322" t="e">
        <f ca="1">IF(OR(SUM('Offshore CF'!E51:$E$153)&lt;&gt;0,SUM('Offshore CF'!J51:$J$153)&lt;&gt;0),O39+M39,IF(SUM('Offshore CF'!E50:$E$153)-SUM('Offshore CF'!J50:$J$153)&lt;&gt;0,O39+M39,0))</f>
        <v>#N/A</v>
      </c>
      <c r="R39" s="322" t="e">
        <f ca="1">IF(OR(SUM('Offshore CF'!E51:$E$153)&lt;&gt;0,SUM('Offshore CF'!J51:$J$153)&lt;&gt;0),G39-M39,IF(SUM('Offshore CF'!E50:$E$153)-SUM('Offshore CF'!J50:$J$153)&lt;&gt;0,G39-M39,0))</f>
        <v>#N/A</v>
      </c>
      <c r="S39" s="285"/>
      <c r="T39" s="322" t="e">
        <f ca="1">IF(OR(SUM('Offshore CF'!E51:$E$153)&lt;&gt;0,SUM('Offshore CF'!J51:$J$153)&lt;&gt;0),E39*(((R38+R39)/2)+SUM($T$13:T38)),IF(SUM('Offshore CF'!E50:$E$153)-SUM('Offshore CF'!J50:$J$153)&lt;&gt;0,E39*(((R38+R39)/2)+SUM($T$13:T38)),0))</f>
        <v>#N/A</v>
      </c>
      <c r="U39" s="322" t="e">
        <f t="shared" ca="1" si="2"/>
        <v>#N/A</v>
      </c>
      <c r="V39" s="319" t="e">
        <f t="shared" ca="1" si="3"/>
        <v>#N/A</v>
      </c>
      <c r="W39" s="285"/>
      <c r="X39" s="326"/>
    </row>
    <row r="40" spans="2:24">
      <c r="B40" s="327">
        <f>'Offshore CF'!B51</f>
        <v>24</v>
      </c>
      <c r="C40" s="310">
        <f>'Offshore CF'!C51</f>
        <v>44290.584100000036</v>
      </c>
      <c r="D40" s="311" t="e">
        <f t="shared" ca="1" si="0"/>
        <v>#N/A</v>
      </c>
      <c r="E40" s="312">
        <f t="shared" ca="1" si="1"/>
        <v>0</v>
      </c>
      <c r="F40" s="313">
        <f ca="1">IF(ISERROR('Offshore CF'!E51),0,'Offshore CF'!E51)</f>
        <v>0</v>
      </c>
      <c r="G40" s="319">
        <f ca="1">SUM($F$13:F40)</f>
        <v>0</v>
      </c>
      <c r="H40" s="322" t="e">
        <f ca="1">IF(OR(SUM('Offshore CF'!E52:$E$153)&lt;&gt;0,SUM('Offshore CF'!J52:$J$153)&lt;&gt;0),E40*(((G39+G40)/2)+I39),IF(SUM('Offshore CF'!E51:$E$153)-SUM('Offshore CF'!J51:$J$153)&lt;&gt;0,E40*(((G39+G40)/2)+I39),0))</f>
        <v>#N/A</v>
      </c>
      <c r="I40" s="322" t="e">
        <f ca="1">IF(OR(SUM('Offshore CF'!E52:$E$153)&lt;&gt;0,SUM('Offshore CF'!J52:$J$153)&lt;&gt;0),SUM($H$13:H40),IF(SUM('Offshore CF'!E$153:$E238)-SUM('Offshore CF'!J51:$J$153)&lt;&gt;0,SUM($H$13:H40),0))</f>
        <v>#N/A</v>
      </c>
      <c r="J40" s="322" t="e">
        <f ca="1">IF(OR(SUM('Offshore CF'!E52:$E$153)&lt;&gt;0,SUM('Offshore CF'!J52:$J$153)&lt;&gt;0),I40+G40,IF(SUM('Offshore CF'!E51:$E$153)-SUM('Offshore CF'!J51:$J$153)&lt;&gt;0,I40+G40,0))</f>
        <v>#N/A</v>
      </c>
      <c r="K40" s="323"/>
      <c r="L40" s="324">
        <f ca="1">IF(ISERROR('Offshore CF'!J51),0,'Offshore CF'!J51)</f>
        <v>0</v>
      </c>
      <c r="M40" s="325">
        <f ca="1">SUM($L$13:L40)</f>
        <v>1E-3</v>
      </c>
      <c r="N40" s="322" t="e">
        <f ca="1">IF(OR(SUM('Offshore CF'!E52:$E$153)&lt;&gt;0,SUM('Offshore CF'!J52:$J$153)&lt;&gt;0),E40*(((M39+M40)/2)+O39),IF(SUM('Offshore CF'!E51:$E$153)-SUM('Offshore CF'!J51:$J$153)&lt;&gt;0,E40*(((M39+M40)/2)+O39),0))</f>
        <v>#N/A</v>
      </c>
      <c r="O40" s="322" t="e">
        <f ca="1">IF(OR(SUM('Offshore CF'!E52:$E$153)&lt;&gt;0,SUM('Offshore CF'!J52:$J$153)&lt;&gt;0),SUM($N$13:N40),IF(SUM('Offshore CF'!E51:$E$153)-SUM('Offshore CF'!J51:$J$153)&lt;&gt;0,SUM($N$13:N40),0))</f>
        <v>#N/A</v>
      </c>
      <c r="P40" s="322" t="e">
        <f ca="1">IF(OR(SUM('Offshore CF'!E52:$E$153)&lt;&gt;0,SUM('Offshore CF'!J52:$J$153)&lt;&gt;0),O40+M40,IF(SUM('Offshore CF'!E51:$E$153)-SUM('Offshore CF'!J51:$J$153)&lt;&gt;0,O40+M40,0))</f>
        <v>#N/A</v>
      </c>
      <c r="R40" s="322" t="e">
        <f ca="1">IF(OR(SUM('Offshore CF'!E52:$E$153)&lt;&gt;0,SUM('Offshore CF'!J52:$J$153)&lt;&gt;0),G40-M40,IF(SUM('Offshore CF'!E51:$E$153)-SUM('Offshore CF'!J51:$J$153)&lt;&gt;0,G40-M40,0))</f>
        <v>#N/A</v>
      </c>
      <c r="S40" s="285"/>
      <c r="T40" s="322" t="e">
        <f ca="1">IF(OR(SUM('Offshore CF'!E52:$E$153)&lt;&gt;0,SUM('Offshore CF'!J52:$J$153)&lt;&gt;0),E40*(((R39+R40)/2)+SUM($T$13:T39)),IF(SUM('Offshore CF'!E51:$E$153)-SUM('Offshore CF'!J51:$J$153)&lt;&gt;0,E40*(((R39+R40)/2)+SUM($T$13:T39)),0))</f>
        <v>#N/A</v>
      </c>
      <c r="U40" s="322" t="e">
        <f t="shared" ca="1" si="2"/>
        <v>#N/A</v>
      </c>
      <c r="V40" s="319" t="e">
        <f t="shared" ca="1" si="3"/>
        <v>#N/A</v>
      </c>
      <c r="W40" s="285"/>
      <c r="X40" s="326"/>
    </row>
    <row r="41" spans="2:24">
      <c r="B41" s="327">
        <f>'Offshore CF'!B52</f>
        <v>25</v>
      </c>
      <c r="C41" s="310">
        <f>'Offshore CF'!C52</f>
        <v>44321.000800000038</v>
      </c>
      <c r="D41" s="311" t="e">
        <f t="shared" ca="1" si="0"/>
        <v>#N/A</v>
      </c>
      <c r="E41" s="312">
        <f t="shared" ca="1" si="1"/>
        <v>0</v>
      </c>
      <c r="F41" s="313">
        <f ca="1">IF(ISERROR('Offshore CF'!E52),0,'Offshore CF'!E52)</f>
        <v>0</v>
      </c>
      <c r="G41" s="319">
        <f ca="1">SUM($F$13:F41)</f>
        <v>0</v>
      </c>
      <c r="H41" s="322" t="e">
        <f ca="1">IF(OR(SUM('Offshore CF'!E53:$E$153)&lt;&gt;0,SUM('Offshore CF'!J53:$J$153)&lt;&gt;0),E41*(((G40+G41)/2)+I40),IF(SUM('Offshore CF'!E52:$E$153)-SUM('Offshore CF'!J52:$J$153)&lt;&gt;0,E41*(((G40+G41)/2)+I40),0))</f>
        <v>#N/A</v>
      </c>
      <c r="I41" s="322" t="e">
        <f ca="1">IF(OR(SUM('Offshore CF'!E53:$E$153)&lt;&gt;0,SUM('Offshore CF'!J53:$J$153)&lt;&gt;0),SUM($H$13:H41),IF(SUM('Offshore CF'!E$153:$E239)-SUM('Offshore CF'!J52:$J$153)&lt;&gt;0,SUM($H$13:H41),0))</f>
        <v>#N/A</v>
      </c>
      <c r="J41" s="322" t="e">
        <f ca="1">IF(OR(SUM('Offshore CF'!E53:$E$153)&lt;&gt;0,SUM('Offshore CF'!J53:$J$153)&lt;&gt;0),I41+G41,IF(SUM('Offshore CF'!E52:$E$153)-SUM('Offshore CF'!J52:$J$153)&lt;&gt;0,I41+G41,0))</f>
        <v>#N/A</v>
      </c>
      <c r="K41" s="323"/>
      <c r="L41" s="324">
        <f ca="1">IF(ISERROR('Offshore CF'!J52),0,'Offshore CF'!J52)</f>
        <v>0</v>
      </c>
      <c r="M41" s="325">
        <f ca="1">SUM($L$13:L41)</f>
        <v>1E-3</v>
      </c>
      <c r="N41" s="322" t="e">
        <f ca="1">IF(OR(SUM('Offshore CF'!E53:$E$153)&lt;&gt;0,SUM('Offshore CF'!J53:$J$153)&lt;&gt;0),E41*(((M40+M41)/2)+O40),IF(SUM('Offshore CF'!E52:$E$153)-SUM('Offshore CF'!J52:$J$153)&lt;&gt;0,E41*(((M40+M41)/2)+O40),0))</f>
        <v>#N/A</v>
      </c>
      <c r="O41" s="322" t="e">
        <f ca="1">IF(OR(SUM('Offshore CF'!E53:$E$153)&lt;&gt;0,SUM('Offshore CF'!J53:$J$153)&lt;&gt;0),SUM($N$13:N41),IF(SUM('Offshore CF'!E52:$E$153)-SUM('Offshore CF'!J52:$J$153)&lt;&gt;0,SUM($N$13:N41),0))</f>
        <v>#N/A</v>
      </c>
      <c r="P41" s="322" t="e">
        <f ca="1">IF(OR(SUM('Offshore CF'!E53:$E$153)&lt;&gt;0,SUM('Offshore CF'!J53:$J$153)&lt;&gt;0),O41+M41,IF(SUM('Offshore CF'!E52:$E$153)-SUM('Offshore CF'!J52:$J$153)&lt;&gt;0,O41+M41,0))</f>
        <v>#N/A</v>
      </c>
      <c r="R41" s="322" t="e">
        <f ca="1">IF(OR(SUM('Offshore CF'!E53:$E$153)&lt;&gt;0,SUM('Offshore CF'!J53:$J$153)&lt;&gt;0),G41-M41,IF(SUM('Offshore CF'!E52:$E$153)-SUM('Offshore CF'!J52:$J$153)&lt;&gt;0,G41-M41,0))</f>
        <v>#N/A</v>
      </c>
      <c r="S41" s="285"/>
      <c r="T41" s="322" t="e">
        <f ca="1">IF(OR(SUM('Offshore CF'!E53:$E$153)&lt;&gt;0,SUM('Offshore CF'!J53:$J$153)&lt;&gt;0),E41*(((R40+R41)/2)+SUM($T$13:T40)),IF(SUM('Offshore CF'!E52:$E$153)-SUM('Offshore CF'!J52:$J$153)&lt;&gt;0,E41*(((R40+R41)/2)+SUM($T$13:T40)),0))</f>
        <v>#N/A</v>
      </c>
      <c r="U41" s="322" t="e">
        <f t="shared" ca="1" si="2"/>
        <v>#N/A</v>
      </c>
      <c r="V41" s="319" t="e">
        <f t="shared" ca="1" si="3"/>
        <v>#N/A</v>
      </c>
      <c r="W41" s="285"/>
      <c r="X41" s="326"/>
    </row>
    <row r="42" spans="2:24">
      <c r="B42" s="327">
        <f>'Offshore CF'!B53</f>
        <v>26</v>
      </c>
      <c r="C42" s="310">
        <f>'Offshore CF'!C53</f>
        <v>44351.41750000004</v>
      </c>
      <c r="D42" s="311" t="e">
        <f t="shared" ca="1" si="0"/>
        <v>#N/A</v>
      </c>
      <c r="E42" s="312">
        <f t="shared" ca="1" si="1"/>
        <v>0</v>
      </c>
      <c r="F42" s="313">
        <f ca="1">IF(ISERROR('Offshore CF'!E53),0,'Offshore CF'!E53)</f>
        <v>0</v>
      </c>
      <c r="G42" s="319">
        <f ca="1">SUM($F$13:F42)</f>
        <v>0</v>
      </c>
      <c r="H42" s="322" t="e">
        <f ca="1">IF(OR(SUM('Offshore CF'!E54:$E$153)&lt;&gt;0,SUM('Offshore CF'!J54:$J$153)&lt;&gt;0),E42*(((G41+G42)/2)+I41),IF(SUM('Offshore CF'!E53:$E$153)-SUM('Offshore CF'!J53:$J$153)&lt;&gt;0,E42*(((G41+G42)/2)+I41),0))</f>
        <v>#N/A</v>
      </c>
      <c r="I42" s="322" t="e">
        <f ca="1">IF(OR(SUM('Offshore CF'!E54:$E$153)&lt;&gt;0,SUM('Offshore CF'!J54:$J$153)&lt;&gt;0),SUM($H$13:H42),IF(SUM('Offshore CF'!E$153:$E240)-SUM('Offshore CF'!J53:$J$153)&lt;&gt;0,SUM($H$13:H42),0))</f>
        <v>#N/A</v>
      </c>
      <c r="J42" s="322" t="e">
        <f ca="1">IF(OR(SUM('Offshore CF'!E54:$E$153)&lt;&gt;0,SUM('Offshore CF'!J54:$J$153)&lt;&gt;0),I42+G42,IF(SUM('Offshore CF'!E53:$E$153)-SUM('Offshore CF'!J53:$J$153)&lt;&gt;0,I42+G42,0))</f>
        <v>#N/A</v>
      </c>
      <c r="K42" s="323"/>
      <c r="L42" s="324">
        <f ca="1">IF(ISERROR('Offshore CF'!J53),0,'Offshore CF'!J53)</f>
        <v>0</v>
      </c>
      <c r="M42" s="325">
        <f ca="1">SUM($L$13:L42)</f>
        <v>1E-3</v>
      </c>
      <c r="N42" s="322" t="e">
        <f ca="1">IF(OR(SUM('Offshore CF'!E54:$E$153)&lt;&gt;0,SUM('Offshore CF'!J54:$J$153)&lt;&gt;0),E42*(((M41+M42)/2)+O41),IF(SUM('Offshore CF'!E53:$E$153)-SUM('Offshore CF'!J53:$J$153)&lt;&gt;0,E42*(((M41+M42)/2)+O41),0))</f>
        <v>#N/A</v>
      </c>
      <c r="O42" s="322" t="e">
        <f ca="1">IF(OR(SUM('Offshore CF'!E54:$E$153)&lt;&gt;0,SUM('Offshore CF'!J54:$J$153)&lt;&gt;0),SUM($N$13:N42),IF(SUM('Offshore CF'!E53:$E$153)-SUM('Offshore CF'!J53:$J$153)&lt;&gt;0,SUM($N$13:N42),0))</f>
        <v>#N/A</v>
      </c>
      <c r="P42" s="322" t="e">
        <f ca="1">IF(OR(SUM('Offshore CF'!E54:$E$153)&lt;&gt;0,SUM('Offshore CF'!J54:$J$153)&lt;&gt;0),O42+M42,IF(SUM('Offshore CF'!E53:$E$153)-SUM('Offshore CF'!J53:$J$153)&lt;&gt;0,O42+M42,0))</f>
        <v>#N/A</v>
      </c>
      <c r="R42" s="322" t="e">
        <f ca="1">IF(OR(SUM('Offshore CF'!E54:$E$153)&lt;&gt;0,SUM('Offshore CF'!J54:$J$153)&lt;&gt;0),G42-M42,IF(SUM('Offshore CF'!E53:$E$153)-SUM('Offshore CF'!J53:$J$153)&lt;&gt;0,G42-M42,0))</f>
        <v>#N/A</v>
      </c>
      <c r="S42" s="285"/>
      <c r="T42" s="322" t="e">
        <f ca="1">IF(OR(SUM('Offshore CF'!E54:$E$153)&lt;&gt;0,SUM('Offshore CF'!J54:$J$153)&lt;&gt;0),E42*(((R41+R42)/2)+SUM($T$13:T41)),IF(SUM('Offshore CF'!E53:$E$153)-SUM('Offshore CF'!J53:$J$153)&lt;&gt;0,E42*(((R41+R42)/2)+SUM($T$13:T41)),0))</f>
        <v>#N/A</v>
      </c>
      <c r="U42" s="322" t="e">
        <f t="shared" ca="1" si="2"/>
        <v>#N/A</v>
      </c>
      <c r="V42" s="319" t="e">
        <f t="shared" ca="1" si="3"/>
        <v>#N/A</v>
      </c>
      <c r="W42" s="285"/>
      <c r="X42" s="326"/>
    </row>
    <row r="43" spans="2:24">
      <c r="B43" s="849">
        <f>'Offshore CF'!B54</f>
        <v>27</v>
      </c>
      <c r="C43" s="850">
        <f>'Offshore CF'!C54</f>
        <v>44381.834200000041</v>
      </c>
      <c r="D43" s="311" t="e">
        <f t="shared" ca="1" si="0"/>
        <v>#N/A</v>
      </c>
      <c r="E43" s="312">
        <f t="shared" ca="1" si="1"/>
        <v>0</v>
      </c>
      <c r="F43" s="313">
        <f ca="1">IF(ISERROR('Offshore CF'!E54),0,'Offshore CF'!E54)</f>
        <v>0</v>
      </c>
      <c r="G43" s="319">
        <f ca="1">SUM($F$13:F43)</f>
        <v>0</v>
      </c>
      <c r="H43" s="322" t="e">
        <f ca="1">IF(OR(SUM('Offshore CF'!E55:$E$153)&lt;&gt;0,SUM('Offshore CF'!J55:$J$153)&lt;&gt;0),E43*(((G42+G43)/2)+I42),IF(SUM('Offshore CF'!E54:$E$153)-SUM('Offshore CF'!J54:$J$153)&lt;&gt;0,E43*(((G42+G43)/2)+I42),0))</f>
        <v>#N/A</v>
      </c>
      <c r="I43" s="322" t="e">
        <f ca="1">IF(OR(SUM('Offshore CF'!E55:$E$153)&lt;&gt;0,SUM('Offshore CF'!J55:$J$153)&lt;&gt;0),SUM($H$13:H43),IF(SUM('Offshore CF'!E$153:$E241)-SUM('Offshore CF'!J54:$J$153)&lt;&gt;0,SUM($H$13:H43),0))</f>
        <v>#N/A</v>
      </c>
      <c r="J43" s="322" t="e">
        <f ca="1">IF(OR(SUM('Offshore CF'!E55:$E$153)&lt;&gt;0,SUM('Offshore CF'!J55:$J$153)&lt;&gt;0),I43+G43,IF(SUM('Offshore CF'!E54:$E$153)-SUM('Offshore CF'!J54:$J$153)&lt;&gt;0,I43+G43,0))</f>
        <v>#N/A</v>
      </c>
      <c r="K43" s="323"/>
      <c r="L43" s="324">
        <f ca="1">IF(ISERROR('Offshore CF'!J54),0,'Offshore CF'!J54)</f>
        <v>0</v>
      </c>
      <c r="M43" s="325">
        <f ca="1">SUM($L$13:L43)</f>
        <v>1E-3</v>
      </c>
      <c r="N43" s="322" t="e">
        <f ca="1">IF(OR(SUM('Offshore CF'!E55:$E$153)&lt;&gt;0,SUM('Offshore CF'!J55:$J$153)&lt;&gt;0),E43*(((M42+M43)/2)+O42),IF(SUM('Offshore CF'!E54:$E$153)-SUM('Offshore CF'!J54:$J$153)&lt;&gt;0,E43*(((M42+M43)/2)+O42),0))</f>
        <v>#N/A</v>
      </c>
      <c r="O43" s="322" t="e">
        <f ca="1">IF(OR(SUM('Offshore CF'!E55:$E$153)&lt;&gt;0,SUM('Offshore CF'!J55:$J$153)&lt;&gt;0),SUM($N$13:N43),IF(SUM('Offshore CF'!E54:$E$153)-SUM('Offshore CF'!J54:$J$153)&lt;&gt;0,SUM($N$13:N43),0))</f>
        <v>#N/A</v>
      </c>
      <c r="P43" s="322" t="e">
        <f ca="1">IF(OR(SUM('Offshore CF'!E55:$E$153)&lt;&gt;0,SUM('Offshore CF'!J55:$J$153)&lt;&gt;0),O43+M43,IF(SUM('Offshore CF'!E54:$E$153)-SUM('Offshore CF'!J54:$J$153)&lt;&gt;0,O43+M43,0))</f>
        <v>#N/A</v>
      </c>
      <c r="R43" s="322" t="e">
        <f ca="1">IF(OR(SUM('Offshore CF'!E55:$E$153)&lt;&gt;0,SUM('Offshore CF'!J55:$J$153)&lt;&gt;0),G43-M43,IF(SUM('Offshore CF'!E54:$E$153)-SUM('Offshore CF'!J54:$J$153)&lt;&gt;0,G43-M43,0))</f>
        <v>#N/A</v>
      </c>
      <c r="S43" s="285"/>
      <c r="T43" s="322" t="e">
        <f ca="1">IF(OR(SUM('Offshore CF'!E55:$E$153)&lt;&gt;0,SUM('Offshore CF'!J55:$J$153)&lt;&gt;0),E43*(((R42+R43)/2)+SUM($T$13:T42)),IF(SUM('Offshore CF'!E54:$E$153)-SUM('Offshore CF'!J54:$J$153)&lt;&gt;0,E43*(((R42+R43)/2)+SUM($T$13:T42)),0))</f>
        <v>#N/A</v>
      </c>
      <c r="U43" s="322" t="e">
        <f t="shared" ca="1" si="2"/>
        <v>#N/A</v>
      </c>
      <c r="V43" s="319" t="e">
        <f t="shared" ca="1" si="3"/>
        <v>#N/A</v>
      </c>
      <c r="W43" s="285"/>
      <c r="X43" s="326"/>
    </row>
    <row r="44" spans="2:24">
      <c r="B44" s="327">
        <f>'Offshore CF'!B55</f>
        <v>28</v>
      </c>
      <c r="C44" s="310">
        <f>'Offshore CF'!C55</f>
        <v>44412.250900000043</v>
      </c>
      <c r="D44" s="311" t="e">
        <f t="shared" ca="1" si="0"/>
        <v>#N/A</v>
      </c>
      <c r="E44" s="312">
        <f t="shared" ca="1" si="1"/>
        <v>0</v>
      </c>
      <c r="F44" s="313">
        <f ca="1">IF(ISERROR('Offshore CF'!E55),0,'Offshore CF'!E55)</f>
        <v>0</v>
      </c>
      <c r="G44" s="319">
        <f ca="1">SUM($F$13:F44)</f>
        <v>0</v>
      </c>
      <c r="H44" s="322" t="e">
        <f ca="1">IF(OR(SUM('Offshore CF'!E56:$E$153)&lt;&gt;0,SUM('Offshore CF'!J56:$J$153)&lt;&gt;0),E44*(((G43+G44)/2)+I43),IF(SUM('Offshore CF'!E55:$E$153)-SUM('Offshore CF'!J55:$J$153)&lt;&gt;0,E44*(((G43+G44)/2)+I43),0))</f>
        <v>#N/A</v>
      </c>
      <c r="I44" s="322" t="e">
        <f ca="1">IF(OR(SUM('Offshore CF'!E56:$E$153)&lt;&gt;0,SUM('Offshore CF'!J56:$J$153)&lt;&gt;0),SUM($H$13:H44),IF(SUM('Offshore CF'!E$153:$E242)-SUM('Offshore CF'!J55:$J$153)&lt;&gt;0,SUM($H$13:H44),0))</f>
        <v>#N/A</v>
      </c>
      <c r="J44" s="322" t="e">
        <f ca="1">IF(OR(SUM('Offshore CF'!E56:$E$153)&lt;&gt;0,SUM('Offshore CF'!J56:$J$153)&lt;&gt;0),I44+G44,IF(SUM('Offshore CF'!E55:$E$153)-SUM('Offshore CF'!J55:$J$153)&lt;&gt;0,I44+G44,0))</f>
        <v>#N/A</v>
      </c>
      <c r="K44" s="323"/>
      <c r="L44" s="324">
        <f ca="1">IF(ISERROR('Offshore CF'!J55),0,'Offshore CF'!J55)</f>
        <v>0</v>
      </c>
      <c r="M44" s="325">
        <f ca="1">SUM($L$13:L44)</f>
        <v>1E-3</v>
      </c>
      <c r="N44" s="322" t="e">
        <f ca="1">IF(OR(SUM('Offshore CF'!E56:$E$153)&lt;&gt;0,SUM('Offshore CF'!J56:$J$153)&lt;&gt;0),E44*(((M43+M44)/2)+O43),IF(SUM('Offshore CF'!E55:$E$153)-SUM('Offshore CF'!J55:$J$153)&lt;&gt;0,E44*(((M43+M44)/2)+O43),0))</f>
        <v>#N/A</v>
      </c>
      <c r="O44" s="322" t="e">
        <f ca="1">IF(OR(SUM('Offshore CF'!E56:$E$153)&lt;&gt;0,SUM('Offshore CF'!J56:$J$153)&lt;&gt;0),SUM($N$13:N44),IF(SUM('Offshore CF'!E55:$E$153)-SUM('Offshore CF'!J55:$J$153)&lt;&gt;0,SUM($N$13:N44),0))</f>
        <v>#N/A</v>
      </c>
      <c r="P44" s="322" t="e">
        <f ca="1">IF(OR(SUM('Offshore CF'!E56:$E$153)&lt;&gt;0,SUM('Offshore CF'!J56:$J$153)&lt;&gt;0),O44+M44,IF(SUM('Offshore CF'!E55:$E$153)-SUM('Offshore CF'!J55:$J$153)&lt;&gt;0,O44+M44,0))</f>
        <v>#N/A</v>
      </c>
      <c r="R44" s="322" t="e">
        <f ca="1">IF(OR(SUM('Offshore CF'!E56:$E$153)&lt;&gt;0,SUM('Offshore CF'!J56:$J$153)&lt;&gt;0),G44-M44,IF(SUM('Offshore CF'!E55:$E$153)-SUM('Offshore CF'!J55:$J$153)&lt;&gt;0,G44-M44,0))</f>
        <v>#N/A</v>
      </c>
      <c r="S44" s="285"/>
      <c r="T44" s="322" t="e">
        <f ca="1">IF(OR(SUM('Offshore CF'!E56:$E$153)&lt;&gt;0,SUM('Offshore CF'!J56:$J$153)&lt;&gt;0),E44*(((R43+R44)/2)+SUM($T$13:T43)),IF(SUM('Offshore CF'!E55:$E$153)-SUM('Offshore CF'!J55:$J$153)&lt;&gt;0,E44*(((R43+R44)/2)+SUM($T$13:T43)),0))</f>
        <v>#N/A</v>
      </c>
      <c r="U44" s="322" t="e">
        <f t="shared" ca="1" si="2"/>
        <v>#N/A</v>
      </c>
      <c r="V44" s="319" t="e">
        <f t="shared" ca="1" si="3"/>
        <v>#N/A</v>
      </c>
      <c r="W44" s="285"/>
      <c r="X44" s="326"/>
    </row>
    <row r="45" spans="2:24">
      <c r="B45" s="327">
        <f>'Offshore CF'!B56</f>
        <v>29</v>
      </c>
      <c r="C45" s="310">
        <f>'Offshore CF'!C56</f>
        <v>44442.667600000044</v>
      </c>
      <c r="D45" s="311" t="e">
        <f t="shared" ref="D45:D76" ca="1" si="4">IF(R45&lt;0,E$10/100,D$10/100)</f>
        <v>#N/A</v>
      </c>
      <c r="E45" s="312">
        <f t="shared" ref="E45:E76" ca="1" si="5">IF(ISNUMBER(D45),((1+D45)^(1/12))-1,0)</f>
        <v>0</v>
      </c>
      <c r="F45" s="313">
        <f ca="1">IF(ISERROR('Offshore CF'!E56),0,'Offshore CF'!E56)</f>
        <v>0</v>
      </c>
      <c r="G45" s="319">
        <f ca="1">SUM($F$13:F45)</f>
        <v>0</v>
      </c>
      <c r="H45" s="322" t="e">
        <f ca="1">IF(OR(SUM('Offshore CF'!E57:$E$153)&lt;&gt;0,SUM('Offshore CF'!J57:$J$153)&lt;&gt;0),E45*(((G44+G45)/2)+I44),IF(SUM('Offshore CF'!E56:$E$153)-SUM('Offshore CF'!J56:$J$153)&lt;&gt;0,E45*(((G44+G45)/2)+I44),0))</f>
        <v>#N/A</v>
      </c>
      <c r="I45" s="322" t="e">
        <f ca="1">IF(OR(SUM('Offshore CF'!E57:$E$153)&lt;&gt;0,SUM('Offshore CF'!J57:$J$153)&lt;&gt;0),SUM($H$13:H45),IF(SUM('Offshore CF'!E$153:$E243)-SUM('Offshore CF'!J56:$J$153)&lt;&gt;0,SUM($H$13:H45),0))</f>
        <v>#N/A</v>
      </c>
      <c r="J45" s="322" t="e">
        <f ca="1">IF(OR(SUM('Offshore CF'!E57:$E$153)&lt;&gt;0,SUM('Offshore CF'!J57:$J$153)&lt;&gt;0),I45+G45,IF(SUM('Offshore CF'!E56:$E$153)-SUM('Offshore CF'!J56:$J$153)&lt;&gt;0,I45+G45,0))</f>
        <v>#N/A</v>
      </c>
      <c r="K45" s="323"/>
      <c r="L45" s="324">
        <f ca="1">IF(ISERROR('Offshore CF'!J56),0,'Offshore CF'!J56)</f>
        <v>0</v>
      </c>
      <c r="M45" s="325">
        <f ca="1">SUM($L$13:L45)</f>
        <v>1E-3</v>
      </c>
      <c r="N45" s="322" t="e">
        <f ca="1">IF(OR(SUM('Offshore CF'!E57:$E$153)&lt;&gt;0,SUM('Offshore CF'!J57:$J$153)&lt;&gt;0),E45*(((M44+M45)/2)+O44),IF(SUM('Offshore CF'!E56:$E$153)-SUM('Offshore CF'!J56:$J$153)&lt;&gt;0,E45*(((M44+M45)/2)+O44),0))</f>
        <v>#N/A</v>
      </c>
      <c r="O45" s="322" t="e">
        <f ca="1">IF(OR(SUM('Offshore CF'!E57:$E$153)&lt;&gt;0,SUM('Offshore CF'!J57:$J$153)&lt;&gt;0),SUM($N$13:N45),IF(SUM('Offshore CF'!E56:$E$153)-SUM('Offshore CF'!J56:$J$153)&lt;&gt;0,SUM($N$13:N45),0))</f>
        <v>#N/A</v>
      </c>
      <c r="P45" s="322" t="e">
        <f ca="1">IF(OR(SUM('Offshore CF'!E57:$E$153)&lt;&gt;0,SUM('Offshore CF'!J57:$J$153)&lt;&gt;0),O45+M45,IF(SUM('Offshore CF'!E56:$E$153)-SUM('Offshore CF'!J56:$J$153)&lt;&gt;0,O45+M45,0))</f>
        <v>#N/A</v>
      </c>
      <c r="R45" s="322" t="e">
        <f ca="1">IF(OR(SUM('Offshore CF'!E57:$E$153)&lt;&gt;0,SUM('Offshore CF'!J57:$J$153)&lt;&gt;0),G45-M45,IF(SUM('Offshore CF'!E56:$E$153)-SUM('Offshore CF'!J56:$J$153)&lt;&gt;0,G45-M45,0))</f>
        <v>#N/A</v>
      </c>
      <c r="S45" s="285"/>
      <c r="T45" s="322" t="e">
        <f ca="1">IF(OR(SUM('Offshore CF'!E57:$E$153)&lt;&gt;0,SUM('Offshore CF'!J57:$J$153)&lt;&gt;0),E45*(((R44+R45)/2)+SUM($T$13:T44)),IF(SUM('Offshore CF'!E56:$E$153)-SUM('Offshore CF'!J56:$J$153)&lt;&gt;0,E45*(((R44+R45)/2)+SUM($T$13:T44)),0))</f>
        <v>#N/A</v>
      </c>
      <c r="U45" s="322" t="e">
        <f t="shared" ref="U45:U76" ca="1" si="6">IF(T45&gt;0,T45,0)</f>
        <v>#N/A</v>
      </c>
      <c r="V45" s="319" t="e">
        <f t="shared" ref="V45:V76" ca="1" si="7">IF(T45&lt;0,-T45,0)</f>
        <v>#N/A</v>
      </c>
      <c r="W45" s="285"/>
      <c r="X45" s="326"/>
    </row>
    <row r="46" spans="2:24">
      <c r="B46" s="327">
        <f>'Offshore CF'!B57</f>
        <v>30</v>
      </c>
      <c r="C46" s="310">
        <f>'Offshore CF'!C57</f>
        <v>44473.084300000046</v>
      </c>
      <c r="D46" s="311" t="e">
        <f t="shared" ca="1" si="4"/>
        <v>#N/A</v>
      </c>
      <c r="E46" s="312">
        <f t="shared" ca="1" si="5"/>
        <v>0</v>
      </c>
      <c r="F46" s="313">
        <f ca="1">IF(ISERROR('Offshore CF'!E57),0,'Offshore CF'!E57)</f>
        <v>0</v>
      </c>
      <c r="G46" s="319">
        <f ca="1">SUM($F$13:F46)</f>
        <v>0</v>
      </c>
      <c r="H46" s="322" t="e">
        <f ca="1">IF(OR(SUM('Offshore CF'!E58:$E$153)&lt;&gt;0,SUM('Offshore CF'!J58:$J$153)&lt;&gt;0),E46*(((G45+G46)/2)+I45),IF(SUM('Offshore CF'!E57:$E$153)-SUM('Offshore CF'!J57:$J$153)&lt;&gt;0,E46*(((G45+G46)/2)+I45),0))</f>
        <v>#N/A</v>
      </c>
      <c r="I46" s="322" t="e">
        <f ca="1">IF(OR(SUM('Offshore CF'!E58:$E$153)&lt;&gt;0,SUM('Offshore CF'!J58:$J$153)&lt;&gt;0),SUM($H$13:H46),IF(SUM('Offshore CF'!E$153:$E244)-SUM('Offshore CF'!J57:$J$153)&lt;&gt;0,SUM($H$13:H46),0))</f>
        <v>#N/A</v>
      </c>
      <c r="J46" s="322" t="e">
        <f ca="1">IF(OR(SUM('Offshore CF'!E58:$E$153)&lt;&gt;0,SUM('Offshore CF'!J58:$J$153)&lt;&gt;0),I46+G46,IF(SUM('Offshore CF'!E57:$E$153)-SUM('Offshore CF'!J57:$J$153)&lt;&gt;0,I46+G46,0))</f>
        <v>#N/A</v>
      </c>
      <c r="K46" s="323"/>
      <c r="L46" s="324">
        <f ca="1">IF(ISERROR('Offshore CF'!J57),0,'Offshore CF'!J57)</f>
        <v>0</v>
      </c>
      <c r="M46" s="325">
        <f ca="1">SUM($L$13:L46)</f>
        <v>1E-3</v>
      </c>
      <c r="N46" s="322" t="e">
        <f ca="1">IF(OR(SUM('Offshore CF'!E58:$E$153)&lt;&gt;0,SUM('Offshore CF'!J58:$J$153)&lt;&gt;0),E46*(((M45+M46)/2)+O45),IF(SUM('Offshore CF'!E57:$E$153)-SUM('Offshore CF'!J57:$J$153)&lt;&gt;0,E46*(((M45+M46)/2)+O45),0))</f>
        <v>#N/A</v>
      </c>
      <c r="O46" s="322" t="e">
        <f ca="1">IF(OR(SUM('Offshore CF'!E58:$E$153)&lt;&gt;0,SUM('Offshore CF'!J58:$J$153)&lt;&gt;0),SUM($N$13:N46),IF(SUM('Offshore CF'!E57:$E$153)-SUM('Offshore CF'!J57:$J$153)&lt;&gt;0,SUM($N$13:N46),0))</f>
        <v>#N/A</v>
      </c>
      <c r="P46" s="322" t="e">
        <f ca="1">IF(OR(SUM('Offshore CF'!E58:$E$153)&lt;&gt;0,SUM('Offshore CF'!J58:$J$153)&lt;&gt;0),O46+M46,IF(SUM('Offshore CF'!E57:$E$153)-SUM('Offshore CF'!J57:$J$153)&lt;&gt;0,O46+M46,0))</f>
        <v>#N/A</v>
      </c>
      <c r="R46" s="322" t="e">
        <f ca="1">IF(OR(SUM('Offshore CF'!E58:$E$153)&lt;&gt;0,SUM('Offshore CF'!J58:$J$153)&lt;&gt;0),G46-M46,IF(SUM('Offshore CF'!E57:$E$153)-SUM('Offshore CF'!J57:$J$153)&lt;&gt;0,G46-M46,0))</f>
        <v>#N/A</v>
      </c>
      <c r="S46" s="285"/>
      <c r="T46" s="322" t="e">
        <f ca="1">IF(OR(SUM('Offshore CF'!E58:$E$153)&lt;&gt;0,SUM('Offshore CF'!J58:$J$153)&lt;&gt;0),E46*(((R45+R46)/2)+SUM($T$13:T45)),IF(SUM('Offshore CF'!E57:$E$153)-SUM('Offshore CF'!J57:$J$153)&lt;&gt;0,E46*(((R45+R46)/2)+SUM($T$13:T45)),0))</f>
        <v>#N/A</v>
      </c>
      <c r="U46" s="322" t="e">
        <f t="shared" ca="1" si="6"/>
        <v>#N/A</v>
      </c>
      <c r="V46" s="319" t="e">
        <f t="shared" ca="1" si="7"/>
        <v>#N/A</v>
      </c>
      <c r="W46" s="285"/>
      <c r="X46" s="326"/>
    </row>
    <row r="47" spans="2:24">
      <c r="B47" s="849">
        <f>'Offshore CF'!B58</f>
        <v>31</v>
      </c>
      <c r="C47" s="850">
        <f>'Offshore CF'!C58</f>
        <v>44503.501000000047</v>
      </c>
      <c r="D47" s="311" t="e">
        <f t="shared" ca="1" si="4"/>
        <v>#N/A</v>
      </c>
      <c r="E47" s="312">
        <f t="shared" ca="1" si="5"/>
        <v>0</v>
      </c>
      <c r="F47" s="313">
        <f ca="1">IF(ISERROR('Offshore CF'!E58),0,'Offshore CF'!E58)</f>
        <v>0</v>
      </c>
      <c r="G47" s="319">
        <f ca="1">SUM($F$13:F47)</f>
        <v>0</v>
      </c>
      <c r="H47" s="322" t="e">
        <f ca="1">IF(OR(SUM('Offshore CF'!E59:$E$153)&lt;&gt;0,SUM('Offshore CF'!J59:$J$153)&lt;&gt;0),E47*(((G46+G47)/2)+I46),IF(SUM('Offshore CF'!E58:$E$153)-SUM('Offshore CF'!J58:$J$153)&lt;&gt;0,E47*(((G46+G47)/2)+I46),0))</f>
        <v>#N/A</v>
      </c>
      <c r="I47" s="322" t="e">
        <f ca="1">IF(OR(SUM('Offshore CF'!E59:$E$153)&lt;&gt;0,SUM('Offshore CF'!J59:$J$153)&lt;&gt;0),SUM($H$13:H47),IF(SUM('Offshore CF'!E$153:$E245)-SUM('Offshore CF'!J58:$J$153)&lt;&gt;0,SUM($H$13:H47),0))</f>
        <v>#N/A</v>
      </c>
      <c r="J47" s="322" t="e">
        <f ca="1">IF(OR(SUM('Offshore CF'!E59:$E$153)&lt;&gt;0,SUM('Offshore CF'!J59:$J$153)&lt;&gt;0),I47+G47,IF(SUM('Offshore CF'!E58:$E$153)-SUM('Offshore CF'!J58:$J$153)&lt;&gt;0,I47+G47,0))</f>
        <v>#N/A</v>
      </c>
      <c r="K47" s="323"/>
      <c r="L47" s="324">
        <f ca="1">IF(ISERROR('Offshore CF'!J58),0,'Offshore CF'!J58)</f>
        <v>0</v>
      </c>
      <c r="M47" s="325">
        <f ca="1">SUM($L$13:L47)</f>
        <v>1E-3</v>
      </c>
      <c r="N47" s="322" t="e">
        <f ca="1">IF(OR(SUM('Offshore CF'!E59:$E$153)&lt;&gt;0,SUM('Offshore CF'!J59:$J$153)&lt;&gt;0),E47*(((M46+M47)/2)+O46),IF(SUM('Offshore CF'!E58:$E$153)-SUM('Offshore CF'!J58:$J$153)&lt;&gt;0,E47*(((M46+M47)/2)+O46),0))</f>
        <v>#N/A</v>
      </c>
      <c r="O47" s="322" t="e">
        <f ca="1">IF(OR(SUM('Offshore CF'!E59:$E$153)&lt;&gt;0,SUM('Offshore CF'!J59:$J$153)&lt;&gt;0),SUM($N$13:N47),IF(SUM('Offshore CF'!E58:$E$153)-SUM('Offshore CF'!J58:$J$153)&lt;&gt;0,SUM($N$13:N47),0))</f>
        <v>#N/A</v>
      </c>
      <c r="P47" s="322" t="e">
        <f ca="1">IF(OR(SUM('Offshore CF'!E59:$E$153)&lt;&gt;0,SUM('Offshore CF'!J59:$J$153)&lt;&gt;0),O47+M47,IF(SUM('Offshore CF'!E58:$E$153)-SUM('Offshore CF'!J58:$J$153)&lt;&gt;0,O47+M47,0))</f>
        <v>#N/A</v>
      </c>
      <c r="R47" s="322" t="e">
        <f ca="1">IF(OR(SUM('Offshore CF'!E59:$E$153)&lt;&gt;0,SUM('Offshore CF'!J59:$J$153)&lt;&gt;0),G47-M47,IF(SUM('Offshore CF'!E58:$E$153)-SUM('Offshore CF'!J58:$J$153)&lt;&gt;0,G47-M47,0))</f>
        <v>#N/A</v>
      </c>
      <c r="S47" s="285"/>
      <c r="T47" s="322" t="e">
        <f ca="1">IF(OR(SUM('Offshore CF'!E59:$E$153)&lt;&gt;0,SUM('Offshore CF'!J59:$J$153)&lt;&gt;0),E47*(((R46+R47)/2)+SUM($T$13:T46)),IF(SUM('Offshore CF'!E58:$E$153)-SUM('Offshore CF'!J58:$J$153)&lt;&gt;0,E47*(((R46+R47)/2)+SUM($T$13:T46)),0))</f>
        <v>#N/A</v>
      </c>
      <c r="U47" s="322" t="e">
        <f t="shared" ca="1" si="6"/>
        <v>#N/A</v>
      </c>
      <c r="V47" s="319" t="e">
        <f t="shared" ca="1" si="7"/>
        <v>#N/A</v>
      </c>
      <c r="W47" s="285"/>
      <c r="X47" s="326"/>
    </row>
    <row r="48" spans="2:24">
      <c r="B48" s="327">
        <f>'Offshore CF'!B59</f>
        <v>32</v>
      </c>
      <c r="C48" s="310">
        <f>'Offshore CF'!C59</f>
        <v>44533.917700000049</v>
      </c>
      <c r="D48" s="311" t="e">
        <f t="shared" ca="1" si="4"/>
        <v>#N/A</v>
      </c>
      <c r="E48" s="312">
        <f t="shared" ca="1" si="5"/>
        <v>0</v>
      </c>
      <c r="F48" s="313">
        <f ca="1">IF(ISERROR('Offshore CF'!E59),0,'Offshore CF'!E59)</f>
        <v>0</v>
      </c>
      <c r="G48" s="319">
        <f ca="1">SUM($F$13:F48)</f>
        <v>0</v>
      </c>
      <c r="H48" s="322" t="e">
        <f ca="1">IF(OR(SUM('Offshore CF'!E60:$E$153)&lt;&gt;0,SUM('Offshore CF'!J60:$J$153)&lt;&gt;0),E48*(((G47+G48)/2)+I47),IF(SUM('Offshore CF'!E59:$E$153)-SUM('Offshore CF'!J59:$J$153)&lt;&gt;0,E48*(((G47+G48)/2)+I47),0))</f>
        <v>#N/A</v>
      </c>
      <c r="I48" s="322" t="e">
        <f ca="1">IF(OR(SUM('Offshore CF'!E60:$E$153)&lt;&gt;0,SUM('Offshore CF'!J60:$J$153)&lt;&gt;0),SUM($H$13:H48),IF(SUM('Offshore CF'!E$153:$E246)-SUM('Offshore CF'!J59:$J$153)&lt;&gt;0,SUM($H$13:H48),0))</f>
        <v>#N/A</v>
      </c>
      <c r="J48" s="322" t="e">
        <f ca="1">IF(OR(SUM('Offshore CF'!E60:$E$153)&lt;&gt;0,SUM('Offshore CF'!J60:$J$153)&lt;&gt;0),I48+G48,IF(SUM('Offshore CF'!E59:$E$153)-SUM('Offshore CF'!J59:$J$153)&lt;&gt;0,I48+G48,0))</f>
        <v>#N/A</v>
      </c>
      <c r="K48" s="323"/>
      <c r="L48" s="324">
        <f ca="1">IF(ISERROR('Offshore CF'!J59),0,'Offshore CF'!J59)</f>
        <v>0</v>
      </c>
      <c r="M48" s="325">
        <f ca="1">SUM($L$13:L48)</f>
        <v>1E-3</v>
      </c>
      <c r="N48" s="322" t="e">
        <f ca="1">IF(OR(SUM('Offshore CF'!E60:$E$153)&lt;&gt;0,SUM('Offshore CF'!J60:$J$153)&lt;&gt;0),E48*(((M47+M48)/2)+O47),IF(SUM('Offshore CF'!E59:$E$153)-SUM('Offshore CF'!J59:$J$153)&lt;&gt;0,E48*(((M47+M48)/2)+O47),0))</f>
        <v>#N/A</v>
      </c>
      <c r="O48" s="322" t="e">
        <f ca="1">IF(OR(SUM('Offshore CF'!E60:$E$153)&lt;&gt;0,SUM('Offshore CF'!J60:$J$153)&lt;&gt;0),SUM($N$13:N48),IF(SUM('Offshore CF'!E59:$E$153)-SUM('Offshore CF'!J59:$J$153)&lt;&gt;0,SUM($N$13:N48),0))</f>
        <v>#N/A</v>
      </c>
      <c r="P48" s="322" t="e">
        <f ca="1">IF(OR(SUM('Offshore CF'!E60:$E$153)&lt;&gt;0,SUM('Offshore CF'!J60:$J$153)&lt;&gt;0),O48+M48,IF(SUM('Offshore CF'!E59:$E$153)-SUM('Offshore CF'!J59:$J$153)&lt;&gt;0,O48+M48,0))</f>
        <v>#N/A</v>
      </c>
      <c r="R48" s="322" t="e">
        <f ca="1">IF(OR(SUM('Offshore CF'!E60:$E$153)&lt;&gt;0,SUM('Offshore CF'!J60:$J$153)&lt;&gt;0),G48-M48,IF(SUM('Offshore CF'!E59:$E$153)-SUM('Offshore CF'!J59:$J$153)&lt;&gt;0,G48-M48,0))</f>
        <v>#N/A</v>
      </c>
      <c r="S48" s="285"/>
      <c r="T48" s="322" t="e">
        <f ca="1">IF(OR(SUM('Offshore CF'!E60:$E$153)&lt;&gt;0,SUM('Offshore CF'!J60:$J$153)&lt;&gt;0),E48*(((R47+R48)/2)+SUM($T$13:T47)),IF(SUM('Offshore CF'!E59:$E$153)-SUM('Offshore CF'!J59:$J$153)&lt;&gt;0,E48*(((R47+R48)/2)+SUM($T$13:T47)),0))</f>
        <v>#N/A</v>
      </c>
      <c r="U48" s="322" t="e">
        <f t="shared" ca="1" si="6"/>
        <v>#N/A</v>
      </c>
      <c r="V48" s="319" t="e">
        <f t="shared" ca="1" si="7"/>
        <v>#N/A</v>
      </c>
      <c r="W48" s="285"/>
      <c r="X48" s="326"/>
    </row>
    <row r="49" spans="2:24">
      <c r="B49" s="327">
        <f>'Offshore CF'!B60</f>
        <v>33</v>
      </c>
      <c r="C49" s="310">
        <f>'Offshore CF'!C60</f>
        <v>44564.334400000051</v>
      </c>
      <c r="D49" s="311" t="e">
        <f t="shared" ca="1" si="4"/>
        <v>#N/A</v>
      </c>
      <c r="E49" s="312">
        <f t="shared" ca="1" si="5"/>
        <v>0</v>
      </c>
      <c r="F49" s="313">
        <f ca="1">IF(ISERROR('Offshore CF'!E60),0,'Offshore CF'!E60)</f>
        <v>0</v>
      </c>
      <c r="G49" s="319">
        <f ca="1">SUM($F$13:F49)</f>
        <v>0</v>
      </c>
      <c r="H49" s="322" t="e">
        <f ca="1">IF(OR(SUM('Offshore CF'!E61:$E$153)&lt;&gt;0,SUM('Offshore CF'!J61:$J$153)&lt;&gt;0),E49*(((G48+G49)/2)+I48),IF(SUM('Offshore CF'!E60:$E$153)-SUM('Offshore CF'!J60:$J$153)&lt;&gt;0,E49*(((G48+G49)/2)+I48),0))</f>
        <v>#N/A</v>
      </c>
      <c r="I49" s="322" t="e">
        <f ca="1">IF(OR(SUM('Offshore CF'!E61:$E$153)&lt;&gt;0,SUM('Offshore CF'!J61:$J$153)&lt;&gt;0),SUM($H$13:H49),IF(SUM('Offshore CF'!E$153:$E247)-SUM('Offshore CF'!J60:$J$153)&lt;&gt;0,SUM($H$13:H49),0))</f>
        <v>#N/A</v>
      </c>
      <c r="J49" s="322" t="e">
        <f ca="1">IF(OR(SUM('Offshore CF'!E61:$E$153)&lt;&gt;0,SUM('Offshore CF'!J61:$J$153)&lt;&gt;0),I49+G49,IF(SUM('Offshore CF'!E60:$E$153)-SUM('Offshore CF'!J60:$J$153)&lt;&gt;0,I49+G49,0))</f>
        <v>#N/A</v>
      </c>
      <c r="K49" s="323"/>
      <c r="L49" s="324">
        <f ca="1">IF(ISERROR('Offshore CF'!J60),0,'Offshore CF'!J60)</f>
        <v>0</v>
      </c>
      <c r="M49" s="325">
        <f ca="1">SUM($L$13:L49)</f>
        <v>1E-3</v>
      </c>
      <c r="N49" s="322" t="e">
        <f ca="1">IF(OR(SUM('Offshore CF'!E61:$E$153)&lt;&gt;0,SUM('Offshore CF'!J61:$J$153)&lt;&gt;0),E49*(((M48+M49)/2)+O48),IF(SUM('Offshore CF'!E60:$E$153)-SUM('Offshore CF'!J60:$J$153)&lt;&gt;0,E49*(((M48+M49)/2)+O48),0))</f>
        <v>#N/A</v>
      </c>
      <c r="O49" s="322" t="e">
        <f ca="1">IF(OR(SUM('Offshore CF'!E61:$E$153)&lt;&gt;0,SUM('Offshore CF'!J61:$J$153)&lt;&gt;0),SUM($N$13:N49),IF(SUM('Offshore CF'!E60:$E$153)-SUM('Offshore CF'!J60:$J$153)&lt;&gt;0,SUM($N$13:N49),0))</f>
        <v>#N/A</v>
      </c>
      <c r="P49" s="322" t="e">
        <f ca="1">IF(OR(SUM('Offshore CF'!E61:$E$153)&lt;&gt;0,SUM('Offshore CF'!J61:$J$153)&lt;&gt;0),O49+M49,IF(SUM('Offshore CF'!E60:$E$153)-SUM('Offshore CF'!J60:$J$153)&lt;&gt;0,O49+M49,0))</f>
        <v>#N/A</v>
      </c>
      <c r="R49" s="322" t="e">
        <f ca="1">IF(OR(SUM('Offshore CF'!E61:$E$153)&lt;&gt;0,SUM('Offshore CF'!J61:$J$153)&lt;&gt;0),G49-M49,IF(SUM('Offshore CF'!E60:$E$153)-SUM('Offshore CF'!J60:$J$153)&lt;&gt;0,G49-M49,0))</f>
        <v>#N/A</v>
      </c>
      <c r="S49" s="285"/>
      <c r="T49" s="322" t="e">
        <f ca="1">IF(OR(SUM('Offshore CF'!E61:$E$153)&lt;&gt;0,SUM('Offshore CF'!J61:$J$153)&lt;&gt;0),E49*(((R48+R49)/2)+SUM($T$13:T48)),IF(SUM('Offshore CF'!E60:$E$153)-SUM('Offshore CF'!J60:$J$153)&lt;&gt;0,E49*(((R48+R49)/2)+SUM($T$13:T48)),0))</f>
        <v>#N/A</v>
      </c>
      <c r="U49" s="322" t="e">
        <f t="shared" ca="1" si="6"/>
        <v>#N/A</v>
      </c>
      <c r="V49" s="319" t="e">
        <f t="shared" ca="1" si="7"/>
        <v>#N/A</v>
      </c>
      <c r="W49" s="285"/>
      <c r="X49" s="326"/>
    </row>
    <row r="50" spans="2:24">
      <c r="B50" s="327">
        <f>'Offshore CF'!B61</f>
        <v>34</v>
      </c>
      <c r="C50" s="310">
        <f>'Offshore CF'!C61</f>
        <v>44594.751100000052</v>
      </c>
      <c r="D50" s="311" t="e">
        <f t="shared" ca="1" si="4"/>
        <v>#N/A</v>
      </c>
      <c r="E50" s="312">
        <f t="shared" ca="1" si="5"/>
        <v>0</v>
      </c>
      <c r="F50" s="313">
        <f ca="1">IF(ISERROR('Offshore CF'!E61),0,'Offshore CF'!E61)</f>
        <v>0</v>
      </c>
      <c r="G50" s="319">
        <f ca="1">SUM($F$13:F50)</f>
        <v>0</v>
      </c>
      <c r="H50" s="322" t="e">
        <f ca="1">IF(OR(SUM('Offshore CF'!E62:$E$153)&lt;&gt;0,SUM('Offshore CF'!J62:$J$153)&lt;&gt;0),E50*(((G49+G50)/2)+I49),IF(SUM('Offshore CF'!E61:$E$153)-SUM('Offshore CF'!J61:$J$153)&lt;&gt;0,E50*(((G49+G50)/2)+I49),0))</f>
        <v>#N/A</v>
      </c>
      <c r="I50" s="322" t="e">
        <f ca="1">IF(OR(SUM('Offshore CF'!E62:$E$153)&lt;&gt;0,SUM('Offshore CF'!J62:$J$153)&lt;&gt;0),SUM($H$13:H50),IF(SUM('Offshore CF'!E$153:$E248)-SUM('Offshore CF'!J61:$J$153)&lt;&gt;0,SUM($H$13:H50),0))</f>
        <v>#N/A</v>
      </c>
      <c r="J50" s="322" t="e">
        <f ca="1">IF(OR(SUM('Offshore CF'!E62:$E$153)&lt;&gt;0,SUM('Offshore CF'!J62:$J$153)&lt;&gt;0),I50+G50,IF(SUM('Offshore CF'!E61:$E$153)-SUM('Offshore CF'!J61:$J$153)&lt;&gt;0,I50+G50,0))</f>
        <v>#N/A</v>
      </c>
      <c r="K50" s="323"/>
      <c r="L50" s="324">
        <f ca="1">IF(ISERROR('Offshore CF'!J61),0,'Offshore CF'!J61)</f>
        <v>0</v>
      </c>
      <c r="M50" s="325">
        <f ca="1">SUM($L$13:L50)</f>
        <v>1E-3</v>
      </c>
      <c r="N50" s="322" t="e">
        <f ca="1">IF(OR(SUM('Offshore CF'!E62:$E$153)&lt;&gt;0,SUM('Offshore CF'!J62:$J$153)&lt;&gt;0),E50*(((M49+M50)/2)+O49),IF(SUM('Offshore CF'!E61:$E$153)-SUM('Offshore CF'!J61:$J$153)&lt;&gt;0,E50*(((M49+M50)/2)+O49),0))</f>
        <v>#N/A</v>
      </c>
      <c r="O50" s="322" t="e">
        <f ca="1">IF(OR(SUM('Offshore CF'!E62:$E$153)&lt;&gt;0,SUM('Offshore CF'!J62:$J$153)&lt;&gt;0),SUM($N$13:N50),IF(SUM('Offshore CF'!E61:$E$153)-SUM('Offshore CF'!J61:$J$153)&lt;&gt;0,SUM($N$13:N50),0))</f>
        <v>#N/A</v>
      </c>
      <c r="P50" s="322" t="e">
        <f ca="1">IF(OR(SUM('Offshore CF'!E62:$E$153)&lt;&gt;0,SUM('Offshore CF'!J62:$J$153)&lt;&gt;0),O50+M50,IF(SUM('Offshore CF'!E61:$E$153)-SUM('Offshore CF'!J61:$J$153)&lt;&gt;0,O50+M50,0))</f>
        <v>#N/A</v>
      </c>
      <c r="R50" s="322" t="e">
        <f ca="1">IF(OR(SUM('Offshore CF'!E62:$E$153)&lt;&gt;0,SUM('Offshore CF'!J62:$J$153)&lt;&gt;0),G50-M50,IF(SUM('Offshore CF'!E61:$E$153)-SUM('Offshore CF'!J61:$J$153)&lt;&gt;0,G50-M50,0))</f>
        <v>#N/A</v>
      </c>
      <c r="S50" s="285"/>
      <c r="T50" s="322" t="e">
        <f ca="1">IF(OR(SUM('Offshore CF'!E62:$E$153)&lt;&gt;0,SUM('Offshore CF'!J62:$J$153)&lt;&gt;0),E50*(((R49+R50)/2)+SUM($T$13:T49)),IF(SUM('Offshore CF'!E61:$E$153)-SUM('Offshore CF'!J61:$J$153)&lt;&gt;0,E50*(((R49+R50)/2)+SUM($T$13:T49)),0))</f>
        <v>#N/A</v>
      </c>
      <c r="U50" s="322" t="e">
        <f t="shared" ca="1" si="6"/>
        <v>#N/A</v>
      </c>
      <c r="V50" s="319" t="e">
        <f t="shared" ca="1" si="7"/>
        <v>#N/A</v>
      </c>
      <c r="W50" s="285"/>
      <c r="X50" s="326"/>
    </row>
    <row r="51" spans="2:24">
      <c r="B51" s="327">
        <f>'Offshore CF'!B62</f>
        <v>35</v>
      </c>
      <c r="C51" s="310">
        <f>'Offshore CF'!C62</f>
        <v>44625.167800000054</v>
      </c>
      <c r="D51" s="311" t="e">
        <f t="shared" ca="1" si="4"/>
        <v>#N/A</v>
      </c>
      <c r="E51" s="312">
        <f t="shared" ca="1" si="5"/>
        <v>0</v>
      </c>
      <c r="F51" s="313">
        <f ca="1">IF(ISERROR('Offshore CF'!E62),0,'Offshore CF'!E62)</f>
        <v>0</v>
      </c>
      <c r="G51" s="319">
        <f ca="1">SUM($F$13:F51)</f>
        <v>0</v>
      </c>
      <c r="H51" s="322" t="e">
        <f ca="1">IF(OR(SUM('Offshore CF'!E63:$E$153)&lt;&gt;0,SUM('Offshore CF'!J63:$J$153)&lt;&gt;0),E51*(((G50+G51)/2)+I50),IF(SUM('Offshore CF'!E62:$E$153)-SUM('Offshore CF'!J62:$J$153)&lt;&gt;0,E51*(((G50+G51)/2)+I50),0))</f>
        <v>#N/A</v>
      </c>
      <c r="I51" s="322" t="e">
        <f ca="1">IF(OR(SUM('Offshore CF'!E63:$E$153)&lt;&gt;0,SUM('Offshore CF'!J63:$J$153)&lt;&gt;0),SUM($H$13:H51),IF(SUM('Offshore CF'!E$153:$E249)-SUM('Offshore CF'!J62:$J$153)&lt;&gt;0,SUM($H$13:H51),0))</f>
        <v>#N/A</v>
      </c>
      <c r="J51" s="322" t="e">
        <f ca="1">IF(OR(SUM('Offshore CF'!E63:$E$153)&lt;&gt;0,SUM('Offshore CF'!J63:$J$153)&lt;&gt;0),I51+G51,IF(SUM('Offshore CF'!E62:$E$153)-SUM('Offshore CF'!J62:$J$153)&lt;&gt;0,I51+G51,0))</f>
        <v>#N/A</v>
      </c>
      <c r="K51" s="323"/>
      <c r="L51" s="324">
        <f ca="1">IF(ISERROR('Offshore CF'!J62),0,'Offshore CF'!J62)</f>
        <v>0</v>
      </c>
      <c r="M51" s="325">
        <f ca="1">SUM($L$13:L51)</f>
        <v>1E-3</v>
      </c>
      <c r="N51" s="322" t="e">
        <f ca="1">IF(OR(SUM('Offshore CF'!E63:$E$153)&lt;&gt;0,SUM('Offshore CF'!J63:$J$153)&lt;&gt;0),E51*(((M50+M51)/2)+O50),IF(SUM('Offshore CF'!E62:$E$153)-SUM('Offshore CF'!J62:$J$153)&lt;&gt;0,E51*(((M50+M51)/2)+O50),0))</f>
        <v>#N/A</v>
      </c>
      <c r="O51" s="322" t="e">
        <f ca="1">IF(OR(SUM('Offshore CF'!E63:$E$153)&lt;&gt;0,SUM('Offshore CF'!J63:$J$153)&lt;&gt;0),SUM($N$13:N51),IF(SUM('Offshore CF'!E62:$E$153)-SUM('Offshore CF'!J62:$J$153)&lt;&gt;0,SUM($N$13:N51),0))</f>
        <v>#N/A</v>
      </c>
      <c r="P51" s="322" t="e">
        <f ca="1">IF(OR(SUM('Offshore CF'!E63:$E$153)&lt;&gt;0,SUM('Offshore CF'!J63:$J$153)&lt;&gt;0),O51+M51,IF(SUM('Offshore CF'!E62:$E$153)-SUM('Offshore CF'!J62:$J$153)&lt;&gt;0,O51+M51,0))</f>
        <v>#N/A</v>
      </c>
      <c r="R51" s="322" t="e">
        <f ca="1">IF(OR(SUM('Offshore CF'!E63:$E$153)&lt;&gt;0,SUM('Offshore CF'!J63:$J$153)&lt;&gt;0),G51-M51,IF(SUM('Offshore CF'!E62:$E$153)-SUM('Offshore CF'!J62:$J$153)&lt;&gt;0,G51-M51,0))</f>
        <v>#N/A</v>
      </c>
      <c r="S51" s="285"/>
      <c r="T51" s="322" t="e">
        <f ca="1">IF(OR(SUM('Offshore CF'!E63:$E$153)&lt;&gt;0,SUM('Offshore CF'!J63:$J$153)&lt;&gt;0),E51*(((R50+R51)/2)+SUM($T$13:T50)),IF(SUM('Offshore CF'!E62:$E$153)-SUM('Offshore CF'!J62:$J$153)&lt;&gt;0,E51*(((R50+R51)/2)+SUM($T$13:T50)),0))</f>
        <v>#N/A</v>
      </c>
      <c r="U51" s="322" t="e">
        <f t="shared" ca="1" si="6"/>
        <v>#N/A</v>
      </c>
      <c r="V51" s="319" t="e">
        <f t="shared" ca="1" si="7"/>
        <v>#N/A</v>
      </c>
      <c r="W51" s="285"/>
      <c r="X51" s="326"/>
    </row>
    <row r="52" spans="2:24">
      <c r="B52" s="327">
        <f>'Offshore CF'!B63</f>
        <v>36</v>
      </c>
      <c r="C52" s="310">
        <f>'Offshore CF'!C63</f>
        <v>44655.584500000055</v>
      </c>
      <c r="D52" s="311" t="e">
        <f t="shared" ca="1" si="4"/>
        <v>#N/A</v>
      </c>
      <c r="E52" s="312">
        <f t="shared" ca="1" si="5"/>
        <v>0</v>
      </c>
      <c r="F52" s="313">
        <f ca="1">IF(ISERROR('Offshore CF'!E63),0,'Offshore CF'!E63)</f>
        <v>0</v>
      </c>
      <c r="G52" s="319">
        <f ca="1">SUM($F$13:F52)</f>
        <v>0</v>
      </c>
      <c r="H52" s="322" t="e">
        <f ca="1">IF(OR(SUM('Offshore CF'!E64:$E$153)&lt;&gt;0,SUM('Offshore CF'!J64:$J$153)&lt;&gt;0),E52*(((G51+G52)/2)+I51),IF(SUM('Offshore CF'!E63:$E$153)-SUM('Offshore CF'!J63:$J$153)&lt;&gt;0,E52*(((G51+G52)/2)+I51),0))</f>
        <v>#N/A</v>
      </c>
      <c r="I52" s="322" t="e">
        <f ca="1">IF(OR(SUM('Offshore CF'!E64:$E$153)&lt;&gt;0,SUM('Offshore CF'!J64:$J$153)&lt;&gt;0),SUM($H$13:H52),IF(SUM('Offshore CF'!E$153:$E250)-SUM('Offshore CF'!J63:$J$153)&lt;&gt;0,SUM($H$13:H52),0))</f>
        <v>#N/A</v>
      </c>
      <c r="J52" s="322" t="e">
        <f ca="1">IF(OR(SUM('Offshore CF'!E64:$E$153)&lt;&gt;0,SUM('Offshore CF'!J64:$J$153)&lt;&gt;0),I52+G52,IF(SUM('Offshore CF'!E63:$E$153)-SUM('Offshore CF'!J63:$J$153)&lt;&gt;0,I52+G52,0))</f>
        <v>#N/A</v>
      </c>
      <c r="K52" s="323"/>
      <c r="L52" s="324">
        <f ca="1">IF(ISERROR('Offshore CF'!J63),0,'Offshore CF'!J63)</f>
        <v>0</v>
      </c>
      <c r="M52" s="325">
        <f ca="1">SUM($L$13:L52)</f>
        <v>1E-3</v>
      </c>
      <c r="N52" s="322" t="e">
        <f ca="1">IF(OR(SUM('Offshore CF'!E64:$E$153)&lt;&gt;0,SUM('Offshore CF'!J64:$J$153)&lt;&gt;0),E52*(((M51+M52)/2)+O51),IF(SUM('Offshore CF'!E63:$E$153)-SUM('Offshore CF'!J63:$J$153)&lt;&gt;0,E52*(((M51+M52)/2)+O51),0))</f>
        <v>#N/A</v>
      </c>
      <c r="O52" s="322" t="e">
        <f ca="1">IF(OR(SUM('Offshore CF'!E64:$E$153)&lt;&gt;0,SUM('Offshore CF'!J64:$J$153)&lt;&gt;0),SUM($N$13:N52),IF(SUM('Offshore CF'!E63:$E$153)-SUM('Offshore CF'!J63:$J$153)&lt;&gt;0,SUM($N$13:N52),0))</f>
        <v>#N/A</v>
      </c>
      <c r="P52" s="322" t="e">
        <f ca="1">IF(OR(SUM('Offshore CF'!E64:$E$153)&lt;&gt;0,SUM('Offshore CF'!J64:$J$153)&lt;&gt;0),O52+M52,IF(SUM('Offshore CF'!E63:$E$153)-SUM('Offshore CF'!J63:$J$153)&lt;&gt;0,O52+M52,0))</f>
        <v>#N/A</v>
      </c>
      <c r="R52" s="322" t="e">
        <f ca="1">IF(OR(SUM('Offshore CF'!E64:$E$153)&lt;&gt;0,SUM('Offshore CF'!J64:$J$153)&lt;&gt;0),G52-M52,IF(SUM('Offshore CF'!E63:$E$153)-SUM('Offshore CF'!J63:$J$153)&lt;&gt;0,G52-M52,0))</f>
        <v>#N/A</v>
      </c>
      <c r="S52" s="285"/>
      <c r="T52" s="322" t="e">
        <f ca="1">IF(OR(SUM('Offshore CF'!E64:$E$153)&lt;&gt;0,SUM('Offshore CF'!J64:$J$153)&lt;&gt;0),E52*(((R51+R52)/2)+SUM($T$13:T51)),IF(SUM('Offshore CF'!E63:$E$153)-SUM('Offshore CF'!J63:$J$153)&lt;&gt;0,E52*(((R51+R52)/2)+SUM($T$13:T51)),0))</f>
        <v>#N/A</v>
      </c>
      <c r="U52" s="322" t="e">
        <f t="shared" ca="1" si="6"/>
        <v>#N/A</v>
      </c>
      <c r="V52" s="319" t="e">
        <f t="shared" ca="1" si="7"/>
        <v>#N/A</v>
      </c>
      <c r="W52" s="285"/>
      <c r="X52" s="326"/>
    </row>
    <row r="53" spans="2:24">
      <c r="B53" s="327">
        <f>'Offshore CF'!B64</f>
        <v>37</v>
      </c>
      <c r="C53" s="310">
        <f>'Offshore CF'!C64</f>
        <v>44686.001200000057</v>
      </c>
      <c r="D53" s="311" t="e">
        <f t="shared" ca="1" si="4"/>
        <v>#N/A</v>
      </c>
      <c r="E53" s="312">
        <f t="shared" ca="1" si="5"/>
        <v>0</v>
      </c>
      <c r="F53" s="313">
        <f ca="1">IF(ISERROR('Offshore CF'!E64),0,'Offshore CF'!E64)</f>
        <v>0</v>
      </c>
      <c r="G53" s="319">
        <f ca="1">SUM($F$13:F53)</f>
        <v>0</v>
      </c>
      <c r="H53" s="322" t="e">
        <f ca="1">IF(OR(SUM('Offshore CF'!E65:$E$153)&lt;&gt;0,SUM('Offshore CF'!J65:$J$153)&lt;&gt;0),E53*(((G52+G53)/2)+I52),IF(SUM('Offshore CF'!E64:$E$153)-SUM('Offshore CF'!J64:$J$153)&lt;&gt;0,E53*(((G52+G53)/2)+I52),0))</f>
        <v>#N/A</v>
      </c>
      <c r="I53" s="322" t="e">
        <f ca="1">IF(OR(SUM('Offshore CF'!E65:$E$153)&lt;&gt;0,SUM('Offshore CF'!J65:$J$153)&lt;&gt;0),SUM($H$13:H53),IF(SUM('Offshore CF'!E$153:$E251)-SUM('Offshore CF'!J64:$J$153)&lt;&gt;0,SUM($H$13:H53),0))</f>
        <v>#N/A</v>
      </c>
      <c r="J53" s="322" t="e">
        <f ca="1">IF(OR(SUM('Offshore CF'!E65:$E$153)&lt;&gt;0,SUM('Offshore CF'!J65:$J$153)&lt;&gt;0),I53+G53,IF(SUM('Offshore CF'!E64:$E$153)-SUM('Offshore CF'!J64:$J$153)&lt;&gt;0,I53+G53,0))</f>
        <v>#N/A</v>
      </c>
      <c r="K53" s="323"/>
      <c r="L53" s="324">
        <f ca="1">IF(ISERROR('Offshore CF'!J64),0,'Offshore CF'!J64)</f>
        <v>0</v>
      </c>
      <c r="M53" s="325">
        <f ca="1">SUM($L$13:L53)</f>
        <v>1E-3</v>
      </c>
      <c r="N53" s="322" t="e">
        <f ca="1">IF(OR(SUM('Offshore CF'!E65:$E$153)&lt;&gt;0,SUM('Offshore CF'!J65:$J$153)&lt;&gt;0),E53*(((M52+M53)/2)+O52),IF(SUM('Offshore CF'!E64:$E$153)-SUM('Offshore CF'!J64:$J$153)&lt;&gt;0,E53*(((M52+M53)/2)+O52),0))</f>
        <v>#N/A</v>
      </c>
      <c r="O53" s="322" t="e">
        <f ca="1">IF(OR(SUM('Offshore CF'!E65:$E$153)&lt;&gt;0,SUM('Offshore CF'!J65:$J$153)&lt;&gt;0),SUM($N$13:N53),IF(SUM('Offshore CF'!E64:$E$153)-SUM('Offshore CF'!J64:$J$153)&lt;&gt;0,SUM($N$13:N53),0))</f>
        <v>#N/A</v>
      </c>
      <c r="P53" s="322" t="e">
        <f ca="1">IF(OR(SUM('Offshore CF'!E65:$E$153)&lt;&gt;0,SUM('Offshore CF'!J65:$J$153)&lt;&gt;0),O53+M53,IF(SUM('Offshore CF'!E64:$E$153)-SUM('Offshore CF'!J64:$J$153)&lt;&gt;0,O53+M53,0))</f>
        <v>#N/A</v>
      </c>
      <c r="R53" s="322" t="e">
        <f ca="1">IF(OR(SUM('Offshore CF'!E65:$E$153)&lt;&gt;0,SUM('Offshore CF'!J65:$J$153)&lt;&gt;0),G53-M53,IF(SUM('Offshore CF'!E64:$E$153)-SUM('Offshore CF'!J64:$J$153)&lt;&gt;0,G53-M53,0))</f>
        <v>#N/A</v>
      </c>
      <c r="S53" s="285"/>
      <c r="T53" s="322" t="e">
        <f ca="1">IF(OR(SUM('Offshore CF'!E65:$E$153)&lt;&gt;0,SUM('Offshore CF'!J65:$J$153)&lt;&gt;0),E53*(((R52+R53)/2)+SUM($T$13:T52)),IF(SUM('Offshore CF'!E64:$E$153)-SUM('Offshore CF'!J64:$J$153)&lt;&gt;0,E53*(((R52+R53)/2)+SUM($T$13:T52)),0))</f>
        <v>#N/A</v>
      </c>
      <c r="U53" s="322" t="e">
        <f t="shared" ca="1" si="6"/>
        <v>#N/A</v>
      </c>
      <c r="V53" s="319" t="e">
        <f t="shared" ca="1" si="7"/>
        <v>#N/A</v>
      </c>
      <c r="W53" s="285"/>
      <c r="X53" s="326"/>
    </row>
    <row r="54" spans="2:24">
      <c r="B54" s="327">
        <f>'Offshore CF'!B65</f>
        <v>38</v>
      </c>
      <c r="C54" s="310">
        <f>'Offshore CF'!C65</f>
        <v>44716.417900000059</v>
      </c>
      <c r="D54" s="311" t="e">
        <f t="shared" ca="1" si="4"/>
        <v>#N/A</v>
      </c>
      <c r="E54" s="312">
        <f t="shared" ca="1" si="5"/>
        <v>0</v>
      </c>
      <c r="F54" s="313">
        <f ca="1">IF(ISERROR('Offshore CF'!E65),0,'Offshore CF'!E65)</f>
        <v>0</v>
      </c>
      <c r="G54" s="319">
        <f ca="1">SUM($F$13:F54)</f>
        <v>0</v>
      </c>
      <c r="H54" s="322" t="e">
        <f ca="1">IF(OR(SUM('Offshore CF'!E66:$E$153)&lt;&gt;0,SUM('Offshore CF'!J66:$J$153)&lt;&gt;0),E54*(((G53+G54)/2)+I53),IF(SUM('Offshore CF'!E65:$E$153)-SUM('Offshore CF'!J65:$J$153)&lt;&gt;0,E54*(((G53+G54)/2)+I53),0))</f>
        <v>#N/A</v>
      </c>
      <c r="I54" s="322" t="e">
        <f ca="1">IF(OR(SUM('Offshore CF'!E66:$E$153)&lt;&gt;0,SUM('Offshore CF'!J66:$J$153)&lt;&gt;0),SUM($H$13:H54),IF(SUM('Offshore CF'!E$153:$E252)-SUM('Offshore CF'!J65:$J$153)&lt;&gt;0,SUM($H$13:H54),0))</f>
        <v>#N/A</v>
      </c>
      <c r="J54" s="322" t="e">
        <f ca="1">IF(OR(SUM('Offshore CF'!E66:$E$153)&lt;&gt;0,SUM('Offshore CF'!J66:$J$153)&lt;&gt;0),I54+G54,IF(SUM('Offshore CF'!E65:$E$153)-SUM('Offshore CF'!J65:$J$153)&lt;&gt;0,I54+G54,0))</f>
        <v>#N/A</v>
      </c>
      <c r="K54" s="323"/>
      <c r="L54" s="324">
        <f ca="1">IF(ISERROR('Offshore CF'!J65),0,'Offshore CF'!J65)</f>
        <v>0</v>
      </c>
      <c r="M54" s="325">
        <f ca="1">SUM($L$13:L54)</f>
        <v>1E-3</v>
      </c>
      <c r="N54" s="322" t="e">
        <f ca="1">IF(OR(SUM('Offshore CF'!E66:$E$153)&lt;&gt;0,SUM('Offshore CF'!J66:$J$153)&lt;&gt;0),E54*(((M53+M54)/2)+O53),IF(SUM('Offshore CF'!E65:$E$153)-SUM('Offshore CF'!J65:$J$153)&lt;&gt;0,E54*(((M53+M54)/2)+O53),0))</f>
        <v>#N/A</v>
      </c>
      <c r="O54" s="322" t="e">
        <f ca="1">IF(OR(SUM('Offshore CF'!E66:$E$153)&lt;&gt;0,SUM('Offshore CF'!J66:$J$153)&lt;&gt;0),SUM($N$13:N54),IF(SUM('Offshore CF'!E65:$E$153)-SUM('Offshore CF'!J65:$J$153)&lt;&gt;0,SUM($N$13:N54),0))</f>
        <v>#N/A</v>
      </c>
      <c r="P54" s="322" t="e">
        <f ca="1">IF(OR(SUM('Offshore CF'!E66:$E$153)&lt;&gt;0,SUM('Offshore CF'!J66:$J$153)&lt;&gt;0),O54+M54,IF(SUM('Offshore CF'!E65:$E$153)-SUM('Offshore CF'!J65:$J$153)&lt;&gt;0,O54+M54,0))</f>
        <v>#N/A</v>
      </c>
      <c r="R54" s="322" t="e">
        <f ca="1">IF(OR(SUM('Offshore CF'!E66:$E$153)&lt;&gt;0,SUM('Offshore CF'!J66:$J$153)&lt;&gt;0),G54-M54,IF(SUM('Offshore CF'!E65:$E$153)-SUM('Offshore CF'!J65:$J$153)&lt;&gt;0,G54-M54,0))</f>
        <v>#N/A</v>
      </c>
      <c r="S54" s="285"/>
      <c r="T54" s="322" t="e">
        <f ca="1">IF(OR(SUM('Offshore CF'!E66:$E$153)&lt;&gt;0,SUM('Offshore CF'!J66:$J$153)&lt;&gt;0),E54*(((R53+R54)/2)+SUM($T$13:T53)),IF(SUM('Offshore CF'!E65:$E$153)-SUM('Offshore CF'!J65:$J$153)&lt;&gt;0,E54*(((R53+R54)/2)+SUM($T$13:T53)),0))</f>
        <v>#N/A</v>
      </c>
      <c r="U54" s="322" t="e">
        <f t="shared" ca="1" si="6"/>
        <v>#N/A</v>
      </c>
      <c r="V54" s="319" t="e">
        <f t="shared" ca="1" si="7"/>
        <v>#N/A</v>
      </c>
      <c r="W54" s="285"/>
      <c r="X54" s="326"/>
    </row>
    <row r="55" spans="2:24">
      <c r="B55" s="327">
        <f>'Offshore CF'!B66</f>
        <v>39</v>
      </c>
      <c r="C55" s="310">
        <f>'Offshore CF'!C66</f>
        <v>44746.83460000006</v>
      </c>
      <c r="D55" s="311" t="e">
        <f t="shared" ca="1" si="4"/>
        <v>#N/A</v>
      </c>
      <c r="E55" s="312">
        <f t="shared" ca="1" si="5"/>
        <v>0</v>
      </c>
      <c r="F55" s="313">
        <f ca="1">IF(ISERROR('Offshore CF'!E66),0,'Offshore CF'!E66)</f>
        <v>0</v>
      </c>
      <c r="G55" s="319">
        <f ca="1">SUM($F$13:F55)</f>
        <v>0</v>
      </c>
      <c r="H55" s="322" t="e">
        <f ca="1">IF(OR(SUM('Offshore CF'!E67:$E$153)&lt;&gt;0,SUM('Offshore CF'!J67:$J$153)&lt;&gt;0),E55*(((G54+G55)/2)+I54),IF(SUM('Offshore CF'!E66:$E$153)-SUM('Offshore CF'!J66:$J$153)&lt;&gt;0,E55*(((G54+G55)/2)+I54),0))</f>
        <v>#N/A</v>
      </c>
      <c r="I55" s="322" t="e">
        <f ca="1">IF(OR(SUM('Offshore CF'!E67:$E$153)&lt;&gt;0,SUM('Offshore CF'!J67:$J$153)&lt;&gt;0),SUM($H$13:H55),IF(SUM('Offshore CF'!E$153:$E253)-SUM('Offshore CF'!J66:$J$153)&lt;&gt;0,SUM($H$13:H55),0))</f>
        <v>#N/A</v>
      </c>
      <c r="J55" s="322" t="e">
        <f ca="1">IF(OR(SUM('Offshore CF'!E67:$E$153)&lt;&gt;0,SUM('Offshore CF'!J67:$J$153)&lt;&gt;0),I55+G55,IF(SUM('Offshore CF'!E66:$E$153)-SUM('Offshore CF'!J66:$J$153)&lt;&gt;0,I55+G55,0))</f>
        <v>#N/A</v>
      </c>
      <c r="K55" s="323"/>
      <c r="L55" s="324">
        <f ca="1">IF(ISERROR('Offshore CF'!J66),0,'Offshore CF'!J66)</f>
        <v>0</v>
      </c>
      <c r="M55" s="325">
        <f ca="1">SUM($L$13:L55)</f>
        <v>1E-3</v>
      </c>
      <c r="N55" s="322" t="e">
        <f ca="1">IF(OR(SUM('Offshore CF'!E67:$E$153)&lt;&gt;0,SUM('Offshore CF'!J67:$J$153)&lt;&gt;0),E55*(((M54+M55)/2)+O54),IF(SUM('Offshore CF'!E66:$E$153)-SUM('Offshore CF'!J66:$J$153)&lt;&gt;0,E55*(((M54+M55)/2)+O54),0))</f>
        <v>#N/A</v>
      </c>
      <c r="O55" s="322" t="e">
        <f ca="1">IF(OR(SUM('Offshore CF'!E67:$E$153)&lt;&gt;0,SUM('Offshore CF'!J67:$J$153)&lt;&gt;0),SUM($N$13:N55),IF(SUM('Offshore CF'!E66:$E$153)-SUM('Offshore CF'!J66:$J$153)&lt;&gt;0,SUM($N$13:N55),0))</f>
        <v>#N/A</v>
      </c>
      <c r="P55" s="322" t="e">
        <f ca="1">IF(OR(SUM('Offshore CF'!E67:$E$153)&lt;&gt;0,SUM('Offshore CF'!J67:$J$153)&lt;&gt;0),O55+M55,IF(SUM('Offshore CF'!E66:$E$153)-SUM('Offshore CF'!J66:$J$153)&lt;&gt;0,O55+M55,0))</f>
        <v>#N/A</v>
      </c>
      <c r="R55" s="322" t="e">
        <f ca="1">IF(OR(SUM('Offshore CF'!E67:$E$153)&lt;&gt;0,SUM('Offshore CF'!J67:$J$153)&lt;&gt;0),G55-M55,IF(SUM('Offshore CF'!E66:$E$153)-SUM('Offshore CF'!J66:$J$153)&lt;&gt;0,G55-M55,0))</f>
        <v>#N/A</v>
      </c>
      <c r="S55" s="285"/>
      <c r="T55" s="322" t="e">
        <f ca="1">IF(OR(SUM('Offshore CF'!E67:$E$153)&lt;&gt;0,SUM('Offshore CF'!J67:$J$153)&lt;&gt;0),E55*(((R54+R55)/2)+SUM($T$13:T54)),IF(SUM('Offshore CF'!E66:$E$153)-SUM('Offshore CF'!J66:$J$153)&lt;&gt;0,E55*(((R54+R55)/2)+SUM($T$13:T54)),0))</f>
        <v>#N/A</v>
      </c>
      <c r="U55" s="322" t="e">
        <f t="shared" ca="1" si="6"/>
        <v>#N/A</v>
      </c>
      <c r="V55" s="319" t="e">
        <f t="shared" ca="1" si="7"/>
        <v>#N/A</v>
      </c>
      <c r="W55" s="285"/>
      <c r="X55" s="326"/>
    </row>
    <row r="56" spans="2:24">
      <c r="B56" s="327">
        <f>'Offshore CF'!B67</f>
        <v>40</v>
      </c>
      <c r="C56" s="310">
        <f>'Offshore CF'!C67</f>
        <v>44777.251300000062</v>
      </c>
      <c r="D56" s="311" t="e">
        <f t="shared" ca="1" si="4"/>
        <v>#N/A</v>
      </c>
      <c r="E56" s="312">
        <f t="shared" ca="1" si="5"/>
        <v>0</v>
      </c>
      <c r="F56" s="313">
        <f ca="1">IF(ISERROR('Offshore CF'!E67),0,'Offshore CF'!E67)</f>
        <v>0</v>
      </c>
      <c r="G56" s="319">
        <f ca="1">SUM($F$13:F56)</f>
        <v>0</v>
      </c>
      <c r="H56" s="322" t="e">
        <f ca="1">IF(OR(SUM('Offshore CF'!E68:$E$153)&lt;&gt;0,SUM('Offshore CF'!J68:$J$153)&lt;&gt;0),E56*(((G55+G56)/2)+I55),IF(SUM('Offshore CF'!E67:$E$153)-SUM('Offshore CF'!J67:$J$153)&lt;&gt;0,E56*(((G55+G56)/2)+I55),0))</f>
        <v>#N/A</v>
      </c>
      <c r="I56" s="322" t="e">
        <f ca="1">IF(OR(SUM('Offshore CF'!E68:$E$153)&lt;&gt;0,SUM('Offshore CF'!J68:$J$153)&lt;&gt;0),SUM($H$13:H56),IF(SUM('Offshore CF'!E$153:$E254)-SUM('Offshore CF'!J67:$J$153)&lt;&gt;0,SUM($H$13:H56),0))</f>
        <v>#N/A</v>
      </c>
      <c r="J56" s="322" t="e">
        <f ca="1">IF(OR(SUM('Offshore CF'!E68:$E$153)&lt;&gt;0,SUM('Offshore CF'!J68:$J$153)&lt;&gt;0),I56+G56,IF(SUM('Offshore CF'!E67:$E$153)-SUM('Offshore CF'!J67:$J$153)&lt;&gt;0,I56+G56,0))</f>
        <v>#N/A</v>
      </c>
      <c r="K56" s="323"/>
      <c r="L56" s="324">
        <f ca="1">IF(ISERROR('Offshore CF'!J67),0,'Offshore CF'!J67)</f>
        <v>0</v>
      </c>
      <c r="M56" s="325">
        <f ca="1">SUM($L$13:L56)</f>
        <v>1E-3</v>
      </c>
      <c r="N56" s="322" t="e">
        <f ca="1">IF(OR(SUM('Offshore CF'!E68:$E$153)&lt;&gt;0,SUM('Offshore CF'!J68:$J$153)&lt;&gt;0),E56*(((M55+M56)/2)+O55),IF(SUM('Offshore CF'!E67:$E$153)-SUM('Offshore CF'!J67:$J$153)&lt;&gt;0,E56*(((M55+M56)/2)+O55),0))</f>
        <v>#N/A</v>
      </c>
      <c r="O56" s="322" t="e">
        <f ca="1">IF(OR(SUM('Offshore CF'!E68:$E$153)&lt;&gt;0,SUM('Offshore CF'!J68:$J$153)&lt;&gt;0),SUM($N$13:N56),IF(SUM('Offshore CF'!E67:$E$153)-SUM('Offshore CF'!J67:$J$153)&lt;&gt;0,SUM($N$13:N56),0))</f>
        <v>#N/A</v>
      </c>
      <c r="P56" s="322" t="e">
        <f ca="1">IF(OR(SUM('Offshore CF'!E68:$E$153)&lt;&gt;0,SUM('Offshore CF'!J68:$J$153)&lt;&gt;0),O56+M56,IF(SUM('Offshore CF'!E67:$E$153)-SUM('Offshore CF'!J67:$J$153)&lt;&gt;0,O56+M56,0))</f>
        <v>#N/A</v>
      </c>
      <c r="R56" s="322" t="e">
        <f ca="1">IF(OR(SUM('Offshore CF'!E68:$E$153)&lt;&gt;0,SUM('Offshore CF'!J68:$J$153)&lt;&gt;0),G56-M56,IF(SUM('Offshore CF'!E67:$E$153)-SUM('Offshore CF'!J67:$J$153)&lt;&gt;0,G56-M56,0))</f>
        <v>#N/A</v>
      </c>
      <c r="S56" s="285"/>
      <c r="T56" s="322" t="e">
        <f ca="1">IF(OR(SUM('Offshore CF'!E68:$E$153)&lt;&gt;0,SUM('Offshore CF'!J68:$J$153)&lt;&gt;0),E56*(((R55+R56)/2)+SUM($T$13:T55)),IF(SUM('Offshore CF'!E67:$E$153)-SUM('Offshore CF'!J67:$J$153)&lt;&gt;0,E56*(((R55+R56)/2)+SUM($T$13:T55)),0))</f>
        <v>#N/A</v>
      </c>
      <c r="U56" s="322" t="e">
        <f t="shared" ca="1" si="6"/>
        <v>#N/A</v>
      </c>
      <c r="V56" s="319" t="e">
        <f t="shared" ca="1" si="7"/>
        <v>#N/A</v>
      </c>
      <c r="W56" s="285"/>
      <c r="X56" s="326"/>
    </row>
    <row r="57" spans="2:24">
      <c r="B57" s="327">
        <f>'Offshore CF'!B68</f>
        <v>41</v>
      </c>
      <c r="C57" s="310">
        <f>'Offshore CF'!C68</f>
        <v>44807.668000000063</v>
      </c>
      <c r="D57" s="311" t="e">
        <f t="shared" ca="1" si="4"/>
        <v>#N/A</v>
      </c>
      <c r="E57" s="312">
        <f t="shared" ca="1" si="5"/>
        <v>0</v>
      </c>
      <c r="F57" s="313">
        <f ca="1">IF(ISERROR('Offshore CF'!E68),0,'Offshore CF'!E68)</f>
        <v>0</v>
      </c>
      <c r="G57" s="319">
        <f ca="1">SUM($F$13:F57)</f>
        <v>0</v>
      </c>
      <c r="H57" s="322" t="e">
        <f ca="1">IF(OR(SUM('Offshore CF'!E69:$E$153)&lt;&gt;0,SUM('Offshore CF'!J69:$J$153)&lt;&gt;0),E57*(((G56+G57)/2)+I56),IF(SUM('Offshore CF'!E68:$E$153)-SUM('Offshore CF'!J68:$J$153)&lt;&gt;0,E57*(((G56+G57)/2)+I56),0))</f>
        <v>#N/A</v>
      </c>
      <c r="I57" s="322" t="e">
        <f ca="1">IF(OR(SUM('Offshore CF'!E69:$E$153)&lt;&gt;0,SUM('Offshore CF'!J69:$J$153)&lt;&gt;0),SUM($H$13:H57),IF(SUM('Offshore CF'!E$153:$E255)-SUM('Offshore CF'!J68:$J$153)&lt;&gt;0,SUM($H$13:H57),0))</f>
        <v>#N/A</v>
      </c>
      <c r="J57" s="322" t="e">
        <f ca="1">IF(OR(SUM('Offshore CF'!E69:$E$153)&lt;&gt;0,SUM('Offshore CF'!J69:$J$153)&lt;&gt;0),I57+G57,IF(SUM('Offshore CF'!E68:$E$153)-SUM('Offshore CF'!J68:$J$153)&lt;&gt;0,I57+G57,0))</f>
        <v>#N/A</v>
      </c>
      <c r="K57" s="323"/>
      <c r="L57" s="324">
        <f ca="1">IF(ISERROR('Offshore CF'!J68),0,'Offshore CF'!J68)</f>
        <v>0</v>
      </c>
      <c r="M57" s="325">
        <f ca="1">SUM($L$13:L57)</f>
        <v>1E-3</v>
      </c>
      <c r="N57" s="322" t="e">
        <f ca="1">IF(OR(SUM('Offshore CF'!E69:$E$153)&lt;&gt;0,SUM('Offshore CF'!J69:$J$153)&lt;&gt;0),E57*(((M56+M57)/2)+O56),IF(SUM('Offshore CF'!E68:$E$153)-SUM('Offshore CF'!J68:$J$153)&lt;&gt;0,E57*(((M56+M57)/2)+O56),0))</f>
        <v>#N/A</v>
      </c>
      <c r="O57" s="322" t="e">
        <f ca="1">IF(OR(SUM('Offshore CF'!E69:$E$153)&lt;&gt;0,SUM('Offshore CF'!J69:$J$153)&lt;&gt;0),SUM($N$13:N57),IF(SUM('Offshore CF'!E68:$E$153)-SUM('Offshore CF'!J68:$J$153)&lt;&gt;0,SUM($N$13:N57),0))</f>
        <v>#N/A</v>
      </c>
      <c r="P57" s="322" t="e">
        <f ca="1">IF(OR(SUM('Offshore CF'!E69:$E$153)&lt;&gt;0,SUM('Offshore CF'!J69:$J$153)&lt;&gt;0),O57+M57,IF(SUM('Offshore CF'!E68:$E$153)-SUM('Offshore CF'!J68:$J$153)&lt;&gt;0,O57+M57,0))</f>
        <v>#N/A</v>
      </c>
      <c r="R57" s="322" t="e">
        <f ca="1">IF(OR(SUM('Offshore CF'!E69:$E$153)&lt;&gt;0,SUM('Offshore CF'!J69:$J$153)&lt;&gt;0),G57-M57,IF(SUM('Offshore CF'!E68:$E$153)-SUM('Offshore CF'!J68:$J$153)&lt;&gt;0,G57-M57,0))</f>
        <v>#N/A</v>
      </c>
      <c r="S57" s="285"/>
      <c r="T57" s="322" t="e">
        <f ca="1">IF(OR(SUM('Offshore CF'!E69:$E$153)&lt;&gt;0,SUM('Offshore CF'!J69:$J$153)&lt;&gt;0),E57*(((R56+R57)/2)+SUM($T$13:T56)),IF(SUM('Offshore CF'!E68:$E$153)-SUM('Offshore CF'!J68:$J$153)&lt;&gt;0,E57*(((R56+R57)/2)+SUM($T$13:T56)),0))</f>
        <v>#N/A</v>
      </c>
      <c r="U57" s="322" t="e">
        <f t="shared" ca="1" si="6"/>
        <v>#N/A</v>
      </c>
      <c r="V57" s="319" t="e">
        <f t="shared" ca="1" si="7"/>
        <v>#N/A</v>
      </c>
      <c r="W57" s="285"/>
      <c r="X57" s="326"/>
    </row>
    <row r="58" spans="2:24">
      <c r="B58" s="327">
        <f>'Offshore CF'!B69</f>
        <v>42</v>
      </c>
      <c r="C58" s="310">
        <f>'Offshore CF'!C69</f>
        <v>44838.084700000065</v>
      </c>
      <c r="D58" s="311" t="e">
        <f t="shared" ca="1" si="4"/>
        <v>#N/A</v>
      </c>
      <c r="E58" s="312">
        <f t="shared" ca="1" si="5"/>
        <v>0</v>
      </c>
      <c r="F58" s="313">
        <f ca="1">IF(ISERROR('Offshore CF'!E69),0,'Offshore CF'!E69)</f>
        <v>0</v>
      </c>
      <c r="G58" s="319">
        <f ca="1">SUM($F$13:F58)</f>
        <v>0</v>
      </c>
      <c r="H58" s="322" t="e">
        <f ca="1">IF(OR(SUM('Offshore CF'!E70:$E$153)&lt;&gt;0,SUM('Offshore CF'!J70:$J$153)&lt;&gt;0),E58*(((G57+G58)/2)+I57),IF(SUM('Offshore CF'!E69:$E$153)-SUM('Offshore CF'!J69:$J$153)&lt;&gt;0,E58*(((G57+G58)/2)+I57),0))</f>
        <v>#N/A</v>
      </c>
      <c r="I58" s="322" t="e">
        <f ca="1">IF(OR(SUM('Offshore CF'!E70:$E$153)&lt;&gt;0,SUM('Offshore CF'!J70:$J$153)&lt;&gt;0),SUM($H$13:H58),IF(SUM('Offshore CF'!E$153:$E256)-SUM('Offshore CF'!J69:$J$153)&lt;&gt;0,SUM($H$13:H58),0))</f>
        <v>#N/A</v>
      </c>
      <c r="J58" s="322" t="e">
        <f ca="1">IF(OR(SUM('Offshore CF'!E70:$E$153)&lt;&gt;0,SUM('Offshore CF'!J70:$J$153)&lt;&gt;0),I58+G58,IF(SUM('Offshore CF'!E69:$E$153)-SUM('Offshore CF'!J69:$J$153)&lt;&gt;0,I58+G58,0))</f>
        <v>#N/A</v>
      </c>
      <c r="K58" s="323"/>
      <c r="L58" s="324">
        <f ca="1">IF(ISERROR('Offshore CF'!J69),0,'Offshore CF'!J69)</f>
        <v>0</v>
      </c>
      <c r="M58" s="325">
        <f ca="1">SUM($L$13:L58)</f>
        <v>1E-3</v>
      </c>
      <c r="N58" s="322" t="e">
        <f ca="1">IF(OR(SUM('Offshore CF'!E70:$E$153)&lt;&gt;0,SUM('Offshore CF'!J70:$J$153)&lt;&gt;0),E58*(((M57+M58)/2)+O57),IF(SUM('Offshore CF'!E69:$E$153)-SUM('Offshore CF'!J69:$J$153)&lt;&gt;0,E58*(((M57+M58)/2)+O57),0))</f>
        <v>#N/A</v>
      </c>
      <c r="O58" s="322" t="e">
        <f ca="1">IF(OR(SUM('Offshore CF'!E70:$E$153)&lt;&gt;0,SUM('Offshore CF'!J70:$J$153)&lt;&gt;0),SUM($N$13:N58),IF(SUM('Offshore CF'!E69:$E$153)-SUM('Offshore CF'!J69:$J$153)&lt;&gt;0,SUM($N$13:N58),0))</f>
        <v>#N/A</v>
      </c>
      <c r="P58" s="322" t="e">
        <f ca="1">IF(OR(SUM('Offshore CF'!E70:$E$153)&lt;&gt;0,SUM('Offshore CF'!J70:$J$153)&lt;&gt;0),O58+M58,IF(SUM('Offshore CF'!E69:$E$153)-SUM('Offshore CF'!J69:$J$153)&lt;&gt;0,O58+M58,0))</f>
        <v>#N/A</v>
      </c>
      <c r="R58" s="322" t="e">
        <f ca="1">IF(OR(SUM('Offshore CF'!E70:$E$153)&lt;&gt;0,SUM('Offshore CF'!J70:$J$153)&lt;&gt;0),G58-M58,IF(SUM('Offshore CF'!E69:$E$153)-SUM('Offshore CF'!J69:$J$153)&lt;&gt;0,G58-M58,0))</f>
        <v>#N/A</v>
      </c>
      <c r="S58" s="285"/>
      <c r="T58" s="322" t="e">
        <f ca="1">IF(OR(SUM('Offshore CF'!E70:$E$153)&lt;&gt;0,SUM('Offshore CF'!J70:$J$153)&lt;&gt;0),E58*(((R57+R58)/2)+SUM($T$13:T57)),IF(SUM('Offshore CF'!E69:$E$153)-SUM('Offshore CF'!J69:$J$153)&lt;&gt;0,E58*(((R57+R58)/2)+SUM($T$13:T57)),0))</f>
        <v>#N/A</v>
      </c>
      <c r="U58" s="322" t="e">
        <f t="shared" ca="1" si="6"/>
        <v>#N/A</v>
      </c>
      <c r="V58" s="319" t="e">
        <f t="shared" ca="1" si="7"/>
        <v>#N/A</v>
      </c>
      <c r="W58" s="285"/>
      <c r="X58" s="326"/>
    </row>
    <row r="59" spans="2:24">
      <c r="B59" s="327">
        <f>'Offshore CF'!B70</f>
        <v>43</v>
      </c>
      <c r="C59" s="310">
        <f>'Offshore CF'!C70</f>
        <v>44868.501400000066</v>
      </c>
      <c r="D59" s="311" t="e">
        <f t="shared" ca="1" si="4"/>
        <v>#N/A</v>
      </c>
      <c r="E59" s="312">
        <f t="shared" ca="1" si="5"/>
        <v>0</v>
      </c>
      <c r="F59" s="313">
        <f ca="1">IF(ISERROR('Offshore CF'!E70),0,'Offshore CF'!E70)</f>
        <v>0</v>
      </c>
      <c r="G59" s="319">
        <f ca="1">SUM($F$13:F59)</f>
        <v>0</v>
      </c>
      <c r="H59" s="322" t="e">
        <f ca="1">IF(OR(SUM('Offshore CF'!E71:$E$153)&lt;&gt;0,SUM('Offshore CF'!J71:$J$153)&lt;&gt;0),E59*(((G58+G59)/2)+I58),IF(SUM('Offshore CF'!E70:$E$153)-SUM('Offshore CF'!J70:$J$153)&lt;&gt;0,E59*(((G58+G59)/2)+I58),0))</f>
        <v>#N/A</v>
      </c>
      <c r="I59" s="322" t="e">
        <f ca="1">IF(OR(SUM('Offshore CF'!E71:$E$153)&lt;&gt;0,SUM('Offshore CF'!J71:$J$153)&lt;&gt;0),SUM($H$13:H59),IF(SUM('Offshore CF'!E$153:$E257)-SUM('Offshore CF'!J70:$J$153)&lt;&gt;0,SUM($H$13:H59),0))</f>
        <v>#N/A</v>
      </c>
      <c r="J59" s="322" t="e">
        <f ca="1">IF(OR(SUM('Offshore CF'!E71:$E$153)&lt;&gt;0,SUM('Offshore CF'!J71:$J$153)&lt;&gt;0),I59+G59,IF(SUM('Offshore CF'!E70:$E$153)-SUM('Offshore CF'!J70:$J$153)&lt;&gt;0,I59+G59,0))</f>
        <v>#N/A</v>
      </c>
      <c r="K59" s="323"/>
      <c r="L59" s="324">
        <f ca="1">IF(ISERROR('Offshore CF'!J70),0,'Offshore CF'!J70)</f>
        <v>0</v>
      </c>
      <c r="M59" s="325">
        <f ca="1">SUM($L$13:L59)</f>
        <v>1E-3</v>
      </c>
      <c r="N59" s="322" t="e">
        <f ca="1">IF(OR(SUM('Offshore CF'!E71:$E$153)&lt;&gt;0,SUM('Offshore CF'!J71:$J$153)&lt;&gt;0),E59*(((M58+M59)/2)+O58),IF(SUM('Offshore CF'!E70:$E$153)-SUM('Offshore CF'!J70:$J$153)&lt;&gt;0,E59*(((M58+M59)/2)+O58),0))</f>
        <v>#N/A</v>
      </c>
      <c r="O59" s="322" t="e">
        <f ca="1">IF(OR(SUM('Offshore CF'!E71:$E$153)&lt;&gt;0,SUM('Offshore CF'!J71:$J$153)&lt;&gt;0),SUM($N$13:N59),IF(SUM('Offshore CF'!E70:$E$153)-SUM('Offshore CF'!J70:$J$153)&lt;&gt;0,SUM($N$13:N59),0))</f>
        <v>#N/A</v>
      </c>
      <c r="P59" s="322" t="e">
        <f ca="1">IF(OR(SUM('Offshore CF'!E71:$E$153)&lt;&gt;0,SUM('Offshore CF'!J71:$J$153)&lt;&gt;0),O59+M59,IF(SUM('Offshore CF'!E70:$E$153)-SUM('Offshore CF'!J70:$J$153)&lt;&gt;0,O59+M59,0))</f>
        <v>#N/A</v>
      </c>
      <c r="R59" s="322" t="e">
        <f ca="1">IF(OR(SUM('Offshore CF'!E71:$E$153)&lt;&gt;0,SUM('Offshore CF'!J71:$J$153)&lt;&gt;0),G59-M59,IF(SUM('Offshore CF'!E70:$E$153)-SUM('Offshore CF'!J70:$J$153)&lt;&gt;0,G59-M59,0))</f>
        <v>#N/A</v>
      </c>
      <c r="S59" s="285"/>
      <c r="T59" s="322" t="e">
        <f ca="1">IF(OR(SUM('Offshore CF'!E71:$E$153)&lt;&gt;0,SUM('Offshore CF'!J71:$J$153)&lt;&gt;0),E59*(((R58+R59)/2)+SUM($T$13:T58)),IF(SUM('Offshore CF'!E70:$E$153)-SUM('Offshore CF'!J70:$J$153)&lt;&gt;0,E59*(((R58+R59)/2)+SUM($T$13:T58)),0))</f>
        <v>#N/A</v>
      </c>
      <c r="U59" s="322" t="e">
        <f t="shared" ca="1" si="6"/>
        <v>#N/A</v>
      </c>
      <c r="V59" s="319" t="e">
        <f t="shared" ca="1" si="7"/>
        <v>#N/A</v>
      </c>
      <c r="W59" s="285"/>
      <c r="X59" s="326"/>
    </row>
    <row r="60" spans="2:24">
      <c r="B60" s="327">
        <f>'Offshore CF'!B71</f>
        <v>44</v>
      </c>
      <c r="C60" s="310">
        <f>'Offshore CF'!C71</f>
        <v>44898.918100000068</v>
      </c>
      <c r="D60" s="311" t="e">
        <f t="shared" ca="1" si="4"/>
        <v>#N/A</v>
      </c>
      <c r="E60" s="312">
        <f t="shared" ca="1" si="5"/>
        <v>0</v>
      </c>
      <c r="F60" s="313">
        <f ca="1">IF(ISERROR('Offshore CF'!E71),0,'Offshore CF'!E71)</f>
        <v>0</v>
      </c>
      <c r="G60" s="319">
        <f ca="1">SUM($F$13:F60)</f>
        <v>0</v>
      </c>
      <c r="H60" s="322" t="e">
        <f ca="1">IF(OR(SUM('Offshore CF'!E72:$E$153)&lt;&gt;0,SUM('Offshore CF'!J72:$J$153)&lt;&gt;0),E60*(((G59+G60)/2)+I59),IF(SUM('Offshore CF'!E71:$E$153)-SUM('Offshore CF'!J71:$J$153)&lt;&gt;0,E60*(((G59+G60)/2)+I59),0))</f>
        <v>#N/A</v>
      </c>
      <c r="I60" s="322" t="e">
        <f ca="1">IF(OR(SUM('Offshore CF'!E72:$E$153)&lt;&gt;0,SUM('Offshore CF'!J72:$J$153)&lt;&gt;0),SUM($H$13:H60),IF(SUM('Offshore CF'!E$153:$E258)-SUM('Offshore CF'!J71:$J$153)&lt;&gt;0,SUM($H$13:H60),0))</f>
        <v>#N/A</v>
      </c>
      <c r="J60" s="322" t="e">
        <f ca="1">IF(OR(SUM('Offshore CF'!E72:$E$153)&lt;&gt;0,SUM('Offshore CF'!J72:$J$153)&lt;&gt;0),I60+G60,IF(SUM('Offshore CF'!E71:$E$153)-SUM('Offshore CF'!J71:$J$153)&lt;&gt;0,I60+G60,0))</f>
        <v>#N/A</v>
      </c>
      <c r="K60" s="323"/>
      <c r="L60" s="324">
        <f ca="1">IF(ISERROR('Offshore CF'!J71),0,'Offshore CF'!J71)</f>
        <v>0</v>
      </c>
      <c r="M60" s="325">
        <f ca="1">SUM($L$13:L60)</f>
        <v>1E-3</v>
      </c>
      <c r="N60" s="322" t="e">
        <f ca="1">IF(OR(SUM('Offshore CF'!E72:$E$153)&lt;&gt;0,SUM('Offshore CF'!J72:$J$153)&lt;&gt;0),E60*(((M59+M60)/2)+O59),IF(SUM('Offshore CF'!E71:$E$153)-SUM('Offshore CF'!J71:$J$153)&lt;&gt;0,E60*(((M59+M60)/2)+O59),0))</f>
        <v>#N/A</v>
      </c>
      <c r="O60" s="322" t="e">
        <f ca="1">IF(OR(SUM('Offshore CF'!E72:$E$153)&lt;&gt;0,SUM('Offshore CF'!J72:$J$153)&lt;&gt;0),SUM($N$13:N60),IF(SUM('Offshore CF'!E71:$E$153)-SUM('Offshore CF'!J71:$J$153)&lt;&gt;0,SUM($N$13:N60),0))</f>
        <v>#N/A</v>
      </c>
      <c r="P60" s="322" t="e">
        <f ca="1">IF(OR(SUM('Offshore CF'!E72:$E$153)&lt;&gt;0,SUM('Offshore CF'!J72:$J$153)&lt;&gt;0),O60+M60,IF(SUM('Offshore CF'!E71:$E$153)-SUM('Offshore CF'!J71:$J$153)&lt;&gt;0,O60+M60,0))</f>
        <v>#N/A</v>
      </c>
      <c r="R60" s="322" t="e">
        <f ca="1">IF(OR(SUM('Offshore CF'!E72:$E$153)&lt;&gt;0,SUM('Offshore CF'!J72:$J$153)&lt;&gt;0),G60-M60,IF(SUM('Offshore CF'!E71:$E$153)-SUM('Offshore CF'!J71:$J$153)&lt;&gt;0,G60-M60,0))</f>
        <v>#N/A</v>
      </c>
      <c r="S60" s="285"/>
      <c r="T60" s="322" t="e">
        <f ca="1">IF(OR(SUM('Offshore CF'!E72:$E$153)&lt;&gt;0,SUM('Offshore CF'!J72:$J$153)&lt;&gt;0),E60*(((R59+R60)/2)+SUM($T$13:T59)),IF(SUM('Offshore CF'!E71:$E$153)-SUM('Offshore CF'!J71:$J$153)&lt;&gt;0,E60*(((R59+R60)/2)+SUM($T$13:T59)),0))</f>
        <v>#N/A</v>
      </c>
      <c r="U60" s="322" t="e">
        <f t="shared" ca="1" si="6"/>
        <v>#N/A</v>
      </c>
      <c r="V60" s="319" t="e">
        <f t="shared" ca="1" si="7"/>
        <v>#N/A</v>
      </c>
      <c r="W60" s="285"/>
      <c r="X60" s="326"/>
    </row>
    <row r="61" spans="2:24">
      <c r="B61" s="327">
        <f>'Offshore CF'!B72</f>
        <v>45</v>
      </c>
      <c r="C61" s="310">
        <f>'Offshore CF'!C72</f>
        <v>44929.33480000007</v>
      </c>
      <c r="D61" s="311" t="e">
        <f t="shared" ca="1" si="4"/>
        <v>#N/A</v>
      </c>
      <c r="E61" s="312">
        <f t="shared" ca="1" si="5"/>
        <v>0</v>
      </c>
      <c r="F61" s="313">
        <f ca="1">IF(ISERROR('Offshore CF'!E72),0,'Offshore CF'!E72)</f>
        <v>0</v>
      </c>
      <c r="G61" s="319">
        <f ca="1">SUM($F$13:F61)</f>
        <v>0</v>
      </c>
      <c r="H61" s="322" t="e">
        <f ca="1">IF(OR(SUM('Offshore CF'!E73:$E$153)&lt;&gt;0,SUM('Offshore CF'!J73:$J$153)&lt;&gt;0),E61*(((G60+G61)/2)+I60),IF(SUM('Offshore CF'!E72:$E$153)-SUM('Offshore CF'!J72:$J$153)&lt;&gt;0,E61*(((G60+G61)/2)+I60),0))</f>
        <v>#N/A</v>
      </c>
      <c r="I61" s="322" t="e">
        <f ca="1">IF(OR(SUM('Offshore CF'!E73:$E$153)&lt;&gt;0,SUM('Offshore CF'!J73:$J$153)&lt;&gt;0),SUM($H$13:H61),IF(SUM('Offshore CF'!E$153:$E259)-SUM('Offshore CF'!J72:$J$153)&lt;&gt;0,SUM($H$13:H61),0))</f>
        <v>#N/A</v>
      </c>
      <c r="J61" s="322" t="e">
        <f ca="1">IF(OR(SUM('Offshore CF'!E73:$E$153)&lt;&gt;0,SUM('Offshore CF'!J73:$J$153)&lt;&gt;0),I61+G61,IF(SUM('Offshore CF'!E72:$E$153)-SUM('Offshore CF'!J72:$J$153)&lt;&gt;0,I61+G61,0))</f>
        <v>#N/A</v>
      </c>
      <c r="K61" s="323"/>
      <c r="L61" s="324">
        <f ca="1">IF(ISERROR('Offshore CF'!J72),0,'Offshore CF'!J72)</f>
        <v>0</v>
      </c>
      <c r="M61" s="325">
        <f ca="1">SUM($L$13:L61)</f>
        <v>1E-3</v>
      </c>
      <c r="N61" s="322" t="e">
        <f ca="1">IF(OR(SUM('Offshore CF'!E73:$E$153)&lt;&gt;0,SUM('Offshore CF'!J73:$J$153)&lt;&gt;0),E61*(((M60+M61)/2)+O60),IF(SUM('Offshore CF'!E72:$E$153)-SUM('Offshore CF'!J72:$J$153)&lt;&gt;0,E61*(((M60+M61)/2)+O60),0))</f>
        <v>#N/A</v>
      </c>
      <c r="O61" s="322" t="e">
        <f ca="1">IF(OR(SUM('Offshore CF'!E73:$E$153)&lt;&gt;0,SUM('Offshore CF'!J73:$J$153)&lt;&gt;0),SUM($N$13:N61),IF(SUM('Offshore CF'!E72:$E$153)-SUM('Offshore CF'!J72:$J$153)&lt;&gt;0,SUM($N$13:N61),0))</f>
        <v>#N/A</v>
      </c>
      <c r="P61" s="322" t="e">
        <f ca="1">IF(OR(SUM('Offshore CF'!E73:$E$153)&lt;&gt;0,SUM('Offshore CF'!J73:$J$153)&lt;&gt;0),O61+M61,IF(SUM('Offshore CF'!E72:$E$153)-SUM('Offshore CF'!J72:$J$153)&lt;&gt;0,O61+M61,0))</f>
        <v>#N/A</v>
      </c>
      <c r="R61" s="322" t="e">
        <f ca="1">IF(OR(SUM('Offshore CF'!E73:$E$153)&lt;&gt;0,SUM('Offshore CF'!J73:$J$153)&lt;&gt;0),G61-M61,IF(SUM('Offshore CF'!E72:$E$153)-SUM('Offshore CF'!J72:$J$153)&lt;&gt;0,G61-M61,0))</f>
        <v>#N/A</v>
      </c>
      <c r="S61" s="285"/>
      <c r="T61" s="322" t="e">
        <f ca="1">IF(OR(SUM('Offshore CF'!E73:$E$153)&lt;&gt;0,SUM('Offshore CF'!J73:$J$153)&lt;&gt;0),E61*(((R60+R61)/2)+SUM($T$13:T60)),IF(SUM('Offshore CF'!E72:$E$153)-SUM('Offshore CF'!J72:$J$153)&lt;&gt;0,E61*(((R60+R61)/2)+SUM($T$13:T60)),0))</f>
        <v>#N/A</v>
      </c>
      <c r="U61" s="322" t="e">
        <f t="shared" ca="1" si="6"/>
        <v>#N/A</v>
      </c>
      <c r="V61" s="319" t="e">
        <f t="shared" ca="1" si="7"/>
        <v>#N/A</v>
      </c>
      <c r="W61" s="285"/>
      <c r="X61" s="326"/>
    </row>
    <row r="62" spans="2:24" s="329" customFormat="1">
      <c r="B62" s="327">
        <f>'Offshore CF'!B73</f>
        <v>46</v>
      </c>
      <c r="C62" s="310">
        <f>'Offshore CF'!C73</f>
        <v>44959.751500000071</v>
      </c>
      <c r="D62" s="311" t="e">
        <f t="shared" ca="1" si="4"/>
        <v>#N/A</v>
      </c>
      <c r="E62" s="328">
        <f t="shared" ca="1" si="5"/>
        <v>0</v>
      </c>
      <c r="F62" s="313">
        <f ca="1">IF(ISERROR('Offshore CF'!E73),0,'Offshore CF'!E73)</f>
        <v>0</v>
      </c>
      <c r="G62" s="319">
        <f ca="1">SUM($F$13:F62)</f>
        <v>0</v>
      </c>
      <c r="H62" s="319" t="e">
        <f ca="1">IF(OR(SUM('Offshore CF'!E74:$E$153)&lt;&gt;0,SUM('Offshore CF'!J74:$J$153)&lt;&gt;0),E62*(((G61+G62)/2)+I61),IF(SUM('Offshore CF'!E73:$E$153)-SUM('Offshore CF'!J73:$J$153)&lt;&gt;0,E62*(((G61+G62)/2)+I61),0))</f>
        <v>#N/A</v>
      </c>
      <c r="I62" s="319" t="e">
        <f ca="1">IF(OR(SUM('Offshore CF'!E74:$E$153)&lt;&gt;0,SUM('Offshore CF'!J74:$J$153)&lt;&gt;0),SUM($H$13:H62),IF(SUM('Offshore CF'!E$153:$E260)-SUM('Offshore CF'!J73:$J$153)&lt;&gt;0,SUM($H$13:H62),0))</f>
        <v>#N/A</v>
      </c>
      <c r="J62" s="319" t="e">
        <f ca="1">IF(OR(SUM('Offshore CF'!E74:$E$153)&lt;&gt;0,SUM('Offshore CF'!J74:$J$153)&lt;&gt;0),I62+G62,IF(SUM('Offshore CF'!E73:$E$153)-SUM('Offshore CF'!J73:$J$153)&lt;&gt;0,I62+G62,0))</f>
        <v>#N/A</v>
      </c>
      <c r="K62" s="323"/>
      <c r="L62" s="324">
        <f ca="1">IF(ISERROR('Offshore CF'!J73),0,'Offshore CF'!J73)</f>
        <v>0</v>
      </c>
      <c r="M62" s="324">
        <f ca="1">SUM($L$13:L62)</f>
        <v>1E-3</v>
      </c>
      <c r="N62" s="319" t="e">
        <f ca="1">IF(OR(SUM('Offshore CF'!E74:$E$153)&lt;&gt;0,SUM('Offshore CF'!J74:$J$153)&lt;&gt;0),E62*(((M61+M62)/2)+O61),IF(SUM('Offshore CF'!E73:$E$153)-SUM('Offshore CF'!J73:$J$153)&lt;&gt;0,E62*(((M61+M62)/2)+O61),0))</f>
        <v>#N/A</v>
      </c>
      <c r="O62" s="319" t="e">
        <f ca="1">IF(OR(SUM('Offshore CF'!E74:$E$153)&lt;&gt;0,SUM('Offshore CF'!J74:$J$153)&lt;&gt;0),SUM($N$13:N62),IF(SUM('Offshore CF'!E73:$E$153)-SUM('Offshore CF'!J73:$J$153)&lt;&gt;0,SUM($N$13:N62),0))</f>
        <v>#N/A</v>
      </c>
      <c r="P62" s="319" t="e">
        <f ca="1">IF(OR(SUM('Offshore CF'!E74:$E$153)&lt;&gt;0,SUM('Offshore CF'!J74:$J$153)&lt;&gt;0),O62+M62,IF(SUM('Offshore CF'!E73:$E$153)-SUM('Offshore CF'!J73:$J$153)&lt;&gt;0,O62+M62,0))</f>
        <v>#N/A</v>
      </c>
      <c r="R62" s="319" t="e">
        <f ca="1">IF(OR(SUM('Offshore CF'!E74:$E$153)&lt;&gt;0,SUM('Offshore CF'!J74:$J$153)&lt;&gt;0),G62-M62,IF(SUM('Offshore CF'!E73:$E$153)-SUM('Offshore CF'!J73:$J$153)&lt;&gt;0,G62-M62,0))</f>
        <v>#N/A</v>
      </c>
      <c r="S62" s="326"/>
      <c r="T62" s="319" t="e">
        <f ca="1">IF(OR(SUM('Offshore CF'!E74:$E$153)&lt;&gt;0,SUM('Offshore CF'!J74:$J$153)&lt;&gt;0),E62*(((R61+R62)/2)+SUM($T$13:T61)),IF(SUM('Offshore CF'!E73:$E$153)-SUM('Offshore CF'!J73:$J$153)&lt;&gt;0,E62*(((R61+R62)/2)+SUM($T$13:T61)),0))</f>
        <v>#N/A</v>
      </c>
      <c r="U62" s="319" t="e">
        <f t="shared" ca="1" si="6"/>
        <v>#N/A</v>
      </c>
      <c r="V62" s="319" t="e">
        <f t="shared" ca="1" si="7"/>
        <v>#N/A</v>
      </c>
      <c r="W62" s="326"/>
      <c r="X62" s="326"/>
    </row>
    <row r="63" spans="2:24">
      <c r="B63" s="327">
        <f>'Offshore CF'!B74</f>
        <v>47</v>
      </c>
      <c r="C63" s="310">
        <f>'Offshore CF'!C74</f>
        <v>44990.168200000073</v>
      </c>
      <c r="D63" s="311" t="e">
        <f t="shared" ca="1" si="4"/>
        <v>#N/A</v>
      </c>
      <c r="E63" s="312">
        <f t="shared" ca="1" si="5"/>
        <v>0</v>
      </c>
      <c r="F63" s="313">
        <f ca="1">IF(ISERROR('Offshore CF'!E74),0,'Offshore CF'!E74)</f>
        <v>0</v>
      </c>
      <c r="G63" s="319">
        <f ca="1">SUM($F$13:F63)</f>
        <v>0</v>
      </c>
      <c r="H63" s="322" t="e">
        <f ca="1">IF(OR(SUM('Offshore CF'!E75:$E$153)&lt;&gt;0,SUM('Offshore CF'!J75:$J$153)&lt;&gt;0),E63*(((G62+G63)/2)+I62),IF(SUM('Offshore CF'!E74:$E$153)-SUM('Offshore CF'!J74:$J$153)&lt;&gt;0,E63*(((G62+G63)/2)+I62),0))</f>
        <v>#N/A</v>
      </c>
      <c r="I63" s="322" t="e">
        <f ca="1">IF(OR(SUM('Offshore CF'!E75:$E$153)&lt;&gt;0,SUM('Offshore CF'!J75:$J$153)&lt;&gt;0),SUM($H$13:H63),IF(SUM('Offshore CF'!E$153:$E261)-SUM('Offshore CF'!J74:$J$153)&lt;&gt;0,SUM($H$13:H63),0))</f>
        <v>#N/A</v>
      </c>
      <c r="J63" s="322" t="e">
        <f ca="1">IF(OR(SUM('Offshore CF'!E75:$E$153)&lt;&gt;0,SUM('Offshore CF'!J75:$J$153)&lt;&gt;0),I63+G63,IF(SUM('Offshore CF'!E74:$E$153)-SUM('Offshore CF'!J74:$J$153)&lt;&gt;0,I63+G63,0))</f>
        <v>#N/A</v>
      </c>
      <c r="K63" s="323"/>
      <c r="L63" s="324">
        <f ca="1">IF(ISERROR('Offshore CF'!J74),0,'Offshore CF'!J74)</f>
        <v>0</v>
      </c>
      <c r="M63" s="325">
        <f ca="1">SUM($L$13:L63)</f>
        <v>1E-3</v>
      </c>
      <c r="N63" s="322" t="e">
        <f ca="1">IF(OR(SUM('Offshore CF'!E75:$E$153)&lt;&gt;0,SUM('Offshore CF'!J75:$J$153)&lt;&gt;0),E63*(((M62+M63)/2)+O62),IF(SUM('Offshore CF'!E74:$E$153)-SUM('Offshore CF'!J74:$J$153)&lt;&gt;0,E63*(((M62+M63)/2)+O62),0))</f>
        <v>#N/A</v>
      </c>
      <c r="O63" s="322" t="e">
        <f ca="1">IF(OR(SUM('Offshore CF'!E75:$E$153)&lt;&gt;0,SUM('Offshore CF'!J75:$J$153)&lt;&gt;0),SUM($N$13:N63),IF(SUM('Offshore CF'!E74:$E$153)-SUM('Offshore CF'!J74:$J$153)&lt;&gt;0,SUM($N$13:N63),0))</f>
        <v>#N/A</v>
      </c>
      <c r="P63" s="322" t="e">
        <f ca="1">IF(OR(SUM('Offshore CF'!E75:$E$153)&lt;&gt;0,SUM('Offshore CF'!J75:$J$153)&lt;&gt;0),O63+M63,IF(SUM('Offshore CF'!E74:$E$153)-SUM('Offshore CF'!J74:$J$153)&lt;&gt;0,O63+M63,0))</f>
        <v>#N/A</v>
      </c>
      <c r="R63" s="322" t="e">
        <f ca="1">IF(OR(SUM('Offshore CF'!E75:$E$153)&lt;&gt;0,SUM('Offshore CF'!J75:$J$153)&lt;&gt;0),G63-M63,IF(SUM('Offshore CF'!E74:$E$153)-SUM('Offshore CF'!J74:$J$153)&lt;&gt;0,G63-M63,0))</f>
        <v>#N/A</v>
      </c>
      <c r="S63" s="285"/>
      <c r="T63" s="322" t="e">
        <f ca="1">IF(OR(SUM('Offshore CF'!E75:$E$153)&lt;&gt;0,SUM('Offshore CF'!J75:$J$153)&lt;&gt;0),E63*(((R62+R63)/2)+SUM($T$13:T62)),IF(SUM('Offshore CF'!E74:$E$153)-SUM('Offshore CF'!J74:$J$153)&lt;&gt;0,E63*(((R62+R63)/2)+SUM($T$13:T62)),0))</f>
        <v>#N/A</v>
      </c>
      <c r="U63" s="322" t="e">
        <f t="shared" ca="1" si="6"/>
        <v>#N/A</v>
      </c>
      <c r="V63" s="319" t="e">
        <f t="shared" ca="1" si="7"/>
        <v>#N/A</v>
      </c>
      <c r="W63" s="285"/>
      <c r="X63" s="326"/>
    </row>
    <row r="64" spans="2:24">
      <c r="B64" s="327">
        <f>'Offshore CF'!B75</f>
        <v>48</v>
      </c>
      <c r="C64" s="310">
        <f>'Offshore CF'!C75</f>
        <v>45020.584900000074</v>
      </c>
      <c r="D64" s="311" t="e">
        <f t="shared" ca="1" si="4"/>
        <v>#N/A</v>
      </c>
      <c r="E64" s="312">
        <f t="shared" ca="1" si="5"/>
        <v>0</v>
      </c>
      <c r="F64" s="313">
        <f ca="1">IF(ISERROR('Offshore CF'!E75),0,'Offshore CF'!E75)</f>
        <v>0</v>
      </c>
      <c r="G64" s="319">
        <f ca="1">SUM($F$13:F64)</f>
        <v>0</v>
      </c>
      <c r="H64" s="322" t="e">
        <f ca="1">IF(OR(SUM('Offshore CF'!E76:$E$153)&lt;&gt;0,SUM('Offshore CF'!J76:$J$153)&lt;&gt;0),E64*(((G63+G64)/2)+I63),IF(SUM('Offshore CF'!E75:$E$153)-SUM('Offshore CF'!J75:$J$153)&lt;&gt;0,E64*(((G63+G64)/2)+I63),0))</f>
        <v>#N/A</v>
      </c>
      <c r="I64" s="322" t="e">
        <f ca="1">IF(OR(SUM('Offshore CF'!E76:$E$153)&lt;&gt;0,SUM('Offshore CF'!J76:$J$153)&lt;&gt;0),SUM($H$13:H64),IF(SUM('Offshore CF'!E$153:$E262)-SUM('Offshore CF'!J75:$J$153)&lt;&gt;0,SUM($H$13:H64),0))</f>
        <v>#N/A</v>
      </c>
      <c r="J64" s="322" t="e">
        <f ca="1">IF(OR(SUM('Offshore CF'!E76:$E$153)&lt;&gt;0,SUM('Offshore CF'!J76:$J$153)&lt;&gt;0),I64+G64,IF(SUM('Offshore CF'!E75:$E$153)-SUM('Offshore CF'!J75:$J$153)&lt;&gt;0,I64+G64,0))</f>
        <v>#N/A</v>
      </c>
      <c r="K64" s="323"/>
      <c r="L64" s="324">
        <f ca="1">IF(ISERROR('Offshore CF'!J75),0,'Offshore CF'!J75)</f>
        <v>0</v>
      </c>
      <c r="M64" s="325">
        <f ca="1">SUM($L$13:L64)</f>
        <v>1E-3</v>
      </c>
      <c r="N64" s="322" t="e">
        <f ca="1">IF(OR(SUM('Offshore CF'!E76:$E$153)&lt;&gt;0,SUM('Offshore CF'!J76:$J$153)&lt;&gt;0),E64*(((M63+M64)/2)+O63),IF(SUM('Offshore CF'!E75:$E$153)-SUM('Offshore CF'!J75:$J$153)&lt;&gt;0,E64*(((M63+M64)/2)+O63),0))</f>
        <v>#N/A</v>
      </c>
      <c r="O64" s="322" t="e">
        <f ca="1">IF(OR(SUM('Offshore CF'!E76:$E$153)&lt;&gt;0,SUM('Offshore CF'!J76:$J$153)&lt;&gt;0),SUM($N$13:N64),IF(SUM('Offshore CF'!E75:$E$153)-SUM('Offshore CF'!J75:$J$153)&lt;&gt;0,SUM($N$13:N64),0))</f>
        <v>#N/A</v>
      </c>
      <c r="P64" s="322" t="e">
        <f ca="1">IF(OR(SUM('Offshore CF'!E76:$E$153)&lt;&gt;0,SUM('Offshore CF'!J76:$J$153)&lt;&gt;0),O64+M64,IF(SUM('Offshore CF'!E75:$E$153)-SUM('Offshore CF'!J75:$J$153)&lt;&gt;0,O64+M64,0))</f>
        <v>#N/A</v>
      </c>
      <c r="R64" s="322" t="e">
        <f ca="1">IF(OR(SUM('Offshore CF'!E76:$E$153)&lt;&gt;0,SUM('Offshore CF'!J76:$J$153)&lt;&gt;0),G64-M64,IF(SUM('Offshore CF'!E75:$E$153)-SUM('Offshore CF'!J75:$J$153)&lt;&gt;0,G64-M64,0))</f>
        <v>#N/A</v>
      </c>
      <c r="S64" s="285"/>
      <c r="T64" s="322" t="e">
        <f ca="1">IF(OR(SUM('Offshore CF'!E76:$E$153)&lt;&gt;0,SUM('Offshore CF'!J76:$J$153)&lt;&gt;0),E64*(((R63+R64)/2)+SUM($T$13:T63)),IF(SUM('Offshore CF'!E75:$E$153)-SUM('Offshore CF'!J75:$J$153)&lt;&gt;0,E64*(((R63+R64)/2)+SUM($T$13:T63)),0))</f>
        <v>#N/A</v>
      </c>
      <c r="U64" s="322" t="e">
        <f t="shared" ca="1" si="6"/>
        <v>#N/A</v>
      </c>
      <c r="V64" s="319" t="e">
        <f t="shared" ca="1" si="7"/>
        <v>#N/A</v>
      </c>
      <c r="W64" s="285"/>
      <c r="X64" s="326"/>
    </row>
    <row r="65" spans="2:24">
      <c r="B65" s="327">
        <f>'Offshore CF'!B76</f>
        <v>49</v>
      </c>
      <c r="C65" s="310">
        <f>'Offshore CF'!C76</f>
        <v>45051.001600000076</v>
      </c>
      <c r="D65" s="311" t="e">
        <f t="shared" ca="1" si="4"/>
        <v>#N/A</v>
      </c>
      <c r="E65" s="328">
        <f t="shared" ca="1" si="5"/>
        <v>0</v>
      </c>
      <c r="F65" s="313">
        <f ca="1">IF(ISERROR('Offshore CF'!E76),0,'Offshore CF'!E76)</f>
        <v>0</v>
      </c>
      <c r="G65" s="319">
        <f ca="1">SUM($F$13:F65)</f>
        <v>0</v>
      </c>
      <c r="H65" s="319" t="e">
        <f ca="1">IF(OR(SUM('Offshore CF'!E77:$E$153)&lt;&gt;0,SUM('Offshore CF'!J77:$J$153)&lt;&gt;0),E65*(((G64+G65)/2)+I64),IF(SUM('Offshore CF'!E76:$E$153)-SUM('Offshore CF'!J76:$J$153)&lt;&gt;0,E65*(((G64+G65)/2)+I64),0))</f>
        <v>#N/A</v>
      </c>
      <c r="I65" s="319" t="e">
        <f ca="1">IF(OR(SUM('Offshore CF'!E77:$E$153)&lt;&gt;0,SUM('Offshore CF'!J77:$J$153)&lt;&gt;0),SUM($H$13:H65),IF(SUM('Offshore CF'!E$153:$E263)-SUM('Offshore CF'!J76:$J$153)&lt;&gt;0,SUM($H$13:H65),0))</f>
        <v>#N/A</v>
      </c>
      <c r="J65" s="319" t="e">
        <f ca="1">IF(OR(SUM('Offshore CF'!E77:$E$153)&lt;&gt;0,SUM('Offshore CF'!J77:$J$153)&lt;&gt;0),I65+G65,IF(SUM('Offshore CF'!E76:$E$153)-SUM('Offshore CF'!J76:$J$153)&lt;&gt;0,I65+G65,0))</f>
        <v>#N/A</v>
      </c>
      <c r="K65" s="323"/>
      <c r="L65" s="324">
        <f ca="1">IF(ISERROR('Offshore CF'!J76),0,'Offshore CF'!J76)</f>
        <v>0</v>
      </c>
      <c r="M65" s="324">
        <f ca="1">SUM($L$13:L65)</f>
        <v>1E-3</v>
      </c>
      <c r="N65" s="319" t="e">
        <f ca="1">IF(OR(SUM('Offshore CF'!E77:$E$153)&lt;&gt;0,SUM('Offshore CF'!J77:$J$153)&lt;&gt;0),E65*(((M64+M65)/2)+O64),IF(SUM('Offshore CF'!E76:$E$153)-SUM('Offshore CF'!J76:$J$153)&lt;&gt;0,E65*(((M64+M65)/2)+O64),0))</f>
        <v>#N/A</v>
      </c>
      <c r="O65" s="319" t="e">
        <f ca="1">IF(OR(SUM('Offshore CF'!E77:$E$153)&lt;&gt;0,SUM('Offshore CF'!J77:$J$153)&lt;&gt;0),SUM($N$13:N65),IF(SUM('Offshore CF'!E76:$E$153)-SUM('Offshore CF'!J76:$J$153)&lt;&gt;0,SUM($N$13:N65),0))</f>
        <v>#N/A</v>
      </c>
      <c r="P65" s="319" t="e">
        <f ca="1">IF(OR(SUM('Offshore CF'!E77:$E$153)&lt;&gt;0,SUM('Offshore CF'!J77:$J$153)&lt;&gt;0),O65+M65,IF(SUM('Offshore CF'!E76:$E$153)-SUM('Offshore CF'!J76:$J$153)&lt;&gt;0,O65+M65,0))</f>
        <v>#N/A</v>
      </c>
      <c r="Q65" s="329"/>
      <c r="R65" s="319" t="e">
        <f ca="1">IF(OR(SUM('Offshore CF'!E77:$E$153)&lt;&gt;0,SUM('Offshore CF'!J77:$J$153)&lt;&gt;0),G65-M65,IF(SUM('Offshore CF'!E76:$E$153)-SUM('Offshore CF'!J76:$J$153)&lt;&gt;0,G65-M65,0))</f>
        <v>#N/A</v>
      </c>
      <c r="S65" s="326"/>
      <c r="T65" s="319" t="e">
        <f ca="1">IF(OR(SUM('Offshore CF'!E77:$E$153)&lt;&gt;0,SUM('Offshore CF'!J77:$J$153)&lt;&gt;0),E65*(((R64+R65)/2)+SUM($T$13:T64)),IF(SUM('Offshore CF'!E76:$E$153)-SUM('Offshore CF'!J76:$J$153)&lt;&gt;0,E65*(((R64+R65)/2)+SUM($T$13:T64)),0))</f>
        <v>#N/A</v>
      </c>
      <c r="U65" s="319" t="e">
        <f t="shared" ca="1" si="6"/>
        <v>#N/A</v>
      </c>
      <c r="V65" s="319" t="e">
        <f t="shared" ca="1" si="7"/>
        <v>#N/A</v>
      </c>
      <c r="W65" s="285"/>
      <c r="X65" s="326"/>
    </row>
    <row r="66" spans="2:24" s="329" customFormat="1">
      <c r="B66" s="327">
        <f>'Offshore CF'!B77</f>
        <v>50</v>
      </c>
      <c r="C66" s="310">
        <f>'Offshore CF'!C77</f>
        <v>45081.418300000078</v>
      </c>
      <c r="D66" s="311" t="e">
        <f t="shared" ca="1" si="4"/>
        <v>#N/A</v>
      </c>
      <c r="E66" s="328">
        <f t="shared" ca="1" si="5"/>
        <v>0</v>
      </c>
      <c r="F66" s="313">
        <f ca="1">IF(ISERROR('Offshore CF'!E77),0,'Offshore CF'!E77)</f>
        <v>0</v>
      </c>
      <c r="G66" s="319">
        <f ca="1">SUM($F$13:F66)</f>
        <v>0</v>
      </c>
      <c r="H66" s="319" t="e">
        <f ca="1">IF(OR(SUM('Offshore CF'!E78:$E$153)&lt;&gt;0,SUM('Offshore CF'!J78:$J$153)&lt;&gt;0),E66*(((G65+G66)/2)+I65),IF(SUM('Offshore CF'!E77:$E$153)-SUM('Offshore CF'!J77:$J$153)&lt;&gt;0,E66*(((G65+G66)/2)+I65),0))</f>
        <v>#N/A</v>
      </c>
      <c r="I66" s="319" t="e">
        <f ca="1">IF(OR(SUM('Offshore CF'!E78:$E$153)&lt;&gt;0,SUM('Offshore CF'!J78:$J$153)&lt;&gt;0),SUM($H$13:H66),IF(SUM('Offshore CF'!E$153:$E264)-SUM('Offshore CF'!J77:$J$153)&lt;&gt;0,SUM($H$13:H66),0))</f>
        <v>#N/A</v>
      </c>
      <c r="J66" s="319" t="e">
        <f ca="1">IF(OR(SUM('Offshore CF'!E78:$E$153)&lt;&gt;0,SUM('Offshore CF'!J78:$J$153)&lt;&gt;0),I66+G66,IF(SUM('Offshore CF'!E77:$E$153)-SUM('Offshore CF'!J77:$J$153)&lt;&gt;0,I66+G66,0))</f>
        <v>#N/A</v>
      </c>
      <c r="K66" s="323"/>
      <c r="L66" s="324">
        <f ca="1">IF(ISERROR('Offshore CF'!J77),0,'Offshore CF'!J77)</f>
        <v>0</v>
      </c>
      <c r="M66" s="324">
        <f ca="1">SUM($L$13:L66)</f>
        <v>1E-3</v>
      </c>
      <c r="N66" s="319" t="e">
        <f ca="1">IF(OR(SUM('Offshore CF'!E78:$E$153)&lt;&gt;0,SUM('Offshore CF'!J78:$J$153)&lt;&gt;0),E66*(((M65+M66)/2)+O65),IF(SUM('Offshore CF'!E77:$E$153)-SUM('Offshore CF'!J77:$J$153)&lt;&gt;0,E66*(((M65+M66)/2)+O65),0))</f>
        <v>#N/A</v>
      </c>
      <c r="O66" s="319" t="e">
        <f ca="1">IF(OR(SUM('Offshore CF'!E78:$E$153)&lt;&gt;0,SUM('Offshore CF'!J78:$J$153)&lt;&gt;0),SUM($N$13:N66),IF(SUM('Offshore CF'!E77:$E$153)-SUM('Offshore CF'!J77:$J$153)&lt;&gt;0,SUM($N$13:N66),0))</f>
        <v>#N/A</v>
      </c>
      <c r="P66" s="319" t="e">
        <f ca="1">IF(OR(SUM('Offshore CF'!E78:$E$153)&lt;&gt;0,SUM('Offshore CF'!J78:$J$153)&lt;&gt;0),O66+M66,IF(SUM('Offshore CF'!E77:$E$153)-SUM('Offshore CF'!J77:$J$153)&lt;&gt;0,O66+M66,0))</f>
        <v>#N/A</v>
      </c>
      <c r="R66" s="319" t="e">
        <f ca="1">IF(OR(SUM('Offshore CF'!E78:$E$153)&lt;&gt;0,SUM('Offshore CF'!J78:$J$153)&lt;&gt;0),G66-M66,IF(SUM('Offshore CF'!E77:$E$153)-SUM('Offshore CF'!J77:$J$153)&lt;&gt;0,G66-M66,0))</f>
        <v>#N/A</v>
      </c>
      <c r="S66" s="326"/>
      <c r="T66" s="319" t="e">
        <f ca="1">IF(OR(SUM('Offshore CF'!E78:$E$153)&lt;&gt;0,SUM('Offshore CF'!J78:$J$153)&lt;&gt;0),E66*(((R65+R66)/2)+SUM($T$13:T65)),IF(SUM('Offshore CF'!E77:$E$153)-SUM('Offshore CF'!J77:$J$153)&lt;&gt;0,E66*(((R65+R66)/2)+SUM($T$13:T65)),0))</f>
        <v>#N/A</v>
      </c>
      <c r="U66" s="319" t="e">
        <f t="shared" ca="1" si="6"/>
        <v>#N/A</v>
      </c>
      <c r="V66" s="319" t="e">
        <f t="shared" ca="1" si="7"/>
        <v>#N/A</v>
      </c>
      <c r="W66" s="326"/>
      <c r="X66" s="326"/>
    </row>
    <row r="67" spans="2:24">
      <c r="B67" s="849">
        <f>'Offshore CF'!B78</f>
        <v>51</v>
      </c>
      <c r="C67" s="850">
        <f>'Offshore CF'!C78</f>
        <v>45111.835000000079</v>
      </c>
      <c r="D67" s="311" t="e">
        <f t="shared" ca="1" si="4"/>
        <v>#N/A</v>
      </c>
      <c r="E67" s="312">
        <f t="shared" ca="1" si="5"/>
        <v>0</v>
      </c>
      <c r="F67" s="313">
        <f ca="1">IF(ISERROR('Offshore CF'!E78),0,'Offshore CF'!E78)</f>
        <v>0</v>
      </c>
      <c r="G67" s="319">
        <f ca="1">SUM($F$13:F67)</f>
        <v>0</v>
      </c>
      <c r="H67" s="322" t="e">
        <f ca="1">IF(OR(SUM('Offshore CF'!E79:$E$153)&lt;&gt;0,SUM('Offshore CF'!J79:$J$153)&lt;&gt;0),E67*(((G66+G67)/2)+I66),IF(SUM('Offshore CF'!E78:$E$153)-SUM('Offshore CF'!J78:$J$153)&lt;&gt;0,E67*(((G66+G67)/2)+I66),0))</f>
        <v>#N/A</v>
      </c>
      <c r="I67" s="322" t="e">
        <f ca="1">IF(OR(SUM('Offshore CF'!E79:$E$153)&lt;&gt;0,SUM('Offshore CF'!J79:$J$153)&lt;&gt;0),SUM($H$13:H67),IF(SUM('Offshore CF'!E$153:$E265)-SUM('Offshore CF'!J78:$J$153)&lt;&gt;0,SUM($H$13:H67),0))</f>
        <v>#N/A</v>
      </c>
      <c r="J67" s="322" t="e">
        <f ca="1">IF(OR(SUM('Offshore CF'!E79:$E$153)&lt;&gt;0,SUM('Offshore CF'!J79:$J$153)&lt;&gt;0),I67+G67,IF(SUM('Offshore CF'!E78:$E$153)-SUM('Offshore CF'!J78:$J$153)&lt;&gt;0,I67+G67,0))</f>
        <v>#N/A</v>
      </c>
      <c r="K67" s="323"/>
      <c r="L67" s="324">
        <f ca="1">IF(ISERROR('Offshore CF'!J78),0,'Offshore CF'!J78)</f>
        <v>0</v>
      </c>
      <c r="M67" s="325">
        <f ca="1">SUM($L$13:L67)</f>
        <v>1E-3</v>
      </c>
      <c r="N67" s="322" t="e">
        <f ca="1">IF(OR(SUM('Offshore CF'!E79:$E$153)&lt;&gt;0,SUM('Offshore CF'!J79:$J$153)&lt;&gt;0),E67*(((M66+M67)/2)+O66),IF(SUM('Offshore CF'!E78:$E$153)-SUM('Offshore CF'!J78:$J$153)&lt;&gt;0,E67*(((M66+M67)/2)+O66),0))</f>
        <v>#N/A</v>
      </c>
      <c r="O67" s="322" t="e">
        <f ca="1">IF(OR(SUM('Offshore CF'!E79:$E$153)&lt;&gt;0,SUM('Offshore CF'!J79:$J$153)&lt;&gt;0),SUM($N$13:N67),IF(SUM('Offshore CF'!E78:$E$153)-SUM('Offshore CF'!J78:$J$153)&lt;&gt;0,SUM($N$13:N67),0))</f>
        <v>#N/A</v>
      </c>
      <c r="P67" s="322" t="e">
        <f ca="1">IF(OR(SUM('Offshore CF'!E79:$E$153)&lt;&gt;0,SUM('Offshore CF'!J79:$J$153)&lt;&gt;0),O67+M67,IF(SUM('Offshore CF'!E78:$E$153)-SUM('Offshore CF'!J78:$J$153)&lt;&gt;0,O67+M67,0))</f>
        <v>#N/A</v>
      </c>
      <c r="R67" s="322" t="e">
        <f ca="1">IF(OR(SUM('Offshore CF'!E79:$E$153)&lt;&gt;0,SUM('Offshore CF'!J79:$J$153)&lt;&gt;0),G67-M67,IF(SUM('Offshore CF'!E78:$E$153)-SUM('Offshore CF'!J78:$J$153)&lt;&gt;0,G67-M67,0))</f>
        <v>#N/A</v>
      </c>
      <c r="S67" s="285"/>
      <c r="T67" s="322" t="e">
        <f ca="1">IF(OR(SUM('Offshore CF'!E79:$E$153)&lt;&gt;0,SUM('Offshore CF'!J79:$J$153)&lt;&gt;0),E67*(((R66+R67)/2)+SUM($T$13:T66)),IF(SUM('Offshore CF'!E78:$E$153)-SUM('Offshore CF'!J78:$J$153)&lt;&gt;0,E67*(((R66+R67)/2)+SUM($T$13:T66)),0))</f>
        <v>#N/A</v>
      </c>
      <c r="U67" s="322" t="e">
        <f t="shared" ca="1" si="6"/>
        <v>#N/A</v>
      </c>
      <c r="V67" s="319" t="e">
        <f t="shared" ca="1" si="7"/>
        <v>#N/A</v>
      </c>
      <c r="W67" s="285"/>
      <c r="X67" s="326"/>
    </row>
    <row r="68" spans="2:24">
      <c r="B68" s="327">
        <f>'Offshore CF'!B79</f>
        <v>52</v>
      </c>
      <c r="C68" s="310">
        <f>'Offshore CF'!C79</f>
        <v>45142.251700000081</v>
      </c>
      <c r="D68" s="311" t="e">
        <f t="shared" ca="1" si="4"/>
        <v>#N/A</v>
      </c>
      <c r="E68" s="312">
        <f t="shared" ca="1" si="5"/>
        <v>0</v>
      </c>
      <c r="F68" s="313">
        <f ca="1">IF(ISERROR('Offshore CF'!E79),0,'Offshore CF'!E79)</f>
        <v>0</v>
      </c>
      <c r="G68" s="319">
        <f ca="1">SUM($F$13:F68)</f>
        <v>0</v>
      </c>
      <c r="H68" s="322" t="e">
        <f ca="1">IF(OR(SUM('Offshore CF'!E80:$E$153)&lt;&gt;0,SUM('Offshore CF'!J80:$J$153)&lt;&gt;0),E68*(((G67+G68)/2)+I67),IF(SUM('Offshore CF'!E79:$E$153)-SUM('Offshore CF'!J79:$J$153)&lt;&gt;0,E68*(((G67+G68)/2)+I67),0))</f>
        <v>#N/A</v>
      </c>
      <c r="I68" s="322" t="e">
        <f ca="1">IF(OR(SUM('Offshore CF'!E80:$E$153)&lt;&gt;0,SUM('Offshore CF'!J80:$J$153)&lt;&gt;0),SUM($H$13:H68),IF(SUM('Offshore CF'!E$153:$E266)-SUM('Offshore CF'!J79:$J$153)&lt;&gt;0,SUM($H$13:H68),0))</f>
        <v>#N/A</v>
      </c>
      <c r="J68" s="322" t="e">
        <f ca="1">IF(OR(SUM('Offshore CF'!E80:$E$153)&lt;&gt;0,SUM('Offshore CF'!J80:$J$153)&lt;&gt;0),I68+G68,IF(SUM('Offshore CF'!E79:$E$153)-SUM('Offshore CF'!J79:$J$153)&lt;&gt;0,I68+G68,0))</f>
        <v>#N/A</v>
      </c>
      <c r="K68" s="323"/>
      <c r="L68" s="324">
        <f ca="1">IF(ISERROR('Offshore CF'!J79),0,'Offshore CF'!J79)</f>
        <v>0</v>
      </c>
      <c r="M68" s="325">
        <f ca="1">SUM($L$13:L68)</f>
        <v>1E-3</v>
      </c>
      <c r="N68" s="322" t="e">
        <f ca="1">IF(OR(SUM('Offshore CF'!E80:$E$153)&lt;&gt;0,SUM('Offshore CF'!J80:$J$153)&lt;&gt;0),E68*(((M67+M68)/2)+O67),IF(SUM('Offshore CF'!E79:$E$153)-SUM('Offshore CF'!J79:$J$153)&lt;&gt;0,E68*(((M67+M68)/2)+O67),0))</f>
        <v>#N/A</v>
      </c>
      <c r="O68" s="322" t="e">
        <f ca="1">IF(OR(SUM('Offshore CF'!E80:$E$153)&lt;&gt;0,SUM('Offshore CF'!J80:$J$153)&lt;&gt;0),SUM($N$13:N68),IF(SUM('Offshore CF'!E79:$E$153)-SUM('Offshore CF'!J79:$J$153)&lt;&gt;0,SUM($N$13:N68),0))</f>
        <v>#N/A</v>
      </c>
      <c r="P68" s="322" t="e">
        <f ca="1">IF(OR(SUM('Offshore CF'!E80:$E$153)&lt;&gt;0,SUM('Offshore CF'!J80:$J$153)&lt;&gt;0),O68+M68,IF(SUM('Offshore CF'!E79:$E$153)-SUM('Offshore CF'!J79:$J$153)&lt;&gt;0,O68+M68,0))</f>
        <v>#N/A</v>
      </c>
      <c r="R68" s="322" t="e">
        <f ca="1">IF(OR(SUM('Offshore CF'!E80:$E$153)&lt;&gt;0,SUM('Offshore CF'!J80:$J$153)&lt;&gt;0),G68-M68,IF(SUM('Offshore CF'!E79:$E$153)-SUM('Offshore CF'!J79:$J$153)&lt;&gt;0,G68-M68,0))</f>
        <v>#N/A</v>
      </c>
      <c r="S68" s="285"/>
      <c r="T68" s="322" t="e">
        <f ca="1">IF(OR(SUM('Offshore CF'!E80:$E$153)&lt;&gt;0,SUM('Offshore CF'!J80:$J$153)&lt;&gt;0),E68*(((R67+R68)/2)+SUM($T$13:T67)),IF(SUM('Offshore CF'!E79:$E$153)-SUM('Offshore CF'!J79:$J$153)&lt;&gt;0,E68*(((R67+R68)/2)+SUM($T$13:T67)),0))</f>
        <v>#N/A</v>
      </c>
      <c r="U68" s="322" t="e">
        <f t="shared" ca="1" si="6"/>
        <v>#N/A</v>
      </c>
      <c r="V68" s="319" t="e">
        <f t="shared" ca="1" si="7"/>
        <v>#N/A</v>
      </c>
      <c r="W68" s="285"/>
      <c r="X68" s="326"/>
    </row>
    <row r="69" spans="2:24">
      <c r="B69" s="327">
        <f>'Offshore CF'!B80</f>
        <v>53</v>
      </c>
      <c r="C69" s="310">
        <f>'Offshore CF'!C80</f>
        <v>45172.668400000082</v>
      </c>
      <c r="D69" s="311" t="e">
        <f t="shared" ca="1" si="4"/>
        <v>#N/A</v>
      </c>
      <c r="E69" s="312">
        <f t="shared" ca="1" si="5"/>
        <v>0</v>
      </c>
      <c r="F69" s="313">
        <f ca="1">IF(ISERROR('Offshore CF'!E80),0,'Offshore CF'!E80)</f>
        <v>0</v>
      </c>
      <c r="G69" s="319">
        <f ca="1">SUM($F$13:F69)</f>
        <v>0</v>
      </c>
      <c r="H69" s="322" t="e">
        <f ca="1">IF(OR(SUM('Offshore CF'!E81:$E$153)&lt;&gt;0,SUM('Offshore CF'!J81:$J$153)&lt;&gt;0),E69*(((G68+G69)/2)+I68),IF(SUM('Offshore CF'!E80:$E$153)-SUM('Offshore CF'!J80:$J$153)&lt;&gt;0,E69*(((G68+G69)/2)+I68),0))</f>
        <v>#N/A</v>
      </c>
      <c r="I69" s="322" t="e">
        <f ca="1">IF(OR(SUM('Offshore CF'!E81:$E$153)&lt;&gt;0,SUM('Offshore CF'!J81:$J$153)&lt;&gt;0),SUM($H$13:H69),IF(SUM('Offshore CF'!E$153:$E267)-SUM('Offshore CF'!J80:$J$153)&lt;&gt;0,SUM($H$13:H69),0))</f>
        <v>#N/A</v>
      </c>
      <c r="J69" s="322" t="e">
        <f ca="1">IF(OR(SUM('Offshore CF'!E81:$E$153)&lt;&gt;0,SUM('Offshore CF'!J81:$J$153)&lt;&gt;0),I69+G69,IF(SUM('Offshore CF'!E80:$E$153)-SUM('Offshore CF'!J80:$J$153)&lt;&gt;0,I69+G69,0))</f>
        <v>#N/A</v>
      </c>
      <c r="K69" s="323"/>
      <c r="L69" s="324">
        <f ca="1">IF(ISERROR('Offshore CF'!J80),0,'Offshore CF'!J80)</f>
        <v>0</v>
      </c>
      <c r="M69" s="325">
        <f ca="1">SUM($L$13:L69)</f>
        <v>1E-3</v>
      </c>
      <c r="N69" s="322" t="e">
        <f ca="1">IF(OR(SUM('Offshore CF'!E81:$E$153)&lt;&gt;0,SUM('Offshore CF'!J81:$J$153)&lt;&gt;0),E69*(((M68+M69)/2)+O68),IF(SUM('Offshore CF'!E80:$E$153)-SUM('Offshore CF'!J80:$J$153)&lt;&gt;0,E69*(((M68+M69)/2)+O68),0))</f>
        <v>#N/A</v>
      </c>
      <c r="O69" s="322" t="e">
        <f ca="1">IF(OR(SUM('Offshore CF'!E81:$E$153)&lt;&gt;0,SUM('Offshore CF'!J81:$J$153)&lt;&gt;0),SUM($N$13:N69),IF(SUM('Offshore CF'!E80:$E$153)-SUM('Offshore CF'!J80:$J$153)&lt;&gt;0,SUM($N$13:N69),0))</f>
        <v>#N/A</v>
      </c>
      <c r="P69" s="322" t="e">
        <f ca="1">IF(OR(SUM('Offshore CF'!E81:$E$153)&lt;&gt;0,SUM('Offshore CF'!J81:$J$153)&lt;&gt;0),O69+M69,IF(SUM('Offshore CF'!E80:$E$153)-SUM('Offshore CF'!J80:$J$153)&lt;&gt;0,O69+M69,0))</f>
        <v>#N/A</v>
      </c>
      <c r="R69" s="322" t="e">
        <f ca="1">IF(OR(SUM('Offshore CF'!E81:$E$153)&lt;&gt;0,SUM('Offshore CF'!J81:$J$153)&lt;&gt;0),G69-M69,IF(SUM('Offshore CF'!E80:$E$153)-SUM('Offshore CF'!J80:$J$153)&lt;&gt;0,G69-M69,0))</f>
        <v>#N/A</v>
      </c>
      <c r="S69" s="285"/>
      <c r="T69" s="322" t="e">
        <f ca="1">IF(OR(SUM('Offshore CF'!E81:$E$153)&lt;&gt;0,SUM('Offshore CF'!J81:$J$153)&lt;&gt;0),E69*(((R68+R69)/2)+SUM($T$13:T68)),IF(SUM('Offshore CF'!E80:$E$153)-SUM('Offshore CF'!J80:$J$153)&lt;&gt;0,E69*(((R68+R69)/2)+SUM($T$13:T68)),0))</f>
        <v>#N/A</v>
      </c>
      <c r="U69" s="322" t="e">
        <f t="shared" ca="1" si="6"/>
        <v>#N/A</v>
      </c>
      <c r="V69" s="319" t="e">
        <f t="shared" ca="1" si="7"/>
        <v>#N/A</v>
      </c>
      <c r="W69" s="285"/>
      <c r="X69" s="326"/>
    </row>
    <row r="70" spans="2:24">
      <c r="B70" s="327">
        <f>'Offshore CF'!B81</f>
        <v>54</v>
      </c>
      <c r="C70" s="310">
        <f>'Offshore CF'!C81</f>
        <v>45203.085100000084</v>
      </c>
      <c r="D70" s="311" t="e">
        <f t="shared" ca="1" si="4"/>
        <v>#N/A</v>
      </c>
      <c r="E70" s="312">
        <f t="shared" ca="1" si="5"/>
        <v>0</v>
      </c>
      <c r="F70" s="313">
        <f ca="1">IF(ISERROR('Offshore CF'!E81),0,'Offshore CF'!E81)</f>
        <v>0</v>
      </c>
      <c r="G70" s="319">
        <f ca="1">SUM($F$13:F70)</f>
        <v>0</v>
      </c>
      <c r="H70" s="322" t="e">
        <f ca="1">IF(OR(SUM('Offshore CF'!E82:$E$153)&lt;&gt;0,SUM('Offshore CF'!J82:$J$153)&lt;&gt;0),E70*(((G69+G70)/2)+I69),IF(SUM('Offshore CF'!E81:$E$153)-SUM('Offshore CF'!J81:$J$153)&lt;&gt;0,E70*(((G69+G70)/2)+I69),0))</f>
        <v>#N/A</v>
      </c>
      <c r="I70" s="322" t="e">
        <f ca="1">IF(OR(SUM('Offshore CF'!E82:$E$153)&lt;&gt;0,SUM('Offshore CF'!J82:$J$153)&lt;&gt;0),SUM($H$13:H70),IF(SUM('Offshore CF'!E$153:$E268)-SUM('Offshore CF'!J81:$J$153)&lt;&gt;0,SUM($H$13:H70),0))</f>
        <v>#N/A</v>
      </c>
      <c r="J70" s="322" t="e">
        <f ca="1">IF(OR(SUM('Offshore CF'!E82:$E$153)&lt;&gt;0,SUM('Offshore CF'!J82:$J$153)&lt;&gt;0),I70+G70,IF(SUM('Offshore CF'!E81:$E$153)-SUM('Offshore CF'!J81:$J$153)&lt;&gt;0,I70+G70,0))</f>
        <v>#N/A</v>
      </c>
      <c r="K70" s="323"/>
      <c r="L70" s="324">
        <f ca="1">IF(ISERROR('Offshore CF'!J81),0,'Offshore CF'!J81)</f>
        <v>0</v>
      </c>
      <c r="M70" s="325">
        <f ca="1">SUM($L$13:L70)</f>
        <v>1E-3</v>
      </c>
      <c r="N70" s="322" t="e">
        <f ca="1">IF(OR(SUM('Offshore CF'!E82:$E$153)&lt;&gt;0,SUM('Offshore CF'!J82:$J$153)&lt;&gt;0),E70*(((M69+M70)/2)+O69),IF(SUM('Offshore CF'!E81:$E$153)-SUM('Offshore CF'!J81:$J$153)&lt;&gt;0,E70*(((M69+M70)/2)+O69),0))</f>
        <v>#N/A</v>
      </c>
      <c r="O70" s="322" t="e">
        <f ca="1">IF(OR(SUM('Offshore CF'!E82:$E$153)&lt;&gt;0,SUM('Offshore CF'!J82:$J$153)&lt;&gt;0),SUM($N$13:N70),IF(SUM('Offshore CF'!E81:$E$153)-SUM('Offshore CF'!J81:$J$153)&lt;&gt;0,SUM($N$13:N70),0))</f>
        <v>#N/A</v>
      </c>
      <c r="P70" s="322" t="e">
        <f ca="1">IF(OR(SUM('Offshore CF'!E82:$E$153)&lt;&gt;0,SUM('Offshore CF'!J82:$J$153)&lt;&gt;0),O70+M70,IF(SUM('Offshore CF'!E81:$E$153)-SUM('Offshore CF'!J81:$J$153)&lt;&gt;0,O70+M70,0))</f>
        <v>#N/A</v>
      </c>
      <c r="R70" s="322" t="e">
        <f ca="1">IF(OR(SUM('Offshore CF'!E82:$E$153)&lt;&gt;0,SUM('Offshore CF'!J82:$J$153)&lt;&gt;0),G70-M70,IF(SUM('Offshore CF'!E81:$E$153)-SUM('Offshore CF'!J81:$J$153)&lt;&gt;0,G70-M70,0))</f>
        <v>#N/A</v>
      </c>
      <c r="S70" s="285"/>
      <c r="T70" s="322" t="e">
        <f ca="1">IF(OR(SUM('Offshore CF'!E82:$E$153)&lt;&gt;0,SUM('Offshore CF'!J82:$J$153)&lt;&gt;0),E70*(((R69+R70)/2)+SUM($T$13:T69)),IF(SUM('Offshore CF'!E81:$E$153)-SUM('Offshore CF'!J81:$J$153)&lt;&gt;0,E70*(((R69+R70)/2)+SUM($T$13:T69)),0))</f>
        <v>#N/A</v>
      </c>
      <c r="U70" s="322" t="e">
        <f t="shared" ca="1" si="6"/>
        <v>#N/A</v>
      </c>
      <c r="V70" s="319" t="e">
        <f t="shared" ca="1" si="7"/>
        <v>#N/A</v>
      </c>
      <c r="W70" s="285"/>
      <c r="X70" s="326"/>
    </row>
    <row r="71" spans="2:24">
      <c r="B71" s="849">
        <f>'Offshore CF'!B82</f>
        <v>55</v>
      </c>
      <c r="C71" s="850">
        <f>'Offshore CF'!C82</f>
        <v>45233.501800000085</v>
      </c>
      <c r="D71" s="311" t="e">
        <f t="shared" ca="1" si="4"/>
        <v>#N/A</v>
      </c>
      <c r="E71" s="312">
        <f t="shared" ca="1" si="5"/>
        <v>0</v>
      </c>
      <c r="F71" s="313">
        <f ca="1">IF(ISERROR('Offshore CF'!E82),0,'Offshore CF'!E82)</f>
        <v>0</v>
      </c>
      <c r="G71" s="319">
        <f ca="1">SUM($F$13:F71)</f>
        <v>0</v>
      </c>
      <c r="H71" s="322" t="e">
        <f ca="1">IF(OR(SUM('Offshore CF'!E83:$E$153)&lt;&gt;0,SUM('Offshore CF'!J83:$J$153)&lt;&gt;0),E71*(((G70+G71)/2)+I70),IF(SUM('Offshore CF'!E82:$E$153)-SUM('Offshore CF'!J82:$J$153)&lt;&gt;0,E71*(((G70+G71)/2)+I70),0))</f>
        <v>#N/A</v>
      </c>
      <c r="I71" s="322" t="e">
        <f ca="1">IF(OR(SUM('Offshore CF'!E83:$E$153)&lt;&gt;0,SUM('Offshore CF'!J83:$J$153)&lt;&gt;0),SUM($H$13:H71),IF(SUM('Offshore CF'!E$153:$E269)-SUM('Offshore CF'!J82:$J$153)&lt;&gt;0,SUM($H$13:H71),0))</f>
        <v>#N/A</v>
      </c>
      <c r="J71" s="322" t="e">
        <f ca="1">IF(OR(SUM('Offshore CF'!E83:$E$153)&lt;&gt;0,SUM('Offshore CF'!J83:$J$153)&lt;&gt;0),I71+G71,IF(SUM('Offshore CF'!E82:$E$153)-SUM('Offshore CF'!J82:$J$153)&lt;&gt;0,I71+G71,0))</f>
        <v>#N/A</v>
      </c>
      <c r="K71" s="323"/>
      <c r="L71" s="324">
        <f ca="1">IF(ISERROR('Offshore CF'!J82),0,'Offshore CF'!J82)</f>
        <v>0</v>
      </c>
      <c r="M71" s="325">
        <f ca="1">SUM($L$13:L71)</f>
        <v>1E-3</v>
      </c>
      <c r="N71" s="322" t="e">
        <f ca="1">IF(OR(SUM('Offshore CF'!E83:$E$153)&lt;&gt;0,SUM('Offshore CF'!J83:$J$153)&lt;&gt;0),E71*(((M70+M71)/2)+O70),IF(SUM('Offshore CF'!E82:$E$153)-SUM('Offshore CF'!J82:$J$153)&lt;&gt;0,E71*(((M70+M71)/2)+O70),0))</f>
        <v>#N/A</v>
      </c>
      <c r="O71" s="322" t="e">
        <f ca="1">IF(OR(SUM('Offshore CF'!E83:$E$153)&lt;&gt;0,SUM('Offshore CF'!J83:$J$153)&lt;&gt;0),SUM($N$13:N71),IF(SUM('Offshore CF'!E82:$E$153)-SUM('Offshore CF'!J82:$J$153)&lt;&gt;0,SUM($N$13:N71),0))</f>
        <v>#N/A</v>
      </c>
      <c r="P71" s="322" t="e">
        <f ca="1">IF(OR(SUM('Offshore CF'!E83:$E$153)&lt;&gt;0,SUM('Offshore CF'!J83:$J$153)&lt;&gt;0),O71+M71,IF(SUM('Offshore CF'!E82:$E$153)-SUM('Offshore CF'!J82:$J$153)&lt;&gt;0,O71+M71,0))</f>
        <v>#N/A</v>
      </c>
      <c r="R71" s="322" t="e">
        <f ca="1">IF(OR(SUM('Offshore CF'!E83:$E$153)&lt;&gt;0,SUM('Offshore CF'!J83:$J$153)&lt;&gt;0),G71-M71,IF(SUM('Offshore CF'!E82:$E$153)-SUM('Offshore CF'!J82:$J$153)&lt;&gt;0,G71-M71,0))</f>
        <v>#N/A</v>
      </c>
      <c r="S71" s="285"/>
      <c r="T71" s="322" t="e">
        <f ca="1">IF(OR(SUM('Offshore CF'!E83:$E$153)&lt;&gt;0,SUM('Offshore CF'!J83:$J$153)&lt;&gt;0),E71*(((R70+R71)/2)+SUM($T$13:T70)),IF(SUM('Offshore CF'!E82:$E$153)-SUM('Offshore CF'!J82:$J$153)&lt;&gt;0,E71*(((R70+R71)/2)+SUM($T$13:T70)),0))</f>
        <v>#N/A</v>
      </c>
      <c r="U71" s="322" t="e">
        <f t="shared" ca="1" si="6"/>
        <v>#N/A</v>
      </c>
      <c r="V71" s="319" t="e">
        <f t="shared" ca="1" si="7"/>
        <v>#N/A</v>
      </c>
      <c r="W71" s="285"/>
      <c r="X71" s="326"/>
    </row>
    <row r="72" spans="2:24">
      <c r="B72" s="327">
        <f>'Offshore CF'!B83</f>
        <v>56</v>
      </c>
      <c r="C72" s="310">
        <f>'Offshore CF'!C83</f>
        <v>45263.918500000087</v>
      </c>
      <c r="D72" s="311" t="e">
        <f t="shared" ca="1" si="4"/>
        <v>#N/A</v>
      </c>
      <c r="E72" s="312">
        <f t="shared" ca="1" si="5"/>
        <v>0</v>
      </c>
      <c r="F72" s="313">
        <f ca="1">IF(ISERROR('Offshore CF'!E83),0,'Offshore CF'!E83)</f>
        <v>0</v>
      </c>
      <c r="G72" s="319">
        <f ca="1">SUM($F$13:F72)</f>
        <v>0</v>
      </c>
      <c r="H72" s="322" t="e">
        <f ca="1">IF(OR(SUM('Offshore CF'!E84:$E$153)&lt;&gt;0,SUM('Offshore CF'!J84:$J$153)&lt;&gt;0),E72*(((G71+G72)/2)+I71),IF(SUM('Offshore CF'!E83:$E$153)-SUM('Offshore CF'!J83:$J$153)&lt;&gt;0,E72*(((G71+G72)/2)+I71),0))</f>
        <v>#N/A</v>
      </c>
      <c r="I72" s="322" t="e">
        <f ca="1">IF(OR(SUM('Offshore CF'!E84:$E$153)&lt;&gt;0,SUM('Offshore CF'!J84:$J$153)&lt;&gt;0),SUM($H$13:H72),IF(SUM('Offshore CF'!E$153:$E270)-SUM('Offshore CF'!J83:$J$153)&lt;&gt;0,SUM($H$13:H72),0))</f>
        <v>#N/A</v>
      </c>
      <c r="J72" s="322" t="e">
        <f ca="1">IF(OR(SUM('Offshore CF'!E84:$E$153)&lt;&gt;0,SUM('Offshore CF'!J84:$J$153)&lt;&gt;0),I72+G72,IF(SUM('Offshore CF'!E83:$E$153)-SUM('Offshore CF'!J83:$J$153)&lt;&gt;0,I72+G72,0))</f>
        <v>#N/A</v>
      </c>
      <c r="K72" s="323"/>
      <c r="L72" s="324">
        <f ca="1">IF(ISERROR('Offshore CF'!J83),0,'Offshore CF'!J83)</f>
        <v>0</v>
      </c>
      <c r="M72" s="325">
        <f ca="1">SUM($L$13:L72)</f>
        <v>1E-3</v>
      </c>
      <c r="N72" s="322" t="e">
        <f ca="1">IF(OR(SUM('Offshore CF'!E84:$E$153)&lt;&gt;0,SUM('Offshore CF'!J84:$J$153)&lt;&gt;0),E72*(((M71+M72)/2)+O71),IF(SUM('Offshore CF'!E83:$E$153)-SUM('Offshore CF'!J83:$J$153)&lt;&gt;0,E72*(((M71+M72)/2)+O71),0))</f>
        <v>#N/A</v>
      </c>
      <c r="O72" s="322" t="e">
        <f ca="1">IF(OR(SUM('Offshore CF'!E84:$E$153)&lt;&gt;0,SUM('Offshore CF'!J84:$J$153)&lt;&gt;0),SUM($N$13:N72),IF(SUM('Offshore CF'!E83:$E$153)-SUM('Offshore CF'!J83:$J$153)&lt;&gt;0,SUM($N$13:N72),0))</f>
        <v>#N/A</v>
      </c>
      <c r="P72" s="322" t="e">
        <f ca="1">IF(OR(SUM('Offshore CF'!E84:$E$153)&lt;&gt;0,SUM('Offshore CF'!J84:$J$153)&lt;&gt;0),O72+M72,IF(SUM('Offshore CF'!E83:$E$153)-SUM('Offshore CF'!J83:$J$153)&lt;&gt;0,O72+M72,0))</f>
        <v>#N/A</v>
      </c>
      <c r="R72" s="322" t="e">
        <f ca="1">IF(OR(SUM('Offshore CF'!E84:$E$153)&lt;&gt;0,SUM('Offshore CF'!J84:$J$153)&lt;&gt;0),G72-M72,IF(SUM('Offshore CF'!E83:$E$153)-SUM('Offshore CF'!J83:$J$153)&lt;&gt;0,G72-M72,0))</f>
        <v>#N/A</v>
      </c>
      <c r="S72" s="285"/>
      <c r="T72" s="322" t="e">
        <f ca="1">IF(OR(SUM('Offshore CF'!E84:$E$153)&lt;&gt;0,SUM('Offshore CF'!J84:$J$153)&lt;&gt;0),E72*(((R71+R72)/2)+SUM($T$13:T71)),IF(SUM('Offshore CF'!E83:$E$153)-SUM('Offshore CF'!J83:$J$153)&lt;&gt;0,E72*(((R71+R72)/2)+SUM($T$13:T71)),0))</f>
        <v>#N/A</v>
      </c>
      <c r="U72" s="322" t="e">
        <f t="shared" ca="1" si="6"/>
        <v>#N/A</v>
      </c>
      <c r="V72" s="319" t="e">
        <f t="shared" ca="1" si="7"/>
        <v>#N/A</v>
      </c>
      <c r="W72" s="285"/>
      <c r="X72" s="326"/>
    </row>
    <row r="73" spans="2:24">
      <c r="B73" s="327">
        <f>'Offshore CF'!B84</f>
        <v>57</v>
      </c>
      <c r="C73" s="310">
        <f>'Offshore CF'!C84</f>
        <v>45294.335200000089</v>
      </c>
      <c r="D73" s="311" t="e">
        <f t="shared" ca="1" si="4"/>
        <v>#N/A</v>
      </c>
      <c r="E73" s="312">
        <f t="shared" ca="1" si="5"/>
        <v>0</v>
      </c>
      <c r="F73" s="313">
        <f ca="1">IF(ISERROR('Offshore CF'!E84),0,'Offshore CF'!E84)</f>
        <v>0</v>
      </c>
      <c r="G73" s="319">
        <f ca="1">SUM($F$13:F73)</f>
        <v>0</v>
      </c>
      <c r="H73" s="322" t="e">
        <f ca="1">IF(OR(SUM('Offshore CF'!E85:$E$153)&lt;&gt;0,SUM('Offshore CF'!J85:$J$153)&lt;&gt;0),E73*(((G72+G73)/2)+I72),IF(SUM('Offshore CF'!E84:$E$153)-SUM('Offshore CF'!J84:$J$153)&lt;&gt;0,E73*(((G72+G73)/2)+I72),0))</f>
        <v>#N/A</v>
      </c>
      <c r="I73" s="322" t="e">
        <f ca="1">IF(OR(SUM('Offshore CF'!E85:$E$153)&lt;&gt;0,SUM('Offshore CF'!J85:$J$153)&lt;&gt;0),SUM($H$13:H73),IF(SUM('Offshore CF'!E$153:$E271)-SUM('Offshore CF'!J84:$J$153)&lt;&gt;0,SUM($H$13:H73),0))</f>
        <v>#N/A</v>
      </c>
      <c r="J73" s="322" t="e">
        <f ca="1">IF(OR(SUM('Offshore CF'!E85:$E$153)&lt;&gt;0,SUM('Offshore CF'!J85:$J$153)&lt;&gt;0),I73+G73,IF(SUM('Offshore CF'!E84:$E$153)-SUM('Offshore CF'!J84:$J$153)&lt;&gt;0,I73+G73,0))</f>
        <v>#N/A</v>
      </c>
      <c r="K73" s="323"/>
      <c r="L73" s="324">
        <f ca="1">IF(ISERROR('Offshore CF'!J84),0,'Offshore CF'!J84)</f>
        <v>0</v>
      </c>
      <c r="M73" s="325">
        <f ca="1">SUM($L$13:L73)</f>
        <v>1E-3</v>
      </c>
      <c r="N73" s="322" t="e">
        <f ca="1">IF(OR(SUM('Offshore CF'!E85:$E$153)&lt;&gt;0,SUM('Offshore CF'!J85:$J$153)&lt;&gt;0),E73*(((M72+M73)/2)+O72),IF(SUM('Offshore CF'!E84:$E$153)-SUM('Offshore CF'!J84:$J$153)&lt;&gt;0,E73*(((M72+M73)/2)+O72),0))</f>
        <v>#N/A</v>
      </c>
      <c r="O73" s="322" t="e">
        <f ca="1">IF(OR(SUM('Offshore CF'!E85:$E$153)&lt;&gt;0,SUM('Offshore CF'!J85:$J$153)&lt;&gt;0),SUM($N$13:N73),IF(SUM('Offshore CF'!E84:$E$153)-SUM('Offshore CF'!J84:$J$153)&lt;&gt;0,SUM($N$13:N73),0))</f>
        <v>#N/A</v>
      </c>
      <c r="P73" s="322" t="e">
        <f ca="1">IF(OR(SUM('Offshore CF'!E85:$E$153)&lt;&gt;0,SUM('Offshore CF'!J85:$J$153)&lt;&gt;0),O73+M73,IF(SUM('Offshore CF'!E84:$E$153)-SUM('Offshore CF'!J84:$J$153)&lt;&gt;0,O73+M73,0))</f>
        <v>#N/A</v>
      </c>
      <c r="R73" s="322" t="e">
        <f ca="1">IF(OR(SUM('Offshore CF'!E85:$E$153)&lt;&gt;0,SUM('Offshore CF'!J85:$J$153)&lt;&gt;0),G73-M73,IF(SUM('Offshore CF'!E84:$E$153)-SUM('Offshore CF'!J84:$J$153)&lt;&gt;0,G73-M73,0))</f>
        <v>#N/A</v>
      </c>
      <c r="S73" s="285"/>
      <c r="T73" s="322" t="e">
        <f ca="1">IF(OR(SUM('Offshore CF'!E85:$E$153)&lt;&gt;0,SUM('Offshore CF'!J85:$J$153)&lt;&gt;0),E73*(((R72+R73)/2)+SUM($T$13:T72)),IF(SUM('Offshore CF'!E84:$E$153)-SUM('Offshore CF'!J84:$J$153)&lt;&gt;0,E73*(((R72+R73)/2)+SUM($T$13:T72)),0))</f>
        <v>#N/A</v>
      </c>
      <c r="U73" s="322" t="e">
        <f t="shared" ca="1" si="6"/>
        <v>#N/A</v>
      </c>
      <c r="V73" s="319" t="e">
        <f t="shared" ca="1" si="7"/>
        <v>#N/A</v>
      </c>
      <c r="W73" s="285"/>
      <c r="X73" s="326"/>
    </row>
    <row r="74" spans="2:24">
      <c r="B74" s="327">
        <f>'Offshore CF'!B85</f>
        <v>58</v>
      </c>
      <c r="C74" s="310">
        <f>'Offshore CF'!C85</f>
        <v>45324.75190000009</v>
      </c>
      <c r="D74" s="311" t="e">
        <f t="shared" ca="1" si="4"/>
        <v>#N/A</v>
      </c>
      <c r="E74" s="312">
        <f t="shared" ca="1" si="5"/>
        <v>0</v>
      </c>
      <c r="F74" s="313">
        <f ca="1">IF(ISERROR('Offshore CF'!E85),0,'Offshore CF'!E85)</f>
        <v>0</v>
      </c>
      <c r="G74" s="319">
        <f ca="1">SUM($F$13:F74)</f>
        <v>0</v>
      </c>
      <c r="H74" s="322" t="e">
        <f ca="1">IF(OR(SUM('Offshore CF'!E86:$E$153)&lt;&gt;0,SUM('Offshore CF'!J86:$J$153)&lt;&gt;0),E74*(((G73+G74)/2)+I73),IF(SUM('Offshore CF'!E85:$E$153)-SUM('Offshore CF'!J85:$J$153)&lt;&gt;0,E74*(((G73+G74)/2)+I73),0))</f>
        <v>#N/A</v>
      </c>
      <c r="I74" s="322" t="e">
        <f ca="1">IF(OR(SUM('Offshore CF'!E86:$E$153)&lt;&gt;0,SUM('Offshore CF'!J86:$J$153)&lt;&gt;0),SUM($H$13:H74),IF(SUM('Offshore CF'!E$153:$E272)-SUM('Offshore CF'!J85:$J$153)&lt;&gt;0,SUM($H$13:H74),0))</f>
        <v>#N/A</v>
      </c>
      <c r="J74" s="322" t="e">
        <f ca="1">IF(OR(SUM('Offshore CF'!E86:$E$153)&lt;&gt;0,SUM('Offshore CF'!J86:$J$153)&lt;&gt;0),I74+G74,IF(SUM('Offshore CF'!E85:$E$153)-SUM('Offshore CF'!J85:$J$153)&lt;&gt;0,I74+G74,0))</f>
        <v>#N/A</v>
      </c>
      <c r="K74" s="323"/>
      <c r="L74" s="324">
        <f ca="1">IF(ISERROR('Offshore CF'!J85),0,'Offshore CF'!J85)</f>
        <v>0</v>
      </c>
      <c r="M74" s="325">
        <f ca="1">SUM($L$13:L74)</f>
        <v>1E-3</v>
      </c>
      <c r="N74" s="322" t="e">
        <f ca="1">IF(OR(SUM('Offshore CF'!E86:$E$153)&lt;&gt;0,SUM('Offshore CF'!J86:$J$153)&lt;&gt;0),E74*(((M73+M74)/2)+O73),IF(SUM('Offshore CF'!E85:$E$153)-SUM('Offshore CF'!J85:$J$153)&lt;&gt;0,E74*(((M73+M74)/2)+O73),0))</f>
        <v>#N/A</v>
      </c>
      <c r="O74" s="322" t="e">
        <f ca="1">IF(OR(SUM('Offshore CF'!E86:$E$153)&lt;&gt;0,SUM('Offshore CF'!J86:$J$153)&lt;&gt;0),SUM($N$13:N74),IF(SUM('Offshore CF'!E85:$E$153)-SUM('Offshore CF'!J85:$J$153)&lt;&gt;0,SUM($N$13:N74),0))</f>
        <v>#N/A</v>
      </c>
      <c r="P74" s="322" t="e">
        <f ca="1">IF(OR(SUM('Offshore CF'!E86:$E$153)&lt;&gt;0,SUM('Offshore CF'!J86:$J$153)&lt;&gt;0),O74+M74,IF(SUM('Offshore CF'!E85:$E$153)-SUM('Offshore CF'!J85:$J$153)&lt;&gt;0,O74+M74,0))</f>
        <v>#N/A</v>
      </c>
      <c r="R74" s="322" t="e">
        <f ca="1">IF(OR(SUM('Offshore CF'!E86:$E$153)&lt;&gt;0,SUM('Offshore CF'!J86:$J$153)&lt;&gt;0),G74-M74,IF(SUM('Offshore CF'!E85:$E$153)-SUM('Offshore CF'!J85:$J$153)&lt;&gt;0,G74-M74,0))</f>
        <v>#N/A</v>
      </c>
      <c r="S74" s="285"/>
      <c r="T74" s="322" t="e">
        <f ca="1">IF(OR(SUM('Offshore CF'!E86:$E$153)&lt;&gt;0,SUM('Offshore CF'!J86:$J$153)&lt;&gt;0),E74*(((R73+R74)/2)+SUM($T$13:T73)),IF(SUM('Offshore CF'!E85:$E$153)-SUM('Offshore CF'!J85:$J$153)&lt;&gt;0,E74*(((R73+R74)/2)+SUM($T$13:T73)),0))</f>
        <v>#N/A</v>
      </c>
      <c r="U74" s="322" t="e">
        <f t="shared" ca="1" si="6"/>
        <v>#N/A</v>
      </c>
      <c r="V74" s="319" t="e">
        <f t="shared" ca="1" si="7"/>
        <v>#N/A</v>
      </c>
      <c r="W74" s="285"/>
      <c r="X74" s="326"/>
    </row>
    <row r="75" spans="2:24">
      <c r="B75" s="327">
        <f>'Offshore CF'!B86</f>
        <v>59</v>
      </c>
      <c r="C75" s="310">
        <f>'Offshore CF'!C86</f>
        <v>45355.168600000092</v>
      </c>
      <c r="D75" s="311" t="e">
        <f t="shared" ca="1" si="4"/>
        <v>#N/A</v>
      </c>
      <c r="E75" s="312">
        <f t="shared" ca="1" si="5"/>
        <v>0</v>
      </c>
      <c r="F75" s="313">
        <f ca="1">IF(ISERROR('Offshore CF'!E86),0,'Offshore CF'!E86)</f>
        <v>0</v>
      </c>
      <c r="G75" s="319">
        <f ca="1">SUM($F$13:F75)</f>
        <v>0</v>
      </c>
      <c r="H75" s="322" t="e">
        <f ca="1">IF(OR(SUM('Offshore CF'!E87:$E$153)&lt;&gt;0,SUM('Offshore CF'!J87:$J$153)&lt;&gt;0),E75*(((G74+G75)/2)+I74),IF(SUM('Offshore CF'!E86:$E$153)-SUM('Offshore CF'!J86:$J$153)&lt;&gt;0,E75*(((G74+G75)/2)+I74),0))</f>
        <v>#N/A</v>
      </c>
      <c r="I75" s="322" t="e">
        <f ca="1">IF(OR(SUM('Offshore CF'!E87:$E$153)&lt;&gt;0,SUM('Offshore CF'!J87:$J$153)&lt;&gt;0),SUM($H$13:H75),IF(SUM('Offshore CF'!E$153:$E273)-SUM('Offshore CF'!J86:$J$153)&lt;&gt;0,SUM($H$13:H75),0))</f>
        <v>#N/A</v>
      </c>
      <c r="J75" s="322" t="e">
        <f ca="1">IF(OR(SUM('Offshore CF'!E87:$E$153)&lt;&gt;0,SUM('Offshore CF'!J87:$J$153)&lt;&gt;0),I75+G75,IF(SUM('Offshore CF'!E86:$E$153)-SUM('Offshore CF'!J86:$J$153)&lt;&gt;0,I75+G75,0))</f>
        <v>#N/A</v>
      </c>
      <c r="K75" s="323"/>
      <c r="L75" s="324">
        <f ca="1">IF(ISERROR('Offshore CF'!J86),0,'Offshore CF'!J86)</f>
        <v>0</v>
      </c>
      <c r="M75" s="325">
        <f ca="1">SUM($L$13:L75)</f>
        <v>1E-3</v>
      </c>
      <c r="N75" s="322" t="e">
        <f ca="1">IF(OR(SUM('Offshore CF'!E87:$E$153)&lt;&gt;0,SUM('Offshore CF'!J87:$J$153)&lt;&gt;0),E75*(((M74+M75)/2)+O74),IF(SUM('Offshore CF'!E86:$E$153)-SUM('Offshore CF'!J86:$J$153)&lt;&gt;0,E75*(((M74+M75)/2)+O74),0))</f>
        <v>#N/A</v>
      </c>
      <c r="O75" s="322" t="e">
        <f ca="1">IF(OR(SUM('Offshore CF'!E87:$E$153)&lt;&gt;0,SUM('Offshore CF'!J87:$J$153)&lt;&gt;0),SUM($N$13:N75),IF(SUM('Offshore CF'!E86:$E$153)-SUM('Offshore CF'!J86:$J$153)&lt;&gt;0,SUM($N$13:N75),0))</f>
        <v>#N/A</v>
      </c>
      <c r="P75" s="322" t="e">
        <f ca="1">IF(OR(SUM('Offshore CF'!E87:$E$153)&lt;&gt;0,SUM('Offshore CF'!J87:$J$153)&lt;&gt;0),O75+M75,IF(SUM('Offshore CF'!E86:$E$153)-SUM('Offshore CF'!J86:$J$153)&lt;&gt;0,O75+M75,0))</f>
        <v>#N/A</v>
      </c>
      <c r="R75" s="322" t="e">
        <f ca="1">IF(OR(SUM('Offshore CF'!E87:$E$153)&lt;&gt;0,SUM('Offshore CF'!J87:$J$153)&lt;&gt;0),G75-M75,IF(SUM('Offshore CF'!E86:$E$153)-SUM('Offshore CF'!J86:$J$153)&lt;&gt;0,G75-M75,0))</f>
        <v>#N/A</v>
      </c>
      <c r="S75" s="285"/>
      <c r="T75" s="322" t="e">
        <f ca="1">IF(OR(SUM('Offshore CF'!E87:$E$153)&lt;&gt;0,SUM('Offshore CF'!J87:$J$153)&lt;&gt;0),E75*(((R74+R75)/2)+SUM($T$13:T74)),IF(SUM('Offshore CF'!E86:$E$153)-SUM('Offshore CF'!J86:$J$153)&lt;&gt;0,E75*(((R74+R75)/2)+SUM($T$13:T74)),0))</f>
        <v>#N/A</v>
      </c>
      <c r="U75" s="322" t="e">
        <f t="shared" ca="1" si="6"/>
        <v>#N/A</v>
      </c>
      <c r="V75" s="319" t="e">
        <f t="shared" ca="1" si="7"/>
        <v>#N/A</v>
      </c>
      <c r="W75" s="285"/>
      <c r="X75" s="326"/>
    </row>
    <row r="76" spans="2:24">
      <c r="B76" s="327">
        <f>'Offshore CF'!B87</f>
        <v>60</v>
      </c>
      <c r="C76" s="310">
        <f>'Offshore CF'!C87</f>
        <v>45385.585300000093</v>
      </c>
      <c r="D76" s="311" t="e">
        <f t="shared" ca="1" si="4"/>
        <v>#N/A</v>
      </c>
      <c r="E76" s="312">
        <f t="shared" ca="1" si="5"/>
        <v>0</v>
      </c>
      <c r="F76" s="313">
        <f ca="1">IF(ISERROR('Offshore CF'!E87),0,'Offshore CF'!E87)</f>
        <v>0</v>
      </c>
      <c r="G76" s="319">
        <f ca="1">SUM($F$13:F76)</f>
        <v>0</v>
      </c>
      <c r="H76" s="322" t="e">
        <f ca="1">IF(OR(SUM('Offshore CF'!E88:$E$153)&lt;&gt;0,SUM('Offshore CF'!J88:$J$153)&lt;&gt;0),E76*(((G75+G76)/2)+I75),IF(SUM('Offshore CF'!E87:$E$153)-SUM('Offshore CF'!J87:$J$153)&lt;&gt;0,E76*(((G75+G76)/2)+I75),0))</f>
        <v>#N/A</v>
      </c>
      <c r="I76" s="322" t="e">
        <f ca="1">IF(OR(SUM('Offshore CF'!E88:$E$153)&lt;&gt;0,SUM('Offshore CF'!J88:$J$153)&lt;&gt;0),SUM($H$13:H76),IF(SUM('Offshore CF'!E$153:$E274)-SUM('Offshore CF'!J87:$J$153)&lt;&gt;0,SUM($H$13:H76),0))</f>
        <v>#N/A</v>
      </c>
      <c r="J76" s="322" t="e">
        <f ca="1">IF(OR(SUM('Offshore CF'!E88:$E$153)&lt;&gt;0,SUM('Offshore CF'!J88:$J$153)&lt;&gt;0),I76+G76,IF(SUM('Offshore CF'!E87:$E$153)-SUM('Offshore CF'!J87:$J$153)&lt;&gt;0,I76+G76,0))</f>
        <v>#N/A</v>
      </c>
      <c r="K76" s="323"/>
      <c r="L76" s="324">
        <f ca="1">IF(ISERROR('Offshore CF'!J87),0,'Offshore CF'!J87)</f>
        <v>0</v>
      </c>
      <c r="M76" s="325">
        <f ca="1">SUM($L$13:L76)</f>
        <v>1E-3</v>
      </c>
      <c r="N76" s="322" t="e">
        <f ca="1">IF(OR(SUM('Offshore CF'!E88:$E$153)&lt;&gt;0,SUM('Offshore CF'!J88:$J$153)&lt;&gt;0),E76*(((M75+M76)/2)+O75),IF(SUM('Offshore CF'!E87:$E$153)-SUM('Offshore CF'!J87:$J$153)&lt;&gt;0,E76*(((M75+M76)/2)+O75),0))</f>
        <v>#N/A</v>
      </c>
      <c r="O76" s="322" t="e">
        <f ca="1">IF(OR(SUM('Offshore CF'!E88:$E$153)&lt;&gt;0,SUM('Offshore CF'!J88:$J$153)&lt;&gt;0),SUM($N$13:N76),IF(SUM('Offshore CF'!E87:$E$153)-SUM('Offshore CF'!J87:$J$153)&lt;&gt;0,SUM($N$13:N76),0))</f>
        <v>#N/A</v>
      </c>
      <c r="P76" s="322" t="e">
        <f ca="1">IF(OR(SUM('Offshore CF'!E88:$E$153)&lt;&gt;0,SUM('Offshore CF'!J88:$J$153)&lt;&gt;0),O76+M76,IF(SUM('Offshore CF'!E87:$E$153)-SUM('Offshore CF'!J87:$J$153)&lt;&gt;0,O76+M76,0))</f>
        <v>#N/A</v>
      </c>
      <c r="R76" s="322" t="e">
        <f ca="1">IF(OR(SUM('Offshore CF'!E88:$E$153)&lt;&gt;0,SUM('Offshore CF'!J88:$J$153)&lt;&gt;0),G76-M76,IF(SUM('Offshore CF'!E87:$E$153)-SUM('Offshore CF'!J87:$J$153)&lt;&gt;0,G76-M76,0))</f>
        <v>#N/A</v>
      </c>
      <c r="S76" s="285"/>
      <c r="T76" s="322" t="e">
        <f ca="1">IF(OR(SUM('Offshore CF'!E88:$E$153)&lt;&gt;0,SUM('Offshore CF'!J88:$J$153)&lt;&gt;0),E76*(((R75+R76)/2)+SUM($T$13:T75)),IF(SUM('Offshore CF'!E87:$E$153)-SUM('Offshore CF'!J87:$J$153)&lt;&gt;0,E76*(((R75+R76)/2)+SUM($T$13:T75)),0))</f>
        <v>#N/A</v>
      </c>
      <c r="U76" s="322" t="e">
        <f t="shared" ca="1" si="6"/>
        <v>#N/A</v>
      </c>
      <c r="V76" s="319" t="e">
        <f t="shared" ca="1" si="7"/>
        <v>#N/A</v>
      </c>
      <c r="W76" s="285"/>
      <c r="X76" s="326"/>
    </row>
    <row r="77" spans="2:24">
      <c r="B77" s="327">
        <f>'Offshore CF'!B88</f>
        <v>61</v>
      </c>
      <c r="C77" s="310">
        <f>'Offshore CF'!C88</f>
        <v>45416.002000000095</v>
      </c>
      <c r="D77" s="311" t="e">
        <f t="shared" ref="D77:D108" ca="1" si="8">IF(R77&lt;0,E$10/100,D$10/100)</f>
        <v>#N/A</v>
      </c>
      <c r="E77" s="312">
        <f t="shared" ref="E77:E108" ca="1" si="9">IF(ISNUMBER(D77),((1+D77)^(1/12))-1,0)</f>
        <v>0</v>
      </c>
      <c r="F77" s="313">
        <f ca="1">IF(ISERROR('Offshore CF'!E88),0,'Offshore CF'!E88)</f>
        <v>0</v>
      </c>
      <c r="G77" s="319">
        <f ca="1">SUM($F$13:F77)</f>
        <v>0</v>
      </c>
      <c r="H77" s="322" t="e">
        <f ca="1">IF(OR(SUM('Offshore CF'!E89:$E$153)&lt;&gt;0,SUM('Offshore CF'!J89:$J$153)&lt;&gt;0),E77*(((G76+G77)/2)+I76),IF(SUM('Offshore CF'!E88:$E$153)-SUM('Offshore CF'!J88:$J$153)&lt;&gt;0,E77*(((G76+G77)/2)+I76),0))</f>
        <v>#N/A</v>
      </c>
      <c r="I77" s="322" t="e">
        <f ca="1">IF(OR(SUM('Offshore CF'!E89:$E$153)&lt;&gt;0,SUM('Offshore CF'!J89:$J$153)&lt;&gt;0),SUM($H$13:H77),IF(SUM('Offshore CF'!E$153:$E275)-SUM('Offshore CF'!J88:$J$153)&lt;&gt;0,SUM($H$13:H77),0))</f>
        <v>#N/A</v>
      </c>
      <c r="J77" s="322" t="e">
        <f ca="1">IF(OR(SUM('Offshore CF'!E89:$E$153)&lt;&gt;0,SUM('Offshore CF'!J89:$J$153)&lt;&gt;0),I77+G77,IF(SUM('Offshore CF'!E88:$E$153)-SUM('Offshore CF'!J88:$J$153)&lt;&gt;0,I77+G77,0))</f>
        <v>#N/A</v>
      </c>
      <c r="K77" s="323"/>
      <c r="L77" s="324">
        <f ca="1">IF(ISERROR('Offshore CF'!J88),0,'Offshore CF'!J88)</f>
        <v>0</v>
      </c>
      <c r="M77" s="325">
        <f ca="1">SUM($L$13:L77)</f>
        <v>1E-3</v>
      </c>
      <c r="N77" s="322" t="e">
        <f ca="1">IF(OR(SUM('Offshore CF'!E89:$E$153)&lt;&gt;0,SUM('Offshore CF'!J89:$J$153)&lt;&gt;0),E77*(((M76+M77)/2)+O76),IF(SUM('Offshore CF'!E88:$E$153)-SUM('Offshore CF'!J88:$J$153)&lt;&gt;0,E77*(((M76+M77)/2)+O76),0))</f>
        <v>#N/A</v>
      </c>
      <c r="O77" s="322" t="e">
        <f ca="1">IF(OR(SUM('Offshore CF'!E89:$E$153)&lt;&gt;0,SUM('Offshore CF'!J89:$J$153)&lt;&gt;0),SUM($N$13:N77),IF(SUM('Offshore CF'!E88:$E$153)-SUM('Offshore CF'!J88:$J$153)&lt;&gt;0,SUM($N$13:N77),0))</f>
        <v>#N/A</v>
      </c>
      <c r="P77" s="322" t="e">
        <f ca="1">IF(OR(SUM('Offshore CF'!E89:$E$153)&lt;&gt;0,SUM('Offshore CF'!J89:$J$153)&lt;&gt;0),O77+M77,IF(SUM('Offshore CF'!E88:$E$153)-SUM('Offshore CF'!J88:$J$153)&lt;&gt;0,O77+M77,0))</f>
        <v>#N/A</v>
      </c>
      <c r="R77" s="322" t="e">
        <f ca="1">IF(OR(SUM('Offshore CF'!E89:$E$153)&lt;&gt;0,SUM('Offshore CF'!J89:$J$153)&lt;&gt;0),G77-M77,IF(SUM('Offshore CF'!E88:$E$153)-SUM('Offshore CF'!J88:$J$153)&lt;&gt;0,G77-M77,0))</f>
        <v>#N/A</v>
      </c>
      <c r="S77" s="285"/>
      <c r="T77" s="322" t="e">
        <f ca="1">IF(OR(SUM('Offshore CF'!E89:$E$153)&lt;&gt;0,SUM('Offshore CF'!J89:$J$153)&lt;&gt;0),E77*(((R76+R77)/2)+SUM($T$13:T76)),IF(SUM('Offshore CF'!E88:$E$153)-SUM('Offshore CF'!J88:$J$153)&lt;&gt;0,E77*(((R76+R77)/2)+SUM($T$13:T76)),0))</f>
        <v>#N/A</v>
      </c>
      <c r="U77" s="322" t="e">
        <f t="shared" ref="U77:U108" ca="1" si="10">IF(T77&gt;0,T77,0)</f>
        <v>#N/A</v>
      </c>
      <c r="V77" s="319" t="e">
        <f t="shared" ref="V77:V108" ca="1" si="11">IF(T77&lt;0,-T77,0)</f>
        <v>#N/A</v>
      </c>
      <c r="W77" s="285"/>
      <c r="X77" s="326"/>
    </row>
    <row r="78" spans="2:24">
      <c r="B78" s="327">
        <f>'Offshore CF'!B89</f>
        <v>62</v>
      </c>
      <c r="C78" s="310">
        <f>'Offshore CF'!C89</f>
        <v>45446.418700000097</v>
      </c>
      <c r="D78" s="311" t="e">
        <f t="shared" ca="1" si="8"/>
        <v>#N/A</v>
      </c>
      <c r="E78" s="312">
        <f t="shared" ca="1" si="9"/>
        <v>0</v>
      </c>
      <c r="F78" s="313">
        <f ca="1">IF(ISERROR('Offshore CF'!E89),0,'Offshore CF'!E89)</f>
        <v>0</v>
      </c>
      <c r="G78" s="319">
        <f ca="1">SUM($F$13:F78)</f>
        <v>0</v>
      </c>
      <c r="H78" s="322" t="e">
        <f ca="1">IF(OR(SUM('Offshore CF'!E90:$E$153)&lt;&gt;0,SUM('Offshore CF'!J90:$J$153)&lt;&gt;0),E78*(((G77+G78)/2)+I77),IF(SUM('Offshore CF'!E89:$E$153)-SUM('Offshore CF'!J89:$J$153)&lt;&gt;0,E78*(((G77+G78)/2)+I77),0))</f>
        <v>#N/A</v>
      </c>
      <c r="I78" s="322" t="e">
        <f ca="1">IF(OR(SUM('Offshore CF'!E90:$E$153)&lt;&gt;0,SUM('Offshore CF'!J90:$J$153)&lt;&gt;0),SUM($H$13:H78),IF(SUM('Offshore CF'!E$153:$E276)-SUM('Offshore CF'!J89:$J$153)&lt;&gt;0,SUM($H$13:H78),0))</f>
        <v>#N/A</v>
      </c>
      <c r="J78" s="322" t="e">
        <f ca="1">IF(OR(SUM('Offshore CF'!E90:$E$153)&lt;&gt;0,SUM('Offshore CF'!J90:$J$153)&lt;&gt;0),I78+G78,IF(SUM('Offshore CF'!E89:$E$153)-SUM('Offshore CF'!J89:$J$153)&lt;&gt;0,I78+G78,0))</f>
        <v>#N/A</v>
      </c>
      <c r="K78" s="323"/>
      <c r="L78" s="324">
        <f ca="1">IF(ISERROR('Offshore CF'!J89),0,'Offshore CF'!J89)</f>
        <v>0</v>
      </c>
      <c r="M78" s="325">
        <f ca="1">SUM($L$13:L78)</f>
        <v>1E-3</v>
      </c>
      <c r="N78" s="322" t="e">
        <f ca="1">IF(OR(SUM('Offshore CF'!E90:$E$153)&lt;&gt;0,SUM('Offshore CF'!J90:$J$153)&lt;&gt;0),E78*(((M77+M78)/2)+O77),IF(SUM('Offshore CF'!E89:$E$153)-SUM('Offshore CF'!J89:$J$153)&lt;&gt;0,E78*(((M77+M78)/2)+O77),0))</f>
        <v>#N/A</v>
      </c>
      <c r="O78" s="322" t="e">
        <f ca="1">IF(OR(SUM('Offshore CF'!E90:$E$153)&lt;&gt;0,SUM('Offshore CF'!J90:$J$153)&lt;&gt;0),SUM($N$13:N78),IF(SUM('Offshore CF'!E89:$E$153)-SUM('Offshore CF'!J89:$J$153)&lt;&gt;0,SUM($N$13:N78),0))</f>
        <v>#N/A</v>
      </c>
      <c r="P78" s="322" t="e">
        <f ca="1">IF(OR(SUM('Offshore CF'!E90:$E$153)&lt;&gt;0,SUM('Offshore CF'!J90:$J$153)&lt;&gt;0),O78+M78,IF(SUM('Offshore CF'!E89:$E$153)-SUM('Offshore CF'!J89:$J$153)&lt;&gt;0,O78+M78,0))</f>
        <v>#N/A</v>
      </c>
      <c r="R78" s="322" t="e">
        <f ca="1">IF(OR(SUM('Offshore CF'!E90:$E$153)&lt;&gt;0,SUM('Offshore CF'!J90:$J$153)&lt;&gt;0),G78-M78,IF(SUM('Offshore CF'!E89:$E$153)-SUM('Offshore CF'!J89:$J$153)&lt;&gt;0,G78-M78,0))</f>
        <v>#N/A</v>
      </c>
      <c r="S78" s="285"/>
      <c r="T78" s="322" t="e">
        <f ca="1">IF(OR(SUM('Offshore CF'!E90:$E$153)&lt;&gt;0,SUM('Offshore CF'!J90:$J$153)&lt;&gt;0),E78*(((R77+R78)/2)+SUM($T$13:T77)),IF(SUM('Offshore CF'!E89:$E$153)-SUM('Offshore CF'!J89:$J$153)&lt;&gt;0,E78*(((R77+R78)/2)+SUM($T$13:T77)),0))</f>
        <v>#N/A</v>
      </c>
      <c r="U78" s="322" t="e">
        <f t="shared" ca="1" si="10"/>
        <v>#N/A</v>
      </c>
      <c r="V78" s="319" t="e">
        <f t="shared" ca="1" si="11"/>
        <v>#N/A</v>
      </c>
      <c r="W78" s="285"/>
      <c r="X78" s="326"/>
    </row>
    <row r="79" spans="2:24">
      <c r="B79" s="327">
        <f>'Offshore CF'!B90</f>
        <v>63</v>
      </c>
      <c r="C79" s="310">
        <f>'Offshore CF'!C90</f>
        <v>45476.835400000098</v>
      </c>
      <c r="D79" s="311" t="e">
        <f t="shared" ca="1" si="8"/>
        <v>#N/A</v>
      </c>
      <c r="E79" s="312">
        <f t="shared" ca="1" si="9"/>
        <v>0</v>
      </c>
      <c r="F79" s="313">
        <f ca="1">IF(ISERROR('Offshore CF'!E90),0,'Offshore CF'!E90)</f>
        <v>0</v>
      </c>
      <c r="G79" s="319">
        <f ca="1">SUM($F$13:F79)</f>
        <v>0</v>
      </c>
      <c r="H79" s="322" t="e">
        <f ca="1">IF(OR(SUM('Offshore CF'!E91:$E$153)&lt;&gt;0,SUM('Offshore CF'!J91:$J$153)&lt;&gt;0),E79*(((G78+G79)/2)+I78),IF(SUM('Offshore CF'!E90:$E$153)-SUM('Offshore CF'!J90:$J$153)&lt;&gt;0,E79*(((G78+G79)/2)+I78),0))</f>
        <v>#N/A</v>
      </c>
      <c r="I79" s="322" t="e">
        <f ca="1">IF(OR(SUM('Offshore CF'!E91:$E$153)&lt;&gt;0,SUM('Offshore CF'!J91:$J$153)&lt;&gt;0),SUM($H$13:H79),IF(SUM('Offshore CF'!E$153:$E277)-SUM('Offshore CF'!J90:$J$153)&lt;&gt;0,SUM($H$13:H79),0))</f>
        <v>#N/A</v>
      </c>
      <c r="J79" s="322" t="e">
        <f ca="1">IF(OR(SUM('Offshore CF'!E91:$E$153)&lt;&gt;0,SUM('Offshore CF'!J91:$J$153)&lt;&gt;0),I79+G79,IF(SUM('Offshore CF'!E90:$E$153)-SUM('Offshore CF'!J90:$J$153)&lt;&gt;0,I79+G79,0))</f>
        <v>#N/A</v>
      </c>
      <c r="K79" s="323"/>
      <c r="L79" s="324">
        <f ca="1">IF(ISERROR('Offshore CF'!J90),0,'Offshore CF'!J90)</f>
        <v>0</v>
      </c>
      <c r="M79" s="325">
        <f ca="1">SUM($L$13:L79)</f>
        <v>1E-3</v>
      </c>
      <c r="N79" s="322" t="e">
        <f ca="1">IF(OR(SUM('Offshore CF'!E91:$E$153)&lt;&gt;0,SUM('Offshore CF'!J91:$J$153)&lt;&gt;0),E79*(((M78+M79)/2)+O78),IF(SUM('Offshore CF'!E90:$E$153)-SUM('Offshore CF'!J90:$J$153)&lt;&gt;0,E79*(((M78+M79)/2)+O78),0))</f>
        <v>#N/A</v>
      </c>
      <c r="O79" s="322" t="e">
        <f ca="1">IF(OR(SUM('Offshore CF'!E91:$E$153)&lt;&gt;0,SUM('Offshore CF'!J91:$J$153)&lt;&gt;0),SUM($N$13:N79),IF(SUM('Offshore CF'!E90:$E$153)-SUM('Offshore CF'!J90:$J$153)&lt;&gt;0,SUM($N$13:N79),0))</f>
        <v>#N/A</v>
      </c>
      <c r="P79" s="322" t="e">
        <f ca="1">IF(OR(SUM('Offshore CF'!E91:$E$153)&lt;&gt;0,SUM('Offshore CF'!J91:$J$153)&lt;&gt;0),O79+M79,IF(SUM('Offshore CF'!E90:$E$153)-SUM('Offshore CF'!J90:$J$153)&lt;&gt;0,O79+M79,0))</f>
        <v>#N/A</v>
      </c>
      <c r="R79" s="322" t="e">
        <f ca="1">IF(OR(SUM('Offshore CF'!E91:$E$153)&lt;&gt;0,SUM('Offshore CF'!J91:$J$153)&lt;&gt;0),G79-M79,IF(SUM('Offshore CF'!E90:$E$153)-SUM('Offshore CF'!J90:$J$153)&lt;&gt;0,G79-M79,0))</f>
        <v>#N/A</v>
      </c>
      <c r="S79" s="285"/>
      <c r="T79" s="322" t="e">
        <f ca="1">IF(OR(SUM('Offshore CF'!E91:$E$153)&lt;&gt;0,SUM('Offshore CF'!J91:$J$153)&lt;&gt;0),E79*(((R78+R79)/2)+SUM($T$13:T78)),IF(SUM('Offshore CF'!E90:$E$153)-SUM('Offshore CF'!J90:$J$153)&lt;&gt;0,E79*(((R78+R79)/2)+SUM($T$13:T78)),0))</f>
        <v>#N/A</v>
      </c>
      <c r="U79" s="322" t="e">
        <f t="shared" ca="1" si="10"/>
        <v>#N/A</v>
      </c>
      <c r="V79" s="319" t="e">
        <f t="shared" ca="1" si="11"/>
        <v>#N/A</v>
      </c>
      <c r="W79" s="285"/>
      <c r="X79" s="326"/>
    </row>
    <row r="80" spans="2:24">
      <c r="B80" s="327">
        <f>'Offshore CF'!B91</f>
        <v>64</v>
      </c>
      <c r="C80" s="310">
        <f>'Offshore CF'!C91</f>
        <v>45507.2521000001</v>
      </c>
      <c r="D80" s="311" t="e">
        <f t="shared" ca="1" si="8"/>
        <v>#N/A</v>
      </c>
      <c r="E80" s="312">
        <f t="shared" ca="1" si="9"/>
        <v>0</v>
      </c>
      <c r="F80" s="313">
        <f ca="1">IF(ISERROR('Offshore CF'!E91),0,'Offshore CF'!E91)</f>
        <v>0</v>
      </c>
      <c r="G80" s="319">
        <f ca="1">SUM($F$13:F80)</f>
        <v>0</v>
      </c>
      <c r="H80" s="322" t="e">
        <f ca="1">IF(OR(SUM('Offshore CF'!E92:$E$153)&lt;&gt;0,SUM('Offshore CF'!J92:$J$153)&lt;&gt;0),E80*(((G79+G80)/2)+I79),IF(SUM('Offshore CF'!E91:$E$153)-SUM('Offshore CF'!J91:$J$153)&lt;&gt;0,E80*(((G79+G80)/2)+I79),0))</f>
        <v>#N/A</v>
      </c>
      <c r="I80" s="322" t="e">
        <f ca="1">IF(OR(SUM('Offshore CF'!E92:$E$153)&lt;&gt;0,SUM('Offshore CF'!J92:$J$153)&lt;&gt;0),SUM($H$13:H80),IF(SUM('Offshore CF'!E$153:$E278)-SUM('Offshore CF'!J91:$J$153)&lt;&gt;0,SUM($H$13:H80),0))</f>
        <v>#N/A</v>
      </c>
      <c r="J80" s="322" t="e">
        <f ca="1">IF(OR(SUM('Offshore CF'!E92:$E$153)&lt;&gt;0,SUM('Offshore CF'!J92:$J$153)&lt;&gt;0),I80+G80,IF(SUM('Offshore CF'!E91:$E$153)-SUM('Offshore CF'!J91:$J$153)&lt;&gt;0,I80+G80,0))</f>
        <v>#N/A</v>
      </c>
      <c r="K80" s="323"/>
      <c r="L80" s="324">
        <f ca="1">IF(ISERROR('Offshore CF'!J91),0,'Offshore CF'!J91)</f>
        <v>0</v>
      </c>
      <c r="M80" s="325">
        <f ca="1">SUM($L$13:L80)</f>
        <v>1E-3</v>
      </c>
      <c r="N80" s="322" t="e">
        <f ca="1">IF(OR(SUM('Offshore CF'!E92:$E$153)&lt;&gt;0,SUM('Offshore CF'!J92:$J$153)&lt;&gt;0),E80*(((M79+M80)/2)+O79),IF(SUM('Offshore CF'!E91:$E$153)-SUM('Offshore CF'!J91:$J$153)&lt;&gt;0,E80*(((M79+M80)/2)+O79),0))</f>
        <v>#N/A</v>
      </c>
      <c r="O80" s="322" t="e">
        <f ca="1">IF(OR(SUM('Offshore CF'!E92:$E$153)&lt;&gt;0,SUM('Offshore CF'!J92:$J$153)&lt;&gt;0),SUM($N$13:N80),IF(SUM('Offshore CF'!E91:$E$153)-SUM('Offshore CF'!J91:$J$153)&lt;&gt;0,SUM($N$13:N80),0))</f>
        <v>#N/A</v>
      </c>
      <c r="P80" s="322" t="e">
        <f ca="1">IF(OR(SUM('Offshore CF'!E92:$E$153)&lt;&gt;0,SUM('Offshore CF'!J92:$J$153)&lt;&gt;0),O80+M80,IF(SUM('Offshore CF'!E91:$E$153)-SUM('Offshore CF'!J91:$J$153)&lt;&gt;0,O80+M80,0))</f>
        <v>#N/A</v>
      </c>
      <c r="R80" s="322" t="e">
        <f ca="1">IF(OR(SUM('Offshore CF'!E92:$E$153)&lt;&gt;0,SUM('Offshore CF'!J92:$J$153)&lt;&gt;0),G80-M80,IF(SUM('Offshore CF'!E91:$E$153)-SUM('Offshore CF'!J91:$J$153)&lt;&gt;0,G80-M80,0))</f>
        <v>#N/A</v>
      </c>
      <c r="S80" s="285"/>
      <c r="T80" s="322" t="e">
        <f ca="1">IF(OR(SUM('Offshore CF'!E92:$E$153)&lt;&gt;0,SUM('Offshore CF'!J92:$J$153)&lt;&gt;0),E80*(((R79+R80)/2)+SUM($T$13:T79)),IF(SUM('Offshore CF'!E91:$E$153)-SUM('Offshore CF'!J91:$J$153)&lt;&gt;0,E80*(((R79+R80)/2)+SUM($T$13:T79)),0))</f>
        <v>#N/A</v>
      </c>
      <c r="U80" s="322" t="e">
        <f t="shared" ca="1" si="10"/>
        <v>#N/A</v>
      </c>
      <c r="V80" s="319" t="e">
        <f t="shared" ca="1" si="11"/>
        <v>#N/A</v>
      </c>
      <c r="W80" s="285"/>
      <c r="X80" s="326"/>
    </row>
    <row r="81" spans="2:24">
      <c r="B81" s="327">
        <f>'Offshore CF'!B92</f>
        <v>65</v>
      </c>
      <c r="C81" s="310">
        <f>'Offshore CF'!C92</f>
        <v>45537.668800000101</v>
      </c>
      <c r="D81" s="311" t="e">
        <f t="shared" ca="1" si="8"/>
        <v>#N/A</v>
      </c>
      <c r="E81" s="312">
        <f t="shared" ca="1" si="9"/>
        <v>0</v>
      </c>
      <c r="F81" s="313">
        <f ca="1">IF(ISERROR('Offshore CF'!E92),0,'Offshore CF'!E92)</f>
        <v>0</v>
      </c>
      <c r="G81" s="319">
        <f ca="1">SUM($F$13:F81)</f>
        <v>0</v>
      </c>
      <c r="H81" s="322" t="e">
        <f ca="1">IF(OR(SUM('Offshore CF'!E93:$E$153)&lt;&gt;0,SUM('Offshore CF'!J93:$J$153)&lt;&gt;0),E81*(((G80+G81)/2)+I80),IF(SUM('Offshore CF'!E92:$E$153)-SUM('Offshore CF'!J92:$J$153)&lt;&gt;0,E81*(((G80+G81)/2)+I80),0))</f>
        <v>#N/A</v>
      </c>
      <c r="I81" s="322" t="e">
        <f ca="1">IF(OR(SUM('Offshore CF'!E93:$E$153)&lt;&gt;0,SUM('Offshore CF'!J93:$J$153)&lt;&gt;0),SUM($H$13:H81),IF(SUM('Offshore CF'!E$153:$E279)-SUM('Offshore CF'!J92:$J$153)&lt;&gt;0,SUM($H$13:H81),0))</f>
        <v>#N/A</v>
      </c>
      <c r="J81" s="322" t="e">
        <f ca="1">IF(OR(SUM('Offshore CF'!E93:$E$153)&lt;&gt;0,SUM('Offshore CF'!J93:$J$153)&lt;&gt;0),I81+G81,IF(SUM('Offshore CF'!E92:$E$153)-SUM('Offshore CF'!J92:$J$153)&lt;&gt;0,I81+G81,0))</f>
        <v>#N/A</v>
      </c>
      <c r="K81" s="323"/>
      <c r="L81" s="324">
        <f ca="1">IF(ISERROR('Offshore CF'!J92),0,'Offshore CF'!J92)</f>
        <v>0</v>
      </c>
      <c r="M81" s="325">
        <f ca="1">SUM($L$13:L81)</f>
        <v>1E-3</v>
      </c>
      <c r="N81" s="322" t="e">
        <f ca="1">IF(OR(SUM('Offshore CF'!E93:$E$153)&lt;&gt;0,SUM('Offshore CF'!J93:$J$153)&lt;&gt;0),E81*(((M80+M81)/2)+O80),IF(SUM('Offshore CF'!E92:$E$153)-SUM('Offshore CF'!J92:$J$153)&lt;&gt;0,E81*(((M80+M81)/2)+O80),0))</f>
        <v>#N/A</v>
      </c>
      <c r="O81" s="322" t="e">
        <f ca="1">IF(OR(SUM('Offshore CF'!E93:$E$153)&lt;&gt;0,SUM('Offshore CF'!J93:$J$153)&lt;&gt;0),SUM($N$13:N81),IF(SUM('Offshore CF'!E92:$E$153)-SUM('Offshore CF'!J92:$J$153)&lt;&gt;0,SUM($N$13:N81),0))</f>
        <v>#N/A</v>
      </c>
      <c r="P81" s="322" t="e">
        <f ca="1">IF(OR(SUM('Offshore CF'!E93:$E$153)&lt;&gt;0,SUM('Offshore CF'!J93:$J$153)&lt;&gt;0),O81+M81,IF(SUM('Offshore CF'!E92:$E$153)-SUM('Offshore CF'!J92:$J$153)&lt;&gt;0,O81+M81,0))</f>
        <v>#N/A</v>
      </c>
      <c r="R81" s="322" t="e">
        <f ca="1">IF(OR(SUM('Offshore CF'!E93:$E$153)&lt;&gt;0,SUM('Offshore CF'!J93:$J$153)&lt;&gt;0),G81-M81,IF(SUM('Offshore CF'!E92:$E$153)-SUM('Offshore CF'!J92:$J$153)&lt;&gt;0,G81-M81,0))</f>
        <v>#N/A</v>
      </c>
      <c r="S81" s="285"/>
      <c r="T81" s="322" t="e">
        <f ca="1">IF(OR(SUM('Offshore CF'!E93:$E$153)&lt;&gt;0,SUM('Offshore CF'!J93:$J$153)&lt;&gt;0),E81*(((R80+R81)/2)+SUM($T$13:T80)),IF(SUM('Offshore CF'!E92:$E$153)-SUM('Offshore CF'!J92:$J$153)&lt;&gt;0,E81*(((R80+R81)/2)+SUM($T$13:T80)),0))</f>
        <v>#N/A</v>
      </c>
      <c r="U81" s="322" t="e">
        <f t="shared" ca="1" si="10"/>
        <v>#N/A</v>
      </c>
      <c r="V81" s="319" t="e">
        <f t="shared" ca="1" si="11"/>
        <v>#N/A</v>
      </c>
      <c r="W81" s="285"/>
      <c r="X81" s="326"/>
    </row>
    <row r="82" spans="2:24">
      <c r="B82" s="327">
        <f>'Offshore CF'!B93</f>
        <v>66</v>
      </c>
      <c r="C82" s="310">
        <f>'Offshore CF'!C93</f>
        <v>45568.085500000103</v>
      </c>
      <c r="D82" s="311" t="e">
        <f t="shared" ca="1" si="8"/>
        <v>#N/A</v>
      </c>
      <c r="E82" s="312">
        <f t="shared" ca="1" si="9"/>
        <v>0</v>
      </c>
      <c r="F82" s="313">
        <f ca="1">IF(ISERROR('Offshore CF'!E93),0,'Offshore CF'!E93)</f>
        <v>0</v>
      </c>
      <c r="G82" s="319">
        <f ca="1">SUM($F$13:F82)</f>
        <v>0</v>
      </c>
      <c r="H82" s="322" t="e">
        <f ca="1">IF(OR(SUM('Offshore CF'!E94:$E$153)&lt;&gt;0,SUM('Offshore CF'!J94:$J$153)&lt;&gt;0),E82*(((G81+G82)/2)+I81),IF(SUM('Offshore CF'!E93:$E$153)-SUM('Offshore CF'!J93:$J$153)&lt;&gt;0,E82*(((G81+G82)/2)+I81),0))</f>
        <v>#N/A</v>
      </c>
      <c r="I82" s="322" t="e">
        <f ca="1">IF(OR(SUM('Offshore CF'!E94:$E$153)&lt;&gt;0,SUM('Offshore CF'!J94:$J$153)&lt;&gt;0),SUM($H$13:H82),IF(SUM('Offshore CF'!E$153:$E280)-SUM('Offshore CF'!J93:$J$153)&lt;&gt;0,SUM($H$13:H82),0))</f>
        <v>#N/A</v>
      </c>
      <c r="J82" s="322" t="e">
        <f ca="1">IF(OR(SUM('Offshore CF'!E94:$E$153)&lt;&gt;0,SUM('Offshore CF'!J94:$J$153)&lt;&gt;0),I82+G82,IF(SUM('Offshore CF'!E93:$E$153)-SUM('Offshore CF'!J93:$J$153)&lt;&gt;0,I82+G82,0))</f>
        <v>#N/A</v>
      </c>
      <c r="K82" s="323"/>
      <c r="L82" s="324">
        <f ca="1">IF(ISERROR('Offshore CF'!J93),0,'Offshore CF'!J93)</f>
        <v>0</v>
      </c>
      <c r="M82" s="325">
        <f ca="1">SUM($L$13:L82)</f>
        <v>1E-3</v>
      </c>
      <c r="N82" s="322" t="e">
        <f ca="1">IF(OR(SUM('Offshore CF'!E94:$E$153)&lt;&gt;0,SUM('Offshore CF'!J94:$J$153)&lt;&gt;0),E82*(((M81+M82)/2)+O81),IF(SUM('Offshore CF'!E93:$E$153)-SUM('Offshore CF'!J93:$J$153)&lt;&gt;0,E82*(((M81+M82)/2)+O81),0))</f>
        <v>#N/A</v>
      </c>
      <c r="O82" s="322" t="e">
        <f ca="1">IF(OR(SUM('Offshore CF'!E94:$E$153)&lt;&gt;0,SUM('Offshore CF'!J94:$J$153)&lt;&gt;0),SUM($N$13:N82),IF(SUM('Offshore CF'!E93:$E$153)-SUM('Offshore CF'!J93:$J$153)&lt;&gt;0,SUM($N$13:N82),0))</f>
        <v>#N/A</v>
      </c>
      <c r="P82" s="322" t="e">
        <f ca="1">IF(OR(SUM('Offshore CF'!E94:$E$153)&lt;&gt;0,SUM('Offshore CF'!J94:$J$153)&lt;&gt;0),O82+M82,IF(SUM('Offshore CF'!E93:$E$153)-SUM('Offshore CF'!J93:$J$153)&lt;&gt;0,O82+M82,0))</f>
        <v>#N/A</v>
      </c>
      <c r="R82" s="322" t="e">
        <f ca="1">IF(OR(SUM('Offshore CF'!E94:$E$153)&lt;&gt;0,SUM('Offshore CF'!J94:$J$153)&lt;&gt;0),G82-M82,IF(SUM('Offshore CF'!E93:$E$153)-SUM('Offshore CF'!J93:$J$153)&lt;&gt;0,G82-M82,0))</f>
        <v>#N/A</v>
      </c>
      <c r="S82" s="285"/>
      <c r="T82" s="322" t="e">
        <f ca="1">IF(OR(SUM('Offshore CF'!E94:$E$153)&lt;&gt;0,SUM('Offshore CF'!J94:$J$153)&lt;&gt;0),E82*(((R81+R82)/2)+SUM($T$13:T81)),IF(SUM('Offshore CF'!E93:$E$153)-SUM('Offshore CF'!J93:$J$153)&lt;&gt;0,E82*(((R81+R82)/2)+SUM($T$13:T81)),0))</f>
        <v>#N/A</v>
      </c>
      <c r="U82" s="322" t="e">
        <f t="shared" ca="1" si="10"/>
        <v>#N/A</v>
      </c>
      <c r="V82" s="319" t="e">
        <f t="shared" ca="1" si="11"/>
        <v>#N/A</v>
      </c>
      <c r="W82" s="285"/>
      <c r="X82" s="326"/>
    </row>
    <row r="83" spans="2:24">
      <c r="B83" s="327">
        <f>'Offshore CF'!B94</f>
        <v>67</v>
      </c>
      <c r="C83" s="310">
        <f>'Offshore CF'!C94</f>
        <v>45598.502200000104</v>
      </c>
      <c r="D83" s="311" t="e">
        <f t="shared" ca="1" si="8"/>
        <v>#N/A</v>
      </c>
      <c r="E83" s="312">
        <f t="shared" ca="1" si="9"/>
        <v>0</v>
      </c>
      <c r="F83" s="313">
        <f ca="1">IF(ISERROR('Offshore CF'!E94),0,'Offshore CF'!E94)</f>
        <v>0</v>
      </c>
      <c r="G83" s="319">
        <f ca="1">SUM($F$13:F83)</f>
        <v>0</v>
      </c>
      <c r="H83" s="322" t="e">
        <f ca="1">IF(OR(SUM('Offshore CF'!E95:$E$153)&lt;&gt;0,SUM('Offshore CF'!J95:$J$153)&lt;&gt;0),E83*(((G82+G83)/2)+I82),IF(SUM('Offshore CF'!E94:$E$153)-SUM('Offshore CF'!J94:$J$153)&lt;&gt;0,E83*(((G82+G83)/2)+I82),0))</f>
        <v>#N/A</v>
      </c>
      <c r="I83" s="322" t="e">
        <f ca="1">IF(OR(SUM('Offshore CF'!E95:$E$153)&lt;&gt;0,SUM('Offshore CF'!J95:$J$153)&lt;&gt;0),SUM($H$13:H83),IF(SUM('Offshore CF'!E$153:$E281)-SUM('Offshore CF'!J94:$J$153)&lt;&gt;0,SUM($H$13:H83),0))</f>
        <v>#N/A</v>
      </c>
      <c r="J83" s="322" t="e">
        <f ca="1">IF(OR(SUM('Offshore CF'!E95:$E$153)&lt;&gt;0,SUM('Offshore CF'!J95:$J$153)&lt;&gt;0),I83+G83,IF(SUM('Offshore CF'!E94:$E$153)-SUM('Offshore CF'!J94:$J$153)&lt;&gt;0,I83+G83,0))</f>
        <v>#N/A</v>
      </c>
      <c r="K83" s="323"/>
      <c r="L83" s="324">
        <f ca="1">IF(ISERROR('Offshore CF'!J94),0,'Offshore CF'!J94)</f>
        <v>0</v>
      </c>
      <c r="M83" s="325">
        <f ca="1">SUM($L$13:L83)</f>
        <v>1E-3</v>
      </c>
      <c r="N83" s="322" t="e">
        <f ca="1">IF(OR(SUM('Offshore CF'!E95:$E$153)&lt;&gt;0,SUM('Offshore CF'!J95:$J$153)&lt;&gt;0),E83*(((M82+M83)/2)+O82),IF(SUM('Offshore CF'!E94:$E$153)-SUM('Offshore CF'!J94:$J$153)&lt;&gt;0,E83*(((M82+M83)/2)+O82),0))</f>
        <v>#N/A</v>
      </c>
      <c r="O83" s="322" t="e">
        <f ca="1">IF(OR(SUM('Offshore CF'!E95:$E$153)&lt;&gt;0,SUM('Offshore CF'!J95:$J$153)&lt;&gt;0),SUM($N$13:N83),IF(SUM('Offshore CF'!E94:$E$153)-SUM('Offshore CF'!J94:$J$153)&lt;&gt;0,SUM($N$13:N83),0))</f>
        <v>#N/A</v>
      </c>
      <c r="P83" s="322" t="e">
        <f ca="1">IF(OR(SUM('Offshore CF'!E95:$E$153)&lt;&gt;0,SUM('Offshore CF'!J95:$J$153)&lt;&gt;0),O83+M83,IF(SUM('Offshore CF'!E94:$E$153)-SUM('Offshore CF'!J94:$J$153)&lt;&gt;0,O83+M83,0))</f>
        <v>#N/A</v>
      </c>
      <c r="R83" s="322" t="e">
        <f ca="1">IF(OR(SUM('Offshore CF'!E95:$E$153)&lt;&gt;0,SUM('Offshore CF'!J95:$J$153)&lt;&gt;0),G83-M83,IF(SUM('Offshore CF'!E94:$E$153)-SUM('Offshore CF'!J94:$J$153)&lt;&gt;0,G83-M83,0))</f>
        <v>#N/A</v>
      </c>
      <c r="S83" s="285"/>
      <c r="T83" s="322" t="e">
        <f ca="1">IF(OR(SUM('Offshore CF'!E95:$E$153)&lt;&gt;0,SUM('Offshore CF'!J95:$J$153)&lt;&gt;0),E83*(((R82+R83)/2)+SUM($T$13:T82)),IF(SUM('Offshore CF'!E94:$E$153)-SUM('Offshore CF'!J94:$J$153)&lt;&gt;0,E83*(((R82+R83)/2)+SUM($T$13:T82)),0))</f>
        <v>#N/A</v>
      </c>
      <c r="U83" s="322" t="e">
        <f t="shared" ca="1" si="10"/>
        <v>#N/A</v>
      </c>
      <c r="V83" s="319" t="e">
        <f t="shared" ca="1" si="11"/>
        <v>#N/A</v>
      </c>
      <c r="W83" s="285"/>
      <c r="X83" s="326"/>
    </row>
    <row r="84" spans="2:24">
      <c r="B84" s="327">
        <f>'Offshore CF'!B95</f>
        <v>68</v>
      </c>
      <c r="C84" s="310">
        <f>'Offshore CF'!C95</f>
        <v>45628.918900000106</v>
      </c>
      <c r="D84" s="311" t="e">
        <f t="shared" ca="1" si="8"/>
        <v>#N/A</v>
      </c>
      <c r="E84" s="312">
        <f t="shared" ca="1" si="9"/>
        <v>0</v>
      </c>
      <c r="F84" s="313">
        <f ca="1">IF(ISERROR('Offshore CF'!E95),0,'Offshore CF'!E95)</f>
        <v>0</v>
      </c>
      <c r="G84" s="319">
        <f ca="1">SUM($F$13:F84)</f>
        <v>0</v>
      </c>
      <c r="H84" s="322" t="e">
        <f ca="1">IF(OR(SUM('Offshore CF'!E96:$E$153)&lt;&gt;0,SUM('Offshore CF'!J96:$J$153)&lt;&gt;0),E84*(((G83+G84)/2)+I83),IF(SUM('Offshore CF'!E95:$E$153)-SUM('Offshore CF'!J95:$J$153)&lt;&gt;0,E84*(((G83+G84)/2)+I83),0))</f>
        <v>#N/A</v>
      </c>
      <c r="I84" s="322" t="e">
        <f ca="1">IF(OR(SUM('Offshore CF'!E96:$E$153)&lt;&gt;0,SUM('Offshore CF'!J96:$J$153)&lt;&gt;0),SUM($H$13:H84),IF(SUM('Offshore CF'!E$153:$E282)-SUM('Offshore CF'!J95:$J$153)&lt;&gt;0,SUM($H$13:H84),0))</f>
        <v>#N/A</v>
      </c>
      <c r="J84" s="322" t="e">
        <f ca="1">IF(OR(SUM('Offshore CF'!E96:$E$153)&lt;&gt;0,SUM('Offshore CF'!J96:$J$153)&lt;&gt;0),I84+G84,IF(SUM('Offshore CF'!E95:$E$153)-SUM('Offshore CF'!J95:$J$153)&lt;&gt;0,I84+G84,0))</f>
        <v>#N/A</v>
      </c>
      <c r="K84" s="323"/>
      <c r="L84" s="324">
        <f ca="1">IF(ISERROR('Offshore CF'!J95),0,'Offshore CF'!J95)</f>
        <v>0</v>
      </c>
      <c r="M84" s="325">
        <f ca="1">SUM($L$13:L84)</f>
        <v>1E-3</v>
      </c>
      <c r="N84" s="322" t="e">
        <f ca="1">IF(OR(SUM('Offshore CF'!E96:$E$153)&lt;&gt;0,SUM('Offshore CF'!J96:$J$153)&lt;&gt;0),E84*(((M83+M84)/2)+O83),IF(SUM('Offshore CF'!E95:$E$153)-SUM('Offshore CF'!J95:$J$153)&lt;&gt;0,E84*(((M83+M84)/2)+O83),0))</f>
        <v>#N/A</v>
      </c>
      <c r="O84" s="322" t="e">
        <f ca="1">IF(OR(SUM('Offshore CF'!E96:$E$153)&lt;&gt;0,SUM('Offshore CF'!J96:$J$153)&lt;&gt;0),SUM($N$13:N84),IF(SUM('Offshore CF'!E95:$E$153)-SUM('Offshore CF'!J95:$J$153)&lt;&gt;0,SUM($N$13:N84),0))</f>
        <v>#N/A</v>
      </c>
      <c r="P84" s="322" t="e">
        <f ca="1">IF(OR(SUM('Offshore CF'!E96:$E$153)&lt;&gt;0,SUM('Offshore CF'!J96:$J$153)&lt;&gt;0),O84+M84,IF(SUM('Offshore CF'!E95:$E$153)-SUM('Offshore CF'!J95:$J$153)&lt;&gt;0,O84+M84,0))</f>
        <v>#N/A</v>
      </c>
      <c r="R84" s="322" t="e">
        <f ca="1">IF(OR(SUM('Offshore CF'!E96:$E$153)&lt;&gt;0,SUM('Offshore CF'!J96:$J$153)&lt;&gt;0),G84-M84,IF(SUM('Offshore CF'!E95:$E$153)-SUM('Offshore CF'!J95:$J$153)&lt;&gt;0,G84-M84,0))</f>
        <v>#N/A</v>
      </c>
      <c r="S84" s="285"/>
      <c r="T84" s="322" t="e">
        <f ca="1">IF(OR(SUM('Offshore CF'!E96:$E$153)&lt;&gt;0,SUM('Offshore CF'!J96:$J$153)&lt;&gt;0),E84*(((R83+R84)/2)+SUM($T$13:T83)),IF(SUM('Offshore CF'!E95:$E$153)-SUM('Offshore CF'!J95:$J$153)&lt;&gt;0,E84*(((R83+R84)/2)+SUM($T$13:T83)),0))</f>
        <v>#N/A</v>
      </c>
      <c r="U84" s="322" t="e">
        <f t="shared" ca="1" si="10"/>
        <v>#N/A</v>
      </c>
      <c r="V84" s="319" t="e">
        <f t="shared" ca="1" si="11"/>
        <v>#N/A</v>
      </c>
      <c r="W84" s="285"/>
      <c r="X84" s="326"/>
    </row>
    <row r="85" spans="2:24">
      <c r="B85" s="327">
        <f>'Offshore CF'!B96</f>
        <v>69</v>
      </c>
      <c r="C85" s="310">
        <f>'Offshore CF'!C96</f>
        <v>45659.335600000108</v>
      </c>
      <c r="D85" s="311" t="e">
        <f t="shared" ca="1" si="8"/>
        <v>#N/A</v>
      </c>
      <c r="E85" s="312">
        <f t="shared" ca="1" si="9"/>
        <v>0</v>
      </c>
      <c r="F85" s="313">
        <f ca="1">IF(ISERROR('Offshore CF'!E96),0,'Offshore CF'!E96)</f>
        <v>0</v>
      </c>
      <c r="G85" s="319">
        <f ca="1">SUM($F$13:F85)</f>
        <v>0</v>
      </c>
      <c r="H85" s="322" t="e">
        <f ca="1">IF(OR(SUM('Offshore CF'!E97:$E$153)&lt;&gt;0,SUM('Offshore CF'!J97:$J$153)&lt;&gt;0),E85*(((G84+G85)/2)+I84),IF(SUM('Offshore CF'!E96:$E$153)-SUM('Offshore CF'!J96:$J$153)&lt;&gt;0,E85*(((G84+G85)/2)+I84),0))</f>
        <v>#N/A</v>
      </c>
      <c r="I85" s="322" t="e">
        <f ca="1">IF(OR(SUM('Offshore CF'!E97:$E$153)&lt;&gt;0,SUM('Offshore CF'!J97:$J$153)&lt;&gt;0),SUM($H$13:H85),IF(SUM('Offshore CF'!E$153:$E283)-SUM('Offshore CF'!J96:$J$153)&lt;&gt;0,SUM($H$13:H85),0))</f>
        <v>#N/A</v>
      </c>
      <c r="J85" s="322" t="e">
        <f ca="1">IF(OR(SUM('Offshore CF'!E97:$E$153)&lt;&gt;0,SUM('Offshore CF'!J97:$J$153)&lt;&gt;0),I85+G85,IF(SUM('Offshore CF'!E96:$E$153)-SUM('Offshore CF'!J96:$J$153)&lt;&gt;0,I85+G85,0))</f>
        <v>#N/A</v>
      </c>
      <c r="K85" s="323"/>
      <c r="L85" s="324">
        <f ca="1">IF(ISERROR('Offshore CF'!J96),0,'Offshore CF'!J96)</f>
        <v>0</v>
      </c>
      <c r="M85" s="325">
        <f ca="1">SUM($L$13:L85)</f>
        <v>1E-3</v>
      </c>
      <c r="N85" s="322" t="e">
        <f ca="1">IF(OR(SUM('Offshore CF'!E97:$E$153)&lt;&gt;0,SUM('Offshore CF'!J97:$J$153)&lt;&gt;0),E85*(((M84+M85)/2)+O84),IF(SUM('Offshore CF'!E96:$E$153)-SUM('Offshore CF'!J96:$J$153)&lt;&gt;0,E85*(((M84+M85)/2)+O84),0))</f>
        <v>#N/A</v>
      </c>
      <c r="O85" s="322" t="e">
        <f ca="1">IF(OR(SUM('Offshore CF'!E97:$E$153)&lt;&gt;0,SUM('Offshore CF'!J97:$J$153)&lt;&gt;0),SUM($N$13:N85),IF(SUM('Offshore CF'!E96:$E$153)-SUM('Offshore CF'!J96:$J$153)&lt;&gt;0,SUM($N$13:N85),0))</f>
        <v>#N/A</v>
      </c>
      <c r="P85" s="322" t="e">
        <f ca="1">IF(OR(SUM('Offshore CF'!E97:$E$153)&lt;&gt;0,SUM('Offshore CF'!J97:$J$153)&lt;&gt;0),O85+M85,IF(SUM('Offshore CF'!E96:$E$153)-SUM('Offshore CF'!J96:$J$153)&lt;&gt;0,O85+M85,0))</f>
        <v>#N/A</v>
      </c>
      <c r="R85" s="322" t="e">
        <f ca="1">IF(OR(SUM('Offshore CF'!E97:$E$153)&lt;&gt;0,SUM('Offshore CF'!J97:$J$153)&lt;&gt;0),G85-M85,IF(SUM('Offshore CF'!E96:$E$153)-SUM('Offshore CF'!J96:$J$153)&lt;&gt;0,G85-M85,0))</f>
        <v>#N/A</v>
      </c>
      <c r="S85" s="285"/>
      <c r="T85" s="322" t="e">
        <f ca="1">IF(OR(SUM('Offshore CF'!E97:$E$153)&lt;&gt;0,SUM('Offshore CF'!J97:$J$153)&lt;&gt;0),E85*(((R84+R85)/2)+SUM($T$13:T84)),IF(SUM('Offshore CF'!E96:$E$153)-SUM('Offshore CF'!J96:$J$153)&lt;&gt;0,E85*(((R84+R85)/2)+SUM($T$13:T84)),0))</f>
        <v>#N/A</v>
      </c>
      <c r="U85" s="322" t="e">
        <f t="shared" ca="1" si="10"/>
        <v>#N/A</v>
      </c>
      <c r="V85" s="319" t="e">
        <f t="shared" ca="1" si="11"/>
        <v>#N/A</v>
      </c>
      <c r="W85" s="285"/>
      <c r="X85" s="326"/>
    </row>
    <row r="86" spans="2:24">
      <c r="B86" s="327">
        <f>'Offshore CF'!B97</f>
        <v>70</v>
      </c>
      <c r="C86" s="310">
        <f>'Offshore CF'!C97</f>
        <v>45689.752300000109</v>
      </c>
      <c r="D86" s="311" t="e">
        <f t="shared" ca="1" si="8"/>
        <v>#N/A</v>
      </c>
      <c r="E86" s="312">
        <f t="shared" ca="1" si="9"/>
        <v>0</v>
      </c>
      <c r="F86" s="313">
        <f ca="1">IF(ISERROR('Offshore CF'!E97),0,'Offshore CF'!E97)</f>
        <v>0</v>
      </c>
      <c r="G86" s="319">
        <f ca="1">SUM($F$13:F86)</f>
        <v>0</v>
      </c>
      <c r="H86" s="322" t="e">
        <f ca="1">IF(OR(SUM('Offshore CF'!E98:$E$153)&lt;&gt;0,SUM('Offshore CF'!J98:$J$153)&lt;&gt;0),E86*(((G85+G86)/2)+I85),IF(SUM('Offshore CF'!E97:$E$153)-SUM('Offshore CF'!J97:$J$153)&lt;&gt;0,E86*(((G85+G86)/2)+I85),0))</f>
        <v>#N/A</v>
      </c>
      <c r="I86" s="322" t="e">
        <f ca="1">IF(OR(SUM('Offshore CF'!E98:$E$153)&lt;&gt;0,SUM('Offshore CF'!J98:$J$153)&lt;&gt;0),SUM($H$13:H86),IF(SUM('Offshore CF'!E$153:$E284)-SUM('Offshore CF'!J97:$J$153)&lt;&gt;0,SUM($H$13:H86),0))</f>
        <v>#N/A</v>
      </c>
      <c r="J86" s="322" t="e">
        <f ca="1">IF(OR(SUM('Offshore CF'!E98:$E$153)&lt;&gt;0,SUM('Offshore CF'!J98:$J$153)&lt;&gt;0),I86+G86,IF(SUM('Offshore CF'!E97:$E$153)-SUM('Offshore CF'!J97:$J$153)&lt;&gt;0,I86+G86,0))</f>
        <v>#N/A</v>
      </c>
      <c r="K86" s="323"/>
      <c r="L86" s="324">
        <f ca="1">IF(ISERROR('Offshore CF'!J97),0,'Offshore CF'!J97)</f>
        <v>0</v>
      </c>
      <c r="M86" s="325">
        <f ca="1">SUM($L$13:L86)</f>
        <v>1E-3</v>
      </c>
      <c r="N86" s="322" t="e">
        <f ca="1">IF(OR(SUM('Offshore CF'!E98:$E$153)&lt;&gt;0,SUM('Offshore CF'!J98:$J$153)&lt;&gt;0),E86*(((M85+M86)/2)+O85),IF(SUM('Offshore CF'!E97:$E$153)-SUM('Offshore CF'!J97:$J$153)&lt;&gt;0,E86*(((M85+M86)/2)+O85),0))</f>
        <v>#N/A</v>
      </c>
      <c r="O86" s="322" t="e">
        <f ca="1">IF(OR(SUM('Offshore CF'!E98:$E$153)&lt;&gt;0,SUM('Offshore CF'!J98:$J$153)&lt;&gt;0),SUM($N$13:N86),IF(SUM('Offshore CF'!E97:$E$153)-SUM('Offshore CF'!J97:$J$153)&lt;&gt;0,SUM($N$13:N86),0))</f>
        <v>#N/A</v>
      </c>
      <c r="P86" s="322" t="e">
        <f ca="1">IF(OR(SUM('Offshore CF'!E98:$E$153)&lt;&gt;0,SUM('Offshore CF'!J98:$J$153)&lt;&gt;0),O86+M86,IF(SUM('Offshore CF'!E97:$E$153)-SUM('Offshore CF'!J97:$J$153)&lt;&gt;0,O86+M86,0))</f>
        <v>#N/A</v>
      </c>
      <c r="R86" s="322" t="e">
        <f ca="1">IF(OR(SUM('Offshore CF'!E98:$E$153)&lt;&gt;0,SUM('Offshore CF'!J98:$J$153)&lt;&gt;0),G86-M86,IF(SUM('Offshore CF'!E97:$E$153)-SUM('Offshore CF'!J97:$J$153)&lt;&gt;0,G86-M86,0))</f>
        <v>#N/A</v>
      </c>
      <c r="S86" s="285"/>
      <c r="T86" s="322" t="e">
        <f ca="1">IF(OR(SUM('Offshore CF'!E98:$E$153)&lt;&gt;0,SUM('Offshore CF'!J98:$J$153)&lt;&gt;0),E86*(((R85+R86)/2)+SUM($T$13:T85)),IF(SUM('Offshore CF'!E97:$E$153)-SUM('Offshore CF'!J97:$J$153)&lt;&gt;0,E86*(((R85+R86)/2)+SUM($T$13:T85)),0))</f>
        <v>#N/A</v>
      </c>
      <c r="U86" s="322" t="e">
        <f t="shared" ca="1" si="10"/>
        <v>#N/A</v>
      </c>
      <c r="V86" s="319" t="e">
        <f t="shared" ca="1" si="11"/>
        <v>#N/A</v>
      </c>
      <c r="W86" s="285"/>
      <c r="X86" s="326"/>
    </row>
    <row r="87" spans="2:24">
      <c r="B87" s="327">
        <f>'Offshore CF'!B98</f>
        <v>71</v>
      </c>
      <c r="C87" s="310">
        <f>'Offshore CF'!C98</f>
        <v>45720.169000000111</v>
      </c>
      <c r="D87" s="311" t="e">
        <f t="shared" ca="1" si="8"/>
        <v>#N/A</v>
      </c>
      <c r="E87" s="312">
        <f t="shared" ca="1" si="9"/>
        <v>0</v>
      </c>
      <c r="F87" s="313">
        <f ca="1">IF(ISERROR('Offshore CF'!E98),0,'Offshore CF'!E98)</f>
        <v>0</v>
      </c>
      <c r="G87" s="319">
        <f ca="1">SUM($F$13:F87)</f>
        <v>0</v>
      </c>
      <c r="H87" s="322" t="e">
        <f ca="1">IF(OR(SUM('Offshore CF'!E99:$E$153)&lt;&gt;0,SUM('Offshore CF'!J99:$J$153)&lt;&gt;0),E87*(((G86+G87)/2)+I86),IF(SUM('Offshore CF'!E98:$E$153)-SUM('Offshore CF'!J98:$J$153)&lt;&gt;0,E87*(((G86+G87)/2)+I86),0))</f>
        <v>#N/A</v>
      </c>
      <c r="I87" s="322" t="e">
        <f ca="1">IF(OR(SUM('Offshore CF'!E99:$E$153)&lt;&gt;0,SUM('Offshore CF'!J99:$J$153)&lt;&gt;0),SUM($H$13:H87),IF(SUM('Offshore CF'!E$153:$E285)-SUM('Offshore CF'!J98:$J$153)&lt;&gt;0,SUM($H$13:H87),0))</f>
        <v>#N/A</v>
      </c>
      <c r="J87" s="322" t="e">
        <f ca="1">IF(OR(SUM('Offshore CF'!E99:$E$153)&lt;&gt;0,SUM('Offshore CF'!J99:$J$153)&lt;&gt;0),I87+G87,IF(SUM('Offshore CF'!E98:$E$153)-SUM('Offshore CF'!J98:$J$153)&lt;&gt;0,I87+G87,0))</f>
        <v>#N/A</v>
      </c>
      <c r="K87" s="323"/>
      <c r="L87" s="324">
        <f ca="1">IF(ISERROR('Offshore CF'!J98),0,'Offshore CF'!J98)</f>
        <v>0</v>
      </c>
      <c r="M87" s="325">
        <f ca="1">SUM($L$13:L87)</f>
        <v>1E-3</v>
      </c>
      <c r="N87" s="322" t="e">
        <f ca="1">IF(OR(SUM('Offshore CF'!E99:$E$153)&lt;&gt;0,SUM('Offshore CF'!J99:$J$153)&lt;&gt;0),E87*(((M86+M87)/2)+O86),IF(SUM('Offshore CF'!E98:$E$153)-SUM('Offshore CF'!J98:$J$153)&lt;&gt;0,E87*(((M86+M87)/2)+O86),0))</f>
        <v>#N/A</v>
      </c>
      <c r="O87" s="322" t="e">
        <f ca="1">IF(OR(SUM('Offshore CF'!E99:$E$153)&lt;&gt;0,SUM('Offshore CF'!J99:$J$153)&lt;&gt;0),SUM($N$13:N87),IF(SUM('Offshore CF'!E98:$E$153)-SUM('Offshore CF'!J98:$J$153)&lt;&gt;0,SUM($N$13:N87),0))</f>
        <v>#N/A</v>
      </c>
      <c r="P87" s="322" t="e">
        <f ca="1">IF(OR(SUM('Offshore CF'!E99:$E$153)&lt;&gt;0,SUM('Offshore CF'!J99:$J$153)&lt;&gt;0),O87+M87,IF(SUM('Offshore CF'!E98:$E$153)-SUM('Offshore CF'!J98:$J$153)&lt;&gt;0,O87+M87,0))</f>
        <v>#N/A</v>
      </c>
      <c r="R87" s="322" t="e">
        <f ca="1">IF(OR(SUM('Offshore CF'!E99:$E$153)&lt;&gt;0,SUM('Offshore CF'!J99:$J$153)&lt;&gt;0),G87-M87,IF(SUM('Offshore CF'!E98:$E$153)-SUM('Offshore CF'!J98:$J$153)&lt;&gt;0,G87-M87,0))</f>
        <v>#N/A</v>
      </c>
      <c r="S87" s="285"/>
      <c r="T87" s="322" t="e">
        <f ca="1">IF(OR(SUM('Offshore CF'!E99:$E$153)&lt;&gt;0,SUM('Offshore CF'!J99:$J$153)&lt;&gt;0),E87*(((R86+R87)/2)+SUM($T$13:T86)),IF(SUM('Offshore CF'!E98:$E$153)-SUM('Offshore CF'!J98:$J$153)&lt;&gt;0,E87*(((R86+R87)/2)+SUM($T$13:T86)),0))</f>
        <v>#N/A</v>
      </c>
      <c r="U87" s="322" t="e">
        <f t="shared" ca="1" si="10"/>
        <v>#N/A</v>
      </c>
      <c r="V87" s="319" t="e">
        <f t="shared" ca="1" si="11"/>
        <v>#N/A</v>
      </c>
      <c r="W87" s="285"/>
      <c r="X87" s="326"/>
    </row>
    <row r="88" spans="2:24">
      <c r="B88" s="327">
        <f>'Offshore CF'!B99</f>
        <v>72</v>
      </c>
      <c r="C88" s="310">
        <f>'Offshore CF'!C99</f>
        <v>45750.585700000112</v>
      </c>
      <c r="D88" s="311" t="e">
        <f t="shared" ca="1" si="8"/>
        <v>#N/A</v>
      </c>
      <c r="E88" s="312">
        <f t="shared" ca="1" si="9"/>
        <v>0</v>
      </c>
      <c r="F88" s="313">
        <f ca="1">IF(ISERROR('Offshore CF'!E99),0,'Offshore CF'!E99)</f>
        <v>0</v>
      </c>
      <c r="G88" s="319">
        <f ca="1">SUM($F$13:F88)</f>
        <v>0</v>
      </c>
      <c r="H88" s="322" t="e">
        <f ca="1">IF(OR(SUM('Offshore CF'!E100:$E$153)&lt;&gt;0,SUM('Offshore CF'!J100:$J$153)&lt;&gt;0),E88*(((G87+G88)/2)+I87),IF(SUM('Offshore CF'!E99:$E$153)-SUM('Offshore CF'!J99:$J$153)&lt;&gt;0,E88*(((G87+G88)/2)+I87),0))</f>
        <v>#N/A</v>
      </c>
      <c r="I88" s="322" t="e">
        <f ca="1">IF(OR(SUM('Offshore CF'!E100:$E$153)&lt;&gt;0,SUM('Offshore CF'!J100:$J$153)&lt;&gt;0),SUM($H$13:H88),IF(SUM('Offshore CF'!E$153:$E286)-SUM('Offshore CF'!J99:$J$153)&lt;&gt;0,SUM($H$13:H88),0))</f>
        <v>#N/A</v>
      </c>
      <c r="J88" s="322" t="e">
        <f ca="1">IF(OR(SUM('Offshore CF'!E100:$E$153)&lt;&gt;0,SUM('Offshore CF'!J100:$J$153)&lt;&gt;0),I88+G88,IF(SUM('Offshore CF'!E99:$E$153)-SUM('Offshore CF'!J99:$J$153)&lt;&gt;0,I88+G88,0))</f>
        <v>#N/A</v>
      </c>
      <c r="K88" s="323"/>
      <c r="L88" s="324">
        <f ca="1">IF(ISERROR('Offshore CF'!J99),0,'Offshore CF'!J99)</f>
        <v>0</v>
      </c>
      <c r="M88" s="325">
        <f ca="1">SUM($L$13:L88)</f>
        <v>1E-3</v>
      </c>
      <c r="N88" s="322" t="e">
        <f ca="1">IF(OR(SUM('Offshore CF'!E100:$E$153)&lt;&gt;0,SUM('Offshore CF'!J100:$J$153)&lt;&gt;0),E88*(((M87+M88)/2)+O87),IF(SUM('Offshore CF'!E99:$E$153)-SUM('Offshore CF'!J99:$J$153)&lt;&gt;0,E88*(((M87+M88)/2)+O87),0))</f>
        <v>#N/A</v>
      </c>
      <c r="O88" s="322" t="e">
        <f ca="1">IF(OR(SUM('Offshore CF'!E100:$E$153)&lt;&gt;0,SUM('Offshore CF'!J100:$J$153)&lt;&gt;0),SUM($N$13:N88),IF(SUM('Offshore CF'!E99:$E$153)-SUM('Offshore CF'!J99:$J$153)&lt;&gt;0,SUM($N$13:N88),0))</f>
        <v>#N/A</v>
      </c>
      <c r="P88" s="322" t="e">
        <f ca="1">IF(OR(SUM('Offshore CF'!E100:$E$153)&lt;&gt;0,SUM('Offshore CF'!J100:$J$153)&lt;&gt;0),O88+M88,IF(SUM('Offshore CF'!E99:$E$153)-SUM('Offshore CF'!J99:$J$153)&lt;&gt;0,O88+M88,0))</f>
        <v>#N/A</v>
      </c>
      <c r="R88" s="322" t="e">
        <f ca="1">IF(OR(SUM('Offshore CF'!E100:$E$153)&lt;&gt;0,SUM('Offshore CF'!J100:$J$153)&lt;&gt;0),G88-M88,IF(SUM('Offshore CF'!E99:$E$153)-SUM('Offshore CF'!J99:$J$153)&lt;&gt;0,G88-M88,0))</f>
        <v>#N/A</v>
      </c>
      <c r="S88" s="285"/>
      <c r="T88" s="322" t="e">
        <f ca="1">IF(OR(SUM('Offshore CF'!E100:$E$153)&lt;&gt;0,SUM('Offshore CF'!J100:$J$153)&lt;&gt;0),E88*(((R87+R88)/2)+SUM($T$13:T87)),IF(SUM('Offshore CF'!E99:$E$153)-SUM('Offshore CF'!J99:$J$153)&lt;&gt;0,E88*(((R87+R88)/2)+SUM($T$13:T87)),0))</f>
        <v>#N/A</v>
      </c>
      <c r="U88" s="322" t="e">
        <f t="shared" ca="1" si="10"/>
        <v>#N/A</v>
      </c>
      <c r="V88" s="319" t="e">
        <f t="shared" ca="1" si="11"/>
        <v>#N/A</v>
      </c>
      <c r="W88" s="285"/>
      <c r="X88" s="326"/>
    </row>
    <row r="89" spans="2:24">
      <c r="B89" s="327">
        <f>'Offshore CF'!B100</f>
        <v>73</v>
      </c>
      <c r="C89" s="310">
        <f>'Offshore CF'!C100</f>
        <v>45781.002400000114</v>
      </c>
      <c r="D89" s="311" t="e">
        <f t="shared" ca="1" si="8"/>
        <v>#N/A</v>
      </c>
      <c r="E89" s="312">
        <f t="shared" ca="1" si="9"/>
        <v>0</v>
      </c>
      <c r="F89" s="313">
        <f ca="1">IF(ISERROR('Offshore CF'!E100),0,'Offshore CF'!E100)</f>
        <v>0</v>
      </c>
      <c r="G89" s="319">
        <f ca="1">SUM($F$13:F89)</f>
        <v>0</v>
      </c>
      <c r="H89" s="322" t="e">
        <f ca="1">IF(OR(SUM('Offshore CF'!E101:$E$153)&lt;&gt;0,SUM('Offshore CF'!J101:$J$153)&lt;&gt;0),E89*(((G88+G89)/2)+I88),IF(SUM('Offshore CF'!E100:$E$153)-SUM('Offshore CF'!J100:$J$153)&lt;&gt;0,E89*(((G88+G89)/2)+I88),0))</f>
        <v>#N/A</v>
      </c>
      <c r="I89" s="322" t="e">
        <f ca="1">IF(OR(SUM('Offshore CF'!E101:$E$153)&lt;&gt;0,SUM('Offshore CF'!J101:$J$153)&lt;&gt;0),SUM($H$13:H89),IF(SUM('Offshore CF'!E$153:$E287)-SUM('Offshore CF'!J100:$J$153)&lt;&gt;0,SUM($H$13:H89),0))</f>
        <v>#N/A</v>
      </c>
      <c r="J89" s="322" t="e">
        <f ca="1">IF(OR(SUM('Offshore CF'!E101:$E$153)&lt;&gt;0,SUM('Offshore CF'!J101:$J$153)&lt;&gt;0),I89+G89,IF(SUM('Offshore CF'!E100:$E$153)-SUM('Offshore CF'!J100:$J$153)&lt;&gt;0,I89+G89,0))</f>
        <v>#N/A</v>
      </c>
      <c r="K89" s="323"/>
      <c r="L89" s="324">
        <f ca="1">IF(ISERROR('Offshore CF'!J100),0,'Offshore CF'!J100)</f>
        <v>0</v>
      </c>
      <c r="M89" s="325">
        <f ca="1">SUM($L$13:L89)</f>
        <v>1E-3</v>
      </c>
      <c r="N89" s="322" t="e">
        <f ca="1">IF(OR(SUM('Offshore CF'!E101:$E$153)&lt;&gt;0,SUM('Offshore CF'!J101:$J$153)&lt;&gt;0),E89*(((M88+M89)/2)+O88),IF(SUM('Offshore CF'!E100:$E$153)-SUM('Offshore CF'!J100:$J$153)&lt;&gt;0,E89*(((M88+M89)/2)+O88),0))</f>
        <v>#N/A</v>
      </c>
      <c r="O89" s="322" t="e">
        <f ca="1">IF(OR(SUM('Offshore CF'!E101:$E$153)&lt;&gt;0,SUM('Offshore CF'!J101:$J$153)&lt;&gt;0),SUM($N$13:N89),IF(SUM('Offshore CF'!E100:$E$153)-SUM('Offshore CF'!J100:$J$153)&lt;&gt;0,SUM($N$13:N89),0))</f>
        <v>#N/A</v>
      </c>
      <c r="P89" s="322" t="e">
        <f ca="1">IF(OR(SUM('Offshore CF'!E101:$E$153)&lt;&gt;0,SUM('Offshore CF'!J101:$J$153)&lt;&gt;0),O89+M89,IF(SUM('Offshore CF'!E100:$E$153)-SUM('Offshore CF'!J100:$J$153)&lt;&gt;0,O89+M89,0))</f>
        <v>#N/A</v>
      </c>
      <c r="R89" s="322" t="e">
        <f ca="1">IF(OR(SUM('Offshore CF'!E101:$E$153)&lt;&gt;0,SUM('Offshore CF'!J101:$J$153)&lt;&gt;0),G89-M89,IF(SUM('Offshore CF'!E100:$E$153)-SUM('Offshore CF'!J100:$J$153)&lt;&gt;0,G89-M89,0))</f>
        <v>#N/A</v>
      </c>
      <c r="S89" s="285"/>
      <c r="T89" s="322" t="e">
        <f ca="1">IF(OR(SUM('Offshore CF'!E101:$E$153)&lt;&gt;0,SUM('Offshore CF'!J101:$J$153)&lt;&gt;0),E89*(((R88+R89)/2)+SUM($T$13:T88)),IF(SUM('Offshore CF'!E100:$E$153)-SUM('Offshore CF'!J100:$J$153)&lt;&gt;0,E89*(((R88+R89)/2)+SUM($T$13:T88)),0))</f>
        <v>#N/A</v>
      </c>
      <c r="U89" s="322" t="e">
        <f t="shared" ca="1" si="10"/>
        <v>#N/A</v>
      </c>
      <c r="V89" s="319" t="e">
        <f t="shared" ca="1" si="11"/>
        <v>#N/A</v>
      </c>
      <c r="W89" s="285"/>
      <c r="X89" s="326"/>
    </row>
    <row r="90" spans="2:24">
      <c r="B90" s="327">
        <f>'Offshore CF'!B101</f>
        <v>74</v>
      </c>
      <c r="C90" s="310">
        <f>'Offshore CF'!C101</f>
        <v>45811.419100000116</v>
      </c>
      <c r="D90" s="311" t="e">
        <f t="shared" ca="1" si="8"/>
        <v>#N/A</v>
      </c>
      <c r="E90" s="312">
        <f t="shared" ca="1" si="9"/>
        <v>0</v>
      </c>
      <c r="F90" s="313">
        <f ca="1">IF(ISERROR('Offshore CF'!E101),0,'Offshore CF'!E101)</f>
        <v>0</v>
      </c>
      <c r="G90" s="319">
        <f ca="1">SUM($F$13:F90)</f>
        <v>0</v>
      </c>
      <c r="H90" s="322" t="e">
        <f ca="1">IF(OR(SUM('Offshore CF'!E102:$E$153)&lt;&gt;0,SUM('Offshore CF'!J102:$J$153)&lt;&gt;0),E90*(((G89+G90)/2)+I89),IF(SUM('Offshore CF'!E101:$E$153)-SUM('Offshore CF'!J101:$J$153)&lt;&gt;0,E90*(((G89+G90)/2)+I89),0))</f>
        <v>#N/A</v>
      </c>
      <c r="I90" s="322" t="e">
        <f ca="1">IF(OR(SUM('Offshore CF'!E102:$E$153)&lt;&gt;0,SUM('Offshore CF'!J102:$J$153)&lt;&gt;0),SUM($H$13:H90),IF(SUM('Offshore CF'!E$153:$E288)-SUM('Offshore CF'!J101:$J$153)&lt;&gt;0,SUM($H$13:H90),0))</f>
        <v>#N/A</v>
      </c>
      <c r="J90" s="322" t="e">
        <f ca="1">IF(OR(SUM('Offshore CF'!E102:$E$153)&lt;&gt;0,SUM('Offshore CF'!J102:$J$153)&lt;&gt;0),I90+G90,IF(SUM('Offshore CF'!E101:$E$153)-SUM('Offshore CF'!J101:$J$153)&lt;&gt;0,I90+G90,0))</f>
        <v>#N/A</v>
      </c>
      <c r="K90" s="323"/>
      <c r="L90" s="324">
        <f ca="1">IF(ISERROR('Offshore CF'!J101),0,'Offshore CF'!J101)</f>
        <v>0</v>
      </c>
      <c r="M90" s="325">
        <f ca="1">SUM($L$13:L90)</f>
        <v>1E-3</v>
      </c>
      <c r="N90" s="322" t="e">
        <f ca="1">IF(OR(SUM('Offshore CF'!E102:$E$153)&lt;&gt;0,SUM('Offshore CF'!J102:$J$153)&lt;&gt;0),E90*(((M89+M90)/2)+O89),IF(SUM('Offshore CF'!E101:$E$153)-SUM('Offshore CF'!J101:$J$153)&lt;&gt;0,E90*(((M89+M90)/2)+O89),0))</f>
        <v>#N/A</v>
      </c>
      <c r="O90" s="322" t="e">
        <f ca="1">IF(OR(SUM('Offshore CF'!E102:$E$153)&lt;&gt;0,SUM('Offshore CF'!J102:$J$153)&lt;&gt;0),SUM($N$13:N90),IF(SUM('Offshore CF'!E101:$E$153)-SUM('Offshore CF'!J101:$J$153)&lt;&gt;0,SUM($N$13:N90),0))</f>
        <v>#N/A</v>
      </c>
      <c r="P90" s="322" t="e">
        <f ca="1">IF(OR(SUM('Offshore CF'!E102:$E$153)&lt;&gt;0,SUM('Offshore CF'!J102:$J$153)&lt;&gt;0),O90+M90,IF(SUM('Offshore CF'!E101:$E$153)-SUM('Offshore CF'!J101:$J$153)&lt;&gt;0,O90+M90,0))</f>
        <v>#N/A</v>
      </c>
      <c r="R90" s="322" t="e">
        <f ca="1">IF(OR(SUM('Offshore CF'!E102:$E$153)&lt;&gt;0,SUM('Offshore CF'!J102:$J$153)&lt;&gt;0),G90-M90,IF(SUM('Offshore CF'!E101:$E$153)-SUM('Offshore CF'!J101:$J$153)&lt;&gt;0,G90-M90,0))</f>
        <v>#N/A</v>
      </c>
      <c r="S90" s="285"/>
      <c r="T90" s="322" t="e">
        <f ca="1">IF(OR(SUM('Offshore CF'!E102:$E$153)&lt;&gt;0,SUM('Offshore CF'!J102:$J$153)&lt;&gt;0),E90*(((R89+R90)/2)+SUM($T$13:T89)),IF(SUM('Offshore CF'!E101:$E$153)-SUM('Offshore CF'!J101:$J$153)&lt;&gt;0,E90*(((R89+R90)/2)+SUM($T$13:T89)),0))</f>
        <v>#N/A</v>
      </c>
      <c r="U90" s="322" t="e">
        <f t="shared" ca="1" si="10"/>
        <v>#N/A</v>
      </c>
      <c r="V90" s="319" t="e">
        <f t="shared" ca="1" si="11"/>
        <v>#N/A</v>
      </c>
      <c r="W90" s="285"/>
      <c r="X90" s="326"/>
    </row>
    <row r="91" spans="2:24">
      <c r="B91" s="327">
        <f>'Offshore CF'!B102</f>
        <v>75</v>
      </c>
      <c r="C91" s="310">
        <f>'Offshore CF'!C102</f>
        <v>45841.835800000117</v>
      </c>
      <c r="D91" s="311" t="e">
        <f t="shared" ca="1" si="8"/>
        <v>#N/A</v>
      </c>
      <c r="E91" s="312">
        <f t="shared" ca="1" si="9"/>
        <v>0</v>
      </c>
      <c r="F91" s="313">
        <f ca="1">IF(ISERROR('Offshore CF'!E102),0,'Offshore CF'!E102)</f>
        <v>0</v>
      </c>
      <c r="G91" s="319">
        <f ca="1">SUM($F$13:F91)</f>
        <v>0</v>
      </c>
      <c r="H91" s="322" t="e">
        <f ca="1">IF(OR(SUM('Offshore CF'!E103:$E$153)&lt;&gt;0,SUM('Offshore CF'!J103:$J$153)&lt;&gt;0),E91*(((G90+G91)/2)+I90),IF(SUM('Offshore CF'!E102:$E$153)-SUM('Offshore CF'!J102:$J$153)&lt;&gt;0,E91*(((G90+G91)/2)+I90),0))</f>
        <v>#N/A</v>
      </c>
      <c r="I91" s="322" t="e">
        <f ca="1">IF(OR(SUM('Offshore CF'!E103:$E$153)&lt;&gt;0,SUM('Offshore CF'!J103:$J$153)&lt;&gt;0),SUM($H$13:H91),IF(SUM('Offshore CF'!E$153:$E289)-SUM('Offshore CF'!J102:$J$153)&lt;&gt;0,SUM($H$13:H91),0))</f>
        <v>#N/A</v>
      </c>
      <c r="J91" s="322" t="e">
        <f ca="1">IF(OR(SUM('Offshore CF'!E103:$E$153)&lt;&gt;0,SUM('Offshore CF'!J103:$J$153)&lt;&gt;0),I91+G91,IF(SUM('Offshore CF'!E102:$E$153)-SUM('Offshore CF'!J102:$J$153)&lt;&gt;0,I91+G91,0))</f>
        <v>#N/A</v>
      </c>
      <c r="K91" s="323"/>
      <c r="L91" s="324">
        <f ca="1">IF(ISERROR('Offshore CF'!J102),0,'Offshore CF'!J102)</f>
        <v>0</v>
      </c>
      <c r="M91" s="325">
        <f ca="1">SUM($L$13:L91)</f>
        <v>1E-3</v>
      </c>
      <c r="N91" s="322" t="e">
        <f ca="1">IF(OR(SUM('Offshore CF'!E103:$E$153)&lt;&gt;0,SUM('Offshore CF'!J103:$J$153)&lt;&gt;0),E91*(((M90+M91)/2)+O90),IF(SUM('Offshore CF'!E102:$E$153)-SUM('Offshore CF'!J102:$J$153)&lt;&gt;0,E91*(((M90+M91)/2)+O90),0))</f>
        <v>#N/A</v>
      </c>
      <c r="O91" s="322" t="e">
        <f ca="1">IF(OR(SUM('Offshore CF'!E103:$E$153)&lt;&gt;0,SUM('Offshore CF'!J103:$J$153)&lt;&gt;0),SUM($N$13:N91),IF(SUM('Offshore CF'!E102:$E$153)-SUM('Offshore CF'!J102:$J$153)&lt;&gt;0,SUM($N$13:N91),0))</f>
        <v>#N/A</v>
      </c>
      <c r="P91" s="322" t="e">
        <f ca="1">IF(OR(SUM('Offshore CF'!E103:$E$153)&lt;&gt;0,SUM('Offshore CF'!J103:$J$153)&lt;&gt;0),O91+M91,IF(SUM('Offshore CF'!E102:$E$153)-SUM('Offshore CF'!J102:$J$153)&lt;&gt;0,O91+M91,0))</f>
        <v>#N/A</v>
      </c>
      <c r="R91" s="322" t="e">
        <f ca="1">IF(OR(SUM('Offshore CF'!E103:$E$153)&lt;&gt;0,SUM('Offshore CF'!J103:$J$153)&lt;&gt;0),G91-M91,IF(SUM('Offshore CF'!E102:$E$153)-SUM('Offshore CF'!J102:$J$153)&lt;&gt;0,G91-M91,0))</f>
        <v>#N/A</v>
      </c>
      <c r="S91" s="285"/>
      <c r="T91" s="322" t="e">
        <f ca="1">IF(OR(SUM('Offshore CF'!E103:$E$153)&lt;&gt;0,SUM('Offshore CF'!J103:$J$153)&lt;&gt;0),E91*(((R90+R91)/2)+SUM($T$13:T90)),IF(SUM('Offshore CF'!E102:$E$153)-SUM('Offshore CF'!J102:$J$153)&lt;&gt;0,E91*(((R90+R91)/2)+SUM($T$13:T90)),0))</f>
        <v>#N/A</v>
      </c>
      <c r="U91" s="322" t="e">
        <f t="shared" ca="1" si="10"/>
        <v>#N/A</v>
      </c>
      <c r="V91" s="319" t="e">
        <f t="shared" ca="1" si="11"/>
        <v>#N/A</v>
      </c>
      <c r="W91" s="285"/>
      <c r="X91" s="326"/>
    </row>
    <row r="92" spans="2:24">
      <c r="B92" s="327">
        <f>'Offshore CF'!B103</f>
        <v>76</v>
      </c>
      <c r="C92" s="310">
        <f>'Offshore CF'!C103</f>
        <v>45872.252500000119</v>
      </c>
      <c r="D92" s="311" t="e">
        <f t="shared" ca="1" si="8"/>
        <v>#N/A</v>
      </c>
      <c r="E92" s="312">
        <f t="shared" ca="1" si="9"/>
        <v>0</v>
      </c>
      <c r="F92" s="313">
        <f ca="1">IF(ISERROR('Offshore CF'!E103),0,'Offshore CF'!E103)</f>
        <v>0</v>
      </c>
      <c r="G92" s="319">
        <f ca="1">SUM($F$13:F92)</f>
        <v>0</v>
      </c>
      <c r="H92" s="322" t="e">
        <f ca="1">IF(OR(SUM('Offshore CF'!E104:$E$153)&lt;&gt;0,SUM('Offshore CF'!J104:$J$153)&lt;&gt;0),E92*(((G91+G92)/2)+I91),IF(SUM('Offshore CF'!E103:$E$153)-SUM('Offshore CF'!J103:$J$153)&lt;&gt;0,E92*(((G91+G92)/2)+I91),0))</f>
        <v>#N/A</v>
      </c>
      <c r="I92" s="322" t="e">
        <f ca="1">IF(OR(SUM('Offshore CF'!E104:$E$153)&lt;&gt;0,SUM('Offshore CF'!J104:$J$153)&lt;&gt;0),SUM($H$13:H92),IF(SUM('Offshore CF'!E$153:$E290)-SUM('Offshore CF'!J103:$J$153)&lt;&gt;0,SUM($H$13:H92),0))</f>
        <v>#N/A</v>
      </c>
      <c r="J92" s="322" t="e">
        <f ca="1">IF(OR(SUM('Offshore CF'!E104:$E$153)&lt;&gt;0,SUM('Offshore CF'!J104:$J$153)&lt;&gt;0),I92+G92,IF(SUM('Offshore CF'!E103:$E$153)-SUM('Offshore CF'!J103:$J$153)&lt;&gt;0,I92+G92,0))</f>
        <v>#N/A</v>
      </c>
      <c r="K92" s="323"/>
      <c r="L92" s="324">
        <f ca="1">IF(ISERROR('Offshore CF'!J103),0,'Offshore CF'!J103)</f>
        <v>0</v>
      </c>
      <c r="M92" s="325">
        <f ca="1">SUM($L$13:L92)</f>
        <v>1E-3</v>
      </c>
      <c r="N92" s="322" t="e">
        <f ca="1">IF(OR(SUM('Offshore CF'!E104:$E$153)&lt;&gt;0,SUM('Offshore CF'!J104:$J$153)&lt;&gt;0),E92*(((M91+M92)/2)+O91),IF(SUM('Offshore CF'!E103:$E$153)-SUM('Offshore CF'!J103:$J$153)&lt;&gt;0,E92*(((M91+M92)/2)+O91),0))</f>
        <v>#N/A</v>
      </c>
      <c r="O92" s="322" t="e">
        <f ca="1">IF(OR(SUM('Offshore CF'!E104:$E$153)&lt;&gt;0,SUM('Offshore CF'!J104:$J$153)&lt;&gt;0),SUM($N$13:N92),IF(SUM('Offshore CF'!E103:$E$153)-SUM('Offshore CF'!J103:$J$153)&lt;&gt;0,SUM($N$13:N92),0))</f>
        <v>#N/A</v>
      </c>
      <c r="P92" s="322" t="e">
        <f ca="1">IF(OR(SUM('Offshore CF'!E104:$E$153)&lt;&gt;0,SUM('Offshore CF'!J104:$J$153)&lt;&gt;0),O92+M92,IF(SUM('Offshore CF'!E103:$E$153)-SUM('Offshore CF'!J103:$J$153)&lt;&gt;0,O92+M92,0))</f>
        <v>#N/A</v>
      </c>
      <c r="R92" s="322" t="e">
        <f ca="1">IF(OR(SUM('Offshore CF'!E104:$E$153)&lt;&gt;0,SUM('Offshore CF'!J104:$J$153)&lt;&gt;0),G92-M92,IF(SUM('Offshore CF'!E103:$E$153)-SUM('Offshore CF'!J103:$J$153)&lt;&gt;0,G92-M92,0))</f>
        <v>#N/A</v>
      </c>
      <c r="S92" s="285"/>
      <c r="T92" s="322" t="e">
        <f ca="1">IF(OR(SUM('Offshore CF'!E104:$E$153)&lt;&gt;0,SUM('Offshore CF'!J104:$J$153)&lt;&gt;0),E92*(((R91+R92)/2)+SUM($T$13:T91)),IF(SUM('Offshore CF'!E103:$E$153)-SUM('Offshore CF'!J103:$J$153)&lt;&gt;0,E92*(((R91+R92)/2)+SUM($T$13:T91)),0))</f>
        <v>#N/A</v>
      </c>
      <c r="U92" s="322" t="e">
        <f t="shared" ca="1" si="10"/>
        <v>#N/A</v>
      </c>
      <c r="V92" s="319" t="e">
        <f t="shared" ca="1" si="11"/>
        <v>#N/A</v>
      </c>
      <c r="W92" s="285"/>
      <c r="X92" s="326"/>
    </row>
    <row r="93" spans="2:24">
      <c r="B93" s="327">
        <f>'Offshore CF'!B104</f>
        <v>77</v>
      </c>
      <c r="C93" s="310">
        <f>'Offshore CF'!C104</f>
        <v>45902.66920000012</v>
      </c>
      <c r="D93" s="311" t="e">
        <f t="shared" ca="1" si="8"/>
        <v>#N/A</v>
      </c>
      <c r="E93" s="312">
        <f t="shared" ca="1" si="9"/>
        <v>0</v>
      </c>
      <c r="F93" s="313">
        <f ca="1">IF(ISERROR('Offshore CF'!E104),0,'Offshore CF'!E104)</f>
        <v>0</v>
      </c>
      <c r="G93" s="319">
        <f ca="1">SUM($F$13:F93)</f>
        <v>0</v>
      </c>
      <c r="H93" s="322" t="e">
        <f ca="1">IF(OR(SUM('Offshore CF'!E105:$E$153)&lt;&gt;0,SUM('Offshore CF'!J105:$J$153)&lt;&gt;0),E93*(((G92+G93)/2)+I92),IF(SUM('Offshore CF'!E104:$E$153)-SUM('Offshore CF'!J104:$J$153)&lt;&gt;0,E93*(((G92+G93)/2)+I92),0))</f>
        <v>#N/A</v>
      </c>
      <c r="I93" s="322" t="e">
        <f ca="1">IF(OR(SUM('Offshore CF'!E105:$E$153)&lt;&gt;0,SUM('Offshore CF'!J105:$J$153)&lt;&gt;0),SUM($H$13:H93),IF(SUM('Offshore CF'!E$153:$E291)-SUM('Offshore CF'!J104:$J$153)&lt;&gt;0,SUM($H$13:H93),0))</f>
        <v>#N/A</v>
      </c>
      <c r="J93" s="322" t="e">
        <f ca="1">IF(OR(SUM('Offshore CF'!E105:$E$153)&lt;&gt;0,SUM('Offshore CF'!J105:$J$153)&lt;&gt;0),I93+G93,IF(SUM('Offshore CF'!E104:$E$153)-SUM('Offshore CF'!J104:$J$153)&lt;&gt;0,I93+G93,0))</f>
        <v>#N/A</v>
      </c>
      <c r="K93" s="323"/>
      <c r="L93" s="324">
        <f ca="1">IF(ISERROR('Offshore CF'!J104),0,'Offshore CF'!J104)</f>
        <v>0</v>
      </c>
      <c r="M93" s="325">
        <f ca="1">SUM($L$13:L93)</f>
        <v>1E-3</v>
      </c>
      <c r="N93" s="322" t="e">
        <f ca="1">IF(OR(SUM('Offshore CF'!E105:$E$153)&lt;&gt;0,SUM('Offshore CF'!J105:$J$153)&lt;&gt;0),E93*(((M92+M93)/2)+O92),IF(SUM('Offshore CF'!E104:$E$153)-SUM('Offshore CF'!J104:$J$153)&lt;&gt;0,E93*(((M92+M93)/2)+O92),0))</f>
        <v>#N/A</v>
      </c>
      <c r="O93" s="322" t="e">
        <f ca="1">IF(OR(SUM('Offshore CF'!E105:$E$153)&lt;&gt;0,SUM('Offshore CF'!J105:$J$153)&lt;&gt;0),SUM($N$13:N93),IF(SUM('Offshore CF'!E104:$E$153)-SUM('Offshore CF'!J104:$J$153)&lt;&gt;0,SUM($N$13:N93),0))</f>
        <v>#N/A</v>
      </c>
      <c r="P93" s="322" t="e">
        <f ca="1">IF(OR(SUM('Offshore CF'!E105:$E$153)&lt;&gt;0,SUM('Offshore CF'!J105:$J$153)&lt;&gt;0),O93+M93,IF(SUM('Offshore CF'!E104:$E$153)-SUM('Offshore CF'!J104:$J$153)&lt;&gt;0,O93+M93,0))</f>
        <v>#N/A</v>
      </c>
      <c r="R93" s="322" t="e">
        <f ca="1">IF(OR(SUM('Offshore CF'!E105:$E$153)&lt;&gt;0,SUM('Offshore CF'!J105:$J$153)&lt;&gt;0),G93-M93,IF(SUM('Offshore CF'!E104:$E$153)-SUM('Offshore CF'!J104:$J$153)&lt;&gt;0,G93-M93,0))</f>
        <v>#N/A</v>
      </c>
      <c r="S93" s="285"/>
      <c r="T93" s="322" t="e">
        <f ca="1">IF(OR(SUM('Offshore CF'!E105:$E$153)&lt;&gt;0,SUM('Offshore CF'!J105:$J$153)&lt;&gt;0),E93*(((R92+R93)/2)+SUM($T$13:T92)),IF(SUM('Offshore CF'!E104:$E$153)-SUM('Offshore CF'!J104:$J$153)&lt;&gt;0,E93*(((R92+R93)/2)+SUM($T$13:T92)),0))</f>
        <v>#N/A</v>
      </c>
      <c r="U93" s="322" t="e">
        <f t="shared" ca="1" si="10"/>
        <v>#N/A</v>
      </c>
      <c r="V93" s="319" t="e">
        <f t="shared" ca="1" si="11"/>
        <v>#N/A</v>
      </c>
      <c r="W93" s="285"/>
      <c r="X93" s="326"/>
    </row>
    <row r="94" spans="2:24">
      <c r="B94" s="327">
        <f>'Offshore CF'!B105</f>
        <v>78</v>
      </c>
      <c r="C94" s="310">
        <f>'Offshore CF'!C105</f>
        <v>45933.085900000122</v>
      </c>
      <c r="D94" s="311" t="e">
        <f t="shared" ca="1" si="8"/>
        <v>#N/A</v>
      </c>
      <c r="E94" s="312">
        <f t="shared" ca="1" si="9"/>
        <v>0</v>
      </c>
      <c r="F94" s="313">
        <f ca="1">IF(ISERROR('Offshore CF'!E105),0,'Offshore CF'!E105)</f>
        <v>0</v>
      </c>
      <c r="G94" s="319">
        <f ca="1">SUM($F$13:F94)</f>
        <v>0</v>
      </c>
      <c r="H94" s="322" t="e">
        <f ca="1">IF(OR(SUM('Offshore CF'!E106:$E$153)&lt;&gt;0,SUM('Offshore CF'!J106:$J$153)&lt;&gt;0),E94*(((G93+G94)/2)+I93),IF(SUM('Offshore CF'!E105:$E$153)-SUM('Offshore CF'!J105:$J$153)&lt;&gt;0,E94*(((G93+G94)/2)+I93),0))</f>
        <v>#N/A</v>
      </c>
      <c r="I94" s="322" t="e">
        <f ca="1">IF(OR(SUM('Offshore CF'!E106:$E$153)&lt;&gt;0,SUM('Offshore CF'!J106:$J$153)&lt;&gt;0),SUM($H$13:H94),IF(SUM('Offshore CF'!E$153:$E292)-SUM('Offshore CF'!J105:$J$153)&lt;&gt;0,SUM($H$13:H94),0))</f>
        <v>#N/A</v>
      </c>
      <c r="J94" s="322" t="e">
        <f ca="1">IF(OR(SUM('Offshore CF'!E106:$E$153)&lt;&gt;0,SUM('Offshore CF'!J106:$J$153)&lt;&gt;0),I94+G94,IF(SUM('Offshore CF'!E105:$E$153)-SUM('Offshore CF'!J105:$J$153)&lt;&gt;0,I94+G94,0))</f>
        <v>#N/A</v>
      </c>
      <c r="K94" s="323"/>
      <c r="L94" s="324">
        <f ca="1">IF(ISERROR('Offshore CF'!J105),0,'Offshore CF'!J105)</f>
        <v>0</v>
      </c>
      <c r="M94" s="325">
        <f ca="1">SUM($L$13:L94)</f>
        <v>1E-3</v>
      </c>
      <c r="N94" s="322" t="e">
        <f ca="1">IF(OR(SUM('Offshore CF'!E106:$E$153)&lt;&gt;0,SUM('Offshore CF'!J106:$J$153)&lt;&gt;0),E94*(((M93+M94)/2)+O93),IF(SUM('Offshore CF'!E105:$E$153)-SUM('Offshore CF'!J105:$J$153)&lt;&gt;0,E94*(((M93+M94)/2)+O93),0))</f>
        <v>#N/A</v>
      </c>
      <c r="O94" s="322" t="e">
        <f ca="1">IF(OR(SUM('Offshore CF'!E106:$E$153)&lt;&gt;0,SUM('Offshore CF'!J106:$J$153)&lt;&gt;0),SUM($N$13:N94),IF(SUM('Offshore CF'!E105:$E$153)-SUM('Offshore CF'!J105:$J$153)&lt;&gt;0,SUM($N$13:N94),0))</f>
        <v>#N/A</v>
      </c>
      <c r="P94" s="322" t="e">
        <f ca="1">IF(OR(SUM('Offshore CF'!E106:$E$153)&lt;&gt;0,SUM('Offshore CF'!J106:$J$153)&lt;&gt;0),O94+M94,IF(SUM('Offshore CF'!E105:$E$153)-SUM('Offshore CF'!J105:$J$153)&lt;&gt;0,O94+M94,0))</f>
        <v>#N/A</v>
      </c>
      <c r="R94" s="322" t="e">
        <f ca="1">IF(OR(SUM('Offshore CF'!E106:$E$153)&lt;&gt;0,SUM('Offshore CF'!J106:$J$153)&lt;&gt;0),G94-M94,IF(SUM('Offshore CF'!E105:$E$153)-SUM('Offshore CF'!J105:$J$153)&lt;&gt;0,G94-M94,0))</f>
        <v>#N/A</v>
      </c>
      <c r="S94" s="285"/>
      <c r="T94" s="322" t="e">
        <f ca="1">IF(OR(SUM('Offshore CF'!E106:$E$153)&lt;&gt;0,SUM('Offshore CF'!J106:$J$153)&lt;&gt;0),E94*(((R93+R94)/2)+SUM($T$13:T93)),IF(SUM('Offshore CF'!E105:$E$153)-SUM('Offshore CF'!J105:$J$153)&lt;&gt;0,E94*(((R93+R94)/2)+SUM($T$13:T93)),0))</f>
        <v>#N/A</v>
      </c>
      <c r="U94" s="322" t="e">
        <f t="shared" ca="1" si="10"/>
        <v>#N/A</v>
      </c>
      <c r="V94" s="319" t="e">
        <f t="shared" ca="1" si="11"/>
        <v>#N/A</v>
      </c>
      <c r="W94" s="285"/>
      <c r="X94" s="326"/>
    </row>
    <row r="95" spans="2:24">
      <c r="B95" s="327">
        <f>'Offshore CF'!B106</f>
        <v>79</v>
      </c>
      <c r="C95" s="310">
        <f>'Offshore CF'!C106</f>
        <v>45963.502600000123</v>
      </c>
      <c r="D95" s="311" t="e">
        <f t="shared" ca="1" si="8"/>
        <v>#N/A</v>
      </c>
      <c r="E95" s="312">
        <f t="shared" ca="1" si="9"/>
        <v>0</v>
      </c>
      <c r="F95" s="313">
        <f ca="1">IF(ISERROR('Offshore CF'!E106),0,'Offshore CF'!E106)</f>
        <v>0</v>
      </c>
      <c r="G95" s="319">
        <f ca="1">SUM($F$13:F95)</f>
        <v>0</v>
      </c>
      <c r="H95" s="322" t="e">
        <f ca="1">IF(OR(SUM('Offshore CF'!E107:$E$153)&lt;&gt;0,SUM('Offshore CF'!J107:$J$153)&lt;&gt;0),E95*(((G94+G95)/2)+I94),IF(SUM('Offshore CF'!E106:$E$153)-SUM('Offshore CF'!J106:$J$153)&lt;&gt;0,E95*(((G94+G95)/2)+I94),0))</f>
        <v>#N/A</v>
      </c>
      <c r="I95" s="322" t="e">
        <f ca="1">IF(OR(SUM('Offshore CF'!E107:$E$153)&lt;&gt;0,SUM('Offshore CF'!J107:$J$153)&lt;&gt;0),SUM($H$13:H95),IF(SUM('Offshore CF'!E$153:$E293)-SUM('Offshore CF'!J106:$J$153)&lt;&gt;0,SUM($H$13:H95),0))</f>
        <v>#N/A</v>
      </c>
      <c r="J95" s="322" t="e">
        <f ca="1">IF(OR(SUM('Offshore CF'!E107:$E$153)&lt;&gt;0,SUM('Offshore CF'!J107:$J$153)&lt;&gt;0),I95+G95,IF(SUM('Offshore CF'!E106:$E$153)-SUM('Offshore CF'!J106:$J$153)&lt;&gt;0,I95+G95,0))</f>
        <v>#N/A</v>
      </c>
      <c r="K95" s="323"/>
      <c r="L95" s="324">
        <f ca="1">IF(ISERROR('Offshore CF'!J106),0,'Offshore CF'!J106)</f>
        <v>0</v>
      </c>
      <c r="M95" s="325">
        <f ca="1">SUM($L$13:L95)</f>
        <v>1E-3</v>
      </c>
      <c r="N95" s="322" t="e">
        <f ca="1">IF(OR(SUM('Offshore CF'!E107:$E$153)&lt;&gt;0,SUM('Offshore CF'!J107:$J$153)&lt;&gt;0),E95*(((M94+M95)/2)+O94),IF(SUM('Offshore CF'!E106:$E$153)-SUM('Offshore CF'!J106:$J$153)&lt;&gt;0,E95*(((M94+M95)/2)+O94),0))</f>
        <v>#N/A</v>
      </c>
      <c r="O95" s="322" t="e">
        <f ca="1">IF(OR(SUM('Offshore CF'!E107:$E$153)&lt;&gt;0,SUM('Offshore CF'!J107:$J$153)&lt;&gt;0),SUM($N$13:N95),IF(SUM('Offshore CF'!E106:$E$153)-SUM('Offshore CF'!J106:$J$153)&lt;&gt;0,SUM($N$13:N95),0))</f>
        <v>#N/A</v>
      </c>
      <c r="P95" s="322" t="e">
        <f ca="1">IF(OR(SUM('Offshore CF'!E107:$E$153)&lt;&gt;0,SUM('Offshore CF'!J107:$J$153)&lt;&gt;0),O95+M95,IF(SUM('Offshore CF'!E106:$E$153)-SUM('Offshore CF'!J106:$J$153)&lt;&gt;0,O95+M95,0))</f>
        <v>#N/A</v>
      </c>
      <c r="R95" s="322" t="e">
        <f ca="1">IF(OR(SUM('Offshore CF'!E107:$E$153)&lt;&gt;0,SUM('Offshore CF'!J107:$J$153)&lt;&gt;0),G95-M95,IF(SUM('Offshore CF'!E106:$E$153)-SUM('Offshore CF'!J106:$J$153)&lt;&gt;0,G95-M95,0))</f>
        <v>#N/A</v>
      </c>
      <c r="S95" s="285"/>
      <c r="T95" s="322" t="e">
        <f ca="1">IF(OR(SUM('Offshore CF'!E107:$E$153)&lt;&gt;0,SUM('Offshore CF'!J107:$J$153)&lt;&gt;0),E95*(((R94+R95)/2)+SUM($T$13:T94)),IF(SUM('Offshore CF'!E106:$E$153)-SUM('Offshore CF'!J106:$J$153)&lt;&gt;0,E95*(((R94+R95)/2)+SUM($T$13:T94)),0))</f>
        <v>#N/A</v>
      </c>
      <c r="U95" s="322" t="e">
        <f t="shared" ca="1" si="10"/>
        <v>#N/A</v>
      </c>
      <c r="V95" s="319" t="e">
        <f t="shared" ca="1" si="11"/>
        <v>#N/A</v>
      </c>
      <c r="W95" s="285"/>
      <c r="X95" s="326"/>
    </row>
    <row r="96" spans="2:24">
      <c r="B96" s="327">
        <f>'Offshore CF'!B107</f>
        <v>80</v>
      </c>
      <c r="C96" s="310">
        <f>'Offshore CF'!C107</f>
        <v>45993.919300000125</v>
      </c>
      <c r="D96" s="311" t="e">
        <f t="shared" ca="1" si="8"/>
        <v>#N/A</v>
      </c>
      <c r="E96" s="312">
        <f t="shared" ca="1" si="9"/>
        <v>0</v>
      </c>
      <c r="F96" s="313">
        <f ca="1">IF(ISERROR('Offshore CF'!E107),0,'Offshore CF'!E107)</f>
        <v>0</v>
      </c>
      <c r="G96" s="319">
        <f ca="1">SUM($F$13:F96)</f>
        <v>0</v>
      </c>
      <c r="H96" s="322" t="e">
        <f ca="1">IF(OR(SUM('Offshore CF'!E108:$E$153)&lt;&gt;0,SUM('Offshore CF'!J108:$J$153)&lt;&gt;0),E96*(((G95+G96)/2)+I95),IF(SUM('Offshore CF'!E107:$E$153)-SUM('Offshore CF'!J107:$J$153)&lt;&gt;0,E96*(((G95+G96)/2)+I95),0))</f>
        <v>#N/A</v>
      </c>
      <c r="I96" s="322" t="e">
        <f ca="1">IF(OR(SUM('Offshore CF'!E108:$E$153)&lt;&gt;0,SUM('Offshore CF'!J108:$J$153)&lt;&gt;0),SUM($H$13:H96),IF(SUM('Offshore CF'!E$153:$E294)-SUM('Offshore CF'!J107:$J$153)&lt;&gt;0,SUM($H$13:H96),0))</f>
        <v>#N/A</v>
      </c>
      <c r="J96" s="322" t="e">
        <f ca="1">IF(OR(SUM('Offshore CF'!E108:$E$153)&lt;&gt;0,SUM('Offshore CF'!J108:$J$153)&lt;&gt;0),I96+G96,IF(SUM('Offshore CF'!E107:$E$153)-SUM('Offshore CF'!J107:$J$153)&lt;&gt;0,I96+G96,0))</f>
        <v>#N/A</v>
      </c>
      <c r="K96" s="323"/>
      <c r="L96" s="324">
        <f ca="1">IF(ISERROR('Offshore CF'!J107),0,'Offshore CF'!J107)</f>
        <v>0</v>
      </c>
      <c r="M96" s="325">
        <f ca="1">SUM($L$13:L96)</f>
        <v>1E-3</v>
      </c>
      <c r="N96" s="322" t="e">
        <f ca="1">IF(OR(SUM('Offshore CF'!E108:$E$153)&lt;&gt;0,SUM('Offshore CF'!J108:$J$153)&lt;&gt;0),E96*(((M95+M96)/2)+O95),IF(SUM('Offshore CF'!E107:$E$153)-SUM('Offshore CF'!J107:$J$153)&lt;&gt;0,E96*(((M95+M96)/2)+O95),0))</f>
        <v>#N/A</v>
      </c>
      <c r="O96" s="322" t="e">
        <f ca="1">IF(OR(SUM('Offshore CF'!E108:$E$153)&lt;&gt;0,SUM('Offshore CF'!J108:$J$153)&lt;&gt;0),SUM($N$13:N96),IF(SUM('Offshore CF'!E107:$E$153)-SUM('Offshore CF'!J107:$J$153)&lt;&gt;0,SUM($N$13:N96),0))</f>
        <v>#N/A</v>
      </c>
      <c r="P96" s="322" t="e">
        <f ca="1">IF(OR(SUM('Offshore CF'!E108:$E$153)&lt;&gt;0,SUM('Offshore CF'!J108:$J$153)&lt;&gt;0),O96+M96,IF(SUM('Offshore CF'!E107:$E$153)-SUM('Offshore CF'!J107:$J$153)&lt;&gt;0,O96+M96,0))</f>
        <v>#N/A</v>
      </c>
      <c r="R96" s="322" t="e">
        <f ca="1">IF(OR(SUM('Offshore CF'!E108:$E$153)&lt;&gt;0,SUM('Offshore CF'!J108:$J$153)&lt;&gt;0),G96-M96,IF(SUM('Offshore CF'!E107:$E$153)-SUM('Offshore CF'!J107:$J$153)&lt;&gt;0,G96-M96,0))</f>
        <v>#N/A</v>
      </c>
      <c r="S96" s="285"/>
      <c r="T96" s="322" t="e">
        <f ca="1">IF(OR(SUM('Offshore CF'!E108:$E$153)&lt;&gt;0,SUM('Offshore CF'!J108:$J$153)&lt;&gt;0),E96*(((R95+R96)/2)+SUM($T$13:T95)),IF(SUM('Offshore CF'!E107:$E$153)-SUM('Offshore CF'!J107:$J$153)&lt;&gt;0,E96*(((R95+R96)/2)+SUM($T$13:T95)),0))</f>
        <v>#N/A</v>
      </c>
      <c r="U96" s="322" t="e">
        <f t="shared" ca="1" si="10"/>
        <v>#N/A</v>
      </c>
      <c r="V96" s="319" t="e">
        <f t="shared" ca="1" si="11"/>
        <v>#N/A</v>
      </c>
      <c r="W96" s="285"/>
      <c r="X96" s="326"/>
    </row>
    <row r="97" spans="2:24">
      <c r="B97" s="327">
        <f>'Offshore CF'!B108</f>
        <v>81</v>
      </c>
      <c r="C97" s="310">
        <f>'Offshore CF'!C108</f>
        <v>46024.336000000127</v>
      </c>
      <c r="D97" s="311" t="e">
        <f t="shared" ca="1" si="8"/>
        <v>#N/A</v>
      </c>
      <c r="E97" s="312">
        <f t="shared" ca="1" si="9"/>
        <v>0</v>
      </c>
      <c r="F97" s="313">
        <f ca="1">IF(ISERROR('Offshore CF'!E108),0,'Offshore CF'!E108)</f>
        <v>0</v>
      </c>
      <c r="G97" s="319">
        <f ca="1">SUM($F$13:F97)</f>
        <v>0</v>
      </c>
      <c r="H97" s="322" t="e">
        <f ca="1">IF(OR(SUM('Offshore CF'!E109:$E$153)&lt;&gt;0,SUM('Offshore CF'!J109:$J$153)&lt;&gt;0),E97*(((G96+G97)/2)+I96),IF(SUM('Offshore CF'!E108:$E$153)-SUM('Offshore CF'!J108:$J$153)&lt;&gt;0,E97*(((G96+G97)/2)+I96),0))</f>
        <v>#N/A</v>
      </c>
      <c r="I97" s="322" t="e">
        <f ca="1">IF(OR(SUM('Offshore CF'!E109:$E$153)&lt;&gt;0,SUM('Offshore CF'!J109:$J$153)&lt;&gt;0),SUM($H$13:H97),IF(SUM('Offshore CF'!E$153:$E295)-SUM('Offshore CF'!J108:$J$153)&lt;&gt;0,SUM($H$13:H97),0))</f>
        <v>#N/A</v>
      </c>
      <c r="J97" s="322" t="e">
        <f ca="1">IF(OR(SUM('Offshore CF'!E109:$E$153)&lt;&gt;0,SUM('Offshore CF'!J109:$J$153)&lt;&gt;0),I97+G97,IF(SUM('Offshore CF'!E108:$E$153)-SUM('Offshore CF'!J108:$J$153)&lt;&gt;0,I97+G97,0))</f>
        <v>#N/A</v>
      </c>
      <c r="K97" s="323"/>
      <c r="L97" s="324">
        <f ca="1">IF(ISERROR('Offshore CF'!J108),0,'Offshore CF'!J108)</f>
        <v>0</v>
      </c>
      <c r="M97" s="325">
        <f ca="1">SUM($L$13:L97)</f>
        <v>1E-3</v>
      </c>
      <c r="N97" s="322" t="e">
        <f ca="1">IF(OR(SUM('Offshore CF'!E109:$E$153)&lt;&gt;0,SUM('Offshore CF'!J109:$J$153)&lt;&gt;0),E97*(((M96+M97)/2)+O96),IF(SUM('Offshore CF'!E108:$E$153)-SUM('Offshore CF'!J108:$J$153)&lt;&gt;0,E97*(((M96+M97)/2)+O96),0))</f>
        <v>#N/A</v>
      </c>
      <c r="O97" s="322" t="e">
        <f ca="1">IF(OR(SUM('Offshore CF'!E109:$E$153)&lt;&gt;0,SUM('Offshore CF'!J109:$J$153)&lt;&gt;0),SUM($N$13:N97),IF(SUM('Offshore CF'!E108:$E$153)-SUM('Offshore CF'!J108:$J$153)&lt;&gt;0,SUM($N$13:N97),0))</f>
        <v>#N/A</v>
      </c>
      <c r="P97" s="322" t="e">
        <f ca="1">IF(OR(SUM('Offshore CF'!E109:$E$153)&lt;&gt;0,SUM('Offshore CF'!J109:$J$153)&lt;&gt;0),O97+M97,IF(SUM('Offshore CF'!E108:$E$153)-SUM('Offshore CF'!J108:$J$153)&lt;&gt;0,O97+M97,0))</f>
        <v>#N/A</v>
      </c>
      <c r="R97" s="322" t="e">
        <f ca="1">IF(OR(SUM('Offshore CF'!E109:$E$153)&lt;&gt;0,SUM('Offshore CF'!J109:$J$153)&lt;&gt;0),G97-M97,IF(SUM('Offshore CF'!E108:$E$153)-SUM('Offshore CF'!J108:$J$153)&lt;&gt;0,G97-M97,0))</f>
        <v>#N/A</v>
      </c>
      <c r="S97" s="285"/>
      <c r="T97" s="322" t="e">
        <f ca="1">IF(OR(SUM('Offshore CF'!E109:$E$153)&lt;&gt;0,SUM('Offshore CF'!J109:$J$153)&lt;&gt;0),E97*(((R96+R97)/2)+SUM($T$13:T96)),IF(SUM('Offshore CF'!E108:$E$153)-SUM('Offshore CF'!J108:$J$153)&lt;&gt;0,E97*(((R96+R97)/2)+SUM($T$13:T96)),0))</f>
        <v>#N/A</v>
      </c>
      <c r="U97" s="322" t="e">
        <f t="shared" ca="1" si="10"/>
        <v>#N/A</v>
      </c>
      <c r="V97" s="319" t="e">
        <f t="shared" ca="1" si="11"/>
        <v>#N/A</v>
      </c>
      <c r="W97" s="285"/>
      <c r="X97" s="326"/>
    </row>
    <row r="98" spans="2:24">
      <c r="B98" s="327">
        <f>'Offshore CF'!B109</f>
        <v>82</v>
      </c>
      <c r="C98" s="310">
        <f>'Offshore CF'!C109</f>
        <v>46054.752700000128</v>
      </c>
      <c r="D98" s="311" t="e">
        <f t="shared" ca="1" si="8"/>
        <v>#N/A</v>
      </c>
      <c r="E98" s="312">
        <f t="shared" ca="1" si="9"/>
        <v>0</v>
      </c>
      <c r="F98" s="313">
        <f ca="1">IF(ISERROR('Offshore CF'!E109),0,'Offshore CF'!E109)</f>
        <v>0</v>
      </c>
      <c r="G98" s="319">
        <f ca="1">SUM($F$13:F98)</f>
        <v>0</v>
      </c>
      <c r="H98" s="322" t="e">
        <f ca="1">IF(OR(SUM('Offshore CF'!E110:$E$153)&lt;&gt;0,SUM('Offshore CF'!J110:$J$153)&lt;&gt;0),E98*(((G97+G98)/2)+I97),IF(SUM('Offshore CF'!E109:$E$153)-SUM('Offshore CF'!J109:$J$153)&lt;&gt;0,E98*(((G97+G98)/2)+I97),0))</f>
        <v>#N/A</v>
      </c>
      <c r="I98" s="322" t="e">
        <f ca="1">IF(OR(SUM('Offshore CF'!E110:$E$153)&lt;&gt;0,SUM('Offshore CF'!J110:$J$153)&lt;&gt;0),SUM($H$13:H98),IF(SUM('Offshore CF'!E$153:$E296)-SUM('Offshore CF'!J109:$J$153)&lt;&gt;0,SUM($H$13:H98),0))</f>
        <v>#N/A</v>
      </c>
      <c r="J98" s="322" t="e">
        <f ca="1">IF(OR(SUM('Offshore CF'!E110:$E$153)&lt;&gt;0,SUM('Offshore CF'!J110:$J$153)&lt;&gt;0),I98+G98,IF(SUM('Offshore CF'!E109:$E$153)-SUM('Offshore CF'!J109:$J$153)&lt;&gt;0,I98+G98,0))</f>
        <v>#N/A</v>
      </c>
      <c r="K98" s="323"/>
      <c r="L98" s="324">
        <f ca="1">IF(ISERROR('Offshore CF'!J109),0,'Offshore CF'!J109)</f>
        <v>0</v>
      </c>
      <c r="M98" s="325">
        <f ca="1">SUM($L$13:L98)</f>
        <v>1E-3</v>
      </c>
      <c r="N98" s="322" t="e">
        <f ca="1">IF(OR(SUM('Offshore CF'!E110:$E$153)&lt;&gt;0,SUM('Offshore CF'!J110:$J$153)&lt;&gt;0),E98*(((M97+M98)/2)+O97),IF(SUM('Offshore CF'!E109:$E$153)-SUM('Offshore CF'!J109:$J$153)&lt;&gt;0,E98*(((M97+M98)/2)+O97),0))</f>
        <v>#N/A</v>
      </c>
      <c r="O98" s="322" t="e">
        <f ca="1">IF(OR(SUM('Offshore CF'!E110:$E$153)&lt;&gt;0,SUM('Offshore CF'!J110:$J$153)&lt;&gt;0),SUM($N$13:N98),IF(SUM('Offshore CF'!E109:$E$153)-SUM('Offshore CF'!J109:$J$153)&lt;&gt;0,SUM($N$13:N98),0))</f>
        <v>#N/A</v>
      </c>
      <c r="P98" s="322" t="e">
        <f ca="1">IF(OR(SUM('Offshore CF'!E110:$E$153)&lt;&gt;0,SUM('Offshore CF'!J110:$J$153)&lt;&gt;0),O98+M98,IF(SUM('Offshore CF'!E109:$E$153)-SUM('Offshore CF'!J109:$J$153)&lt;&gt;0,O98+M98,0))</f>
        <v>#N/A</v>
      </c>
      <c r="R98" s="322" t="e">
        <f ca="1">IF(OR(SUM('Offshore CF'!E110:$E$153)&lt;&gt;0,SUM('Offshore CF'!J110:$J$153)&lt;&gt;0),G98-M98,IF(SUM('Offshore CF'!E109:$E$153)-SUM('Offshore CF'!J109:$J$153)&lt;&gt;0,G98-M98,0))</f>
        <v>#N/A</v>
      </c>
      <c r="S98" s="285"/>
      <c r="T98" s="322" t="e">
        <f ca="1">IF(OR(SUM('Offshore CF'!E110:$E$153)&lt;&gt;0,SUM('Offshore CF'!J110:$J$153)&lt;&gt;0),E98*(((R97+R98)/2)+SUM($T$13:T97)),IF(SUM('Offshore CF'!E109:$E$153)-SUM('Offshore CF'!J109:$J$153)&lt;&gt;0,E98*(((R97+R98)/2)+SUM($T$13:T97)),0))</f>
        <v>#N/A</v>
      </c>
      <c r="U98" s="322" t="e">
        <f t="shared" ca="1" si="10"/>
        <v>#N/A</v>
      </c>
      <c r="V98" s="319" t="e">
        <f t="shared" ca="1" si="11"/>
        <v>#N/A</v>
      </c>
      <c r="W98" s="285"/>
      <c r="X98" s="326"/>
    </row>
    <row r="99" spans="2:24">
      <c r="B99" s="327">
        <f>'Offshore CF'!B110</f>
        <v>83</v>
      </c>
      <c r="C99" s="310">
        <f>'Offshore CF'!C110</f>
        <v>46085.16940000013</v>
      </c>
      <c r="D99" s="311" t="e">
        <f t="shared" ca="1" si="8"/>
        <v>#N/A</v>
      </c>
      <c r="E99" s="312">
        <f t="shared" ca="1" si="9"/>
        <v>0</v>
      </c>
      <c r="F99" s="313">
        <f ca="1">IF(ISERROR('Offshore CF'!E110),0,'Offshore CF'!E110)</f>
        <v>0</v>
      </c>
      <c r="G99" s="319">
        <f ca="1">SUM($F$13:F99)</f>
        <v>0</v>
      </c>
      <c r="H99" s="322" t="e">
        <f ca="1">IF(OR(SUM('Offshore CF'!E111:$E$153)&lt;&gt;0,SUM('Offshore CF'!J111:$J$153)&lt;&gt;0),E99*(((G98+G99)/2)+I98),IF(SUM('Offshore CF'!E110:$E$153)-SUM('Offshore CF'!J110:$J$153)&lt;&gt;0,E99*(((G98+G99)/2)+I98),0))</f>
        <v>#N/A</v>
      </c>
      <c r="I99" s="322" t="e">
        <f ca="1">IF(OR(SUM('Offshore CF'!E111:$E$153)&lt;&gt;0,SUM('Offshore CF'!J111:$J$153)&lt;&gt;0),SUM($H$13:H99),IF(SUM('Offshore CF'!E$153:$E297)-SUM('Offshore CF'!J110:$J$153)&lt;&gt;0,SUM($H$13:H99),0))</f>
        <v>#N/A</v>
      </c>
      <c r="J99" s="322" t="e">
        <f ca="1">IF(OR(SUM('Offshore CF'!E111:$E$153)&lt;&gt;0,SUM('Offshore CF'!J111:$J$153)&lt;&gt;0),I99+G99,IF(SUM('Offshore CF'!E110:$E$153)-SUM('Offshore CF'!J110:$J$153)&lt;&gt;0,I99+G99,0))</f>
        <v>#N/A</v>
      </c>
      <c r="K99" s="323"/>
      <c r="L99" s="324">
        <f ca="1">IF(ISERROR('Offshore CF'!J110),0,'Offshore CF'!J110)</f>
        <v>0</v>
      </c>
      <c r="M99" s="325">
        <f ca="1">SUM($L$13:L99)</f>
        <v>1E-3</v>
      </c>
      <c r="N99" s="322" t="e">
        <f ca="1">IF(OR(SUM('Offshore CF'!E111:$E$153)&lt;&gt;0,SUM('Offshore CF'!J111:$J$153)&lt;&gt;0),E99*(((M98+M99)/2)+O98),IF(SUM('Offshore CF'!E110:$E$153)-SUM('Offshore CF'!J110:$J$153)&lt;&gt;0,E99*(((M98+M99)/2)+O98),0))</f>
        <v>#N/A</v>
      </c>
      <c r="O99" s="322" t="e">
        <f ca="1">IF(OR(SUM('Offshore CF'!E111:$E$153)&lt;&gt;0,SUM('Offshore CF'!J111:$J$153)&lt;&gt;0),SUM($N$13:N99),IF(SUM('Offshore CF'!E110:$E$153)-SUM('Offshore CF'!J110:$J$153)&lt;&gt;0,SUM($N$13:N99),0))</f>
        <v>#N/A</v>
      </c>
      <c r="P99" s="322" t="e">
        <f ca="1">IF(OR(SUM('Offshore CF'!E111:$E$153)&lt;&gt;0,SUM('Offshore CF'!J111:$J$153)&lt;&gt;0),O99+M99,IF(SUM('Offshore CF'!E110:$E$153)-SUM('Offshore CF'!J110:$J$153)&lt;&gt;0,O99+M99,0))</f>
        <v>#N/A</v>
      </c>
      <c r="R99" s="322" t="e">
        <f ca="1">IF(OR(SUM('Offshore CF'!E111:$E$153)&lt;&gt;0,SUM('Offshore CF'!J111:$J$153)&lt;&gt;0),G99-M99,IF(SUM('Offshore CF'!E110:$E$153)-SUM('Offshore CF'!J110:$J$153)&lt;&gt;0,G99-M99,0))</f>
        <v>#N/A</v>
      </c>
      <c r="S99" s="285"/>
      <c r="T99" s="322" t="e">
        <f ca="1">IF(OR(SUM('Offshore CF'!E111:$E$153)&lt;&gt;0,SUM('Offshore CF'!J111:$J$153)&lt;&gt;0),E99*(((R98+R99)/2)+SUM($T$13:T98)),IF(SUM('Offshore CF'!E110:$E$153)-SUM('Offshore CF'!J110:$J$153)&lt;&gt;0,E99*(((R98+R99)/2)+SUM($T$13:T98)),0))</f>
        <v>#N/A</v>
      </c>
      <c r="U99" s="322" t="e">
        <f t="shared" ca="1" si="10"/>
        <v>#N/A</v>
      </c>
      <c r="V99" s="319" t="e">
        <f t="shared" ca="1" si="11"/>
        <v>#N/A</v>
      </c>
      <c r="W99" s="285"/>
      <c r="X99" s="326"/>
    </row>
    <row r="100" spans="2:24">
      <c r="B100" s="327">
        <f>'Offshore CF'!B111</f>
        <v>84</v>
      </c>
      <c r="C100" s="310">
        <f>'Offshore CF'!C111</f>
        <v>46115.586100000131</v>
      </c>
      <c r="D100" s="311" t="e">
        <f t="shared" ca="1" si="8"/>
        <v>#N/A</v>
      </c>
      <c r="E100" s="312">
        <f t="shared" ca="1" si="9"/>
        <v>0</v>
      </c>
      <c r="F100" s="313">
        <f ca="1">IF(ISERROR('Offshore CF'!E111),0,'Offshore CF'!E111)</f>
        <v>0</v>
      </c>
      <c r="G100" s="319">
        <f ca="1">SUM($F$13:F100)</f>
        <v>0</v>
      </c>
      <c r="H100" s="322" t="e">
        <f ca="1">IF(OR(SUM('Offshore CF'!E112:$E$153)&lt;&gt;0,SUM('Offshore CF'!J112:$J$153)&lt;&gt;0),E100*(((G99+G100)/2)+I99),IF(SUM('Offshore CF'!E111:$E$153)-SUM('Offshore CF'!J111:$J$153)&lt;&gt;0,E100*(((G99+G100)/2)+I99),0))</f>
        <v>#N/A</v>
      </c>
      <c r="I100" s="322" t="e">
        <f ca="1">IF(OR(SUM('Offshore CF'!E112:$E$153)&lt;&gt;0,SUM('Offshore CF'!J112:$J$153)&lt;&gt;0),SUM($H$13:H100),IF(SUM('Offshore CF'!E$153:$E298)-SUM('Offshore CF'!J111:$J$153)&lt;&gt;0,SUM($H$13:H100),0))</f>
        <v>#N/A</v>
      </c>
      <c r="J100" s="322" t="e">
        <f ca="1">IF(OR(SUM('Offshore CF'!E112:$E$153)&lt;&gt;0,SUM('Offshore CF'!J112:$J$153)&lt;&gt;0),I100+G100,IF(SUM('Offshore CF'!E111:$E$153)-SUM('Offshore CF'!J111:$J$153)&lt;&gt;0,I100+G100,0))</f>
        <v>#N/A</v>
      </c>
      <c r="K100" s="323"/>
      <c r="L100" s="324">
        <f ca="1">IF(ISERROR('Offshore CF'!J111),0,'Offshore CF'!J111)</f>
        <v>0</v>
      </c>
      <c r="M100" s="325">
        <f ca="1">SUM($L$13:L100)</f>
        <v>1E-3</v>
      </c>
      <c r="N100" s="322" t="e">
        <f ca="1">IF(OR(SUM('Offshore CF'!E112:$E$153)&lt;&gt;0,SUM('Offshore CF'!J112:$J$153)&lt;&gt;0),E100*(((M99+M100)/2)+O99),IF(SUM('Offshore CF'!E111:$E$153)-SUM('Offshore CF'!J111:$J$153)&lt;&gt;0,E100*(((M99+M100)/2)+O99),0))</f>
        <v>#N/A</v>
      </c>
      <c r="O100" s="322" t="e">
        <f ca="1">IF(OR(SUM('Offshore CF'!E112:$E$153)&lt;&gt;0,SUM('Offshore CF'!J112:$J$153)&lt;&gt;0),SUM($N$13:N100),IF(SUM('Offshore CF'!E111:$E$153)-SUM('Offshore CF'!J111:$J$153)&lt;&gt;0,SUM($N$13:N100),0))</f>
        <v>#N/A</v>
      </c>
      <c r="P100" s="322" t="e">
        <f ca="1">IF(OR(SUM('Offshore CF'!E112:$E$153)&lt;&gt;0,SUM('Offshore CF'!J112:$J$153)&lt;&gt;0),O100+M100,IF(SUM('Offshore CF'!E111:$E$153)-SUM('Offshore CF'!J111:$J$153)&lt;&gt;0,O100+M100,0))</f>
        <v>#N/A</v>
      </c>
      <c r="R100" s="322" t="e">
        <f ca="1">IF(OR(SUM('Offshore CF'!E112:$E$153)&lt;&gt;0,SUM('Offshore CF'!J112:$J$153)&lt;&gt;0),G100-M100,IF(SUM('Offshore CF'!E111:$E$153)-SUM('Offshore CF'!J111:$J$153)&lt;&gt;0,G100-M100,0))</f>
        <v>#N/A</v>
      </c>
      <c r="S100" s="285"/>
      <c r="T100" s="322" t="e">
        <f ca="1">IF(OR(SUM('Offshore CF'!E112:$E$153)&lt;&gt;0,SUM('Offshore CF'!J112:$J$153)&lt;&gt;0),E100*(((R99+R100)/2)+SUM($T$13:T99)),IF(SUM('Offshore CF'!E111:$E$153)-SUM('Offshore CF'!J111:$J$153)&lt;&gt;0,E100*(((R99+R100)/2)+SUM($T$13:T99)),0))</f>
        <v>#N/A</v>
      </c>
      <c r="U100" s="322" t="e">
        <f t="shared" ca="1" si="10"/>
        <v>#N/A</v>
      </c>
      <c r="V100" s="319" t="e">
        <f t="shared" ca="1" si="11"/>
        <v>#N/A</v>
      </c>
      <c r="W100" s="285"/>
      <c r="X100" s="326"/>
    </row>
    <row r="101" spans="2:24">
      <c r="B101" s="327">
        <f>'Offshore CF'!B112</f>
        <v>85</v>
      </c>
      <c r="C101" s="310">
        <f>'Offshore CF'!C112</f>
        <v>46146.002800000133</v>
      </c>
      <c r="D101" s="311" t="e">
        <f t="shared" ca="1" si="8"/>
        <v>#N/A</v>
      </c>
      <c r="E101" s="312">
        <f t="shared" ca="1" si="9"/>
        <v>0</v>
      </c>
      <c r="F101" s="313">
        <f ca="1">IF(ISERROR('Offshore CF'!E112),0,'Offshore CF'!E112)</f>
        <v>0</v>
      </c>
      <c r="G101" s="319">
        <f ca="1">SUM($F$13:F101)</f>
        <v>0</v>
      </c>
      <c r="H101" s="322" t="e">
        <f ca="1">IF(OR(SUM('Offshore CF'!E113:$E$153)&lt;&gt;0,SUM('Offshore CF'!J113:$J$153)&lt;&gt;0),E101*(((G100+G101)/2)+I100),IF(SUM('Offshore CF'!E112:$E$153)-SUM('Offshore CF'!J112:$J$153)&lt;&gt;0,E101*(((G100+G101)/2)+I100),0))</f>
        <v>#N/A</v>
      </c>
      <c r="I101" s="322" t="e">
        <f ca="1">IF(OR(SUM('Offshore CF'!E113:$E$153)&lt;&gt;0,SUM('Offshore CF'!J113:$J$153)&lt;&gt;0),SUM($H$13:H101),IF(SUM('Offshore CF'!E$153:$E299)-SUM('Offshore CF'!J112:$J$153)&lt;&gt;0,SUM($H$13:H101),0))</f>
        <v>#N/A</v>
      </c>
      <c r="J101" s="322" t="e">
        <f ca="1">IF(OR(SUM('Offshore CF'!E113:$E$153)&lt;&gt;0,SUM('Offshore CF'!J113:$J$153)&lt;&gt;0),I101+G101,IF(SUM('Offshore CF'!E112:$E$153)-SUM('Offshore CF'!J112:$J$153)&lt;&gt;0,I101+G101,0))</f>
        <v>#N/A</v>
      </c>
      <c r="K101" s="323"/>
      <c r="L101" s="324">
        <f ca="1">IF(ISERROR('Offshore CF'!J112),0,'Offshore CF'!J112)</f>
        <v>0</v>
      </c>
      <c r="M101" s="325">
        <f ca="1">SUM($L$13:L101)</f>
        <v>1E-3</v>
      </c>
      <c r="N101" s="322" t="e">
        <f ca="1">IF(OR(SUM('Offshore CF'!E113:$E$153)&lt;&gt;0,SUM('Offshore CF'!J113:$J$153)&lt;&gt;0),E101*(((M100+M101)/2)+O100),IF(SUM('Offshore CF'!E112:$E$153)-SUM('Offshore CF'!J112:$J$153)&lt;&gt;0,E101*(((M100+M101)/2)+O100),0))</f>
        <v>#N/A</v>
      </c>
      <c r="O101" s="322" t="e">
        <f ca="1">IF(OR(SUM('Offshore CF'!E113:$E$153)&lt;&gt;0,SUM('Offshore CF'!J113:$J$153)&lt;&gt;0),SUM($N$13:N101),IF(SUM('Offshore CF'!E112:$E$153)-SUM('Offshore CF'!J112:$J$153)&lt;&gt;0,SUM($N$13:N101),0))</f>
        <v>#N/A</v>
      </c>
      <c r="P101" s="322" t="e">
        <f ca="1">IF(OR(SUM('Offshore CF'!E113:$E$153)&lt;&gt;0,SUM('Offshore CF'!J113:$J$153)&lt;&gt;0),O101+M101,IF(SUM('Offshore CF'!E112:$E$153)-SUM('Offshore CF'!J112:$J$153)&lt;&gt;0,O101+M101,0))</f>
        <v>#N/A</v>
      </c>
      <c r="R101" s="322" t="e">
        <f ca="1">IF(OR(SUM('Offshore CF'!E113:$E$153)&lt;&gt;0,SUM('Offshore CF'!J113:$J$153)&lt;&gt;0),G101-M101,IF(SUM('Offshore CF'!E112:$E$153)-SUM('Offshore CF'!J112:$J$153)&lt;&gt;0,G101-M101,0))</f>
        <v>#N/A</v>
      </c>
      <c r="S101" s="285"/>
      <c r="T101" s="322" t="e">
        <f ca="1">IF(OR(SUM('Offshore CF'!E113:$E$153)&lt;&gt;0,SUM('Offshore CF'!J113:$J$153)&lt;&gt;0),E101*(((R100+R101)/2)+SUM($T$13:T100)),IF(SUM('Offshore CF'!E112:$E$153)-SUM('Offshore CF'!J112:$J$153)&lt;&gt;0,E101*(((R100+R101)/2)+SUM($T$13:T100)),0))</f>
        <v>#N/A</v>
      </c>
      <c r="U101" s="322" t="e">
        <f t="shared" ca="1" si="10"/>
        <v>#N/A</v>
      </c>
      <c r="V101" s="319" t="e">
        <f t="shared" ca="1" si="11"/>
        <v>#N/A</v>
      </c>
      <c r="W101" s="285"/>
      <c r="X101" s="326"/>
    </row>
    <row r="102" spans="2:24">
      <c r="B102" s="327">
        <f>'Offshore CF'!B113</f>
        <v>86</v>
      </c>
      <c r="C102" s="310">
        <f>'Offshore CF'!C113</f>
        <v>46176.419500000135</v>
      </c>
      <c r="D102" s="311" t="e">
        <f t="shared" ca="1" si="8"/>
        <v>#N/A</v>
      </c>
      <c r="E102" s="312">
        <f t="shared" ca="1" si="9"/>
        <v>0</v>
      </c>
      <c r="F102" s="313">
        <f ca="1">IF(ISERROR('Offshore CF'!E113),0,'Offshore CF'!E113)</f>
        <v>0</v>
      </c>
      <c r="G102" s="319">
        <f ca="1">SUM($F$13:F102)</f>
        <v>0</v>
      </c>
      <c r="H102" s="322" t="e">
        <f ca="1">IF(OR(SUM('Offshore CF'!E114:$E$153)&lt;&gt;0,SUM('Offshore CF'!J114:$J$153)&lt;&gt;0),E102*(((G101+G102)/2)+I101),IF(SUM('Offshore CF'!E113:$E$153)-SUM('Offshore CF'!J113:$J$153)&lt;&gt;0,E102*(((G101+G102)/2)+I101),0))</f>
        <v>#N/A</v>
      </c>
      <c r="I102" s="322" t="e">
        <f ca="1">IF(OR(SUM('Offshore CF'!E114:$E$153)&lt;&gt;0,SUM('Offshore CF'!J114:$J$153)&lt;&gt;0),SUM($H$13:H102),IF(SUM('Offshore CF'!E$153:$E300)-SUM('Offshore CF'!J113:$J$153)&lt;&gt;0,SUM($H$13:H102),0))</f>
        <v>#N/A</v>
      </c>
      <c r="J102" s="322" t="e">
        <f ca="1">IF(OR(SUM('Offshore CF'!E114:$E$153)&lt;&gt;0,SUM('Offshore CF'!J114:$J$153)&lt;&gt;0),I102+G102,IF(SUM('Offshore CF'!E113:$E$153)-SUM('Offshore CF'!J113:$J$153)&lt;&gt;0,I102+G102,0))</f>
        <v>#N/A</v>
      </c>
      <c r="K102" s="323"/>
      <c r="L102" s="324">
        <f ca="1">IF(ISERROR('Offshore CF'!J113),0,'Offshore CF'!J113)</f>
        <v>0</v>
      </c>
      <c r="M102" s="325">
        <f ca="1">SUM($L$13:L102)</f>
        <v>1E-3</v>
      </c>
      <c r="N102" s="322" t="e">
        <f ca="1">IF(OR(SUM('Offshore CF'!E114:$E$153)&lt;&gt;0,SUM('Offshore CF'!J114:$J$153)&lt;&gt;0),E102*(((M101+M102)/2)+O101),IF(SUM('Offshore CF'!E113:$E$153)-SUM('Offshore CF'!J113:$J$153)&lt;&gt;0,E102*(((M101+M102)/2)+O101),0))</f>
        <v>#N/A</v>
      </c>
      <c r="O102" s="322" t="e">
        <f ca="1">IF(OR(SUM('Offshore CF'!E114:$E$153)&lt;&gt;0,SUM('Offshore CF'!J114:$J$153)&lt;&gt;0),SUM($N$13:N102),IF(SUM('Offshore CF'!E113:$E$153)-SUM('Offshore CF'!J113:$J$153)&lt;&gt;0,SUM($N$13:N102),0))</f>
        <v>#N/A</v>
      </c>
      <c r="P102" s="322" t="e">
        <f ca="1">IF(OR(SUM('Offshore CF'!E114:$E$153)&lt;&gt;0,SUM('Offshore CF'!J114:$J$153)&lt;&gt;0),O102+M102,IF(SUM('Offshore CF'!E113:$E$153)-SUM('Offshore CF'!J113:$J$153)&lt;&gt;0,O102+M102,0))</f>
        <v>#N/A</v>
      </c>
      <c r="R102" s="322" t="e">
        <f ca="1">IF(OR(SUM('Offshore CF'!E114:$E$153)&lt;&gt;0,SUM('Offshore CF'!J114:$J$153)&lt;&gt;0),G102-M102,IF(SUM('Offshore CF'!E113:$E$153)-SUM('Offshore CF'!J113:$J$153)&lt;&gt;0,G102-M102,0))</f>
        <v>#N/A</v>
      </c>
      <c r="S102" s="285"/>
      <c r="T102" s="322" t="e">
        <f ca="1">IF(OR(SUM('Offshore CF'!E114:$E$153)&lt;&gt;0,SUM('Offshore CF'!J114:$J$153)&lt;&gt;0),E102*(((R101+R102)/2)+SUM($T$13:T101)),IF(SUM('Offshore CF'!E113:$E$153)-SUM('Offshore CF'!J113:$J$153)&lt;&gt;0,E102*(((R101+R102)/2)+SUM($T$13:T101)),0))</f>
        <v>#N/A</v>
      </c>
      <c r="U102" s="322" t="e">
        <f t="shared" ca="1" si="10"/>
        <v>#N/A</v>
      </c>
      <c r="V102" s="319" t="e">
        <f t="shared" ca="1" si="11"/>
        <v>#N/A</v>
      </c>
      <c r="W102" s="285"/>
      <c r="X102" s="326"/>
    </row>
    <row r="103" spans="2:24">
      <c r="B103" s="309">
        <f>'Offshore CF'!B114</f>
        <v>87</v>
      </c>
      <c r="C103" s="310">
        <f>'Offshore CF'!C114</f>
        <v>46206.836200000136</v>
      </c>
      <c r="D103" s="311" t="e">
        <f t="shared" ca="1" si="8"/>
        <v>#N/A</v>
      </c>
      <c r="E103" s="312">
        <f t="shared" ca="1" si="9"/>
        <v>0</v>
      </c>
      <c r="F103" s="313">
        <f ca="1">IF(ISERROR('Offshore CF'!E114),0,'Offshore CF'!E114)</f>
        <v>0</v>
      </c>
      <c r="G103" s="319">
        <f ca="1">SUM($F$13:F103)</f>
        <v>0</v>
      </c>
      <c r="H103" s="322" t="e">
        <f ca="1">IF(OR(SUM('Offshore CF'!E115:$E$153)&lt;&gt;0,SUM('Offshore CF'!J115:$J$153)&lt;&gt;0),E103*(((G102+G103)/2)+I102),IF(SUM('Offshore CF'!E114:$E$153)-SUM('Offshore CF'!J114:$J$153)&lt;&gt;0,E103*(((G102+G103)/2)+I102),0))</f>
        <v>#N/A</v>
      </c>
      <c r="I103" s="322" t="e">
        <f ca="1">IF(OR(SUM('Offshore CF'!E115:$E$153)&lt;&gt;0,SUM('Offshore CF'!J115:$J$153)&lt;&gt;0),SUM($H$13:H103),IF(SUM('Offshore CF'!E$153:$E301)-SUM('Offshore CF'!J114:$J$153)&lt;&gt;0,SUM($H$13:H103),0))</f>
        <v>#N/A</v>
      </c>
      <c r="J103" s="322" t="e">
        <f ca="1">IF(OR(SUM('Offshore CF'!E115:$E$153)&lt;&gt;0,SUM('Offshore CF'!J115:$J$153)&lt;&gt;0),I103+G103,IF(SUM('Offshore CF'!E114:$E$153)-SUM('Offshore CF'!J114:$J$153)&lt;&gt;0,I103+G103,0))</f>
        <v>#N/A</v>
      </c>
      <c r="K103" s="323"/>
      <c r="L103" s="324">
        <f ca="1">IF(ISERROR('Offshore CF'!J114),0,'Offshore CF'!J114)</f>
        <v>0</v>
      </c>
      <c r="M103" s="325">
        <f ca="1">SUM($L$13:L103)</f>
        <v>1E-3</v>
      </c>
      <c r="N103" s="322" t="e">
        <f ca="1">IF(OR(SUM('Offshore CF'!E115:$E$153)&lt;&gt;0,SUM('Offshore CF'!J115:$J$153)&lt;&gt;0),E103*(((M102+M103)/2)+O102),IF(SUM('Offshore CF'!E114:$E$153)-SUM('Offshore CF'!J114:$J$153)&lt;&gt;0,E103*(((M102+M103)/2)+O102),0))</f>
        <v>#N/A</v>
      </c>
      <c r="O103" s="322" t="e">
        <f ca="1">IF(OR(SUM('Offshore CF'!E115:$E$153)&lt;&gt;0,SUM('Offshore CF'!J115:$J$153)&lt;&gt;0),SUM($N$13:N103),IF(SUM('Offshore CF'!E114:$E$153)-SUM('Offshore CF'!J114:$J$153)&lt;&gt;0,SUM($N$13:N103),0))</f>
        <v>#N/A</v>
      </c>
      <c r="P103" s="322" t="e">
        <f ca="1">IF(OR(SUM('Offshore CF'!E115:$E$153)&lt;&gt;0,SUM('Offshore CF'!J115:$J$153)&lt;&gt;0),O103+M103,IF(SUM('Offshore CF'!E114:$E$153)-SUM('Offshore CF'!J114:$J$153)&lt;&gt;0,O103+M103,0))</f>
        <v>#N/A</v>
      </c>
      <c r="R103" s="322" t="e">
        <f ca="1">IF(OR(SUM('Offshore CF'!E115:$E$153)&lt;&gt;0,SUM('Offshore CF'!J115:$J$153)&lt;&gt;0),G103-M103,IF(SUM('Offshore CF'!E114:$E$153)-SUM('Offshore CF'!J114:$J$153)&lt;&gt;0,G103-M103,0))</f>
        <v>#N/A</v>
      </c>
      <c r="S103" s="285"/>
      <c r="T103" s="322" t="e">
        <f ca="1">IF(OR(SUM('Offshore CF'!E115:$E$153)&lt;&gt;0,SUM('Offshore CF'!J115:$J$153)&lt;&gt;0),E103*(((R102+R103)/2)+SUM($T$13:T102)),IF(SUM('Offshore CF'!E114:$E$153)-SUM('Offshore CF'!J114:$J$153)&lt;&gt;0,E103*(((R102+R103)/2)+SUM($T$13:T102)),0))</f>
        <v>#N/A</v>
      </c>
      <c r="U103" s="322" t="e">
        <f t="shared" ca="1" si="10"/>
        <v>#N/A</v>
      </c>
      <c r="V103" s="319" t="e">
        <f t="shared" ca="1" si="11"/>
        <v>#N/A</v>
      </c>
      <c r="W103" s="285"/>
      <c r="X103" s="326"/>
    </row>
    <row r="104" spans="2:24">
      <c r="B104" s="309">
        <f>'Offshore CF'!B115</f>
        <v>88</v>
      </c>
      <c r="C104" s="310">
        <f>'Offshore CF'!C115</f>
        <v>46237.252900000138</v>
      </c>
      <c r="D104" s="311" t="e">
        <f t="shared" ca="1" si="8"/>
        <v>#N/A</v>
      </c>
      <c r="E104" s="312">
        <f t="shared" ca="1" si="9"/>
        <v>0</v>
      </c>
      <c r="F104" s="313">
        <f ca="1">IF(ISERROR('Offshore CF'!E115),0,'Offshore CF'!E115)</f>
        <v>0</v>
      </c>
      <c r="G104" s="319">
        <f ca="1">SUM($F$13:F104)</f>
        <v>0</v>
      </c>
      <c r="H104" s="322" t="e">
        <f ca="1">IF(OR(SUM('Offshore CF'!E116:$E$153)&lt;&gt;0,SUM('Offshore CF'!J116:$J$153)&lt;&gt;0),E104*(((G103+G104)/2)+I103),IF(SUM('Offshore CF'!E115:$E$153)-SUM('Offshore CF'!J115:$J$153)&lt;&gt;0,E104*(((G103+G104)/2)+I103),0))</f>
        <v>#N/A</v>
      </c>
      <c r="I104" s="322" t="e">
        <f ca="1">IF(OR(SUM('Offshore CF'!E116:$E$153)&lt;&gt;0,SUM('Offshore CF'!J116:$J$153)&lt;&gt;0),SUM($H$13:H104),IF(SUM('Offshore CF'!E$153:$E302)-SUM('Offshore CF'!J115:$J$153)&lt;&gt;0,SUM($H$13:H104),0))</f>
        <v>#N/A</v>
      </c>
      <c r="J104" s="322" t="e">
        <f ca="1">IF(OR(SUM('Offshore CF'!E116:$E$153)&lt;&gt;0,SUM('Offshore CF'!J116:$J$153)&lt;&gt;0),I104+G104,IF(SUM('Offshore CF'!E115:$E$153)-SUM('Offshore CF'!J115:$J$153)&lt;&gt;0,I104+G104,0))</f>
        <v>#N/A</v>
      </c>
      <c r="K104" s="323"/>
      <c r="L104" s="324">
        <f ca="1">IF(ISERROR('Offshore CF'!J115),0,'Offshore CF'!J115)</f>
        <v>0</v>
      </c>
      <c r="M104" s="325">
        <f ca="1">SUM($L$13:L104)</f>
        <v>1E-3</v>
      </c>
      <c r="N104" s="322" t="e">
        <f ca="1">IF(OR(SUM('Offshore CF'!E116:$E$153)&lt;&gt;0,SUM('Offshore CF'!J116:$J$153)&lt;&gt;0),E104*(((M103+M104)/2)+O103),IF(SUM('Offshore CF'!E115:$E$153)-SUM('Offshore CF'!J115:$J$153)&lt;&gt;0,E104*(((M103+M104)/2)+O103),0))</f>
        <v>#N/A</v>
      </c>
      <c r="O104" s="322" t="e">
        <f ca="1">IF(OR(SUM('Offshore CF'!E116:$E$153)&lt;&gt;0,SUM('Offshore CF'!J116:$J$153)&lt;&gt;0),SUM($N$13:N104),IF(SUM('Offshore CF'!E115:$E$153)-SUM('Offshore CF'!J115:$J$153)&lt;&gt;0,SUM($N$13:N104),0))</f>
        <v>#N/A</v>
      </c>
      <c r="P104" s="322" t="e">
        <f ca="1">IF(OR(SUM('Offshore CF'!E116:$E$153)&lt;&gt;0,SUM('Offshore CF'!J116:$J$153)&lt;&gt;0),O104+M104,IF(SUM('Offshore CF'!E115:$E$153)-SUM('Offshore CF'!J115:$J$153)&lt;&gt;0,O104+M104,0))</f>
        <v>#N/A</v>
      </c>
      <c r="R104" s="322" t="e">
        <f ca="1">IF(OR(SUM('Offshore CF'!E116:$E$153)&lt;&gt;0,SUM('Offshore CF'!J116:$J$153)&lt;&gt;0),G104-M104,IF(SUM('Offshore CF'!E115:$E$153)-SUM('Offshore CF'!J115:$J$153)&lt;&gt;0,G104-M104,0))</f>
        <v>#N/A</v>
      </c>
      <c r="S104" s="285"/>
      <c r="T104" s="322" t="e">
        <f ca="1">IF(OR(SUM('Offshore CF'!E116:$E$153)&lt;&gt;0,SUM('Offshore CF'!J116:$J$153)&lt;&gt;0),E104*(((R103+R104)/2)+SUM($T$13:T103)),IF(SUM('Offshore CF'!E115:$E$153)-SUM('Offshore CF'!J115:$J$153)&lt;&gt;0,E104*(((R103+R104)/2)+SUM($T$13:T103)),0))</f>
        <v>#N/A</v>
      </c>
      <c r="U104" s="322" t="e">
        <f t="shared" ca="1" si="10"/>
        <v>#N/A</v>
      </c>
      <c r="V104" s="319" t="e">
        <f t="shared" ca="1" si="11"/>
        <v>#N/A</v>
      </c>
      <c r="W104" s="285"/>
      <c r="X104" s="326"/>
    </row>
    <row r="105" spans="2:24">
      <c r="B105" s="309">
        <f>'Offshore CF'!B116</f>
        <v>89</v>
      </c>
      <c r="C105" s="310">
        <f>'Offshore CF'!C116</f>
        <v>46267.669600000139</v>
      </c>
      <c r="D105" s="311" t="e">
        <f t="shared" ca="1" si="8"/>
        <v>#N/A</v>
      </c>
      <c r="E105" s="312">
        <f t="shared" ca="1" si="9"/>
        <v>0</v>
      </c>
      <c r="F105" s="313">
        <f ca="1">IF(ISERROR('Offshore CF'!E116),0,'Offshore CF'!E116)</f>
        <v>0</v>
      </c>
      <c r="G105" s="319">
        <f ca="1">SUM($F$13:F105)</f>
        <v>0</v>
      </c>
      <c r="H105" s="322" t="e">
        <f ca="1">IF(OR(SUM('Offshore CF'!E117:$E$153)&lt;&gt;0,SUM('Offshore CF'!J117:$J$153)&lt;&gt;0),E105*(((G104+G105)/2)+I104),IF(SUM('Offshore CF'!E116:$E$153)-SUM('Offshore CF'!J116:$J$153)&lt;&gt;0,E105*(((G104+G105)/2)+I104),0))</f>
        <v>#N/A</v>
      </c>
      <c r="I105" s="322" t="e">
        <f ca="1">IF(OR(SUM('Offshore CF'!E117:$E$153)&lt;&gt;0,SUM('Offshore CF'!J117:$J$153)&lt;&gt;0),SUM($H$13:H105),IF(SUM('Offshore CF'!E$153:$E303)-SUM('Offshore CF'!J116:$J$153)&lt;&gt;0,SUM($H$13:H105),0))</f>
        <v>#N/A</v>
      </c>
      <c r="J105" s="322" t="e">
        <f ca="1">IF(OR(SUM('Offshore CF'!E117:$E$153)&lt;&gt;0,SUM('Offshore CF'!J117:$J$153)&lt;&gt;0),I105+G105,IF(SUM('Offshore CF'!E116:$E$153)-SUM('Offshore CF'!J116:$J$153)&lt;&gt;0,I105+G105,0))</f>
        <v>#N/A</v>
      </c>
      <c r="K105" s="323"/>
      <c r="L105" s="324">
        <f ca="1">IF(ISERROR('Offshore CF'!J116),0,'Offshore CF'!J116)</f>
        <v>0</v>
      </c>
      <c r="M105" s="325">
        <f ca="1">SUM($L$13:L105)</f>
        <v>1E-3</v>
      </c>
      <c r="N105" s="322" t="e">
        <f ca="1">IF(OR(SUM('Offshore CF'!E117:$E$153)&lt;&gt;0,SUM('Offshore CF'!J117:$J$153)&lt;&gt;0),E105*(((M104+M105)/2)+O104),IF(SUM('Offshore CF'!E116:$E$153)-SUM('Offshore CF'!J116:$J$153)&lt;&gt;0,E105*(((M104+M105)/2)+O104),0))</f>
        <v>#N/A</v>
      </c>
      <c r="O105" s="322" t="e">
        <f ca="1">IF(OR(SUM('Offshore CF'!E117:$E$153)&lt;&gt;0,SUM('Offshore CF'!J117:$J$153)&lt;&gt;0),SUM($N$13:N105),IF(SUM('Offshore CF'!E116:$E$153)-SUM('Offshore CF'!J116:$J$153)&lt;&gt;0,SUM($N$13:N105),0))</f>
        <v>#N/A</v>
      </c>
      <c r="P105" s="322" t="e">
        <f ca="1">IF(OR(SUM('Offshore CF'!E117:$E$153)&lt;&gt;0,SUM('Offshore CF'!J117:$J$153)&lt;&gt;0),O105+M105,IF(SUM('Offshore CF'!E116:$E$153)-SUM('Offshore CF'!J116:$J$153)&lt;&gt;0,O105+M105,0))</f>
        <v>#N/A</v>
      </c>
      <c r="R105" s="322" t="e">
        <f ca="1">IF(OR(SUM('Offshore CF'!E117:$E$153)&lt;&gt;0,SUM('Offshore CF'!J117:$J$153)&lt;&gt;0),G105-M105,IF(SUM('Offshore CF'!E116:$E$153)-SUM('Offshore CF'!J116:$J$153)&lt;&gt;0,G105-M105,0))</f>
        <v>#N/A</v>
      </c>
      <c r="S105" s="285"/>
      <c r="T105" s="322" t="e">
        <f ca="1">IF(OR(SUM('Offshore CF'!E117:$E$153)&lt;&gt;0,SUM('Offshore CF'!J117:$J$153)&lt;&gt;0),E105*(((R104+R105)/2)+SUM($T$13:T104)),IF(SUM('Offshore CF'!E116:$E$153)-SUM('Offshore CF'!J116:$J$153)&lt;&gt;0,E105*(((R104+R105)/2)+SUM($T$13:T104)),0))</f>
        <v>#N/A</v>
      </c>
      <c r="U105" s="322" t="e">
        <f t="shared" ca="1" si="10"/>
        <v>#N/A</v>
      </c>
      <c r="V105" s="319" t="e">
        <f t="shared" ca="1" si="11"/>
        <v>#N/A</v>
      </c>
      <c r="W105" s="285"/>
      <c r="X105" s="326"/>
    </row>
    <row r="106" spans="2:24">
      <c r="B106" s="309">
        <f>'Offshore CF'!B117</f>
        <v>90</v>
      </c>
      <c r="C106" s="310">
        <f>'Offshore CF'!C117</f>
        <v>46298.086300000141</v>
      </c>
      <c r="D106" s="311" t="e">
        <f t="shared" ca="1" si="8"/>
        <v>#N/A</v>
      </c>
      <c r="E106" s="312">
        <f t="shared" ca="1" si="9"/>
        <v>0</v>
      </c>
      <c r="F106" s="313">
        <f ca="1">IF(ISERROR('Offshore CF'!E117),0,'Offshore CF'!E117)</f>
        <v>0</v>
      </c>
      <c r="G106" s="319">
        <f ca="1">SUM($F$13:F106)</f>
        <v>0</v>
      </c>
      <c r="H106" s="322" t="e">
        <f ca="1">IF(OR(SUM('Offshore CF'!E118:$E$153)&lt;&gt;0,SUM('Offshore CF'!J118:$J$153)&lt;&gt;0),E106*(((G105+G106)/2)+I105),IF(SUM('Offshore CF'!E117:$E$153)-SUM('Offshore CF'!J117:$J$153)&lt;&gt;0,E106*(((G105+G106)/2)+I105),0))</f>
        <v>#N/A</v>
      </c>
      <c r="I106" s="322" t="e">
        <f ca="1">IF(OR(SUM('Offshore CF'!E118:$E$153)&lt;&gt;0,SUM('Offshore CF'!J118:$J$153)&lt;&gt;0),SUM($H$13:H106),IF(SUM('Offshore CF'!E$153:$E304)-SUM('Offshore CF'!J117:$J$153)&lt;&gt;0,SUM($H$13:H106),0))</f>
        <v>#N/A</v>
      </c>
      <c r="J106" s="322" t="e">
        <f ca="1">IF(OR(SUM('Offshore CF'!E118:$E$153)&lt;&gt;0,SUM('Offshore CF'!J118:$J$153)&lt;&gt;0),I106+G106,IF(SUM('Offshore CF'!E117:$E$153)-SUM('Offshore CF'!J117:$J$153)&lt;&gt;0,I106+G106,0))</f>
        <v>#N/A</v>
      </c>
      <c r="K106" s="323"/>
      <c r="L106" s="324">
        <f ca="1">IF(ISERROR('Offshore CF'!J117),0,'Offshore CF'!J117)</f>
        <v>0</v>
      </c>
      <c r="M106" s="325">
        <f ca="1">SUM($L$13:L106)</f>
        <v>1E-3</v>
      </c>
      <c r="N106" s="322" t="e">
        <f ca="1">IF(OR(SUM('Offshore CF'!E118:$E$153)&lt;&gt;0,SUM('Offshore CF'!J118:$J$153)&lt;&gt;0),E106*(((M105+M106)/2)+O105),IF(SUM('Offshore CF'!E117:$E$153)-SUM('Offshore CF'!J117:$J$153)&lt;&gt;0,E106*(((M105+M106)/2)+O105),0))</f>
        <v>#N/A</v>
      </c>
      <c r="O106" s="322" t="e">
        <f ca="1">IF(OR(SUM('Offshore CF'!E118:$E$153)&lt;&gt;0,SUM('Offshore CF'!J118:$J$153)&lt;&gt;0),SUM($N$13:N106),IF(SUM('Offshore CF'!E117:$E$153)-SUM('Offshore CF'!J117:$J$153)&lt;&gt;0,SUM($N$13:N106),0))</f>
        <v>#N/A</v>
      </c>
      <c r="P106" s="322" t="e">
        <f ca="1">IF(OR(SUM('Offshore CF'!E118:$E$153)&lt;&gt;0,SUM('Offshore CF'!J118:$J$153)&lt;&gt;0),O106+M106,IF(SUM('Offshore CF'!E117:$E$153)-SUM('Offshore CF'!J117:$J$153)&lt;&gt;0,O106+M106,0))</f>
        <v>#N/A</v>
      </c>
      <c r="R106" s="322" t="e">
        <f ca="1">IF(OR(SUM('Offshore CF'!E118:$E$153)&lt;&gt;0,SUM('Offshore CF'!J118:$J$153)&lt;&gt;0),G106-M106,IF(SUM('Offshore CF'!E117:$E$153)-SUM('Offshore CF'!J117:$J$153)&lt;&gt;0,G106-M106,0))</f>
        <v>#N/A</v>
      </c>
      <c r="S106" s="285"/>
      <c r="T106" s="322" t="e">
        <f ca="1">IF(OR(SUM('Offshore CF'!E118:$E$153)&lt;&gt;0,SUM('Offshore CF'!J118:$J$153)&lt;&gt;0),E106*(((R105+R106)/2)+SUM($T$13:T105)),IF(SUM('Offshore CF'!E117:$E$153)-SUM('Offshore CF'!J117:$J$153)&lt;&gt;0,E106*(((R105+R106)/2)+SUM($T$13:T105)),0))</f>
        <v>#N/A</v>
      </c>
      <c r="U106" s="322" t="e">
        <f t="shared" ca="1" si="10"/>
        <v>#N/A</v>
      </c>
      <c r="V106" s="319" t="e">
        <f t="shared" ca="1" si="11"/>
        <v>#N/A</v>
      </c>
      <c r="W106" s="285"/>
      <c r="X106" s="326"/>
    </row>
    <row r="107" spans="2:24">
      <c r="B107" s="309">
        <f>'Offshore CF'!B118</f>
        <v>91</v>
      </c>
      <c r="C107" s="310">
        <f>'Offshore CF'!C118</f>
        <v>46328.503000000142</v>
      </c>
      <c r="D107" s="311" t="e">
        <f t="shared" ca="1" si="8"/>
        <v>#N/A</v>
      </c>
      <c r="E107" s="312">
        <f t="shared" ca="1" si="9"/>
        <v>0</v>
      </c>
      <c r="F107" s="313">
        <f ca="1">IF(ISERROR('Offshore CF'!E118),0,'Offshore CF'!E118)</f>
        <v>0</v>
      </c>
      <c r="G107" s="319">
        <f ca="1">SUM($F$13:F107)</f>
        <v>0</v>
      </c>
      <c r="H107" s="322" t="e">
        <f ca="1">IF(OR(SUM('Offshore CF'!E119:$E$153)&lt;&gt;0,SUM('Offshore CF'!J119:$J$153)&lt;&gt;0),E107*(((G106+G107)/2)+I106),IF(SUM('Offshore CF'!E118:$E$153)-SUM('Offshore CF'!J118:$J$153)&lt;&gt;0,E107*(((G106+G107)/2)+I106),0))</f>
        <v>#N/A</v>
      </c>
      <c r="I107" s="322" t="e">
        <f ca="1">IF(OR(SUM('Offshore CF'!E119:$E$153)&lt;&gt;0,SUM('Offshore CF'!J119:$J$153)&lt;&gt;0),SUM($H$13:H107),IF(SUM('Offshore CF'!E$153:$E305)-SUM('Offshore CF'!J118:$J$153)&lt;&gt;0,SUM($H$13:H107),0))</f>
        <v>#N/A</v>
      </c>
      <c r="J107" s="322" t="e">
        <f ca="1">IF(OR(SUM('Offshore CF'!E119:$E$153)&lt;&gt;0,SUM('Offshore CF'!J119:$J$153)&lt;&gt;0),I107+G107,IF(SUM('Offshore CF'!E118:$E$153)-SUM('Offshore CF'!J118:$J$153)&lt;&gt;0,I107+G107,0))</f>
        <v>#N/A</v>
      </c>
      <c r="K107" s="323"/>
      <c r="L107" s="324">
        <f ca="1">IF(ISERROR('Offshore CF'!J118),0,'Offshore CF'!J118)</f>
        <v>0</v>
      </c>
      <c r="M107" s="325">
        <f ca="1">SUM($L$13:L107)</f>
        <v>1E-3</v>
      </c>
      <c r="N107" s="322" t="e">
        <f ca="1">IF(OR(SUM('Offshore CF'!E119:$E$153)&lt;&gt;0,SUM('Offshore CF'!J119:$J$153)&lt;&gt;0),E107*(((M106+M107)/2)+O106),IF(SUM('Offshore CF'!E118:$E$153)-SUM('Offshore CF'!J118:$J$153)&lt;&gt;0,E107*(((M106+M107)/2)+O106),0))</f>
        <v>#N/A</v>
      </c>
      <c r="O107" s="322" t="e">
        <f ca="1">IF(OR(SUM('Offshore CF'!E119:$E$153)&lt;&gt;0,SUM('Offshore CF'!J119:$J$153)&lt;&gt;0),SUM($N$13:N107),IF(SUM('Offshore CF'!E118:$E$153)-SUM('Offshore CF'!J118:$J$153)&lt;&gt;0,SUM($N$13:N107),0))</f>
        <v>#N/A</v>
      </c>
      <c r="P107" s="322" t="e">
        <f ca="1">IF(OR(SUM('Offshore CF'!E119:$E$153)&lt;&gt;0,SUM('Offshore CF'!J119:$J$153)&lt;&gt;0),O107+M107,IF(SUM('Offshore CF'!E118:$E$153)-SUM('Offshore CF'!J118:$J$153)&lt;&gt;0,O107+M107,0))</f>
        <v>#N/A</v>
      </c>
      <c r="R107" s="322" t="e">
        <f ca="1">IF(OR(SUM('Offshore CF'!E119:$E$153)&lt;&gt;0,SUM('Offshore CF'!J119:$J$153)&lt;&gt;0),G107-M107,IF(SUM('Offshore CF'!E118:$E$153)-SUM('Offshore CF'!J118:$J$153)&lt;&gt;0,G107-M107,0))</f>
        <v>#N/A</v>
      </c>
      <c r="S107" s="285"/>
      <c r="T107" s="322" t="e">
        <f ca="1">IF(OR(SUM('Offshore CF'!E119:$E$153)&lt;&gt;0,SUM('Offshore CF'!J119:$J$153)&lt;&gt;0),E107*(((R106+R107)/2)+SUM($T$13:T106)),IF(SUM('Offshore CF'!E118:$E$153)-SUM('Offshore CF'!J118:$J$153)&lt;&gt;0,E107*(((R106+R107)/2)+SUM($T$13:T106)),0))</f>
        <v>#N/A</v>
      </c>
      <c r="U107" s="322" t="e">
        <f t="shared" ca="1" si="10"/>
        <v>#N/A</v>
      </c>
      <c r="V107" s="319" t="e">
        <f t="shared" ca="1" si="11"/>
        <v>#N/A</v>
      </c>
      <c r="W107" s="285"/>
      <c r="X107" s="326"/>
    </row>
    <row r="108" spans="2:24">
      <c r="B108" s="309">
        <f>'Offshore CF'!B119</f>
        <v>92</v>
      </c>
      <c r="C108" s="310">
        <f>'Offshore CF'!C119</f>
        <v>46358.919700000144</v>
      </c>
      <c r="D108" s="311" t="e">
        <f t="shared" ca="1" si="8"/>
        <v>#N/A</v>
      </c>
      <c r="E108" s="312">
        <f t="shared" ca="1" si="9"/>
        <v>0</v>
      </c>
      <c r="F108" s="313">
        <f ca="1">IF(ISERROR('Offshore CF'!E119),0,'Offshore CF'!E119)</f>
        <v>0</v>
      </c>
      <c r="G108" s="319">
        <f ca="1">SUM($F$13:F108)</f>
        <v>0</v>
      </c>
      <c r="H108" s="322" t="e">
        <f ca="1">IF(OR(SUM('Offshore CF'!E120:$E$153)&lt;&gt;0,SUM('Offshore CF'!J120:$J$153)&lt;&gt;0),E108*(((G107+G108)/2)+I107),IF(SUM('Offshore CF'!E119:$E$153)-SUM('Offshore CF'!J119:$J$153)&lt;&gt;0,E108*(((G107+G108)/2)+I107),0))</f>
        <v>#N/A</v>
      </c>
      <c r="I108" s="322" t="e">
        <f ca="1">IF(OR(SUM('Offshore CF'!E120:$E$153)&lt;&gt;0,SUM('Offshore CF'!J120:$J$153)&lt;&gt;0),SUM($H$13:H108),IF(SUM('Offshore CF'!E$153:$E306)-SUM('Offshore CF'!J119:$J$153)&lt;&gt;0,SUM($H$13:H108),0))</f>
        <v>#N/A</v>
      </c>
      <c r="J108" s="322" t="e">
        <f ca="1">IF(OR(SUM('Offshore CF'!E120:$E$153)&lt;&gt;0,SUM('Offshore CF'!J120:$J$153)&lt;&gt;0),I108+G108,IF(SUM('Offshore CF'!E119:$E$153)-SUM('Offshore CF'!J119:$J$153)&lt;&gt;0,I108+G108,0))</f>
        <v>#N/A</v>
      </c>
      <c r="K108" s="323"/>
      <c r="L108" s="324">
        <f ca="1">IF(ISERROR('Offshore CF'!J119),0,'Offshore CF'!J119)</f>
        <v>0</v>
      </c>
      <c r="M108" s="325">
        <f ca="1">SUM($L$13:L108)</f>
        <v>1E-3</v>
      </c>
      <c r="N108" s="322" t="e">
        <f ca="1">IF(OR(SUM('Offshore CF'!E120:$E$153)&lt;&gt;0,SUM('Offshore CF'!J120:$J$153)&lt;&gt;0),E108*(((M107+M108)/2)+O107),IF(SUM('Offshore CF'!E119:$E$153)-SUM('Offshore CF'!J119:$J$153)&lt;&gt;0,E108*(((M107+M108)/2)+O107),0))</f>
        <v>#N/A</v>
      </c>
      <c r="O108" s="322" t="e">
        <f ca="1">IF(OR(SUM('Offshore CF'!E120:$E$153)&lt;&gt;0,SUM('Offshore CF'!J120:$J$153)&lt;&gt;0),SUM($N$13:N108),IF(SUM('Offshore CF'!E119:$E$153)-SUM('Offshore CF'!J119:$J$153)&lt;&gt;0,SUM($N$13:N108),0))</f>
        <v>#N/A</v>
      </c>
      <c r="P108" s="322" t="e">
        <f ca="1">IF(OR(SUM('Offshore CF'!E120:$E$153)&lt;&gt;0,SUM('Offshore CF'!J120:$J$153)&lt;&gt;0),O108+M108,IF(SUM('Offshore CF'!E119:$E$153)-SUM('Offshore CF'!J119:$J$153)&lt;&gt;0,O108+M108,0))</f>
        <v>#N/A</v>
      </c>
      <c r="R108" s="322" t="e">
        <f ca="1">IF(OR(SUM('Offshore CF'!E120:$E$153)&lt;&gt;0,SUM('Offshore CF'!J120:$J$153)&lt;&gt;0),G108-M108,IF(SUM('Offshore CF'!E119:$E$153)-SUM('Offshore CF'!J119:$J$153)&lt;&gt;0,G108-M108,0))</f>
        <v>#N/A</v>
      </c>
      <c r="S108" s="285"/>
      <c r="T108" s="322" t="e">
        <f ca="1">IF(OR(SUM('Offshore CF'!E120:$E$153)&lt;&gt;0,SUM('Offshore CF'!J120:$J$153)&lt;&gt;0),E108*(((R107+R108)/2)+SUM($T$13:T107)),IF(SUM('Offshore CF'!E119:$E$153)-SUM('Offshore CF'!J119:$J$153)&lt;&gt;0,E108*(((R107+R108)/2)+SUM($T$13:T107)),0))</f>
        <v>#N/A</v>
      </c>
      <c r="U108" s="322" t="e">
        <f t="shared" ca="1" si="10"/>
        <v>#N/A</v>
      </c>
      <c r="V108" s="319" t="e">
        <f t="shared" ca="1" si="11"/>
        <v>#N/A</v>
      </c>
      <c r="W108" s="285"/>
      <c r="X108" s="326"/>
    </row>
    <row r="109" spans="2:24">
      <c r="B109" s="309">
        <f>'Offshore CF'!B120</f>
        <v>93</v>
      </c>
      <c r="C109" s="310">
        <f>'Offshore CF'!C120</f>
        <v>46389.336400000146</v>
      </c>
      <c r="D109" s="311" t="e">
        <f t="shared" ref="D109:D140" ca="1" si="12">IF(R109&lt;0,E$10/100,D$10/100)</f>
        <v>#N/A</v>
      </c>
      <c r="E109" s="312">
        <f t="shared" ref="E109:E140" ca="1" si="13">IF(ISNUMBER(D109),((1+D109)^(1/12))-1,0)</f>
        <v>0</v>
      </c>
      <c r="F109" s="313">
        <f ca="1">IF(ISERROR('Offshore CF'!E120),0,'Offshore CF'!E120)</f>
        <v>0</v>
      </c>
      <c r="G109" s="319">
        <f ca="1">SUM($F$13:F109)</f>
        <v>0</v>
      </c>
      <c r="H109" s="322" t="e">
        <f ca="1">IF(OR(SUM('Offshore CF'!E121:$E$153)&lt;&gt;0,SUM('Offshore CF'!J121:$J$153)&lt;&gt;0),E109*(((G108+G109)/2)+I108),IF(SUM('Offshore CF'!E120:$E$153)-SUM('Offshore CF'!J120:$J$153)&lt;&gt;0,E109*(((G108+G109)/2)+I108),0))</f>
        <v>#N/A</v>
      </c>
      <c r="I109" s="322" t="e">
        <f ca="1">IF(OR(SUM('Offshore CF'!E121:$E$153)&lt;&gt;0,SUM('Offshore CF'!J121:$J$153)&lt;&gt;0),SUM($H$13:H109),IF(SUM('Offshore CF'!E$153:$E307)-SUM('Offshore CF'!J120:$J$153)&lt;&gt;0,SUM($H$13:H109),0))</f>
        <v>#N/A</v>
      </c>
      <c r="J109" s="322" t="e">
        <f ca="1">IF(OR(SUM('Offshore CF'!E121:$E$153)&lt;&gt;0,SUM('Offshore CF'!J121:$J$153)&lt;&gt;0),I109+G109,IF(SUM('Offshore CF'!E120:$E$153)-SUM('Offshore CF'!J120:$J$153)&lt;&gt;0,I109+G109,0))</f>
        <v>#N/A</v>
      </c>
      <c r="K109" s="323"/>
      <c r="L109" s="324">
        <f ca="1">IF(ISERROR('Offshore CF'!J120),0,'Offshore CF'!J120)</f>
        <v>0</v>
      </c>
      <c r="M109" s="325">
        <f ca="1">SUM($L$13:L109)</f>
        <v>1E-3</v>
      </c>
      <c r="N109" s="322" t="e">
        <f ca="1">IF(OR(SUM('Offshore CF'!E121:$E$153)&lt;&gt;0,SUM('Offshore CF'!J121:$J$153)&lt;&gt;0),E109*(((M108+M109)/2)+O108),IF(SUM('Offshore CF'!E120:$E$153)-SUM('Offshore CF'!J120:$J$153)&lt;&gt;0,E109*(((M108+M109)/2)+O108),0))</f>
        <v>#N/A</v>
      </c>
      <c r="O109" s="322" t="e">
        <f ca="1">IF(OR(SUM('Offshore CF'!E121:$E$153)&lt;&gt;0,SUM('Offshore CF'!J121:$J$153)&lt;&gt;0),SUM($N$13:N109),IF(SUM('Offshore CF'!E120:$E$153)-SUM('Offshore CF'!J120:$J$153)&lt;&gt;0,SUM($N$13:N109),0))</f>
        <v>#N/A</v>
      </c>
      <c r="P109" s="322" t="e">
        <f ca="1">IF(OR(SUM('Offshore CF'!E121:$E$153)&lt;&gt;0,SUM('Offshore CF'!J121:$J$153)&lt;&gt;0),O109+M109,IF(SUM('Offshore CF'!E120:$E$153)-SUM('Offshore CF'!J120:$J$153)&lt;&gt;0,O109+M109,0))</f>
        <v>#N/A</v>
      </c>
      <c r="R109" s="322" t="e">
        <f ca="1">IF(OR(SUM('Offshore CF'!E121:$E$153)&lt;&gt;0,SUM('Offshore CF'!J121:$J$153)&lt;&gt;0),G109-M109,IF(SUM('Offshore CF'!E120:$E$153)-SUM('Offshore CF'!J120:$J$153)&lt;&gt;0,G109-M109,0))</f>
        <v>#N/A</v>
      </c>
      <c r="S109" s="285"/>
      <c r="T109" s="322" t="e">
        <f ca="1">IF(OR(SUM('Offshore CF'!E121:$E$153)&lt;&gt;0,SUM('Offshore CF'!J121:$J$153)&lt;&gt;0),E109*(((R108+R109)/2)+SUM($T$13:T108)),IF(SUM('Offshore CF'!E120:$E$153)-SUM('Offshore CF'!J120:$J$153)&lt;&gt;0,E109*(((R108+R109)/2)+SUM($T$13:T108)),0))</f>
        <v>#N/A</v>
      </c>
      <c r="U109" s="322" t="e">
        <f t="shared" ref="U109:U140" ca="1" si="14">IF(T109&gt;0,T109,0)</f>
        <v>#N/A</v>
      </c>
      <c r="V109" s="319" t="e">
        <f t="shared" ref="V109:V142" ca="1" si="15">IF(T109&lt;0,-T109,0)</f>
        <v>#N/A</v>
      </c>
      <c r="W109" s="285"/>
      <c r="X109" s="326"/>
    </row>
    <row r="110" spans="2:24">
      <c r="B110" s="309">
        <f>'Offshore CF'!B121</f>
        <v>94</v>
      </c>
      <c r="C110" s="310">
        <f>'Offshore CF'!C121</f>
        <v>46419.753100000147</v>
      </c>
      <c r="D110" s="311" t="e">
        <f t="shared" ca="1" si="12"/>
        <v>#N/A</v>
      </c>
      <c r="E110" s="312">
        <f t="shared" ca="1" si="13"/>
        <v>0</v>
      </c>
      <c r="F110" s="313">
        <f ca="1">IF(ISERROR('Offshore CF'!E121),0,'Offshore CF'!E121)</f>
        <v>0</v>
      </c>
      <c r="G110" s="319">
        <f ca="1">SUM($F$13:F110)</f>
        <v>0</v>
      </c>
      <c r="H110" s="322" t="e">
        <f ca="1">IF(OR(SUM('Offshore CF'!E122:$E$153)&lt;&gt;0,SUM('Offshore CF'!J122:$J$153)&lt;&gt;0),E110*(((G109+G110)/2)+I109),IF(SUM('Offshore CF'!E121:$E$153)-SUM('Offshore CF'!J121:$J$153)&lt;&gt;0,E110*(((G109+G110)/2)+I109),0))</f>
        <v>#N/A</v>
      </c>
      <c r="I110" s="322" t="e">
        <f ca="1">IF(OR(SUM('Offshore CF'!E122:$E$153)&lt;&gt;0,SUM('Offshore CF'!J122:$J$153)&lt;&gt;0),SUM($H$13:H110),IF(SUM('Offshore CF'!E$153:$E308)-SUM('Offshore CF'!J121:$J$153)&lt;&gt;0,SUM($H$13:H110),0))</f>
        <v>#N/A</v>
      </c>
      <c r="J110" s="322" t="e">
        <f ca="1">IF(OR(SUM('Offshore CF'!E122:$E$153)&lt;&gt;0,SUM('Offshore CF'!J122:$J$153)&lt;&gt;0),I110+G110,IF(SUM('Offshore CF'!E121:$E$153)-SUM('Offshore CF'!J121:$J$153)&lt;&gt;0,I110+G110,0))</f>
        <v>#N/A</v>
      </c>
      <c r="K110" s="323"/>
      <c r="L110" s="324">
        <f ca="1">IF(ISERROR('Offshore CF'!J121),0,'Offshore CF'!J121)</f>
        <v>0</v>
      </c>
      <c r="M110" s="325">
        <f ca="1">SUM($L$13:L110)</f>
        <v>1E-3</v>
      </c>
      <c r="N110" s="322" t="e">
        <f ca="1">IF(OR(SUM('Offshore CF'!E122:$E$153)&lt;&gt;0,SUM('Offshore CF'!J122:$J$153)&lt;&gt;0),E110*(((M109+M110)/2)+O109),IF(SUM('Offshore CF'!E121:$E$153)-SUM('Offshore CF'!J121:$J$153)&lt;&gt;0,E110*(((M109+M110)/2)+O109),0))</f>
        <v>#N/A</v>
      </c>
      <c r="O110" s="322" t="e">
        <f ca="1">IF(OR(SUM('Offshore CF'!E122:$E$153)&lt;&gt;0,SUM('Offshore CF'!J122:$J$153)&lt;&gt;0),SUM($N$13:N110),IF(SUM('Offshore CF'!E121:$E$153)-SUM('Offshore CF'!J121:$J$153)&lt;&gt;0,SUM($N$13:N110),0))</f>
        <v>#N/A</v>
      </c>
      <c r="P110" s="322" t="e">
        <f ca="1">IF(OR(SUM('Offshore CF'!E122:$E$153)&lt;&gt;0,SUM('Offshore CF'!J122:$J$153)&lt;&gt;0),O110+M110,IF(SUM('Offshore CF'!E121:$E$153)-SUM('Offshore CF'!J121:$J$153)&lt;&gt;0,O110+M110,0))</f>
        <v>#N/A</v>
      </c>
      <c r="R110" s="322" t="e">
        <f ca="1">IF(OR(SUM('Offshore CF'!E122:$E$153)&lt;&gt;0,SUM('Offshore CF'!J122:$J$153)&lt;&gt;0),G110-M110,IF(SUM('Offshore CF'!E121:$E$153)-SUM('Offshore CF'!J121:$J$153)&lt;&gt;0,G110-M110,0))</f>
        <v>#N/A</v>
      </c>
      <c r="S110" s="285"/>
      <c r="T110" s="322" t="e">
        <f ca="1">IF(OR(SUM('Offshore CF'!E122:$E$153)&lt;&gt;0,SUM('Offshore CF'!J122:$J$153)&lt;&gt;0),E110*(((R109+R110)/2)+SUM($T$13:T109)),IF(SUM('Offshore CF'!E121:$E$153)-SUM('Offshore CF'!J121:$J$153)&lt;&gt;0,E110*(((R109+R110)/2)+SUM($T$13:T109)),0))</f>
        <v>#N/A</v>
      </c>
      <c r="U110" s="322" t="e">
        <f t="shared" ca="1" si="14"/>
        <v>#N/A</v>
      </c>
      <c r="V110" s="319" t="e">
        <f t="shared" ca="1" si="15"/>
        <v>#N/A</v>
      </c>
      <c r="W110" s="285"/>
      <c r="X110" s="326"/>
    </row>
    <row r="111" spans="2:24">
      <c r="B111" s="309">
        <f>'Offshore CF'!B122</f>
        <v>95</v>
      </c>
      <c r="C111" s="310">
        <f>'Offshore CF'!C122</f>
        <v>46450.169800000149</v>
      </c>
      <c r="D111" s="311" t="e">
        <f t="shared" ca="1" si="12"/>
        <v>#N/A</v>
      </c>
      <c r="E111" s="312">
        <f t="shared" ca="1" si="13"/>
        <v>0</v>
      </c>
      <c r="F111" s="313">
        <f ca="1">IF(ISERROR('Offshore CF'!E122),0,'Offshore CF'!E122)</f>
        <v>0</v>
      </c>
      <c r="G111" s="319">
        <f ca="1">SUM($F$13:F111)</f>
        <v>0</v>
      </c>
      <c r="H111" s="322" t="e">
        <f ca="1">IF(OR(SUM('Offshore CF'!E123:$E$153)&lt;&gt;0,SUM('Offshore CF'!J123:$J$153)&lt;&gt;0),E111*(((G110+G111)/2)+I110),IF(SUM('Offshore CF'!E122:$E$153)-SUM('Offshore CF'!J122:$J$153)&lt;&gt;0,E111*(((G110+G111)/2)+I110),0))</f>
        <v>#N/A</v>
      </c>
      <c r="I111" s="322" t="e">
        <f ca="1">IF(OR(SUM('Offshore CF'!E123:$E$153)&lt;&gt;0,SUM('Offshore CF'!J123:$J$153)&lt;&gt;0),SUM($H$13:H111),IF(SUM('Offshore CF'!E$153:$E309)-SUM('Offshore CF'!J122:$J$153)&lt;&gt;0,SUM($H$13:H111),0))</f>
        <v>#N/A</v>
      </c>
      <c r="J111" s="322" t="e">
        <f ca="1">IF(OR(SUM('Offshore CF'!E123:$E$153)&lt;&gt;0,SUM('Offshore CF'!J123:$J$153)&lt;&gt;0),I111+G111,IF(SUM('Offshore CF'!E122:$E$153)-SUM('Offshore CF'!J122:$J$153)&lt;&gt;0,I111+G111,0))</f>
        <v>#N/A</v>
      </c>
      <c r="K111" s="323"/>
      <c r="L111" s="324">
        <f ca="1">IF(ISERROR('Offshore CF'!J122),0,'Offshore CF'!J122)</f>
        <v>0</v>
      </c>
      <c r="M111" s="325">
        <f ca="1">SUM($L$13:L111)</f>
        <v>1E-3</v>
      </c>
      <c r="N111" s="322" t="e">
        <f ca="1">IF(OR(SUM('Offshore CF'!E123:$E$153)&lt;&gt;0,SUM('Offshore CF'!J123:$J$153)&lt;&gt;0),E111*(((M110+M111)/2)+O110),IF(SUM('Offshore CF'!E122:$E$153)-SUM('Offshore CF'!J122:$J$153)&lt;&gt;0,E111*(((M110+M111)/2)+O110),0))</f>
        <v>#N/A</v>
      </c>
      <c r="O111" s="322" t="e">
        <f ca="1">IF(OR(SUM('Offshore CF'!E123:$E$153)&lt;&gt;0,SUM('Offshore CF'!J123:$J$153)&lt;&gt;0),SUM($N$13:N111),IF(SUM('Offshore CF'!E122:$E$153)-SUM('Offshore CF'!J122:$J$153)&lt;&gt;0,SUM($N$13:N111),0))</f>
        <v>#N/A</v>
      </c>
      <c r="P111" s="322" t="e">
        <f ca="1">IF(OR(SUM('Offshore CF'!E123:$E$153)&lt;&gt;0,SUM('Offshore CF'!J123:$J$153)&lt;&gt;0),O111+M111,IF(SUM('Offshore CF'!E122:$E$153)-SUM('Offshore CF'!J122:$J$153)&lt;&gt;0,O111+M111,0))</f>
        <v>#N/A</v>
      </c>
      <c r="R111" s="322" t="e">
        <f ca="1">IF(OR(SUM('Offshore CF'!E123:$E$153)&lt;&gt;0,SUM('Offshore CF'!J123:$J$153)&lt;&gt;0),G111-M111,IF(SUM('Offshore CF'!E122:$E$153)-SUM('Offshore CF'!J122:$J$153)&lt;&gt;0,G111-M111,0))</f>
        <v>#N/A</v>
      </c>
      <c r="S111" s="285"/>
      <c r="T111" s="322" t="e">
        <f ca="1">IF(OR(SUM('Offshore CF'!E123:$E$153)&lt;&gt;0,SUM('Offshore CF'!J123:$J$153)&lt;&gt;0),E111*(((R110+R111)/2)+SUM($T$13:T110)),IF(SUM('Offshore CF'!E122:$E$153)-SUM('Offshore CF'!J122:$J$153)&lt;&gt;0,E111*(((R110+R111)/2)+SUM($T$13:T110)),0))</f>
        <v>#N/A</v>
      </c>
      <c r="U111" s="322" t="e">
        <f t="shared" ca="1" si="14"/>
        <v>#N/A</v>
      </c>
      <c r="V111" s="319" t="e">
        <f t="shared" ca="1" si="15"/>
        <v>#N/A</v>
      </c>
      <c r="W111" s="285"/>
      <c r="X111" s="326"/>
    </row>
    <row r="112" spans="2:24">
      <c r="B112" s="309">
        <f>'Offshore CF'!B123</f>
        <v>96</v>
      </c>
      <c r="C112" s="310">
        <f>'Offshore CF'!C123</f>
        <v>46480.58650000015</v>
      </c>
      <c r="D112" s="311" t="e">
        <f t="shared" ca="1" si="12"/>
        <v>#N/A</v>
      </c>
      <c r="E112" s="312">
        <f t="shared" ca="1" si="13"/>
        <v>0</v>
      </c>
      <c r="F112" s="313">
        <f ca="1">IF(ISERROR('Offshore CF'!E123),0,'Offshore CF'!E123)</f>
        <v>0</v>
      </c>
      <c r="G112" s="319">
        <f ca="1">SUM($F$13:F112)</f>
        <v>0</v>
      </c>
      <c r="H112" s="322" t="e">
        <f ca="1">IF(OR(SUM('Offshore CF'!E124:$E$153)&lt;&gt;0,SUM('Offshore CF'!J124:$J$153)&lt;&gt;0),E112*(((G111+G112)/2)+I111),IF(SUM('Offshore CF'!E123:$E$153)-SUM('Offshore CF'!J123:$J$153)&lt;&gt;0,E112*(((G111+G112)/2)+I111),0))</f>
        <v>#N/A</v>
      </c>
      <c r="I112" s="322" t="e">
        <f ca="1">IF(OR(SUM('Offshore CF'!E124:$E$153)&lt;&gt;0,SUM('Offshore CF'!J124:$J$153)&lt;&gt;0),SUM($H$13:H112),IF(SUM('Offshore CF'!E$153:$E310)-SUM('Offshore CF'!J123:$J$153)&lt;&gt;0,SUM($H$13:H112),0))</f>
        <v>#N/A</v>
      </c>
      <c r="J112" s="322" t="e">
        <f ca="1">IF(OR(SUM('Offshore CF'!E124:$E$153)&lt;&gt;0,SUM('Offshore CF'!J124:$J$153)&lt;&gt;0),I112+G112,IF(SUM('Offshore CF'!E123:$E$153)-SUM('Offshore CF'!J123:$J$153)&lt;&gt;0,I112+G112,0))</f>
        <v>#N/A</v>
      </c>
      <c r="K112" s="323"/>
      <c r="L112" s="324">
        <f ca="1">IF(ISERROR('Offshore CF'!J123),0,'Offshore CF'!J123)</f>
        <v>0</v>
      </c>
      <c r="M112" s="325">
        <f ca="1">SUM($L$13:L112)</f>
        <v>1E-3</v>
      </c>
      <c r="N112" s="322" t="e">
        <f ca="1">IF(OR(SUM('Offshore CF'!E124:$E$153)&lt;&gt;0,SUM('Offshore CF'!J124:$J$153)&lt;&gt;0),E112*(((M111+M112)/2)+O111),IF(SUM('Offshore CF'!E123:$E$153)-SUM('Offshore CF'!J123:$J$153)&lt;&gt;0,E112*(((M111+M112)/2)+O111),0))</f>
        <v>#N/A</v>
      </c>
      <c r="O112" s="322" t="e">
        <f ca="1">IF(OR(SUM('Offshore CF'!E124:$E$153)&lt;&gt;0,SUM('Offshore CF'!J124:$J$153)&lt;&gt;0),SUM($N$13:N112),IF(SUM('Offshore CF'!E123:$E$153)-SUM('Offshore CF'!J123:$J$153)&lt;&gt;0,SUM($N$13:N112),0))</f>
        <v>#N/A</v>
      </c>
      <c r="P112" s="322" t="e">
        <f ca="1">IF(OR(SUM('Offshore CF'!E124:$E$153)&lt;&gt;0,SUM('Offshore CF'!J124:$J$153)&lt;&gt;0),O112+M112,IF(SUM('Offshore CF'!E123:$E$153)-SUM('Offshore CF'!J123:$J$153)&lt;&gt;0,O112+M112,0))</f>
        <v>#N/A</v>
      </c>
      <c r="R112" s="322" t="e">
        <f ca="1">IF(OR(SUM('Offshore CF'!E124:$E$153)&lt;&gt;0,SUM('Offshore CF'!J124:$J$153)&lt;&gt;0),G112-M112,IF(SUM('Offshore CF'!E123:$E$153)-SUM('Offshore CF'!J123:$J$153)&lt;&gt;0,G112-M112,0))</f>
        <v>#N/A</v>
      </c>
      <c r="S112" s="285"/>
      <c r="T112" s="322" t="e">
        <f ca="1">IF(OR(SUM('Offshore CF'!E124:$E$153)&lt;&gt;0,SUM('Offshore CF'!J124:$J$153)&lt;&gt;0),E112*(((R111+R112)/2)+SUM($T$13:T111)),IF(SUM('Offshore CF'!E123:$E$153)-SUM('Offshore CF'!J123:$J$153)&lt;&gt;0,E112*(((R111+R112)/2)+SUM($T$13:T111)),0))</f>
        <v>#N/A</v>
      </c>
      <c r="U112" s="322" t="e">
        <f t="shared" ca="1" si="14"/>
        <v>#N/A</v>
      </c>
      <c r="V112" s="319" t="e">
        <f t="shared" ca="1" si="15"/>
        <v>#N/A</v>
      </c>
      <c r="W112" s="285"/>
      <c r="X112" s="326"/>
    </row>
    <row r="113" spans="2:24">
      <c r="B113" s="309">
        <f>'Offshore CF'!B124</f>
        <v>97</v>
      </c>
      <c r="C113" s="310">
        <f>'Offshore CF'!C124</f>
        <v>46511.003200000152</v>
      </c>
      <c r="D113" s="311" t="e">
        <f t="shared" ca="1" si="12"/>
        <v>#N/A</v>
      </c>
      <c r="E113" s="312">
        <f t="shared" ca="1" si="13"/>
        <v>0</v>
      </c>
      <c r="F113" s="313">
        <f ca="1">IF(ISERROR('Offshore CF'!E124),0,'Offshore CF'!E124)</f>
        <v>0</v>
      </c>
      <c r="G113" s="319">
        <f ca="1">SUM($F$13:F113)</f>
        <v>0</v>
      </c>
      <c r="H113" s="322" t="e">
        <f ca="1">IF(OR(SUM('Offshore CF'!E125:$E$153)&lt;&gt;0,SUM('Offshore CF'!J125:$J$153)&lt;&gt;0),E113*(((G112+G113)/2)+I112),IF(SUM('Offshore CF'!E124:$E$153)-SUM('Offshore CF'!J124:$J$153)&lt;&gt;0,E113*(((G112+G113)/2)+I112),0))</f>
        <v>#N/A</v>
      </c>
      <c r="I113" s="322" t="e">
        <f ca="1">IF(OR(SUM('Offshore CF'!E125:$E$153)&lt;&gt;0,SUM('Offshore CF'!J125:$J$153)&lt;&gt;0),SUM($H$13:H113),IF(SUM('Offshore CF'!E$153:$E311)-SUM('Offshore CF'!J124:$J$153)&lt;&gt;0,SUM($H$13:H113),0))</f>
        <v>#N/A</v>
      </c>
      <c r="J113" s="322" t="e">
        <f ca="1">IF(OR(SUM('Offshore CF'!E125:$E$153)&lt;&gt;0,SUM('Offshore CF'!J125:$J$153)&lt;&gt;0),I113+G113,IF(SUM('Offshore CF'!E124:$E$153)-SUM('Offshore CF'!J124:$J$153)&lt;&gt;0,I113+G113,0))</f>
        <v>#N/A</v>
      </c>
      <c r="K113" s="323"/>
      <c r="L113" s="324">
        <f ca="1">IF(ISERROR('Offshore CF'!J124),0,'Offshore CF'!J124)</f>
        <v>0</v>
      </c>
      <c r="M113" s="325">
        <f ca="1">SUM($L$13:L113)</f>
        <v>1E-3</v>
      </c>
      <c r="N113" s="322" t="e">
        <f ca="1">IF(OR(SUM('Offshore CF'!E125:$E$153)&lt;&gt;0,SUM('Offshore CF'!J125:$J$153)&lt;&gt;0),E113*(((M112+M113)/2)+O112),IF(SUM('Offshore CF'!E124:$E$153)-SUM('Offshore CF'!J124:$J$153)&lt;&gt;0,E113*(((M112+M113)/2)+O112),0))</f>
        <v>#N/A</v>
      </c>
      <c r="O113" s="322" t="e">
        <f ca="1">IF(OR(SUM('Offshore CF'!E125:$E$153)&lt;&gt;0,SUM('Offshore CF'!J125:$J$153)&lt;&gt;0),SUM($N$13:N113),IF(SUM('Offshore CF'!E124:$E$153)-SUM('Offshore CF'!J124:$J$153)&lt;&gt;0,SUM($N$13:N113),0))</f>
        <v>#N/A</v>
      </c>
      <c r="P113" s="322" t="e">
        <f ca="1">IF(OR(SUM('Offshore CF'!E125:$E$153)&lt;&gt;0,SUM('Offshore CF'!J125:$J$153)&lt;&gt;0),O113+M113,IF(SUM('Offshore CF'!E124:$E$153)-SUM('Offshore CF'!J124:$J$153)&lt;&gt;0,O113+M113,0))</f>
        <v>#N/A</v>
      </c>
      <c r="R113" s="322" t="e">
        <f ca="1">IF(OR(SUM('Offshore CF'!E125:$E$153)&lt;&gt;0,SUM('Offshore CF'!J125:$J$153)&lt;&gt;0),G113-M113,IF(SUM('Offshore CF'!E124:$E$153)-SUM('Offshore CF'!J124:$J$153)&lt;&gt;0,G113-M113,0))</f>
        <v>#N/A</v>
      </c>
      <c r="S113" s="285"/>
      <c r="T113" s="322" t="e">
        <f ca="1">IF(OR(SUM('Offshore CF'!E125:$E$153)&lt;&gt;0,SUM('Offshore CF'!J125:$J$153)&lt;&gt;0),E113*(((R112+R113)/2)+SUM($T$13:T112)),IF(SUM('Offshore CF'!E124:$E$153)-SUM('Offshore CF'!J124:$J$153)&lt;&gt;0,E113*(((R112+R113)/2)+SUM($T$13:T112)),0))</f>
        <v>#N/A</v>
      </c>
      <c r="U113" s="322" t="e">
        <f t="shared" ca="1" si="14"/>
        <v>#N/A</v>
      </c>
      <c r="V113" s="319" t="e">
        <f t="shared" ca="1" si="15"/>
        <v>#N/A</v>
      </c>
      <c r="W113" s="285"/>
      <c r="X113" s="326"/>
    </row>
    <row r="114" spans="2:24">
      <c r="B114" s="309">
        <f>'Offshore CF'!B125</f>
        <v>98</v>
      </c>
      <c r="C114" s="310">
        <f>'Offshore CF'!C125</f>
        <v>46541.419900000154</v>
      </c>
      <c r="D114" s="311" t="e">
        <f t="shared" ca="1" si="12"/>
        <v>#N/A</v>
      </c>
      <c r="E114" s="312">
        <f t="shared" ca="1" si="13"/>
        <v>0</v>
      </c>
      <c r="F114" s="313">
        <f ca="1">IF(ISERROR('Offshore CF'!E125),0,'Offshore CF'!E125)</f>
        <v>0</v>
      </c>
      <c r="G114" s="319">
        <f ca="1">SUM($F$13:F114)</f>
        <v>0</v>
      </c>
      <c r="H114" s="322" t="e">
        <f ca="1">IF(OR(SUM('Offshore CF'!E126:$E$153)&lt;&gt;0,SUM('Offshore CF'!J126:$J$153)&lt;&gt;0),E114*(((G113+G114)/2)+I113),IF(SUM('Offshore CF'!E125:$E$153)-SUM('Offshore CF'!J125:$J$153)&lt;&gt;0,E114*(((G113+G114)/2)+I113),0))</f>
        <v>#N/A</v>
      </c>
      <c r="I114" s="322" t="e">
        <f ca="1">IF(OR(SUM('Offshore CF'!E126:$E$153)&lt;&gt;0,SUM('Offshore CF'!J126:$J$153)&lt;&gt;0),SUM($H$13:H114),IF(SUM('Offshore CF'!E$153:$E312)-SUM('Offshore CF'!J125:$J$153)&lt;&gt;0,SUM($H$13:H114),0))</f>
        <v>#N/A</v>
      </c>
      <c r="J114" s="322" t="e">
        <f ca="1">IF(OR(SUM('Offshore CF'!E126:$E$153)&lt;&gt;0,SUM('Offshore CF'!J126:$J$153)&lt;&gt;0),I114+G114,IF(SUM('Offshore CF'!E125:$E$153)-SUM('Offshore CF'!J125:$J$153)&lt;&gt;0,I114+G114,0))</f>
        <v>#N/A</v>
      </c>
      <c r="K114" s="323"/>
      <c r="L114" s="324">
        <f ca="1">IF(ISERROR('Offshore CF'!J125),0,'Offshore CF'!J125)</f>
        <v>0</v>
      </c>
      <c r="M114" s="325">
        <f ca="1">SUM($L$13:L114)</f>
        <v>1E-3</v>
      </c>
      <c r="N114" s="322" t="e">
        <f ca="1">IF(OR(SUM('Offshore CF'!E126:$E$153)&lt;&gt;0,SUM('Offshore CF'!J126:$J$153)&lt;&gt;0),E114*(((M113+M114)/2)+O113),IF(SUM('Offshore CF'!E125:$E$153)-SUM('Offshore CF'!J125:$J$153)&lt;&gt;0,E114*(((M113+M114)/2)+O113),0))</f>
        <v>#N/A</v>
      </c>
      <c r="O114" s="322" t="e">
        <f ca="1">IF(OR(SUM('Offshore CF'!E126:$E$153)&lt;&gt;0,SUM('Offshore CF'!J126:$J$153)&lt;&gt;0),SUM($N$13:N114),IF(SUM('Offshore CF'!E125:$E$153)-SUM('Offshore CF'!J125:$J$153)&lt;&gt;0,SUM($N$13:N114),0))</f>
        <v>#N/A</v>
      </c>
      <c r="P114" s="322" t="e">
        <f ca="1">IF(OR(SUM('Offshore CF'!E126:$E$153)&lt;&gt;0,SUM('Offshore CF'!J126:$J$153)&lt;&gt;0),O114+M114,IF(SUM('Offshore CF'!E125:$E$153)-SUM('Offshore CF'!J125:$J$153)&lt;&gt;0,O114+M114,0))</f>
        <v>#N/A</v>
      </c>
      <c r="R114" s="322" t="e">
        <f ca="1">IF(OR(SUM('Offshore CF'!E126:$E$153)&lt;&gt;0,SUM('Offshore CF'!J126:$J$153)&lt;&gt;0),G114-M114,IF(SUM('Offshore CF'!E125:$E$153)-SUM('Offshore CF'!J125:$J$153)&lt;&gt;0,G114-M114,0))</f>
        <v>#N/A</v>
      </c>
      <c r="S114" s="285"/>
      <c r="T114" s="322" t="e">
        <f ca="1">IF(OR(SUM('Offshore CF'!E126:$E$153)&lt;&gt;0,SUM('Offshore CF'!J126:$J$153)&lt;&gt;0),E114*(((R113+R114)/2)+SUM($T$13:T113)),IF(SUM('Offshore CF'!E125:$E$153)-SUM('Offshore CF'!J125:$J$153)&lt;&gt;0,E114*(((R113+R114)/2)+SUM($T$13:T113)),0))</f>
        <v>#N/A</v>
      </c>
      <c r="U114" s="322" t="e">
        <f t="shared" ca="1" si="14"/>
        <v>#N/A</v>
      </c>
      <c r="V114" s="319" t="e">
        <f t="shared" ca="1" si="15"/>
        <v>#N/A</v>
      </c>
      <c r="W114" s="285"/>
      <c r="X114" s="326"/>
    </row>
    <row r="115" spans="2:24">
      <c r="B115" s="309">
        <f>'Offshore CF'!B126</f>
        <v>99</v>
      </c>
      <c r="C115" s="310">
        <f>'Offshore CF'!C126</f>
        <v>46571.836600000155</v>
      </c>
      <c r="D115" s="311" t="e">
        <f t="shared" ca="1" si="12"/>
        <v>#N/A</v>
      </c>
      <c r="E115" s="312">
        <f t="shared" ca="1" si="13"/>
        <v>0</v>
      </c>
      <c r="F115" s="313">
        <f ca="1">IF(ISERROR('Offshore CF'!E126),0,'Offshore CF'!E126)</f>
        <v>0</v>
      </c>
      <c r="G115" s="319">
        <f ca="1">SUM($F$13:F115)</f>
        <v>0</v>
      </c>
      <c r="H115" s="322" t="e">
        <f ca="1">IF(OR(SUM('Offshore CF'!E127:$E$153)&lt;&gt;0,SUM('Offshore CF'!J127:$J$153)&lt;&gt;0),E115*(((G114+G115)/2)+I114),IF(SUM('Offshore CF'!E126:$E$153)-SUM('Offshore CF'!J126:$J$153)&lt;&gt;0,E115*(((G114+G115)/2)+I114),0))</f>
        <v>#N/A</v>
      </c>
      <c r="I115" s="322" t="e">
        <f ca="1">IF(OR(SUM('Offshore CF'!E127:$E$153)&lt;&gt;0,SUM('Offshore CF'!J127:$J$153)&lt;&gt;0),SUM($H$13:H115),IF(SUM('Offshore CF'!E$153:$E313)-SUM('Offshore CF'!J126:$J$153)&lt;&gt;0,SUM($H$13:H115),0))</f>
        <v>#N/A</v>
      </c>
      <c r="J115" s="322" t="e">
        <f ca="1">IF(OR(SUM('Offshore CF'!E127:$E$153)&lt;&gt;0,SUM('Offshore CF'!J127:$J$153)&lt;&gt;0),I115+G115,IF(SUM('Offshore CF'!E126:$E$153)-SUM('Offshore CF'!J126:$J$153)&lt;&gt;0,I115+G115,0))</f>
        <v>#N/A</v>
      </c>
      <c r="K115" s="323"/>
      <c r="L115" s="324">
        <f ca="1">IF(ISERROR('Offshore CF'!J126),0,'Offshore CF'!J126)</f>
        <v>0</v>
      </c>
      <c r="M115" s="325">
        <f ca="1">SUM($L$13:L115)</f>
        <v>1E-3</v>
      </c>
      <c r="N115" s="322" t="e">
        <f ca="1">IF(OR(SUM('Offshore CF'!E127:$E$153)&lt;&gt;0,SUM('Offshore CF'!J127:$J$153)&lt;&gt;0),E115*(((M114+M115)/2)+O114),IF(SUM('Offshore CF'!E126:$E$153)-SUM('Offshore CF'!J126:$J$153)&lt;&gt;0,E115*(((M114+M115)/2)+O114),0))</f>
        <v>#N/A</v>
      </c>
      <c r="O115" s="322" t="e">
        <f ca="1">IF(OR(SUM('Offshore CF'!E127:$E$153)&lt;&gt;0,SUM('Offshore CF'!J127:$J$153)&lt;&gt;0),SUM($N$13:N115),IF(SUM('Offshore CF'!E126:$E$153)-SUM('Offshore CF'!J126:$J$153)&lt;&gt;0,SUM($N$13:N115),0))</f>
        <v>#N/A</v>
      </c>
      <c r="P115" s="322" t="e">
        <f ca="1">IF(OR(SUM('Offshore CF'!E127:$E$153)&lt;&gt;0,SUM('Offshore CF'!J127:$J$153)&lt;&gt;0),O115+M115,IF(SUM('Offshore CF'!E126:$E$153)-SUM('Offshore CF'!J126:$J$153)&lt;&gt;0,O115+M115,0))</f>
        <v>#N/A</v>
      </c>
      <c r="R115" s="322" t="e">
        <f ca="1">IF(OR(SUM('Offshore CF'!E127:$E$153)&lt;&gt;0,SUM('Offshore CF'!J127:$J$153)&lt;&gt;0),G115-M115,IF(SUM('Offshore CF'!E126:$E$153)-SUM('Offshore CF'!J126:$J$153)&lt;&gt;0,G115-M115,0))</f>
        <v>#N/A</v>
      </c>
      <c r="S115" s="285"/>
      <c r="T115" s="322" t="e">
        <f ca="1">IF(OR(SUM('Offshore CF'!E127:$E$153)&lt;&gt;0,SUM('Offshore CF'!J127:$J$153)&lt;&gt;0),E115*(((R114+R115)/2)+SUM($T$13:T114)),IF(SUM('Offshore CF'!E126:$E$153)-SUM('Offshore CF'!J126:$J$153)&lt;&gt;0,E115*(((R114+R115)/2)+SUM($T$13:T114)),0))</f>
        <v>#N/A</v>
      </c>
      <c r="U115" s="322" t="e">
        <f t="shared" ca="1" si="14"/>
        <v>#N/A</v>
      </c>
      <c r="V115" s="319" t="e">
        <f t="shared" ca="1" si="15"/>
        <v>#N/A</v>
      </c>
      <c r="W115" s="285"/>
      <c r="X115" s="326"/>
    </row>
    <row r="116" spans="2:24">
      <c r="B116" s="309">
        <f>'Offshore CF'!B127</f>
        <v>100</v>
      </c>
      <c r="C116" s="310">
        <f>'Offshore CF'!C127</f>
        <v>46602.253300000157</v>
      </c>
      <c r="D116" s="311" t="e">
        <f t="shared" ca="1" si="12"/>
        <v>#N/A</v>
      </c>
      <c r="E116" s="312">
        <f t="shared" ca="1" si="13"/>
        <v>0</v>
      </c>
      <c r="F116" s="313">
        <f ca="1">IF(ISERROR('Offshore CF'!E127),0,'Offshore CF'!E127)</f>
        <v>0</v>
      </c>
      <c r="G116" s="319">
        <f ca="1">SUM($F$13:F116)</f>
        <v>0</v>
      </c>
      <c r="H116" s="322" t="e">
        <f ca="1">IF(OR(SUM('Offshore CF'!E128:$E$153)&lt;&gt;0,SUM('Offshore CF'!J128:$J$153)&lt;&gt;0),E116*(((G115+G116)/2)+I115),IF(SUM('Offshore CF'!E127:$E$153)-SUM('Offshore CF'!J127:$J$153)&lt;&gt;0,E116*(((G115+G116)/2)+I115),0))</f>
        <v>#N/A</v>
      </c>
      <c r="I116" s="322" t="e">
        <f ca="1">IF(OR(SUM('Offshore CF'!E128:$E$153)&lt;&gt;0,SUM('Offshore CF'!J128:$J$153)&lt;&gt;0),SUM($H$13:H116),IF(SUM('Offshore CF'!E$153:$E314)-SUM('Offshore CF'!J127:$J$153)&lt;&gt;0,SUM($H$13:H116),0))</f>
        <v>#N/A</v>
      </c>
      <c r="J116" s="322" t="e">
        <f ca="1">IF(OR(SUM('Offshore CF'!E128:$E$153)&lt;&gt;0,SUM('Offshore CF'!J128:$J$153)&lt;&gt;0),I116+G116,IF(SUM('Offshore CF'!E127:$E$153)-SUM('Offshore CF'!J127:$J$153)&lt;&gt;0,I116+G116,0))</f>
        <v>#N/A</v>
      </c>
      <c r="K116" s="323"/>
      <c r="L116" s="324">
        <f ca="1">IF(ISERROR('Offshore CF'!J127),0,'Offshore CF'!J127)</f>
        <v>0</v>
      </c>
      <c r="M116" s="325">
        <f ca="1">SUM($L$13:L116)</f>
        <v>1E-3</v>
      </c>
      <c r="N116" s="322" t="e">
        <f ca="1">IF(OR(SUM('Offshore CF'!E128:$E$153)&lt;&gt;0,SUM('Offshore CF'!J128:$J$153)&lt;&gt;0),E116*(((M115+M116)/2)+O115),IF(SUM('Offshore CF'!E127:$E$153)-SUM('Offshore CF'!J127:$J$153)&lt;&gt;0,E116*(((M115+M116)/2)+O115),0))</f>
        <v>#N/A</v>
      </c>
      <c r="O116" s="322" t="e">
        <f ca="1">IF(OR(SUM('Offshore CF'!E128:$E$153)&lt;&gt;0,SUM('Offshore CF'!J128:$J$153)&lt;&gt;0),SUM($N$13:N116),IF(SUM('Offshore CF'!E127:$E$153)-SUM('Offshore CF'!J127:$J$153)&lt;&gt;0,SUM($N$13:N116),0))</f>
        <v>#N/A</v>
      </c>
      <c r="P116" s="322" t="e">
        <f ca="1">IF(OR(SUM('Offshore CF'!E128:$E$153)&lt;&gt;0,SUM('Offshore CF'!J128:$J$153)&lt;&gt;0),O116+M116,IF(SUM('Offshore CF'!E127:$E$153)-SUM('Offshore CF'!J127:$J$153)&lt;&gt;0,O116+M116,0))</f>
        <v>#N/A</v>
      </c>
      <c r="R116" s="322" t="e">
        <f ca="1">IF(OR(SUM('Offshore CF'!E128:$E$153)&lt;&gt;0,SUM('Offshore CF'!J128:$J$153)&lt;&gt;0),G116-M116,IF(SUM('Offshore CF'!E127:$E$153)-SUM('Offshore CF'!J127:$J$153)&lt;&gt;0,G116-M116,0))</f>
        <v>#N/A</v>
      </c>
      <c r="S116" s="285"/>
      <c r="T116" s="322" t="e">
        <f ca="1">IF(OR(SUM('Offshore CF'!E128:$E$153)&lt;&gt;0,SUM('Offshore CF'!J128:$J$153)&lt;&gt;0),E116*(((R115+R116)/2)+SUM($T$13:T115)),IF(SUM('Offshore CF'!E127:$E$153)-SUM('Offshore CF'!J127:$J$153)&lt;&gt;0,E116*(((R115+R116)/2)+SUM($T$13:T115)),0))</f>
        <v>#N/A</v>
      </c>
      <c r="U116" s="322" t="e">
        <f t="shared" ca="1" si="14"/>
        <v>#N/A</v>
      </c>
      <c r="V116" s="319" t="e">
        <f t="shared" ca="1" si="15"/>
        <v>#N/A</v>
      </c>
      <c r="W116" s="285"/>
      <c r="X116" s="326"/>
    </row>
    <row r="117" spans="2:24">
      <c r="B117" s="309">
        <f>'Offshore CF'!B128</f>
        <v>101</v>
      </c>
      <c r="C117" s="310">
        <f>'Offshore CF'!C128</f>
        <v>46632.670000000158</v>
      </c>
      <c r="D117" s="311" t="e">
        <f t="shared" ca="1" si="12"/>
        <v>#N/A</v>
      </c>
      <c r="E117" s="312">
        <f t="shared" ca="1" si="13"/>
        <v>0</v>
      </c>
      <c r="F117" s="313">
        <f ca="1">IF(ISERROR('Offshore CF'!E128),0,'Offshore CF'!E128)</f>
        <v>0</v>
      </c>
      <c r="G117" s="319">
        <f ca="1">SUM($F$13:F117)</f>
        <v>0</v>
      </c>
      <c r="H117" s="322" t="e">
        <f ca="1">IF(OR(SUM('Offshore CF'!E129:$E$153)&lt;&gt;0,SUM('Offshore CF'!J129:$J$153)&lt;&gt;0),E117*(((G116+G117)/2)+I116),IF(SUM('Offshore CF'!E128:$E$153)-SUM('Offshore CF'!J128:$J$153)&lt;&gt;0,E117*(((G116+G117)/2)+I116),0))</f>
        <v>#N/A</v>
      </c>
      <c r="I117" s="322" t="e">
        <f ca="1">IF(OR(SUM('Offshore CF'!E129:$E$153)&lt;&gt;0,SUM('Offshore CF'!J129:$J$153)&lt;&gt;0),SUM($H$13:H117),IF(SUM('Offshore CF'!E$153:$E315)-SUM('Offshore CF'!J128:$J$153)&lt;&gt;0,SUM($H$13:H117),0))</f>
        <v>#N/A</v>
      </c>
      <c r="J117" s="322" t="e">
        <f ca="1">IF(OR(SUM('Offshore CF'!E129:$E$153)&lt;&gt;0,SUM('Offshore CF'!J129:$J$153)&lt;&gt;0),I117+G117,IF(SUM('Offshore CF'!E128:$E$153)-SUM('Offshore CF'!J128:$J$153)&lt;&gt;0,I117+G117,0))</f>
        <v>#N/A</v>
      </c>
      <c r="K117" s="323"/>
      <c r="L117" s="324">
        <f ca="1">IF(ISERROR('Offshore CF'!J128),0,'Offshore CF'!J128)</f>
        <v>0</v>
      </c>
      <c r="M117" s="325">
        <f ca="1">SUM($L$13:L117)</f>
        <v>1E-3</v>
      </c>
      <c r="N117" s="322" t="e">
        <f ca="1">IF(OR(SUM('Offshore CF'!E129:$E$153)&lt;&gt;0,SUM('Offshore CF'!J129:$J$153)&lt;&gt;0),E117*(((M116+M117)/2)+O116),IF(SUM('Offshore CF'!E128:$E$153)-SUM('Offshore CF'!J128:$J$153)&lt;&gt;0,E117*(((M116+M117)/2)+O116),0))</f>
        <v>#N/A</v>
      </c>
      <c r="O117" s="322" t="e">
        <f ca="1">IF(OR(SUM('Offshore CF'!E129:$E$153)&lt;&gt;0,SUM('Offshore CF'!J129:$J$153)&lt;&gt;0),SUM($N$13:N117),IF(SUM('Offshore CF'!E128:$E$153)-SUM('Offshore CF'!J128:$J$153)&lt;&gt;0,SUM($N$13:N117),0))</f>
        <v>#N/A</v>
      </c>
      <c r="P117" s="322" t="e">
        <f ca="1">IF(OR(SUM('Offshore CF'!E129:$E$153)&lt;&gt;0,SUM('Offshore CF'!J129:$J$153)&lt;&gt;0),O117+M117,IF(SUM('Offshore CF'!E128:$E$153)-SUM('Offshore CF'!J128:$J$153)&lt;&gt;0,O117+M117,0))</f>
        <v>#N/A</v>
      </c>
      <c r="R117" s="322" t="e">
        <f ca="1">IF(OR(SUM('Offshore CF'!E129:$E$153)&lt;&gt;0,SUM('Offshore CF'!J129:$J$153)&lt;&gt;0),G117-M117,IF(SUM('Offshore CF'!E128:$E$153)-SUM('Offshore CF'!J128:$J$153)&lt;&gt;0,G117-M117,0))</f>
        <v>#N/A</v>
      </c>
      <c r="S117" s="285"/>
      <c r="T117" s="322" t="e">
        <f ca="1">IF(OR(SUM('Offshore CF'!E129:$E$153)&lt;&gt;0,SUM('Offshore CF'!J129:$J$153)&lt;&gt;0),E117*(((R116+R117)/2)+SUM($T$13:T116)),IF(SUM('Offshore CF'!E128:$E$153)-SUM('Offshore CF'!J128:$J$153)&lt;&gt;0,E117*(((R116+R117)/2)+SUM($T$13:T116)),0))</f>
        <v>#N/A</v>
      </c>
      <c r="U117" s="322" t="e">
        <f t="shared" ca="1" si="14"/>
        <v>#N/A</v>
      </c>
      <c r="V117" s="319" t="e">
        <f t="shared" ca="1" si="15"/>
        <v>#N/A</v>
      </c>
      <c r="W117" s="285"/>
      <c r="X117" s="326"/>
    </row>
    <row r="118" spans="2:24">
      <c r="B118" s="309">
        <f>'Offshore CF'!B129</f>
        <v>102</v>
      </c>
      <c r="C118" s="310">
        <f>'Offshore CF'!C129</f>
        <v>46663.08670000016</v>
      </c>
      <c r="D118" s="311" t="e">
        <f t="shared" ca="1" si="12"/>
        <v>#N/A</v>
      </c>
      <c r="E118" s="312">
        <f t="shared" ca="1" si="13"/>
        <v>0</v>
      </c>
      <c r="F118" s="313">
        <f ca="1">IF(ISERROR('Offshore CF'!E129),0,'Offshore CF'!E129)</f>
        <v>0</v>
      </c>
      <c r="G118" s="319">
        <f ca="1">SUM($F$13:F118)</f>
        <v>0</v>
      </c>
      <c r="H118" s="322" t="e">
        <f ca="1">IF(OR(SUM('Offshore CF'!E130:$E$153)&lt;&gt;0,SUM('Offshore CF'!J130:$J$153)&lt;&gt;0),E118*(((G117+G118)/2)+I117),IF(SUM('Offshore CF'!E129:$E$153)-SUM('Offshore CF'!J129:$J$153)&lt;&gt;0,E118*(((G117+G118)/2)+I117),0))</f>
        <v>#N/A</v>
      </c>
      <c r="I118" s="322" t="e">
        <f ca="1">IF(OR(SUM('Offshore CF'!E130:$E$153)&lt;&gt;0,SUM('Offshore CF'!J130:$J$153)&lt;&gt;0),SUM($H$13:H118),IF(SUM('Offshore CF'!E$153:$E316)-SUM('Offshore CF'!J129:$J$153)&lt;&gt;0,SUM($H$13:H118),0))</f>
        <v>#N/A</v>
      </c>
      <c r="J118" s="322" t="e">
        <f ca="1">IF(OR(SUM('Offshore CF'!E130:$E$153)&lt;&gt;0,SUM('Offshore CF'!J130:$J$153)&lt;&gt;0),I118+G118,IF(SUM('Offshore CF'!E129:$E$153)-SUM('Offshore CF'!J129:$J$153)&lt;&gt;0,I118+G118,0))</f>
        <v>#N/A</v>
      </c>
      <c r="K118" s="323"/>
      <c r="L118" s="324">
        <f ca="1">IF(ISERROR('Offshore CF'!J129),0,'Offshore CF'!J129)</f>
        <v>0</v>
      </c>
      <c r="M118" s="325">
        <f ca="1">SUM($L$13:L118)</f>
        <v>1E-3</v>
      </c>
      <c r="N118" s="322" t="e">
        <f ca="1">IF(OR(SUM('Offshore CF'!E130:$E$153)&lt;&gt;0,SUM('Offshore CF'!J130:$J$153)&lt;&gt;0),E118*(((M117+M118)/2)+O117),IF(SUM('Offshore CF'!E129:$E$153)-SUM('Offshore CF'!J129:$J$153)&lt;&gt;0,E118*(((M117+M118)/2)+O117),0))</f>
        <v>#N/A</v>
      </c>
      <c r="O118" s="322" t="e">
        <f ca="1">IF(OR(SUM('Offshore CF'!E130:$E$153)&lt;&gt;0,SUM('Offshore CF'!J130:$J$153)&lt;&gt;0),SUM($N$13:N118),IF(SUM('Offshore CF'!E129:$E$153)-SUM('Offshore CF'!J129:$J$153)&lt;&gt;0,SUM($N$13:N118),0))</f>
        <v>#N/A</v>
      </c>
      <c r="P118" s="322" t="e">
        <f ca="1">IF(OR(SUM('Offshore CF'!E130:$E$153)&lt;&gt;0,SUM('Offshore CF'!J130:$J$153)&lt;&gt;0),O118+M118,IF(SUM('Offshore CF'!E129:$E$153)-SUM('Offshore CF'!J129:$J$153)&lt;&gt;0,O118+M118,0))</f>
        <v>#N/A</v>
      </c>
      <c r="R118" s="322" t="e">
        <f ca="1">IF(OR(SUM('Offshore CF'!E130:$E$153)&lt;&gt;0,SUM('Offshore CF'!J130:$J$153)&lt;&gt;0),G118-M118,IF(SUM('Offshore CF'!E129:$E$153)-SUM('Offshore CF'!J129:$J$153)&lt;&gt;0,G118-M118,0))</f>
        <v>#N/A</v>
      </c>
      <c r="S118" s="285"/>
      <c r="T118" s="322" t="e">
        <f ca="1">IF(OR(SUM('Offshore CF'!E130:$E$153)&lt;&gt;0,SUM('Offshore CF'!J130:$J$153)&lt;&gt;0),E118*(((R117+R118)/2)+SUM($T$13:T117)),IF(SUM('Offshore CF'!E129:$E$153)-SUM('Offshore CF'!J129:$J$153)&lt;&gt;0,E118*(((R117+R118)/2)+SUM($T$13:T117)),0))</f>
        <v>#N/A</v>
      </c>
      <c r="U118" s="322" t="e">
        <f t="shared" ca="1" si="14"/>
        <v>#N/A</v>
      </c>
      <c r="V118" s="319" t="e">
        <f t="shared" ca="1" si="15"/>
        <v>#N/A</v>
      </c>
      <c r="W118" s="285"/>
      <c r="X118" s="326"/>
    </row>
    <row r="119" spans="2:24">
      <c r="B119" s="309">
        <f>'Offshore CF'!B130</f>
        <v>103</v>
      </c>
      <c r="C119" s="310">
        <f>'Offshore CF'!C130</f>
        <v>46693.503400000161</v>
      </c>
      <c r="D119" s="311" t="e">
        <f t="shared" ca="1" si="12"/>
        <v>#N/A</v>
      </c>
      <c r="E119" s="312">
        <f t="shared" ca="1" si="13"/>
        <v>0</v>
      </c>
      <c r="F119" s="313">
        <f ca="1">IF(ISERROR('Offshore CF'!E130),0,'Offshore CF'!E130)</f>
        <v>0</v>
      </c>
      <c r="G119" s="319">
        <f ca="1">SUM($F$13:F119)</f>
        <v>0</v>
      </c>
      <c r="H119" s="322" t="e">
        <f ca="1">IF(OR(SUM('Offshore CF'!E131:$E$153)&lt;&gt;0,SUM('Offshore CF'!J131:$J$153)&lt;&gt;0),E119*(((G118+G119)/2)+I118),IF(SUM('Offshore CF'!E130:$E$153)-SUM('Offshore CF'!J130:$J$153)&lt;&gt;0,E119*(((G118+G119)/2)+I118),0))</f>
        <v>#N/A</v>
      </c>
      <c r="I119" s="322" t="e">
        <f ca="1">IF(OR(SUM('Offshore CF'!E131:$E$153)&lt;&gt;0,SUM('Offshore CF'!J131:$J$153)&lt;&gt;0),SUM($H$13:H119),IF(SUM('Offshore CF'!E$153:$E317)-SUM('Offshore CF'!J130:$J$153)&lt;&gt;0,SUM($H$13:H119),0))</f>
        <v>#N/A</v>
      </c>
      <c r="J119" s="322" t="e">
        <f ca="1">IF(OR(SUM('Offshore CF'!E131:$E$153)&lt;&gt;0,SUM('Offshore CF'!J131:$J$153)&lt;&gt;0),I119+G119,IF(SUM('Offshore CF'!E130:$E$153)-SUM('Offshore CF'!J130:$J$153)&lt;&gt;0,I119+G119,0))</f>
        <v>#N/A</v>
      </c>
      <c r="K119" s="323"/>
      <c r="L119" s="324">
        <f ca="1">IF(ISERROR('Offshore CF'!J130),0,'Offshore CF'!J130)</f>
        <v>0</v>
      </c>
      <c r="M119" s="325">
        <f ca="1">SUM($L$13:L119)</f>
        <v>1E-3</v>
      </c>
      <c r="N119" s="322" t="e">
        <f ca="1">IF(OR(SUM('Offshore CF'!E131:$E$153)&lt;&gt;0,SUM('Offshore CF'!J131:$J$153)&lt;&gt;0),E119*(((M118+M119)/2)+O118),IF(SUM('Offshore CF'!E130:$E$153)-SUM('Offshore CF'!J130:$J$153)&lt;&gt;0,E119*(((M118+M119)/2)+O118),0))</f>
        <v>#N/A</v>
      </c>
      <c r="O119" s="322" t="e">
        <f ca="1">IF(OR(SUM('Offshore CF'!E131:$E$153)&lt;&gt;0,SUM('Offshore CF'!J131:$J$153)&lt;&gt;0),SUM($N$13:N119),IF(SUM('Offshore CF'!E130:$E$153)-SUM('Offshore CF'!J130:$J$153)&lt;&gt;0,SUM($N$13:N119),0))</f>
        <v>#N/A</v>
      </c>
      <c r="P119" s="322" t="e">
        <f ca="1">IF(OR(SUM('Offshore CF'!E131:$E$153)&lt;&gt;0,SUM('Offshore CF'!J131:$J$153)&lt;&gt;0),O119+M119,IF(SUM('Offshore CF'!E130:$E$153)-SUM('Offshore CF'!J130:$J$153)&lt;&gt;0,O119+M119,0))</f>
        <v>#N/A</v>
      </c>
      <c r="R119" s="322" t="e">
        <f ca="1">IF(OR(SUM('Offshore CF'!E131:$E$153)&lt;&gt;0,SUM('Offshore CF'!J131:$J$153)&lt;&gt;0),G119-M119,IF(SUM('Offshore CF'!E130:$E$153)-SUM('Offshore CF'!J130:$J$153)&lt;&gt;0,G119-M119,0))</f>
        <v>#N/A</v>
      </c>
      <c r="S119" s="285"/>
      <c r="T119" s="322" t="e">
        <f ca="1">IF(OR(SUM('Offshore CF'!E131:$E$153)&lt;&gt;0,SUM('Offshore CF'!J131:$J$153)&lt;&gt;0),E119*(((R118+R119)/2)+SUM($T$13:T118)),IF(SUM('Offshore CF'!E130:$E$153)-SUM('Offshore CF'!J130:$J$153)&lt;&gt;0,E119*(((R118+R119)/2)+SUM($T$13:T118)),0))</f>
        <v>#N/A</v>
      </c>
      <c r="U119" s="322" t="e">
        <f t="shared" ca="1" si="14"/>
        <v>#N/A</v>
      </c>
      <c r="V119" s="319" t="e">
        <f t="shared" ca="1" si="15"/>
        <v>#N/A</v>
      </c>
      <c r="W119" s="285"/>
      <c r="X119" s="326"/>
    </row>
    <row r="120" spans="2:24">
      <c r="B120" s="309">
        <f>'Offshore CF'!B131</f>
        <v>104</v>
      </c>
      <c r="C120" s="310">
        <f>'Offshore CF'!C131</f>
        <v>46723.920100000163</v>
      </c>
      <c r="D120" s="311" t="e">
        <f t="shared" ca="1" si="12"/>
        <v>#N/A</v>
      </c>
      <c r="E120" s="312">
        <f t="shared" ca="1" si="13"/>
        <v>0</v>
      </c>
      <c r="F120" s="313">
        <f ca="1">IF(ISERROR('Offshore CF'!E131),0,'Offshore CF'!E131)</f>
        <v>0</v>
      </c>
      <c r="G120" s="319">
        <f ca="1">SUM($F$13:F120)</f>
        <v>0</v>
      </c>
      <c r="H120" s="322" t="e">
        <f ca="1">IF(OR(SUM('Offshore CF'!E132:$E$153)&lt;&gt;0,SUM('Offshore CF'!J132:$J$153)&lt;&gt;0),E120*(((G119+G120)/2)+I119),IF(SUM('Offshore CF'!E131:$E$153)-SUM('Offshore CF'!J131:$J$153)&lt;&gt;0,E120*(((G119+G120)/2)+I119),0))</f>
        <v>#N/A</v>
      </c>
      <c r="I120" s="322" t="e">
        <f ca="1">IF(OR(SUM('Offshore CF'!E132:$E$153)&lt;&gt;0,SUM('Offshore CF'!J132:$J$153)&lt;&gt;0),SUM($H$13:H120),IF(SUM('Offshore CF'!E$153:$E318)-SUM('Offshore CF'!J131:$J$153)&lt;&gt;0,SUM($H$13:H120),0))</f>
        <v>#N/A</v>
      </c>
      <c r="J120" s="322" t="e">
        <f ca="1">IF(OR(SUM('Offshore CF'!E132:$E$153)&lt;&gt;0,SUM('Offshore CF'!J132:$J$153)&lt;&gt;0),I120+G120,IF(SUM('Offshore CF'!E131:$E$153)-SUM('Offshore CF'!J131:$J$153)&lt;&gt;0,I120+G120,0))</f>
        <v>#N/A</v>
      </c>
      <c r="K120" s="323"/>
      <c r="L120" s="324">
        <f ca="1">IF(ISERROR('Offshore CF'!J131),0,'Offshore CF'!J131)</f>
        <v>0</v>
      </c>
      <c r="M120" s="325">
        <f ca="1">SUM($L$13:L120)</f>
        <v>1E-3</v>
      </c>
      <c r="N120" s="322" t="e">
        <f ca="1">IF(OR(SUM('Offshore CF'!E132:$E$153)&lt;&gt;0,SUM('Offshore CF'!J132:$J$153)&lt;&gt;0),E120*(((M119+M120)/2)+O119),IF(SUM('Offshore CF'!E131:$E$153)-SUM('Offshore CF'!J131:$J$153)&lt;&gt;0,E120*(((M119+M120)/2)+O119),0))</f>
        <v>#N/A</v>
      </c>
      <c r="O120" s="322" t="e">
        <f ca="1">IF(OR(SUM('Offshore CF'!E132:$E$153)&lt;&gt;0,SUM('Offshore CF'!J132:$J$153)&lt;&gt;0),SUM($N$13:N120),IF(SUM('Offshore CF'!E131:$E$153)-SUM('Offshore CF'!J131:$J$153)&lt;&gt;0,SUM($N$13:N120),0))</f>
        <v>#N/A</v>
      </c>
      <c r="P120" s="322" t="e">
        <f ca="1">IF(OR(SUM('Offshore CF'!E132:$E$153)&lt;&gt;0,SUM('Offshore CF'!J132:$J$153)&lt;&gt;0),O120+M120,IF(SUM('Offshore CF'!E131:$E$153)-SUM('Offshore CF'!J131:$J$153)&lt;&gt;0,O120+M120,0))</f>
        <v>#N/A</v>
      </c>
      <c r="R120" s="322" t="e">
        <f ca="1">IF(OR(SUM('Offshore CF'!E132:$E$153)&lt;&gt;0,SUM('Offshore CF'!J132:$J$153)&lt;&gt;0),G120-M120,IF(SUM('Offshore CF'!E131:$E$153)-SUM('Offshore CF'!J131:$J$153)&lt;&gt;0,G120-M120,0))</f>
        <v>#N/A</v>
      </c>
      <c r="S120" s="285"/>
      <c r="T120" s="322" t="e">
        <f ca="1">IF(OR(SUM('Offshore CF'!E132:$E$153)&lt;&gt;0,SUM('Offshore CF'!J132:$J$153)&lt;&gt;0),E120*(((R119+R120)/2)+SUM($T$13:T119)),IF(SUM('Offshore CF'!E131:$E$153)-SUM('Offshore CF'!J131:$J$153)&lt;&gt;0,E120*(((R119+R120)/2)+SUM($T$13:T119)),0))</f>
        <v>#N/A</v>
      </c>
      <c r="U120" s="322" t="e">
        <f t="shared" ca="1" si="14"/>
        <v>#N/A</v>
      </c>
      <c r="V120" s="319" t="e">
        <f t="shared" ca="1" si="15"/>
        <v>#N/A</v>
      </c>
      <c r="W120" s="285"/>
      <c r="X120" s="326"/>
    </row>
    <row r="121" spans="2:24">
      <c r="B121" s="309">
        <f>'Offshore CF'!B132</f>
        <v>105</v>
      </c>
      <c r="C121" s="310">
        <f>'Offshore CF'!C132</f>
        <v>46754.336800000165</v>
      </c>
      <c r="D121" s="311" t="e">
        <f t="shared" ca="1" si="12"/>
        <v>#N/A</v>
      </c>
      <c r="E121" s="312">
        <f t="shared" ca="1" si="13"/>
        <v>0</v>
      </c>
      <c r="F121" s="313">
        <f ca="1">IF(ISERROR('Offshore CF'!E132),0,'Offshore CF'!E132)</f>
        <v>0</v>
      </c>
      <c r="G121" s="319">
        <f ca="1">SUM($F$13:F121)</f>
        <v>0</v>
      </c>
      <c r="H121" s="322" t="e">
        <f ca="1">IF(OR(SUM('Offshore CF'!E133:$E$153)&lt;&gt;0,SUM('Offshore CF'!J133:$J$153)&lt;&gt;0),E121*(((G120+G121)/2)+I120),IF(SUM('Offshore CF'!E132:$E$153)-SUM('Offshore CF'!J132:$J$153)&lt;&gt;0,E121*(((G120+G121)/2)+I120),0))</f>
        <v>#N/A</v>
      </c>
      <c r="I121" s="322" t="e">
        <f ca="1">IF(OR(SUM('Offshore CF'!E133:$E$153)&lt;&gt;0,SUM('Offshore CF'!J133:$J$153)&lt;&gt;0),SUM($H$13:H121),IF(SUM('Offshore CF'!E$153:$E319)-SUM('Offshore CF'!J132:$J$153)&lt;&gt;0,SUM($H$13:H121),0))</f>
        <v>#N/A</v>
      </c>
      <c r="J121" s="322" t="e">
        <f ca="1">IF(OR(SUM('Offshore CF'!E133:$E$153)&lt;&gt;0,SUM('Offshore CF'!J133:$J$153)&lt;&gt;0),I121+G121,IF(SUM('Offshore CF'!E132:$E$153)-SUM('Offshore CF'!J132:$J$153)&lt;&gt;0,I121+G121,0))</f>
        <v>#N/A</v>
      </c>
      <c r="K121" s="323"/>
      <c r="L121" s="324">
        <f ca="1">IF(ISERROR('Offshore CF'!J132),0,'Offshore CF'!J132)</f>
        <v>0</v>
      </c>
      <c r="M121" s="325">
        <f ca="1">SUM($L$13:L121)</f>
        <v>1E-3</v>
      </c>
      <c r="N121" s="322" t="e">
        <f ca="1">IF(OR(SUM('Offshore CF'!E133:$E$153)&lt;&gt;0,SUM('Offshore CF'!J133:$J$153)&lt;&gt;0),E121*(((M120+M121)/2)+O120),IF(SUM('Offshore CF'!E132:$E$153)-SUM('Offshore CF'!J132:$J$153)&lt;&gt;0,E121*(((M120+M121)/2)+O120),0))</f>
        <v>#N/A</v>
      </c>
      <c r="O121" s="322" t="e">
        <f ca="1">IF(OR(SUM('Offshore CF'!E133:$E$153)&lt;&gt;0,SUM('Offshore CF'!J133:$J$153)&lt;&gt;0),SUM($N$13:N121),IF(SUM('Offshore CF'!E132:$E$153)-SUM('Offshore CF'!J132:$J$153)&lt;&gt;0,SUM($N$13:N121),0))</f>
        <v>#N/A</v>
      </c>
      <c r="P121" s="322" t="e">
        <f ca="1">IF(OR(SUM('Offshore CF'!E133:$E$153)&lt;&gt;0,SUM('Offshore CF'!J133:$J$153)&lt;&gt;0),O121+M121,IF(SUM('Offshore CF'!E132:$E$153)-SUM('Offshore CF'!J132:$J$153)&lt;&gt;0,O121+M121,0))</f>
        <v>#N/A</v>
      </c>
      <c r="R121" s="322" t="e">
        <f ca="1">IF(OR(SUM('Offshore CF'!E133:$E$153)&lt;&gt;0,SUM('Offshore CF'!J133:$J$153)&lt;&gt;0),G121-M121,IF(SUM('Offshore CF'!E132:$E$153)-SUM('Offshore CF'!J132:$J$153)&lt;&gt;0,G121-M121,0))</f>
        <v>#N/A</v>
      </c>
      <c r="S121" s="285"/>
      <c r="T121" s="322" t="e">
        <f ca="1">IF(OR(SUM('Offshore CF'!E133:$E$153)&lt;&gt;0,SUM('Offshore CF'!J133:$J$153)&lt;&gt;0),E121*(((R120+R121)/2)+SUM($T$13:T120)),IF(SUM('Offshore CF'!E132:$E$153)-SUM('Offshore CF'!J132:$J$153)&lt;&gt;0,E121*(((R120+R121)/2)+SUM($T$13:T120)),0))</f>
        <v>#N/A</v>
      </c>
      <c r="U121" s="322" t="e">
        <f t="shared" ca="1" si="14"/>
        <v>#N/A</v>
      </c>
      <c r="V121" s="319" t="e">
        <f t="shared" ca="1" si="15"/>
        <v>#N/A</v>
      </c>
      <c r="W121" s="285"/>
      <c r="X121" s="326"/>
    </row>
    <row r="122" spans="2:24">
      <c r="B122" s="309">
        <f>'Offshore CF'!B133</f>
        <v>106</v>
      </c>
      <c r="C122" s="310">
        <f>'Offshore CF'!C133</f>
        <v>46784.753500000166</v>
      </c>
      <c r="D122" s="311" t="e">
        <f t="shared" ca="1" si="12"/>
        <v>#N/A</v>
      </c>
      <c r="E122" s="312">
        <f t="shared" ca="1" si="13"/>
        <v>0</v>
      </c>
      <c r="F122" s="313">
        <f ca="1">IF(ISERROR('Offshore CF'!E133),0,'Offshore CF'!E133)</f>
        <v>0</v>
      </c>
      <c r="G122" s="319">
        <f ca="1">SUM($F$13:F122)</f>
        <v>0</v>
      </c>
      <c r="H122" s="322" t="e">
        <f ca="1">IF(OR(SUM('Offshore CF'!E134:$E$153)&lt;&gt;0,SUM('Offshore CF'!J134:$J$153)&lt;&gt;0),E122*(((G121+G122)/2)+I121),IF(SUM('Offshore CF'!E133:$E$153)-SUM('Offshore CF'!J133:$J$153)&lt;&gt;0,E122*(((G121+G122)/2)+I121),0))</f>
        <v>#N/A</v>
      </c>
      <c r="I122" s="322" t="e">
        <f ca="1">IF(OR(SUM('Offshore CF'!E134:$E$153)&lt;&gt;0,SUM('Offshore CF'!J134:$J$153)&lt;&gt;0),SUM($H$13:H122),IF(SUM('Offshore CF'!E$153:$E320)-SUM('Offshore CF'!J133:$J$153)&lt;&gt;0,SUM($H$13:H122),0))</f>
        <v>#N/A</v>
      </c>
      <c r="J122" s="322" t="e">
        <f ca="1">IF(OR(SUM('Offshore CF'!E134:$E$153)&lt;&gt;0,SUM('Offshore CF'!J134:$J$153)&lt;&gt;0),I122+G122,IF(SUM('Offshore CF'!E133:$E$153)-SUM('Offshore CF'!J133:$J$153)&lt;&gt;0,I122+G122,0))</f>
        <v>#N/A</v>
      </c>
      <c r="K122" s="323"/>
      <c r="L122" s="324">
        <f ca="1">IF(ISERROR('Offshore CF'!J133),0,'Offshore CF'!J133)</f>
        <v>0</v>
      </c>
      <c r="M122" s="325">
        <f ca="1">SUM($L$13:L122)</f>
        <v>1E-3</v>
      </c>
      <c r="N122" s="322" t="e">
        <f ca="1">IF(OR(SUM('Offshore CF'!E134:$E$153)&lt;&gt;0,SUM('Offshore CF'!J134:$J$153)&lt;&gt;0),E122*(((M121+M122)/2)+O121),IF(SUM('Offshore CF'!E133:$E$153)-SUM('Offshore CF'!J133:$J$153)&lt;&gt;0,E122*(((M121+M122)/2)+O121),0))</f>
        <v>#N/A</v>
      </c>
      <c r="O122" s="322" t="e">
        <f ca="1">IF(OR(SUM('Offshore CF'!E134:$E$153)&lt;&gt;0,SUM('Offshore CF'!J134:$J$153)&lt;&gt;0),SUM($N$13:N122),IF(SUM('Offshore CF'!E133:$E$153)-SUM('Offshore CF'!J133:$J$153)&lt;&gt;0,SUM($N$13:N122),0))</f>
        <v>#N/A</v>
      </c>
      <c r="P122" s="322" t="e">
        <f ca="1">IF(OR(SUM('Offshore CF'!E134:$E$153)&lt;&gt;0,SUM('Offshore CF'!J134:$J$153)&lt;&gt;0),O122+M122,IF(SUM('Offshore CF'!E133:$E$153)-SUM('Offshore CF'!J133:$J$153)&lt;&gt;0,O122+M122,0))</f>
        <v>#N/A</v>
      </c>
      <c r="R122" s="322" t="e">
        <f ca="1">IF(OR(SUM('Offshore CF'!E134:$E$153)&lt;&gt;0,SUM('Offshore CF'!J134:$J$153)&lt;&gt;0),G122-M122,IF(SUM('Offshore CF'!E133:$E$153)-SUM('Offshore CF'!J133:$J$153)&lt;&gt;0,G122-M122,0))</f>
        <v>#N/A</v>
      </c>
      <c r="S122" s="285"/>
      <c r="T122" s="322" t="e">
        <f ca="1">IF(OR(SUM('Offshore CF'!E134:$E$153)&lt;&gt;0,SUM('Offshore CF'!J134:$J$153)&lt;&gt;0),E122*(((R121+R122)/2)+SUM($T$13:T121)),IF(SUM('Offshore CF'!E133:$E$153)-SUM('Offshore CF'!J133:$J$153)&lt;&gt;0,E122*(((R121+R122)/2)+SUM($T$13:T121)),0))</f>
        <v>#N/A</v>
      </c>
      <c r="U122" s="322" t="e">
        <f t="shared" ca="1" si="14"/>
        <v>#N/A</v>
      </c>
      <c r="V122" s="319" t="e">
        <f t="shared" ca="1" si="15"/>
        <v>#N/A</v>
      </c>
      <c r="W122" s="285"/>
      <c r="X122" s="326"/>
    </row>
    <row r="123" spans="2:24">
      <c r="B123" s="309">
        <f>'Offshore CF'!B134</f>
        <v>107</v>
      </c>
      <c r="C123" s="310">
        <f>'Offshore CF'!C134</f>
        <v>46815.170200000168</v>
      </c>
      <c r="D123" s="311" t="e">
        <f t="shared" ca="1" si="12"/>
        <v>#N/A</v>
      </c>
      <c r="E123" s="312">
        <f t="shared" ca="1" si="13"/>
        <v>0</v>
      </c>
      <c r="F123" s="313">
        <f ca="1">IF(ISERROR('Offshore CF'!E134),0,'Offshore CF'!E134)</f>
        <v>0</v>
      </c>
      <c r="G123" s="319">
        <f ca="1">SUM($F$13:F123)</f>
        <v>0</v>
      </c>
      <c r="H123" s="322" t="e">
        <f ca="1">IF(OR(SUM('Offshore CF'!E135:$E$153)&lt;&gt;0,SUM('Offshore CF'!J135:$J$153)&lt;&gt;0),E123*(((G122+G123)/2)+I122),IF(SUM('Offshore CF'!E134:$E$153)-SUM('Offshore CF'!J134:$J$153)&lt;&gt;0,E123*(((G122+G123)/2)+I122),0))</f>
        <v>#N/A</v>
      </c>
      <c r="I123" s="322" t="e">
        <f ca="1">IF(OR(SUM('Offshore CF'!E135:$E$153)&lt;&gt;0,SUM('Offshore CF'!J135:$J$153)&lt;&gt;0),SUM($H$13:H123),IF(SUM('Offshore CF'!E$153:$E321)-SUM('Offshore CF'!J134:$J$153)&lt;&gt;0,SUM($H$13:H123),0))</f>
        <v>#N/A</v>
      </c>
      <c r="J123" s="322" t="e">
        <f ca="1">IF(OR(SUM('Offshore CF'!E135:$E$153)&lt;&gt;0,SUM('Offshore CF'!J135:$J$153)&lt;&gt;0),I123+G123,IF(SUM('Offshore CF'!E134:$E$153)-SUM('Offshore CF'!J134:$J$153)&lt;&gt;0,I123+G123,0))</f>
        <v>#N/A</v>
      </c>
      <c r="K123" s="323"/>
      <c r="L123" s="324">
        <f ca="1">IF(ISERROR('Offshore CF'!J134),0,'Offshore CF'!J134)</f>
        <v>0</v>
      </c>
      <c r="M123" s="325">
        <f ca="1">SUM($L$13:L123)</f>
        <v>1E-3</v>
      </c>
      <c r="N123" s="322" t="e">
        <f ca="1">IF(OR(SUM('Offshore CF'!E135:$E$153)&lt;&gt;0,SUM('Offshore CF'!J135:$J$153)&lt;&gt;0),E123*(((M122+M123)/2)+O122),IF(SUM('Offshore CF'!E134:$E$153)-SUM('Offshore CF'!J134:$J$153)&lt;&gt;0,E123*(((M122+M123)/2)+O122),0))</f>
        <v>#N/A</v>
      </c>
      <c r="O123" s="322" t="e">
        <f ca="1">IF(OR(SUM('Offshore CF'!E135:$E$153)&lt;&gt;0,SUM('Offshore CF'!J135:$J$153)&lt;&gt;0),SUM($N$13:N123),IF(SUM('Offshore CF'!E134:$E$153)-SUM('Offshore CF'!J134:$J$153)&lt;&gt;0,SUM($N$13:N123),0))</f>
        <v>#N/A</v>
      </c>
      <c r="P123" s="322" t="e">
        <f ca="1">IF(OR(SUM('Offshore CF'!E135:$E$153)&lt;&gt;0,SUM('Offshore CF'!J135:$J$153)&lt;&gt;0),O123+M123,IF(SUM('Offshore CF'!E134:$E$153)-SUM('Offshore CF'!J134:$J$153)&lt;&gt;0,O123+M123,0))</f>
        <v>#N/A</v>
      </c>
      <c r="R123" s="322" t="e">
        <f ca="1">IF(OR(SUM('Offshore CF'!E135:$E$153)&lt;&gt;0,SUM('Offshore CF'!J135:$J$153)&lt;&gt;0),G123-M123,IF(SUM('Offshore CF'!E134:$E$153)-SUM('Offshore CF'!J134:$J$153)&lt;&gt;0,G123-M123,0))</f>
        <v>#N/A</v>
      </c>
      <c r="S123" s="285"/>
      <c r="T123" s="322" t="e">
        <f ca="1">IF(OR(SUM('Offshore CF'!E135:$E$153)&lt;&gt;0,SUM('Offshore CF'!J135:$J$153)&lt;&gt;0),E123*(((R122+R123)/2)+SUM($T$13:T122)),IF(SUM('Offshore CF'!E134:$E$153)-SUM('Offshore CF'!J134:$J$153)&lt;&gt;0,E123*(((R122+R123)/2)+SUM($T$13:T122)),0))</f>
        <v>#N/A</v>
      </c>
      <c r="U123" s="322" t="e">
        <f t="shared" ca="1" si="14"/>
        <v>#N/A</v>
      </c>
      <c r="V123" s="319" t="e">
        <f t="shared" ca="1" si="15"/>
        <v>#N/A</v>
      </c>
      <c r="W123" s="285"/>
      <c r="X123" s="326"/>
    </row>
    <row r="124" spans="2:24">
      <c r="B124" s="309">
        <f>'Offshore CF'!B135</f>
        <v>108</v>
      </c>
      <c r="C124" s="310">
        <f>'Offshore CF'!C135</f>
        <v>46845.586900000169</v>
      </c>
      <c r="D124" s="311" t="e">
        <f t="shared" ca="1" si="12"/>
        <v>#N/A</v>
      </c>
      <c r="E124" s="312">
        <f t="shared" ca="1" si="13"/>
        <v>0</v>
      </c>
      <c r="F124" s="313">
        <f ca="1">IF(ISERROR('Offshore CF'!E135),0,'Offshore CF'!E135)</f>
        <v>0</v>
      </c>
      <c r="G124" s="319">
        <f ca="1">SUM($F$13:F124)</f>
        <v>0</v>
      </c>
      <c r="H124" s="322" t="e">
        <f ca="1">IF(OR(SUM('Offshore CF'!E136:$E$153)&lt;&gt;0,SUM('Offshore CF'!J136:$J$153)&lt;&gt;0),E124*(((G123+G124)/2)+I123),IF(SUM('Offshore CF'!E135:$E$153)-SUM('Offshore CF'!J135:$J$153)&lt;&gt;0,E124*(((G123+G124)/2)+I123),0))</f>
        <v>#N/A</v>
      </c>
      <c r="I124" s="322" t="e">
        <f ca="1">IF(OR(SUM('Offshore CF'!E136:$E$153)&lt;&gt;0,SUM('Offshore CF'!J136:$J$153)&lt;&gt;0),SUM($H$13:H124),IF(SUM('Offshore CF'!E$153:$E322)-SUM('Offshore CF'!J135:$J$153)&lt;&gt;0,SUM($H$13:H124),0))</f>
        <v>#N/A</v>
      </c>
      <c r="J124" s="322" t="e">
        <f ca="1">IF(OR(SUM('Offshore CF'!E136:$E$153)&lt;&gt;0,SUM('Offshore CF'!J136:$J$153)&lt;&gt;0),I124+G124,IF(SUM('Offshore CF'!E135:$E$153)-SUM('Offshore CF'!J135:$J$153)&lt;&gt;0,I124+G124,0))</f>
        <v>#N/A</v>
      </c>
      <c r="K124" s="323"/>
      <c r="L124" s="324">
        <f ca="1">IF(ISERROR('Offshore CF'!J135),0,'Offshore CF'!J135)</f>
        <v>0</v>
      </c>
      <c r="M124" s="325">
        <f ca="1">SUM($L$13:L124)</f>
        <v>1E-3</v>
      </c>
      <c r="N124" s="322" t="e">
        <f ca="1">IF(OR(SUM('Offshore CF'!E136:$E$153)&lt;&gt;0,SUM('Offshore CF'!J136:$J$153)&lt;&gt;0),E124*(((M123+M124)/2)+O123),IF(SUM('Offshore CF'!E135:$E$153)-SUM('Offshore CF'!J135:$J$153)&lt;&gt;0,E124*(((M123+M124)/2)+O123),0))</f>
        <v>#N/A</v>
      </c>
      <c r="O124" s="322" t="e">
        <f ca="1">IF(OR(SUM('Offshore CF'!E136:$E$153)&lt;&gt;0,SUM('Offshore CF'!J136:$J$153)&lt;&gt;0),SUM($N$13:N124),IF(SUM('Offshore CF'!E135:$E$153)-SUM('Offshore CF'!J135:$J$153)&lt;&gt;0,SUM($N$13:N124),0))</f>
        <v>#N/A</v>
      </c>
      <c r="P124" s="322" t="e">
        <f ca="1">IF(OR(SUM('Offshore CF'!E136:$E$153)&lt;&gt;0,SUM('Offshore CF'!J136:$J$153)&lt;&gt;0),O124+M124,IF(SUM('Offshore CF'!E135:$E$153)-SUM('Offshore CF'!J135:$J$153)&lt;&gt;0,O124+M124,0))</f>
        <v>#N/A</v>
      </c>
      <c r="R124" s="322" t="e">
        <f ca="1">IF(OR(SUM('Offshore CF'!E136:$E$153)&lt;&gt;0,SUM('Offshore CF'!J136:$J$153)&lt;&gt;0),G124-M124,IF(SUM('Offshore CF'!E135:$E$153)-SUM('Offshore CF'!J135:$J$153)&lt;&gt;0,G124-M124,0))</f>
        <v>#N/A</v>
      </c>
      <c r="S124" s="285"/>
      <c r="T124" s="322" t="e">
        <f ca="1">IF(OR(SUM('Offshore CF'!E136:$E$153)&lt;&gt;0,SUM('Offshore CF'!J136:$J$153)&lt;&gt;0),E124*(((R123+R124)/2)+SUM($T$13:T123)),IF(SUM('Offshore CF'!E135:$E$153)-SUM('Offshore CF'!J135:$J$153)&lt;&gt;0,E124*(((R123+R124)/2)+SUM($T$13:T123)),0))</f>
        <v>#N/A</v>
      </c>
      <c r="U124" s="322" t="e">
        <f t="shared" ca="1" si="14"/>
        <v>#N/A</v>
      </c>
      <c r="V124" s="319" t="e">
        <f t="shared" ca="1" si="15"/>
        <v>#N/A</v>
      </c>
      <c r="W124" s="285"/>
      <c r="X124" s="326"/>
    </row>
    <row r="125" spans="2:24">
      <c r="B125" s="309">
        <f>'Offshore CF'!B136</f>
        <v>109</v>
      </c>
      <c r="C125" s="310">
        <f>'Offshore CF'!C136</f>
        <v>46876.003600000171</v>
      </c>
      <c r="D125" s="311" t="e">
        <f t="shared" ca="1" si="12"/>
        <v>#N/A</v>
      </c>
      <c r="E125" s="312">
        <f t="shared" ca="1" si="13"/>
        <v>0</v>
      </c>
      <c r="F125" s="313">
        <f ca="1">IF(ISERROR('Offshore CF'!E136),0,'Offshore CF'!E136)</f>
        <v>0</v>
      </c>
      <c r="G125" s="319">
        <f ca="1">SUM($F$13:F125)</f>
        <v>0</v>
      </c>
      <c r="H125" s="322" t="e">
        <f ca="1">IF(OR(SUM('Offshore CF'!E137:$E$153)&lt;&gt;0,SUM('Offshore CF'!J137:$J$153)&lt;&gt;0),E125*(((G124+G125)/2)+I124),IF(SUM('Offshore CF'!E136:$E$153)-SUM('Offshore CF'!J136:$J$153)&lt;&gt;0,E125*(((G124+G125)/2)+I124),0))</f>
        <v>#N/A</v>
      </c>
      <c r="I125" s="322" t="e">
        <f ca="1">IF(OR(SUM('Offshore CF'!E137:$E$153)&lt;&gt;0,SUM('Offshore CF'!J137:$J$153)&lt;&gt;0),SUM($H$13:H125),IF(SUM('Offshore CF'!E$153:$E323)-SUM('Offshore CF'!J136:$J$153)&lt;&gt;0,SUM($H$13:H125),0))</f>
        <v>#N/A</v>
      </c>
      <c r="J125" s="322" t="e">
        <f ca="1">IF(OR(SUM('Offshore CF'!E137:$E$153)&lt;&gt;0,SUM('Offshore CF'!J137:$J$153)&lt;&gt;0),I125+G125,IF(SUM('Offshore CF'!E136:$E$153)-SUM('Offshore CF'!J136:$J$153)&lt;&gt;0,I125+G125,0))</f>
        <v>#N/A</v>
      </c>
      <c r="K125" s="323"/>
      <c r="L125" s="324">
        <f ca="1">IF(ISERROR('Offshore CF'!J136),0,'Offshore CF'!J136)</f>
        <v>0</v>
      </c>
      <c r="M125" s="325">
        <f ca="1">SUM($L$13:L125)</f>
        <v>1E-3</v>
      </c>
      <c r="N125" s="322" t="e">
        <f ca="1">IF(OR(SUM('Offshore CF'!E137:$E$153)&lt;&gt;0,SUM('Offshore CF'!J137:$J$153)&lt;&gt;0),E125*(((M124+M125)/2)+O124),IF(SUM('Offshore CF'!E136:$E$153)-SUM('Offshore CF'!J136:$J$153)&lt;&gt;0,E125*(((M124+M125)/2)+O124),0))</f>
        <v>#N/A</v>
      </c>
      <c r="O125" s="322" t="e">
        <f ca="1">IF(OR(SUM('Offshore CF'!E137:$E$153)&lt;&gt;0,SUM('Offshore CF'!J137:$J$153)&lt;&gt;0),SUM($N$13:N125),IF(SUM('Offshore CF'!E136:$E$153)-SUM('Offshore CF'!J136:$J$153)&lt;&gt;0,SUM($N$13:N125),0))</f>
        <v>#N/A</v>
      </c>
      <c r="P125" s="322" t="e">
        <f ca="1">IF(OR(SUM('Offshore CF'!E137:$E$153)&lt;&gt;0,SUM('Offshore CF'!J137:$J$153)&lt;&gt;0),O125+M125,IF(SUM('Offshore CF'!E136:$E$153)-SUM('Offshore CF'!J136:$J$153)&lt;&gt;0,O125+M125,0))</f>
        <v>#N/A</v>
      </c>
      <c r="R125" s="322" t="e">
        <f ca="1">IF(OR(SUM('Offshore CF'!E137:$E$153)&lt;&gt;0,SUM('Offshore CF'!J137:$J$153)&lt;&gt;0),G125-M125,IF(SUM('Offshore CF'!E136:$E$153)-SUM('Offshore CF'!J136:$J$153)&lt;&gt;0,G125-M125,0))</f>
        <v>#N/A</v>
      </c>
      <c r="S125" s="285"/>
      <c r="T125" s="322" t="e">
        <f ca="1">IF(OR(SUM('Offshore CF'!E137:$E$153)&lt;&gt;0,SUM('Offshore CF'!J137:$J$153)&lt;&gt;0),E125*(((R124+R125)/2)+SUM($T$13:T124)),IF(SUM('Offshore CF'!E136:$E$153)-SUM('Offshore CF'!J136:$J$153)&lt;&gt;0,E125*(((R124+R125)/2)+SUM($T$13:T124)),0))</f>
        <v>#N/A</v>
      </c>
      <c r="U125" s="322" t="e">
        <f t="shared" ca="1" si="14"/>
        <v>#N/A</v>
      </c>
      <c r="V125" s="319" t="e">
        <f t="shared" ca="1" si="15"/>
        <v>#N/A</v>
      </c>
      <c r="W125" s="285"/>
      <c r="X125" s="326"/>
    </row>
    <row r="126" spans="2:24">
      <c r="B126" s="309">
        <f>'Offshore CF'!B137</f>
        <v>110</v>
      </c>
      <c r="C126" s="310">
        <f>'Offshore CF'!C137</f>
        <v>46906.420300000173</v>
      </c>
      <c r="D126" s="311" t="e">
        <f t="shared" ca="1" si="12"/>
        <v>#N/A</v>
      </c>
      <c r="E126" s="312">
        <f t="shared" ca="1" si="13"/>
        <v>0</v>
      </c>
      <c r="F126" s="313">
        <f ca="1">IF(ISERROR('Offshore CF'!E137),0,'Offshore CF'!E137)</f>
        <v>0</v>
      </c>
      <c r="G126" s="319">
        <f ca="1">SUM($F$13:F126)</f>
        <v>0</v>
      </c>
      <c r="H126" s="322" t="e">
        <f ca="1">IF(OR(SUM('Offshore CF'!E138:$E$153)&lt;&gt;0,SUM('Offshore CF'!J138:$J$153)&lt;&gt;0),E126*(((G125+G126)/2)+I125),IF(SUM('Offshore CF'!E137:$E$153)-SUM('Offshore CF'!J137:$J$153)&lt;&gt;0,E126*(((G125+G126)/2)+I125),0))</f>
        <v>#N/A</v>
      </c>
      <c r="I126" s="322" t="e">
        <f ca="1">IF(OR(SUM('Offshore CF'!E138:$E$153)&lt;&gt;0,SUM('Offshore CF'!J138:$J$153)&lt;&gt;0),SUM($H$13:H126),IF(SUM('Offshore CF'!E$153:$E324)-SUM('Offshore CF'!J137:$J$153)&lt;&gt;0,SUM($H$13:H126),0))</f>
        <v>#N/A</v>
      </c>
      <c r="J126" s="322" t="e">
        <f ca="1">IF(OR(SUM('Offshore CF'!E138:$E$153)&lt;&gt;0,SUM('Offshore CF'!J138:$J$153)&lt;&gt;0),I126+G126,IF(SUM('Offshore CF'!E137:$E$153)-SUM('Offshore CF'!J137:$J$153)&lt;&gt;0,I126+G126,0))</f>
        <v>#N/A</v>
      </c>
      <c r="K126" s="323"/>
      <c r="L126" s="324">
        <f ca="1">IF(ISERROR('Offshore CF'!J137),0,'Offshore CF'!J137)</f>
        <v>0</v>
      </c>
      <c r="M126" s="325">
        <f ca="1">SUM($L$13:L126)</f>
        <v>1E-3</v>
      </c>
      <c r="N126" s="322" t="e">
        <f ca="1">IF(OR(SUM('Offshore CF'!E138:$E$153)&lt;&gt;0,SUM('Offshore CF'!J138:$J$153)&lt;&gt;0),E126*(((M125+M126)/2)+O125),IF(SUM('Offshore CF'!E137:$E$153)-SUM('Offshore CF'!J137:$J$153)&lt;&gt;0,E126*(((M125+M126)/2)+O125),0))</f>
        <v>#N/A</v>
      </c>
      <c r="O126" s="322" t="e">
        <f ca="1">IF(OR(SUM('Offshore CF'!E138:$E$153)&lt;&gt;0,SUM('Offshore CF'!J138:$J$153)&lt;&gt;0),SUM($N$13:N126),IF(SUM('Offshore CF'!E137:$E$153)-SUM('Offshore CF'!J137:$J$153)&lt;&gt;0,SUM($N$13:N126),0))</f>
        <v>#N/A</v>
      </c>
      <c r="P126" s="322" t="e">
        <f ca="1">IF(OR(SUM('Offshore CF'!E138:$E$153)&lt;&gt;0,SUM('Offshore CF'!J138:$J$153)&lt;&gt;0),O126+M126,IF(SUM('Offshore CF'!E137:$E$153)-SUM('Offshore CF'!J137:$J$153)&lt;&gt;0,O126+M126,0))</f>
        <v>#N/A</v>
      </c>
      <c r="R126" s="322" t="e">
        <f ca="1">IF(OR(SUM('Offshore CF'!E138:$E$153)&lt;&gt;0,SUM('Offshore CF'!J138:$J$153)&lt;&gt;0),G126-M126,IF(SUM('Offshore CF'!E137:$E$153)-SUM('Offshore CF'!J137:$J$153)&lt;&gt;0,G126-M126,0))</f>
        <v>#N/A</v>
      </c>
      <c r="S126" s="285"/>
      <c r="T126" s="322" t="e">
        <f ca="1">IF(OR(SUM('Offshore CF'!E138:$E$153)&lt;&gt;0,SUM('Offshore CF'!J138:$J$153)&lt;&gt;0),E126*(((R125+R126)/2)+SUM($T$13:T125)),IF(SUM('Offshore CF'!E137:$E$153)-SUM('Offshore CF'!J137:$J$153)&lt;&gt;0,E126*(((R125+R126)/2)+SUM($T$13:T125)),0))</f>
        <v>#N/A</v>
      </c>
      <c r="U126" s="322" t="e">
        <f t="shared" ca="1" si="14"/>
        <v>#N/A</v>
      </c>
      <c r="V126" s="319" t="e">
        <f t="shared" ca="1" si="15"/>
        <v>#N/A</v>
      </c>
      <c r="W126" s="285"/>
      <c r="X126" s="326"/>
    </row>
    <row r="127" spans="2:24">
      <c r="B127" s="309">
        <f>'Offshore CF'!B138</f>
        <v>111</v>
      </c>
      <c r="C127" s="310">
        <f>'Offshore CF'!C138</f>
        <v>46936.837000000174</v>
      </c>
      <c r="D127" s="311" t="e">
        <f t="shared" ca="1" si="12"/>
        <v>#N/A</v>
      </c>
      <c r="E127" s="312">
        <f t="shared" ca="1" si="13"/>
        <v>0</v>
      </c>
      <c r="F127" s="313">
        <f ca="1">IF(ISERROR('Offshore CF'!E138),0,'Offshore CF'!E138)</f>
        <v>0</v>
      </c>
      <c r="G127" s="319">
        <f ca="1">SUM($F$13:F127)</f>
        <v>0</v>
      </c>
      <c r="H127" s="322" t="e">
        <f ca="1">IF(OR(SUM('Offshore CF'!E139:$E$153)&lt;&gt;0,SUM('Offshore CF'!J139:$J$153)&lt;&gt;0),E127*(((G126+G127)/2)+I126),IF(SUM('Offshore CF'!E138:$E$153)-SUM('Offshore CF'!J138:$J$153)&lt;&gt;0,E127*(((G126+G127)/2)+I126),0))</f>
        <v>#N/A</v>
      </c>
      <c r="I127" s="322" t="e">
        <f ca="1">IF(OR(SUM('Offshore CF'!E139:$E$153)&lt;&gt;0,SUM('Offshore CF'!J139:$J$153)&lt;&gt;0),SUM($H$13:H127),IF(SUM('Offshore CF'!E$153:$E325)-SUM('Offshore CF'!J138:$J$153)&lt;&gt;0,SUM($H$13:H127),0))</f>
        <v>#N/A</v>
      </c>
      <c r="J127" s="322" t="e">
        <f ca="1">IF(OR(SUM('Offshore CF'!E139:$E$153)&lt;&gt;0,SUM('Offshore CF'!J139:$J$153)&lt;&gt;0),I127+G127,IF(SUM('Offshore CF'!E138:$E$153)-SUM('Offshore CF'!J138:$J$153)&lt;&gt;0,I127+G127,0))</f>
        <v>#N/A</v>
      </c>
      <c r="K127" s="323"/>
      <c r="L127" s="324">
        <f ca="1">IF(ISERROR('Offshore CF'!J138),0,'Offshore CF'!J138)</f>
        <v>0</v>
      </c>
      <c r="M127" s="325">
        <f ca="1">SUM($L$13:L127)</f>
        <v>1E-3</v>
      </c>
      <c r="N127" s="322" t="e">
        <f ca="1">IF(OR(SUM('Offshore CF'!E139:$E$153)&lt;&gt;0,SUM('Offshore CF'!J139:$J$153)&lt;&gt;0),E127*(((M126+M127)/2)+O126),IF(SUM('Offshore CF'!E138:$E$153)-SUM('Offshore CF'!J138:$J$153)&lt;&gt;0,E127*(((M126+M127)/2)+O126),0))</f>
        <v>#N/A</v>
      </c>
      <c r="O127" s="322" t="e">
        <f ca="1">IF(OR(SUM('Offshore CF'!E139:$E$153)&lt;&gt;0,SUM('Offshore CF'!J139:$J$153)&lt;&gt;0),SUM($N$13:N127),IF(SUM('Offshore CF'!E138:$E$153)-SUM('Offshore CF'!J138:$J$153)&lt;&gt;0,SUM($N$13:N127),0))</f>
        <v>#N/A</v>
      </c>
      <c r="P127" s="322" t="e">
        <f ca="1">IF(OR(SUM('Offshore CF'!E139:$E$153)&lt;&gt;0,SUM('Offshore CF'!J139:$J$153)&lt;&gt;0),O127+M127,IF(SUM('Offshore CF'!E138:$E$153)-SUM('Offshore CF'!J138:$J$153)&lt;&gt;0,O127+M127,0))</f>
        <v>#N/A</v>
      </c>
      <c r="R127" s="322" t="e">
        <f ca="1">IF(OR(SUM('Offshore CF'!E139:$E$153)&lt;&gt;0,SUM('Offshore CF'!J139:$J$153)&lt;&gt;0),G127-M127,IF(SUM('Offshore CF'!E138:$E$153)-SUM('Offshore CF'!J138:$J$153)&lt;&gt;0,G127-M127,0))</f>
        <v>#N/A</v>
      </c>
      <c r="S127" s="285"/>
      <c r="T127" s="322" t="e">
        <f ca="1">IF(OR(SUM('Offshore CF'!E139:$E$153)&lt;&gt;0,SUM('Offshore CF'!J139:$J$153)&lt;&gt;0),E127*(((R126+R127)/2)+SUM($T$13:T126)),IF(SUM('Offshore CF'!E138:$E$153)-SUM('Offshore CF'!J138:$J$153)&lt;&gt;0,E127*(((R126+R127)/2)+SUM($T$13:T126)),0))</f>
        <v>#N/A</v>
      </c>
      <c r="U127" s="322" t="e">
        <f t="shared" ca="1" si="14"/>
        <v>#N/A</v>
      </c>
      <c r="V127" s="319" t="e">
        <f t="shared" ca="1" si="15"/>
        <v>#N/A</v>
      </c>
      <c r="W127" s="285"/>
      <c r="X127" s="326"/>
    </row>
    <row r="128" spans="2:24">
      <c r="B128" s="309">
        <f>'Offshore CF'!B139</f>
        <v>112</v>
      </c>
      <c r="C128" s="310">
        <f>'Offshore CF'!C139</f>
        <v>46967.253700000176</v>
      </c>
      <c r="D128" s="311" t="e">
        <f t="shared" ca="1" si="12"/>
        <v>#N/A</v>
      </c>
      <c r="E128" s="312">
        <f t="shared" ca="1" si="13"/>
        <v>0</v>
      </c>
      <c r="F128" s="313">
        <f ca="1">IF(ISERROR('Offshore CF'!E139),0,'Offshore CF'!E139)</f>
        <v>0</v>
      </c>
      <c r="G128" s="319">
        <f ca="1">SUM($F$13:F128)</f>
        <v>0</v>
      </c>
      <c r="H128" s="322" t="e">
        <f ca="1">IF(OR(SUM('Offshore CF'!E140:$E$153)&lt;&gt;0,SUM('Offshore CF'!J140:$J$153)&lt;&gt;0),E128*(((G127+G128)/2)+I127),IF(SUM('Offshore CF'!E139:$E$153)-SUM('Offshore CF'!J139:$J$153)&lt;&gt;0,E128*(((G127+G128)/2)+I127),0))</f>
        <v>#N/A</v>
      </c>
      <c r="I128" s="322" t="e">
        <f ca="1">IF(OR(SUM('Offshore CF'!E140:$E$153)&lt;&gt;0,SUM('Offshore CF'!J140:$J$153)&lt;&gt;0),SUM($H$13:H128),IF(SUM('Offshore CF'!E$153:$E326)-SUM('Offshore CF'!J139:$J$153)&lt;&gt;0,SUM($H$13:H128),0))</f>
        <v>#N/A</v>
      </c>
      <c r="J128" s="322" t="e">
        <f ca="1">IF(OR(SUM('Offshore CF'!E140:$E$153)&lt;&gt;0,SUM('Offshore CF'!J140:$J$153)&lt;&gt;0),I128+G128,IF(SUM('Offshore CF'!E139:$E$153)-SUM('Offshore CF'!J139:$J$153)&lt;&gt;0,I128+G128,0))</f>
        <v>#N/A</v>
      </c>
      <c r="K128" s="323"/>
      <c r="L128" s="324">
        <f ca="1">IF(ISERROR('Offshore CF'!J139),0,'Offshore CF'!J139)</f>
        <v>0</v>
      </c>
      <c r="M128" s="325">
        <f ca="1">SUM($L$13:L128)</f>
        <v>1E-3</v>
      </c>
      <c r="N128" s="322" t="e">
        <f ca="1">IF(OR(SUM('Offshore CF'!E140:$E$153)&lt;&gt;0,SUM('Offshore CF'!J140:$J$153)&lt;&gt;0),E128*(((M127+M128)/2)+O127),IF(SUM('Offshore CF'!E139:$E$153)-SUM('Offshore CF'!J139:$J$153)&lt;&gt;0,E128*(((M127+M128)/2)+O127),0))</f>
        <v>#N/A</v>
      </c>
      <c r="O128" s="322" t="e">
        <f ca="1">IF(OR(SUM('Offshore CF'!E140:$E$153)&lt;&gt;0,SUM('Offshore CF'!J140:$J$153)&lt;&gt;0),SUM($N$13:N128),IF(SUM('Offshore CF'!E139:$E$153)-SUM('Offshore CF'!J139:$J$153)&lt;&gt;0,SUM($N$13:N128),0))</f>
        <v>#N/A</v>
      </c>
      <c r="P128" s="322" t="e">
        <f ca="1">IF(OR(SUM('Offshore CF'!E140:$E$153)&lt;&gt;0,SUM('Offshore CF'!J140:$J$153)&lt;&gt;0),O128+M128,IF(SUM('Offshore CF'!E139:$E$153)-SUM('Offshore CF'!J139:$J$153)&lt;&gt;0,O128+M128,0))</f>
        <v>#N/A</v>
      </c>
      <c r="R128" s="322" t="e">
        <f ca="1">IF(OR(SUM('Offshore CF'!E140:$E$153)&lt;&gt;0,SUM('Offshore CF'!J140:$J$153)&lt;&gt;0),G128-M128,IF(SUM('Offshore CF'!E139:$E$153)-SUM('Offshore CF'!J139:$J$153)&lt;&gt;0,G128-M128,0))</f>
        <v>#N/A</v>
      </c>
      <c r="S128" s="285"/>
      <c r="T128" s="322" t="e">
        <f ca="1">IF(OR(SUM('Offshore CF'!E140:$E$153)&lt;&gt;0,SUM('Offshore CF'!J140:$J$153)&lt;&gt;0),E128*(((R127+R128)/2)+SUM($T$13:T127)),IF(SUM('Offshore CF'!E139:$E$153)-SUM('Offshore CF'!J139:$J$153)&lt;&gt;0,E128*(((R127+R128)/2)+SUM($T$13:T127)),0))</f>
        <v>#N/A</v>
      </c>
      <c r="U128" s="322" t="e">
        <f t="shared" ca="1" si="14"/>
        <v>#N/A</v>
      </c>
      <c r="V128" s="319" t="e">
        <f t="shared" ca="1" si="15"/>
        <v>#N/A</v>
      </c>
      <c r="W128" s="285"/>
      <c r="X128" s="326"/>
    </row>
    <row r="129" spans="2:24">
      <c r="B129" s="309">
        <f>'Offshore CF'!B140</f>
        <v>113</v>
      </c>
      <c r="C129" s="310">
        <f>'Offshore CF'!C140</f>
        <v>46997.670400000177</v>
      </c>
      <c r="D129" s="311" t="e">
        <f t="shared" ca="1" si="12"/>
        <v>#N/A</v>
      </c>
      <c r="E129" s="312">
        <f t="shared" ca="1" si="13"/>
        <v>0</v>
      </c>
      <c r="F129" s="313">
        <f ca="1">IF(ISERROR('Offshore CF'!E140),0,'Offshore CF'!E140)</f>
        <v>0</v>
      </c>
      <c r="G129" s="319">
        <f ca="1">SUM($F$13:F129)</f>
        <v>0</v>
      </c>
      <c r="H129" s="322" t="e">
        <f ca="1">IF(OR(SUM('Offshore CF'!E141:$E$153)&lt;&gt;0,SUM('Offshore CF'!J141:$J$153)&lt;&gt;0),E129*(((G128+G129)/2)+I128),IF(SUM('Offshore CF'!E140:$E$153)-SUM('Offshore CF'!J140:$J$153)&lt;&gt;0,E129*(((G128+G129)/2)+I128),0))</f>
        <v>#N/A</v>
      </c>
      <c r="I129" s="322" t="e">
        <f ca="1">IF(OR(SUM('Offshore CF'!E141:$E$153)&lt;&gt;0,SUM('Offshore CF'!J141:$J$153)&lt;&gt;0),SUM($H$13:H129),IF(SUM('Offshore CF'!E$153:$E327)-SUM('Offshore CF'!J140:$J$153)&lt;&gt;0,SUM($H$13:H129),0))</f>
        <v>#N/A</v>
      </c>
      <c r="J129" s="322" t="e">
        <f ca="1">IF(OR(SUM('Offshore CF'!E141:$E$153)&lt;&gt;0,SUM('Offshore CF'!J141:$J$153)&lt;&gt;0),I129+G129,IF(SUM('Offshore CF'!E140:$E$153)-SUM('Offshore CF'!J140:$J$153)&lt;&gt;0,I129+G129,0))</f>
        <v>#N/A</v>
      </c>
      <c r="K129" s="323"/>
      <c r="L129" s="324">
        <f ca="1">IF(ISERROR('Offshore CF'!J140),0,'Offshore CF'!J140)</f>
        <v>0</v>
      </c>
      <c r="M129" s="325">
        <f ca="1">SUM($L$13:L129)</f>
        <v>1E-3</v>
      </c>
      <c r="N129" s="322" t="e">
        <f ca="1">IF(OR(SUM('Offshore CF'!E141:$E$153)&lt;&gt;0,SUM('Offshore CF'!J141:$J$153)&lt;&gt;0),E129*(((M128+M129)/2)+O128),IF(SUM('Offshore CF'!E140:$E$153)-SUM('Offshore CF'!J140:$J$153)&lt;&gt;0,E129*(((M128+M129)/2)+O128),0))</f>
        <v>#N/A</v>
      </c>
      <c r="O129" s="322" t="e">
        <f ca="1">IF(OR(SUM('Offshore CF'!E141:$E$153)&lt;&gt;0,SUM('Offshore CF'!J141:$J$153)&lt;&gt;0),SUM($N$13:N129),IF(SUM('Offshore CF'!E140:$E$153)-SUM('Offshore CF'!J140:$J$153)&lt;&gt;0,SUM($N$13:N129),0))</f>
        <v>#N/A</v>
      </c>
      <c r="P129" s="322" t="e">
        <f ca="1">IF(OR(SUM('Offshore CF'!E141:$E$153)&lt;&gt;0,SUM('Offshore CF'!J141:$J$153)&lt;&gt;0),O129+M129,IF(SUM('Offshore CF'!E140:$E$153)-SUM('Offshore CF'!J140:$J$153)&lt;&gt;0,O129+M129,0))</f>
        <v>#N/A</v>
      </c>
      <c r="R129" s="322" t="e">
        <f ca="1">IF(OR(SUM('Offshore CF'!E141:$E$153)&lt;&gt;0,SUM('Offshore CF'!J141:$J$153)&lt;&gt;0),G129-M129,IF(SUM('Offshore CF'!E140:$E$153)-SUM('Offshore CF'!J140:$J$153)&lt;&gt;0,G129-M129,0))</f>
        <v>#N/A</v>
      </c>
      <c r="S129" s="285"/>
      <c r="T129" s="322" t="e">
        <f ca="1">IF(OR(SUM('Offshore CF'!E141:$E$153)&lt;&gt;0,SUM('Offshore CF'!J141:$J$153)&lt;&gt;0),E129*(((R128+R129)/2)+SUM($T$13:T128)),IF(SUM('Offshore CF'!E140:$E$153)-SUM('Offshore CF'!J140:$J$153)&lt;&gt;0,E129*(((R128+R129)/2)+SUM($T$13:T128)),0))</f>
        <v>#N/A</v>
      </c>
      <c r="U129" s="322" t="e">
        <f t="shared" ca="1" si="14"/>
        <v>#N/A</v>
      </c>
      <c r="V129" s="319" t="e">
        <f t="shared" ca="1" si="15"/>
        <v>#N/A</v>
      </c>
      <c r="W129" s="285"/>
      <c r="X129" s="326"/>
    </row>
    <row r="130" spans="2:24">
      <c r="B130" s="309">
        <f>'Offshore CF'!B141</f>
        <v>114</v>
      </c>
      <c r="C130" s="310">
        <f>'Offshore CF'!C141</f>
        <v>47028.087100000179</v>
      </c>
      <c r="D130" s="311" t="e">
        <f t="shared" ca="1" si="12"/>
        <v>#N/A</v>
      </c>
      <c r="E130" s="312">
        <f t="shared" ca="1" si="13"/>
        <v>0</v>
      </c>
      <c r="F130" s="313">
        <f ca="1">IF(ISERROR('Offshore CF'!E141),0,'Offshore CF'!E141)</f>
        <v>0</v>
      </c>
      <c r="G130" s="319">
        <f ca="1">SUM($F$13:F130)</f>
        <v>0</v>
      </c>
      <c r="H130" s="322" t="e">
        <f ca="1">IF(OR(SUM('Offshore CF'!E142:$E$153)&lt;&gt;0,SUM('Offshore CF'!J142:$J$153)&lt;&gt;0),E130*(((G129+G130)/2)+I129),IF(SUM('Offshore CF'!E141:$E$153)-SUM('Offshore CF'!J141:$J$153)&lt;&gt;0,E130*(((G129+G130)/2)+I129),0))</f>
        <v>#N/A</v>
      </c>
      <c r="I130" s="322" t="e">
        <f ca="1">IF(OR(SUM('Offshore CF'!E142:$E$153)&lt;&gt;0,SUM('Offshore CF'!J142:$J$153)&lt;&gt;0),SUM($H$13:H130),IF(SUM('Offshore CF'!E$153:$E328)-SUM('Offshore CF'!J141:$J$153)&lt;&gt;0,SUM($H$13:H130),0))</f>
        <v>#N/A</v>
      </c>
      <c r="J130" s="322" t="e">
        <f ca="1">IF(OR(SUM('Offshore CF'!E142:$E$153)&lt;&gt;0,SUM('Offshore CF'!J142:$J$153)&lt;&gt;0),I130+G130,IF(SUM('Offshore CF'!E141:$E$153)-SUM('Offshore CF'!J141:$J$153)&lt;&gt;0,I130+G130,0))</f>
        <v>#N/A</v>
      </c>
      <c r="K130" s="323"/>
      <c r="L130" s="324">
        <f ca="1">IF(ISERROR('Offshore CF'!J141),0,'Offshore CF'!J141)</f>
        <v>0</v>
      </c>
      <c r="M130" s="325">
        <f ca="1">SUM($L$13:L130)</f>
        <v>1E-3</v>
      </c>
      <c r="N130" s="322" t="e">
        <f ca="1">IF(OR(SUM('Offshore CF'!E142:$E$153)&lt;&gt;0,SUM('Offshore CF'!J142:$J$153)&lt;&gt;0),E130*(((M129+M130)/2)+O129),IF(SUM('Offshore CF'!E141:$E$153)-SUM('Offshore CF'!J141:$J$153)&lt;&gt;0,E130*(((M129+M130)/2)+O129),0))</f>
        <v>#N/A</v>
      </c>
      <c r="O130" s="322" t="e">
        <f ca="1">IF(OR(SUM('Offshore CF'!E142:$E$153)&lt;&gt;0,SUM('Offshore CF'!J142:$J$153)&lt;&gt;0),SUM($N$13:N130),IF(SUM('Offshore CF'!E141:$E$153)-SUM('Offshore CF'!J141:$J$153)&lt;&gt;0,SUM($N$13:N130),0))</f>
        <v>#N/A</v>
      </c>
      <c r="P130" s="322" t="e">
        <f ca="1">IF(OR(SUM('Offshore CF'!E142:$E$153)&lt;&gt;0,SUM('Offshore CF'!J142:$J$153)&lt;&gt;0),O130+M130,IF(SUM('Offshore CF'!E141:$E$153)-SUM('Offshore CF'!J141:$J$153)&lt;&gt;0,O130+M130,0))</f>
        <v>#N/A</v>
      </c>
      <c r="R130" s="322" t="e">
        <f ca="1">IF(OR(SUM('Offshore CF'!E142:$E$153)&lt;&gt;0,SUM('Offshore CF'!J142:$J$153)&lt;&gt;0),G130-M130,IF(SUM('Offshore CF'!E141:$E$153)-SUM('Offshore CF'!J141:$J$153)&lt;&gt;0,G130-M130,0))</f>
        <v>#N/A</v>
      </c>
      <c r="S130" s="285"/>
      <c r="T130" s="322" t="e">
        <f ca="1">IF(OR(SUM('Offshore CF'!E142:$E$153)&lt;&gt;0,SUM('Offshore CF'!J142:$J$153)&lt;&gt;0),E130*(((R129+R130)/2)+SUM($T$13:T129)),IF(SUM('Offshore CF'!E141:$E$153)-SUM('Offshore CF'!J141:$J$153)&lt;&gt;0,E130*(((R129+R130)/2)+SUM($T$13:T129)),0))</f>
        <v>#N/A</v>
      </c>
      <c r="U130" s="322" t="e">
        <f t="shared" ca="1" si="14"/>
        <v>#N/A</v>
      </c>
      <c r="V130" s="319" t="e">
        <f t="shared" ca="1" si="15"/>
        <v>#N/A</v>
      </c>
      <c r="W130" s="285"/>
      <c r="X130" s="326"/>
    </row>
    <row r="131" spans="2:24">
      <c r="B131" s="309">
        <f>'Offshore CF'!B142</f>
        <v>115</v>
      </c>
      <c r="C131" s="310">
        <f>'Offshore CF'!C142</f>
        <v>47058.50380000018</v>
      </c>
      <c r="D131" s="311" t="e">
        <f t="shared" ca="1" si="12"/>
        <v>#N/A</v>
      </c>
      <c r="E131" s="312">
        <f t="shared" ca="1" si="13"/>
        <v>0</v>
      </c>
      <c r="F131" s="313">
        <f ca="1">IF(ISERROR('Offshore CF'!E142),0,'Offshore CF'!E142)</f>
        <v>0</v>
      </c>
      <c r="G131" s="319">
        <f ca="1">SUM($F$13:F131)</f>
        <v>0</v>
      </c>
      <c r="H131" s="322" t="e">
        <f ca="1">IF(OR(SUM('Offshore CF'!E143:$E$153)&lt;&gt;0,SUM('Offshore CF'!J143:$J$153)&lt;&gt;0),E131*(((G130+G131)/2)+I130),IF(SUM('Offshore CF'!E142:$E$153)-SUM('Offshore CF'!J142:$J$153)&lt;&gt;0,E131*(((G130+G131)/2)+I130),0))</f>
        <v>#N/A</v>
      </c>
      <c r="I131" s="322" t="e">
        <f ca="1">IF(OR(SUM('Offshore CF'!E143:$E$153)&lt;&gt;0,SUM('Offshore CF'!J143:$J$153)&lt;&gt;0),SUM($H$13:H131),IF(SUM('Offshore CF'!E$153:$E329)-SUM('Offshore CF'!J142:$J$153)&lt;&gt;0,SUM($H$13:H131),0))</f>
        <v>#N/A</v>
      </c>
      <c r="J131" s="322" t="e">
        <f ca="1">IF(OR(SUM('Offshore CF'!E143:$E$153)&lt;&gt;0,SUM('Offshore CF'!J143:$J$153)&lt;&gt;0),I131+G131,IF(SUM('Offshore CF'!E142:$E$153)-SUM('Offshore CF'!J142:$J$153)&lt;&gt;0,I131+G131,0))</f>
        <v>#N/A</v>
      </c>
      <c r="K131" s="323"/>
      <c r="L131" s="324">
        <f ca="1">IF(ISERROR('Offshore CF'!J142),0,'Offshore CF'!J142)</f>
        <v>0</v>
      </c>
      <c r="M131" s="325">
        <f ca="1">SUM($L$13:L131)</f>
        <v>1E-3</v>
      </c>
      <c r="N131" s="322" t="e">
        <f ca="1">IF(OR(SUM('Offshore CF'!E143:$E$153)&lt;&gt;0,SUM('Offshore CF'!J143:$J$153)&lt;&gt;0),E131*(((M130+M131)/2)+O130),IF(SUM('Offshore CF'!E142:$E$153)-SUM('Offshore CF'!J142:$J$153)&lt;&gt;0,E131*(((M130+M131)/2)+O130),0))</f>
        <v>#N/A</v>
      </c>
      <c r="O131" s="322" t="e">
        <f ca="1">IF(OR(SUM('Offshore CF'!E143:$E$153)&lt;&gt;0,SUM('Offshore CF'!J143:$J$153)&lt;&gt;0),SUM($N$13:N131),IF(SUM('Offshore CF'!E142:$E$153)-SUM('Offshore CF'!J142:$J$153)&lt;&gt;0,SUM($N$13:N131),0))</f>
        <v>#N/A</v>
      </c>
      <c r="P131" s="322" t="e">
        <f ca="1">IF(OR(SUM('Offshore CF'!E143:$E$153)&lt;&gt;0,SUM('Offshore CF'!J143:$J$153)&lt;&gt;0),O131+M131,IF(SUM('Offshore CF'!E142:$E$153)-SUM('Offshore CF'!J142:$J$153)&lt;&gt;0,O131+M131,0))</f>
        <v>#N/A</v>
      </c>
      <c r="R131" s="322" t="e">
        <f ca="1">IF(OR(SUM('Offshore CF'!E143:$E$153)&lt;&gt;0,SUM('Offshore CF'!J143:$J$153)&lt;&gt;0),G131-M131,IF(SUM('Offshore CF'!E142:$E$153)-SUM('Offshore CF'!J142:$J$153)&lt;&gt;0,G131-M131,0))</f>
        <v>#N/A</v>
      </c>
      <c r="S131" s="285"/>
      <c r="T131" s="322" t="e">
        <f ca="1">IF(OR(SUM('Offshore CF'!E143:$E$153)&lt;&gt;0,SUM('Offshore CF'!J143:$J$153)&lt;&gt;0),E131*(((R130+R131)/2)+SUM($T$13:T130)),IF(SUM('Offshore CF'!E142:$E$153)-SUM('Offshore CF'!J142:$J$153)&lt;&gt;0,E131*(((R130+R131)/2)+SUM($T$13:T130)),0))</f>
        <v>#N/A</v>
      </c>
      <c r="U131" s="322" t="e">
        <f t="shared" ca="1" si="14"/>
        <v>#N/A</v>
      </c>
      <c r="V131" s="319" t="e">
        <f t="shared" ca="1" si="15"/>
        <v>#N/A</v>
      </c>
      <c r="W131" s="285"/>
      <c r="X131" s="326"/>
    </row>
    <row r="132" spans="2:24">
      <c r="B132" s="309">
        <f>'Offshore CF'!B143</f>
        <v>116</v>
      </c>
      <c r="C132" s="310">
        <f>'Offshore CF'!C143</f>
        <v>47088.920500000182</v>
      </c>
      <c r="D132" s="311" t="e">
        <f t="shared" ca="1" si="12"/>
        <v>#N/A</v>
      </c>
      <c r="E132" s="312">
        <f t="shared" ca="1" si="13"/>
        <v>0</v>
      </c>
      <c r="F132" s="313">
        <f ca="1">IF(ISERROR('Offshore CF'!E143),0,'Offshore CF'!E143)</f>
        <v>0</v>
      </c>
      <c r="G132" s="319">
        <f ca="1">SUM($F$13:F132)</f>
        <v>0</v>
      </c>
      <c r="H132" s="322" t="e">
        <f ca="1">IF(OR(SUM('Offshore CF'!E144:$E$153)&lt;&gt;0,SUM('Offshore CF'!J144:$J$153)&lt;&gt;0),E132*(((G131+G132)/2)+I131),IF(SUM('Offshore CF'!E143:$E$153)-SUM('Offshore CF'!J143:$J$153)&lt;&gt;0,E132*(((G131+G132)/2)+I131),0))</f>
        <v>#N/A</v>
      </c>
      <c r="I132" s="322" t="e">
        <f ca="1">IF(OR(SUM('Offshore CF'!E144:$E$153)&lt;&gt;0,SUM('Offshore CF'!J144:$J$153)&lt;&gt;0),SUM($H$13:H132),IF(SUM('Offshore CF'!E$153:$E330)-SUM('Offshore CF'!J143:$J$153)&lt;&gt;0,SUM($H$13:H132),0))</f>
        <v>#N/A</v>
      </c>
      <c r="J132" s="322" t="e">
        <f ca="1">IF(OR(SUM('Offshore CF'!E144:$E$153)&lt;&gt;0,SUM('Offshore CF'!J144:$J$153)&lt;&gt;0),I132+G132,IF(SUM('Offshore CF'!E143:$E$153)-SUM('Offshore CF'!J143:$J$153)&lt;&gt;0,I132+G132,0))</f>
        <v>#N/A</v>
      </c>
      <c r="K132" s="323"/>
      <c r="L132" s="324">
        <f ca="1">IF(ISERROR('Offshore CF'!J143),0,'Offshore CF'!J143)</f>
        <v>0</v>
      </c>
      <c r="M132" s="325">
        <f ca="1">SUM($L$13:L132)</f>
        <v>1E-3</v>
      </c>
      <c r="N132" s="322" t="e">
        <f ca="1">IF(OR(SUM('Offshore CF'!E144:$E$153)&lt;&gt;0,SUM('Offshore CF'!J144:$J$153)&lt;&gt;0),E132*(((M131+M132)/2)+O131),IF(SUM('Offshore CF'!E143:$E$153)-SUM('Offshore CF'!J143:$J$153)&lt;&gt;0,E132*(((M131+M132)/2)+O131),0))</f>
        <v>#N/A</v>
      </c>
      <c r="O132" s="322" t="e">
        <f ca="1">IF(OR(SUM('Offshore CF'!E144:$E$153)&lt;&gt;0,SUM('Offshore CF'!J144:$J$153)&lt;&gt;0),SUM($N$13:N132),IF(SUM('Offshore CF'!E143:$E$153)-SUM('Offshore CF'!J143:$J$153)&lt;&gt;0,SUM($N$13:N132),0))</f>
        <v>#N/A</v>
      </c>
      <c r="P132" s="322" t="e">
        <f ca="1">IF(OR(SUM('Offshore CF'!E144:$E$153)&lt;&gt;0,SUM('Offshore CF'!J144:$J$153)&lt;&gt;0),O132+M132,IF(SUM('Offshore CF'!E143:$E$153)-SUM('Offshore CF'!J143:$J$153)&lt;&gt;0,O132+M132,0))</f>
        <v>#N/A</v>
      </c>
      <c r="R132" s="322" t="e">
        <f ca="1">IF(OR(SUM('Offshore CF'!E144:$E$153)&lt;&gt;0,SUM('Offshore CF'!J144:$J$153)&lt;&gt;0),G132-M132,IF(SUM('Offshore CF'!E143:$E$153)-SUM('Offshore CF'!J143:$J$153)&lt;&gt;0,G132-M132,0))</f>
        <v>#N/A</v>
      </c>
      <c r="S132" s="285"/>
      <c r="T132" s="322" t="e">
        <f ca="1">IF(OR(SUM('Offshore CF'!E144:$E$153)&lt;&gt;0,SUM('Offshore CF'!J144:$J$153)&lt;&gt;0),E132*(((R131+R132)/2)+SUM($T$13:T131)),IF(SUM('Offshore CF'!E143:$E$153)-SUM('Offshore CF'!J143:$J$153)&lt;&gt;0,E132*(((R131+R132)/2)+SUM($T$13:T131)),0))</f>
        <v>#N/A</v>
      </c>
      <c r="U132" s="322" t="e">
        <f t="shared" ca="1" si="14"/>
        <v>#N/A</v>
      </c>
      <c r="V132" s="319" t="e">
        <f t="shared" ca="1" si="15"/>
        <v>#N/A</v>
      </c>
      <c r="W132" s="285"/>
      <c r="X132" s="326"/>
    </row>
    <row r="133" spans="2:24">
      <c r="B133" s="309">
        <f>'Offshore CF'!B144</f>
        <v>117</v>
      </c>
      <c r="C133" s="310">
        <f>'Offshore CF'!C144</f>
        <v>47119.337200000184</v>
      </c>
      <c r="D133" s="311" t="e">
        <f t="shared" ca="1" si="12"/>
        <v>#N/A</v>
      </c>
      <c r="E133" s="312">
        <f t="shared" ca="1" si="13"/>
        <v>0</v>
      </c>
      <c r="F133" s="313">
        <f ca="1">IF(ISERROR('Offshore CF'!E144),0,'Offshore CF'!E144)</f>
        <v>0</v>
      </c>
      <c r="G133" s="319">
        <f ca="1">SUM($F$13:F133)</f>
        <v>0</v>
      </c>
      <c r="H133" s="322" t="e">
        <f ca="1">IF(OR(SUM('Offshore CF'!E145:$E$153)&lt;&gt;0,SUM('Offshore CF'!J145:$J$153)&lt;&gt;0),E133*(((G132+G133)/2)+I132),IF(SUM('Offshore CF'!E144:$E$153)-SUM('Offshore CF'!J144:$J$153)&lt;&gt;0,E133*(((G132+G133)/2)+I132),0))</f>
        <v>#N/A</v>
      </c>
      <c r="I133" s="322" t="e">
        <f ca="1">IF(OR(SUM('Offshore CF'!E145:$E$153)&lt;&gt;0,SUM('Offshore CF'!J145:$J$153)&lt;&gt;0),SUM($H$13:H133),IF(SUM('Offshore CF'!E$153:$E331)-SUM('Offshore CF'!J144:$J$153)&lt;&gt;0,SUM($H$13:H133),0))</f>
        <v>#N/A</v>
      </c>
      <c r="J133" s="322" t="e">
        <f ca="1">IF(OR(SUM('Offshore CF'!E145:$E$153)&lt;&gt;0,SUM('Offshore CF'!J145:$J$153)&lt;&gt;0),I133+G133,IF(SUM('Offshore CF'!E144:$E$153)-SUM('Offshore CF'!J144:$J$153)&lt;&gt;0,I133+G133,0))</f>
        <v>#N/A</v>
      </c>
      <c r="K133" s="323"/>
      <c r="L133" s="324">
        <f ca="1">IF(ISERROR('Offshore CF'!J144),0,'Offshore CF'!J144)</f>
        <v>0</v>
      </c>
      <c r="M133" s="325">
        <f ca="1">SUM($L$13:L133)</f>
        <v>1E-3</v>
      </c>
      <c r="N133" s="322" t="e">
        <f ca="1">IF(OR(SUM('Offshore CF'!E145:$E$153)&lt;&gt;0,SUM('Offshore CF'!J145:$J$153)&lt;&gt;0),E133*(((M132+M133)/2)+O132),IF(SUM('Offshore CF'!E144:$E$153)-SUM('Offshore CF'!J144:$J$153)&lt;&gt;0,E133*(((M132+M133)/2)+O132),0))</f>
        <v>#N/A</v>
      </c>
      <c r="O133" s="322" t="e">
        <f ca="1">IF(OR(SUM('Offshore CF'!E145:$E$153)&lt;&gt;0,SUM('Offshore CF'!J145:$J$153)&lt;&gt;0),SUM($N$13:N133),IF(SUM('Offshore CF'!E144:$E$153)-SUM('Offshore CF'!J144:$J$153)&lt;&gt;0,SUM($N$13:N133),0))</f>
        <v>#N/A</v>
      </c>
      <c r="P133" s="322" t="e">
        <f ca="1">IF(OR(SUM('Offshore CF'!E145:$E$153)&lt;&gt;0,SUM('Offshore CF'!J145:$J$153)&lt;&gt;0),O133+M133,IF(SUM('Offshore CF'!E144:$E$153)-SUM('Offshore CF'!J144:$J$153)&lt;&gt;0,O133+M133,0))</f>
        <v>#N/A</v>
      </c>
      <c r="R133" s="322" t="e">
        <f ca="1">IF(OR(SUM('Offshore CF'!E145:$E$153)&lt;&gt;0,SUM('Offshore CF'!J145:$J$153)&lt;&gt;0),G133-M133,IF(SUM('Offshore CF'!E144:$E$153)-SUM('Offshore CF'!J144:$J$153)&lt;&gt;0,G133-M133,0))</f>
        <v>#N/A</v>
      </c>
      <c r="S133" s="285"/>
      <c r="T133" s="322" t="e">
        <f ca="1">IF(OR(SUM('Offshore CF'!E145:$E$153)&lt;&gt;0,SUM('Offshore CF'!J145:$J$153)&lt;&gt;0),E133*(((R132+R133)/2)+SUM($T$13:T132)),IF(SUM('Offshore CF'!E144:$E$153)-SUM('Offshore CF'!J144:$J$153)&lt;&gt;0,E133*(((R132+R133)/2)+SUM($T$13:T132)),0))</f>
        <v>#N/A</v>
      </c>
      <c r="U133" s="322" t="e">
        <f t="shared" ca="1" si="14"/>
        <v>#N/A</v>
      </c>
      <c r="V133" s="319" t="e">
        <f t="shared" ca="1" si="15"/>
        <v>#N/A</v>
      </c>
      <c r="W133" s="285"/>
      <c r="X133" s="326"/>
    </row>
    <row r="134" spans="2:24">
      <c r="B134" s="309">
        <f>'Offshore CF'!B145</f>
        <v>118</v>
      </c>
      <c r="C134" s="310">
        <f>'Offshore CF'!C145</f>
        <v>47149.753900000185</v>
      </c>
      <c r="D134" s="311" t="e">
        <f t="shared" ca="1" si="12"/>
        <v>#N/A</v>
      </c>
      <c r="E134" s="312">
        <f t="shared" ca="1" si="13"/>
        <v>0</v>
      </c>
      <c r="F134" s="313">
        <f ca="1">IF(ISERROR('Offshore CF'!E145),0,'Offshore CF'!E145)</f>
        <v>0</v>
      </c>
      <c r="G134" s="319">
        <f ca="1">SUM($F$13:F134)</f>
        <v>0</v>
      </c>
      <c r="H134" s="322" t="e">
        <f ca="1">IF(OR(SUM('Offshore CF'!E146:$E$153)&lt;&gt;0,SUM('Offshore CF'!J146:$J$153)&lt;&gt;0),E134*(((G133+G134)/2)+I133),IF(SUM('Offshore CF'!E145:$E$153)-SUM('Offshore CF'!J145:$J$153)&lt;&gt;0,E134*(((G133+G134)/2)+I133),0))</f>
        <v>#N/A</v>
      </c>
      <c r="I134" s="322" t="e">
        <f ca="1">IF(OR(SUM('Offshore CF'!E146:$E$153)&lt;&gt;0,SUM('Offshore CF'!J146:$J$153)&lt;&gt;0),SUM($H$13:H134),IF(SUM('Offshore CF'!E$153:$E332)-SUM('Offshore CF'!J145:$J$153)&lt;&gt;0,SUM($H$13:H134),0))</f>
        <v>#N/A</v>
      </c>
      <c r="J134" s="322" t="e">
        <f ca="1">IF(OR(SUM('Offshore CF'!E146:$E$153)&lt;&gt;0,SUM('Offshore CF'!J146:$J$153)&lt;&gt;0),I134+G134,IF(SUM('Offshore CF'!E145:$E$153)-SUM('Offshore CF'!J145:$J$153)&lt;&gt;0,I134+G134,0))</f>
        <v>#N/A</v>
      </c>
      <c r="K134" s="323"/>
      <c r="L134" s="324">
        <f ca="1">IF(ISERROR('Offshore CF'!J145),0,'Offshore CF'!J145)</f>
        <v>0</v>
      </c>
      <c r="M134" s="325">
        <f ca="1">SUM($L$13:L134)</f>
        <v>1E-3</v>
      </c>
      <c r="N134" s="322" t="e">
        <f ca="1">IF(OR(SUM('Offshore CF'!E146:$E$153)&lt;&gt;0,SUM('Offshore CF'!J146:$J$153)&lt;&gt;0),E134*(((M133+M134)/2)+O133),IF(SUM('Offshore CF'!E145:$E$153)-SUM('Offshore CF'!J145:$J$153)&lt;&gt;0,E134*(((M133+M134)/2)+O133),0))</f>
        <v>#N/A</v>
      </c>
      <c r="O134" s="322" t="e">
        <f ca="1">IF(OR(SUM('Offshore CF'!E146:$E$153)&lt;&gt;0,SUM('Offshore CF'!J146:$J$153)&lt;&gt;0),SUM($N$13:N134),IF(SUM('Offshore CF'!E145:$E$153)-SUM('Offshore CF'!J145:$J$153)&lt;&gt;0,SUM($N$13:N134),0))</f>
        <v>#N/A</v>
      </c>
      <c r="P134" s="322" t="e">
        <f ca="1">IF(OR(SUM('Offshore CF'!E146:$E$153)&lt;&gt;0,SUM('Offshore CF'!J146:$J$153)&lt;&gt;0),O134+M134,IF(SUM('Offshore CF'!E145:$E$153)-SUM('Offshore CF'!J145:$J$153)&lt;&gt;0,O134+M134,0))</f>
        <v>#N/A</v>
      </c>
      <c r="R134" s="322" t="e">
        <f ca="1">IF(OR(SUM('Offshore CF'!E146:$E$153)&lt;&gt;0,SUM('Offshore CF'!J146:$J$153)&lt;&gt;0),G134-M134,IF(SUM('Offshore CF'!E145:$E$153)-SUM('Offshore CF'!J145:$J$153)&lt;&gt;0,G134-M134,0))</f>
        <v>#N/A</v>
      </c>
      <c r="S134" s="285"/>
      <c r="T134" s="322" t="e">
        <f ca="1">IF(OR(SUM('Offshore CF'!E146:$E$153)&lt;&gt;0,SUM('Offshore CF'!J146:$J$153)&lt;&gt;0),E134*(((R133+R134)/2)+SUM($T$13:T133)),IF(SUM('Offshore CF'!E145:$E$153)-SUM('Offshore CF'!J145:$J$153)&lt;&gt;0,E134*(((R133+R134)/2)+SUM($T$13:T133)),0))</f>
        <v>#N/A</v>
      </c>
      <c r="U134" s="322" t="e">
        <f t="shared" ca="1" si="14"/>
        <v>#N/A</v>
      </c>
      <c r="V134" s="319" t="e">
        <f t="shared" ca="1" si="15"/>
        <v>#N/A</v>
      </c>
      <c r="W134" s="285"/>
      <c r="X134" s="326"/>
    </row>
    <row r="135" spans="2:24">
      <c r="B135" s="309">
        <f>'Offshore CF'!B146</f>
        <v>119</v>
      </c>
      <c r="C135" s="310">
        <f>'Offshore CF'!C146</f>
        <v>47180.170600000187</v>
      </c>
      <c r="D135" s="311" t="e">
        <f t="shared" ca="1" si="12"/>
        <v>#N/A</v>
      </c>
      <c r="E135" s="312">
        <f t="shared" ca="1" si="13"/>
        <v>0</v>
      </c>
      <c r="F135" s="313">
        <f ca="1">IF(ISERROR('Offshore CF'!E146),0,'Offshore CF'!E146)</f>
        <v>0</v>
      </c>
      <c r="G135" s="319">
        <f ca="1">SUM($F$13:F135)</f>
        <v>0</v>
      </c>
      <c r="H135" s="322" t="e">
        <f ca="1">IF(OR(SUM('Offshore CF'!E147:$E$153)&lt;&gt;0,SUM('Offshore CF'!J147:$J$153)&lt;&gt;0),E135*(((G134+G135)/2)+I134),IF(SUM('Offshore CF'!E146:$E$153)-SUM('Offshore CF'!J146:$J$153)&lt;&gt;0,E135*(((G134+G135)/2)+I134),0))</f>
        <v>#N/A</v>
      </c>
      <c r="I135" s="322" t="e">
        <f ca="1">IF(OR(SUM('Offshore CF'!E147:$E$153)&lt;&gt;0,SUM('Offshore CF'!J147:$J$153)&lt;&gt;0),SUM($H$13:H135),IF(SUM('Offshore CF'!E$153:$E333)-SUM('Offshore CF'!J146:$J$153)&lt;&gt;0,SUM($H$13:H135),0))</f>
        <v>#N/A</v>
      </c>
      <c r="J135" s="322" t="e">
        <f ca="1">IF(OR(SUM('Offshore CF'!E147:$E$153)&lt;&gt;0,SUM('Offshore CF'!J147:$J$153)&lt;&gt;0),I135+G135,IF(SUM('Offshore CF'!E146:$E$153)-SUM('Offshore CF'!J146:$J$153)&lt;&gt;0,I135+G135,0))</f>
        <v>#N/A</v>
      </c>
      <c r="K135" s="323"/>
      <c r="L135" s="324">
        <f ca="1">IF(ISERROR('Offshore CF'!J146),0,'Offshore CF'!J146)</f>
        <v>0</v>
      </c>
      <c r="M135" s="325">
        <f ca="1">SUM($L$13:L135)</f>
        <v>1E-3</v>
      </c>
      <c r="N135" s="322" t="e">
        <f ca="1">IF(OR(SUM('Offshore CF'!E147:$E$153)&lt;&gt;0,SUM('Offshore CF'!J147:$J$153)&lt;&gt;0),E135*(((M134+M135)/2)+O134),IF(SUM('Offshore CF'!E146:$E$153)-SUM('Offshore CF'!J146:$J$153)&lt;&gt;0,E135*(((M134+M135)/2)+O134),0))</f>
        <v>#N/A</v>
      </c>
      <c r="O135" s="322" t="e">
        <f ca="1">IF(OR(SUM('Offshore CF'!E147:$E$153)&lt;&gt;0,SUM('Offshore CF'!J147:$J$153)&lt;&gt;0),SUM($N$13:N135),IF(SUM('Offshore CF'!E146:$E$153)-SUM('Offshore CF'!J146:$J$153)&lt;&gt;0,SUM($N$13:N135),0))</f>
        <v>#N/A</v>
      </c>
      <c r="P135" s="322" t="e">
        <f ca="1">IF(OR(SUM('Offshore CF'!E147:$E$153)&lt;&gt;0,SUM('Offshore CF'!J147:$J$153)&lt;&gt;0),O135+M135,IF(SUM('Offshore CF'!E146:$E$153)-SUM('Offshore CF'!J146:$J$153)&lt;&gt;0,O135+M135,0))</f>
        <v>#N/A</v>
      </c>
      <c r="R135" s="322" t="e">
        <f ca="1">IF(OR(SUM('Offshore CF'!E147:$E$153)&lt;&gt;0,SUM('Offshore CF'!J147:$J$153)&lt;&gt;0),G135-M135,IF(SUM('Offshore CF'!E146:$E$153)-SUM('Offshore CF'!J146:$J$153)&lt;&gt;0,G135-M135,0))</f>
        <v>#N/A</v>
      </c>
      <c r="S135" s="285"/>
      <c r="T135" s="322" t="e">
        <f ca="1">IF(OR(SUM('Offshore CF'!E147:$E$153)&lt;&gt;0,SUM('Offshore CF'!J147:$J$153)&lt;&gt;0),E135*(((R134+R135)/2)+SUM($T$13:T134)),IF(SUM('Offshore CF'!E146:$E$153)-SUM('Offshore CF'!J146:$J$153)&lt;&gt;0,E135*(((R134+R135)/2)+SUM($T$13:T134)),0))</f>
        <v>#N/A</v>
      </c>
      <c r="U135" s="322" t="e">
        <f t="shared" ca="1" si="14"/>
        <v>#N/A</v>
      </c>
      <c r="V135" s="319" t="e">
        <f t="shared" ca="1" si="15"/>
        <v>#N/A</v>
      </c>
      <c r="W135" s="285"/>
      <c r="X135" s="326"/>
    </row>
    <row r="136" spans="2:24">
      <c r="B136" s="309">
        <f>'Offshore CF'!B147</f>
        <v>120</v>
      </c>
      <c r="C136" s="310">
        <f>'Offshore CF'!C147</f>
        <v>47210.587300000188</v>
      </c>
      <c r="D136" s="311" t="e">
        <f t="shared" ca="1" si="12"/>
        <v>#N/A</v>
      </c>
      <c r="E136" s="312">
        <f t="shared" ca="1" si="13"/>
        <v>0</v>
      </c>
      <c r="F136" s="313">
        <f ca="1">IF(ISERROR('Offshore CF'!E147),0,'Offshore CF'!E147)</f>
        <v>0</v>
      </c>
      <c r="G136" s="319">
        <f ca="1">SUM($F$13:F136)</f>
        <v>0</v>
      </c>
      <c r="H136" s="322" t="e">
        <f ca="1">IF(OR(SUM('Offshore CF'!E148:$E$153)&lt;&gt;0,SUM('Offshore CF'!J148:$J$153)&lt;&gt;0),E136*(((G135+G136)/2)+I135),IF(SUM('Offshore CF'!E147:$E$153)-SUM('Offshore CF'!J147:$J$153)&lt;&gt;0,E136*(((G135+G136)/2)+I135),0))</f>
        <v>#N/A</v>
      </c>
      <c r="I136" s="322" t="e">
        <f ca="1">IF(OR(SUM('Offshore CF'!E148:$E$153)&lt;&gt;0,SUM('Offshore CF'!J148:$J$153)&lt;&gt;0),SUM($H$13:H136),IF(SUM('Offshore CF'!E$153:$E334)-SUM('Offshore CF'!J147:$J$153)&lt;&gt;0,SUM($H$13:H136),0))</f>
        <v>#N/A</v>
      </c>
      <c r="J136" s="322" t="e">
        <f ca="1">IF(OR(SUM('Offshore CF'!E148:$E$153)&lt;&gt;0,SUM('Offshore CF'!J148:$J$153)&lt;&gt;0),I136+G136,IF(SUM('Offshore CF'!E147:$E$153)-SUM('Offshore CF'!J147:$J$153)&lt;&gt;0,I136+G136,0))</f>
        <v>#N/A</v>
      </c>
      <c r="K136" s="323"/>
      <c r="L136" s="324">
        <f ca="1">IF(ISERROR('Offshore CF'!J147),0,'Offshore CF'!J147)</f>
        <v>0</v>
      </c>
      <c r="M136" s="325">
        <f ca="1">SUM($L$13:L136)</f>
        <v>1E-3</v>
      </c>
      <c r="N136" s="322" t="e">
        <f ca="1">IF(OR(SUM('Offshore CF'!E148:$E$153)&lt;&gt;0,SUM('Offshore CF'!J148:$J$153)&lt;&gt;0),E136*(((M135+M136)/2)+O135),IF(SUM('Offshore CF'!E147:$E$153)-SUM('Offshore CF'!J147:$J$153)&lt;&gt;0,E136*(((M135+M136)/2)+O135),0))</f>
        <v>#N/A</v>
      </c>
      <c r="O136" s="322" t="e">
        <f ca="1">IF(OR(SUM('Offshore CF'!E148:$E$153)&lt;&gt;0,SUM('Offshore CF'!J148:$J$153)&lt;&gt;0),SUM($N$13:N136),IF(SUM('Offshore CF'!E147:$E$153)-SUM('Offshore CF'!J147:$J$153)&lt;&gt;0,SUM($N$13:N136),0))</f>
        <v>#N/A</v>
      </c>
      <c r="P136" s="322" t="e">
        <f ca="1">IF(OR(SUM('Offshore CF'!E148:$E$153)&lt;&gt;0,SUM('Offshore CF'!J148:$J$153)&lt;&gt;0),O136+M136,IF(SUM('Offshore CF'!E147:$E$153)-SUM('Offshore CF'!J147:$J$153)&lt;&gt;0,O136+M136,0))</f>
        <v>#N/A</v>
      </c>
      <c r="R136" s="322" t="e">
        <f ca="1">IF(OR(SUM('Offshore CF'!E148:$E$153)&lt;&gt;0,SUM('Offshore CF'!J148:$J$153)&lt;&gt;0),G136-M136,IF(SUM('Offshore CF'!E147:$E$153)-SUM('Offshore CF'!J147:$J$153)&lt;&gt;0,G136-M136,0))</f>
        <v>#N/A</v>
      </c>
      <c r="S136" s="285"/>
      <c r="T136" s="322" t="e">
        <f ca="1">IF(OR(SUM('Offshore CF'!E148:$E$153)&lt;&gt;0,SUM('Offshore CF'!J148:$J$153)&lt;&gt;0),E136*(((R135+R136)/2)+SUM($T$13:T135)),IF(SUM('Offshore CF'!E147:$E$153)-SUM('Offshore CF'!J147:$J$153)&lt;&gt;0,E136*(((R135+R136)/2)+SUM($T$13:T135)),0))</f>
        <v>#N/A</v>
      </c>
      <c r="U136" s="322" t="e">
        <f t="shared" ca="1" si="14"/>
        <v>#N/A</v>
      </c>
      <c r="V136" s="319" t="e">
        <f t="shared" ca="1" si="15"/>
        <v>#N/A</v>
      </c>
      <c r="W136" s="285"/>
      <c r="X136" s="326"/>
    </row>
    <row r="137" spans="2:24">
      <c r="B137" s="309">
        <f>'Offshore CF'!B148</f>
        <v>121</v>
      </c>
      <c r="C137" s="310">
        <f>'Offshore CF'!C148</f>
        <v>47241.00400000019</v>
      </c>
      <c r="D137" s="311" t="e">
        <f t="shared" ca="1" si="12"/>
        <v>#N/A</v>
      </c>
      <c r="E137" s="312">
        <f t="shared" ca="1" si="13"/>
        <v>0</v>
      </c>
      <c r="F137" s="313">
        <f ca="1">IF(ISERROR('Offshore CF'!E148),0,'Offshore CF'!E148)</f>
        <v>0</v>
      </c>
      <c r="G137" s="319">
        <f ca="1">SUM($F$13:F137)</f>
        <v>0</v>
      </c>
      <c r="H137" s="322" t="e">
        <f ca="1">IF(OR(SUM('Offshore CF'!E149:$E$153)&lt;&gt;0,SUM('Offshore CF'!J149:$J$153)&lt;&gt;0),E137*(((G136+G137)/2)+I136),IF(SUM('Offshore CF'!E148:$E$153)-SUM('Offshore CF'!J148:$J$153)&lt;&gt;0,E137*(((G136+G137)/2)+I136),0))</f>
        <v>#N/A</v>
      </c>
      <c r="I137" s="322" t="e">
        <f ca="1">IF(OR(SUM('Offshore CF'!E149:$E$153)&lt;&gt;0,SUM('Offshore CF'!J149:$J$153)&lt;&gt;0),SUM($H$13:H137),IF(SUM('Offshore CF'!E$153:$E335)-SUM('Offshore CF'!J148:$J$153)&lt;&gt;0,SUM($H$13:H137),0))</f>
        <v>#N/A</v>
      </c>
      <c r="J137" s="322" t="e">
        <f ca="1">IF(OR(SUM('Offshore CF'!E149:$E$153)&lt;&gt;0,SUM('Offshore CF'!J149:$J$153)&lt;&gt;0),I137+G137,IF(SUM('Offshore CF'!E148:$E$153)-SUM('Offshore CF'!J148:$J$153)&lt;&gt;0,I137+G137,0))</f>
        <v>#N/A</v>
      </c>
      <c r="K137" s="323"/>
      <c r="L137" s="324">
        <f ca="1">IF(ISERROR('Offshore CF'!J148),0,'Offshore CF'!J148)</f>
        <v>0</v>
      </c>
      <c r="M137" s="325">
        <f ca="1">SUM($L$13:L137)</f>
        <v>1E-3</v>
      </c>
      <c r="N137" s="322" t="e">
        <f ca="1">IF(OR(SUM('Offshore CF'!E149:$E$153)&lt;&gt;0,SUM('Offshore CF'!J149:$J$153)&lt;&gt;0),E137*(((M136+M137)/2)+O136),IF(SUM('Offshore CF'!E148:$E$153)-SUM('Offshore CF'!J148:$J$153)&lt;&gt;0,E137*(((M136+M137)/2)+O136),0))</f>
        <v>#N/A</v>
      </c>
      <c r="O137" s="322" t="e">
        <f ca="1">IF(OR(SUM('Offshore CF'!E149:$E$153)&lt;&gt;0,SUM('Offshore CF'!J149:$J$153)&lt;&gt;0),SUM($N$13:N137),IF(SUM('Offshore CF'!E148:$E$153)-SUM('Offshore CF'!J148:$J$153)&lt;&gt;0,SUM($N$13:N137),0))</f>
        <v>#N/A</v>
      </c>
      <c r="P137" s="322" t="e">
        <f ca="1">IF(OR(SUM('Offshore CF'!E149:$E$153)&lt;&gt;0,SUM('Offshore CF'!J149:$J$153)&lt;&gt;0),O137+M137,IF(SUM('Offshore CF'!E148:$E$153)-SUM('Offshore CF'!J148:$J$153)&lt;&gt;0,O137+M137,0))</f>
        <v>#N/A</v>
      </c>
      <c r="R137" s="322" t="e">
        <f ca="1">IF(OR(SUM('Offshore CF'!E149:$E$153)&lt;&gt;0,SUM('Offshore CF'!J149:$J$153)&lt;&gt;0),G137-M137,IF(SUM('Offshore CF'!E148:$E$153)-SUM('Offshore CF'!J148:$J$153)&lt;&gt;0,G137-M137,0))</f>
        <v>#N/A</v>
      </c>
      <c r="S137" s="285"/>
      <c r="T137" s="322" t="e">
        <f ca="1">IF(OR(SUM('Offshore CF'!E149:$E$153)&lt;&gt;0,SUM('Offshore CF'!J149:$J$153)&lt;&gt;0),E137*(((R136+R137)/2)+SUM($T$13:T136)),IF(SUM('Offshore CF'!E148:$E$153)-SUM('Offshore CF'!J148:$J$153)&lt;&gt;0,E137*(((R136+R137)/2)+SUM($T$13:T136)),0))</f>
        <v>#N/A</v>
      </c>
      <c r="U137" s="322" t="e">
        <f t="shared" ca="1" si="14"/>
        <v>#N/A</v>
      </c>
      <c r="V137" s="319" t="e">
        <f t="shared" ca="1" si="15"/>
        <v>#N/A</v>
      </c>
      <c r="W137" s="285"/>
      <c r="X137" s="326"/>
    </row>
    <row r="138" spans="2:24">
      <c r="B138" s="309">
        <f>'Offshore CF'!B149</f>
        <v>122</v>
      </c>
      <c r="C138" s="310">
        <f>'Offshore CF'!C149</f>
        <v>47271.420700000192</v>
      </c>
      <c r="D138" s="311" t="e">
        <f t="shared" ca="1" si="12"/>
        <v>#N/A</v>
      </c>
      <c r="E138" s="312">
        <f t="shared" ca="1" si="13"/>
        <v>0</v>
      </c>
      <c r="F138" s="313">
        <f ca="1">IF(ISERROR('Offshore CF'!E149),0,'Offshore CF'!E149)</f>
        <v>0</v>
      </c>
      <c r="G138" s="319">
        <f ca="1">SUM($F$13:F138)</f>
        <v>0</v>
      </c>
      <c r="H138" s="322" t="e">
        <f ca="1">IF(OR(SUM('Offshore CF'!E150:$E$153)&lt;&gt;0,SUM('Offshore CF'!J150:$J$153)&lt;&gt;0),E138*(((G137+G138)/2)+I137),IF(SUM('Offshore CF'!E149:$E$153)-SUM('Offshore CF'!J149:$J$153)&lt;&gt;0,E138*(((G137+G138)/2)+I137),0))</f>
        <v>#N/A</v>
      </c>
      <c r="I138" s="322" t="e">
        <f ca="1">IF(OR(SUM('Offshore CF'!E150:$E$153)&lt;&gt;0,SUM('Offshore CF'!J150:$J$153)&lt;&gt;0),SUM($H$13:H138),IF(SUM('Offshore CF'!E$153:$E336)-SUM('Offshore CF'!J149:$J$153)&lt;&gt;0,SUM($H$13:H138),0))</f>
        <v>#N/A</v>
      </c>
      <c r="J138" s="322" t="e">
        <f ca="1">IF(OR(SUM('Offshore CF'!E150:$E$153)&lt;&gt;0,SUM('Offshore CF'!J150:$J$153)&lt;&gt;0),I138+G138,IF(SUM('Offshore CF'!E149:$E$153)-SUM('Offshore CF'!J149:$J$153)&lt;&gt;0,I138+G138,0))</f>
        <v>#N/A</v>
      </c>
      <c r="K138" s="323"/>
      <c r="L138" s="324">
        <f ca="1">IF(ISERROR('Offshore CF'!J149),0,'Offshore CF'!J149)</f>
        <v>0</v>
      </c>
      <c r="M138" s="325">
        <f ca="1">SUM($L$13:L138)</f>
        <v>1E-3</v>
      </c>
      <c r="N138" s="322" t="e">
        <f ca="1">IF(OR(SUM('Offshore CF'!E150:$E$153)&lt;&gt;0,SUM('Offshore CF'!J150:$J$153)&lt;&gt;0),E138*(((M137+M138)/2)+O137),IF(SUM('Offshore CF'!E149:$E$153)-SUM('Offshore CF'!J149:$J$153)&lt;&gt;0,E138*(((M137+M138)/2)+O137),0))</f>
        <v>#N/A</v>
      </c>
      <c r="O138" s="322" t="e">
        <f ca="1">IF(OR(SUM('Offshore CF'!E150:$E$153)&lt;&gt;0,SUM('Offshore CF'!J150:$J$153)&lt;&gt;0),SUM($N$13:N138),IF(SUM('Offshore CF'!E149:$E$153)-SUM('Offshore CF'!J149:$J$153)&lt;&gt;0,SUM($N$13:N138),0))</f>
        <v>#N/A</v>
      </c>
      <c r="P138" s="322" t="e">
        <f ca="1">IF(OR(SUM('Offshore CF'!E150:$E$153)&lt;&gt;0,SUM('Offshore CF'!J150:$J$153)&lt;&gt;0),O138+M138,IF(SUM('Offshore CF'!E149:$E$153)-SUM('Offshore CF'!J149:$J$153)&lt;&gt;0,O138+M138,0))</f>
        <v>#N/A</v>
      </c>
      <c r="R138" s="322" t="e">
        <f ca="1">IF(OR(SUM('Offshore CF'!E150:$E$153)&lt;&gt;0,SUM('Offshore CF'!J150:$J$153)&lt;&gt;0),G138-M138,IF(SUM('Offshore CF'!E149:$E$153)-SUM('Offshore CF'!J149:$J$153)&lt;&gt;0,G138-M138,0))</f>
        <v>#N/A</v>
      </c>
      <c r="S138" s="285"/>
      <c r="T138" s="322" t="e">
        <f ca="1">IF(OR(SUM('Offshore CF'!E150:$E$153)&lt;&gt;0,SUM('Offshore CF'!J150:$J$153)&lt;&gt;0),E138*(((R137+R138)/2)+SUM($T$13:T137)),IF(SUM('Offshore CF'!E149:$E$153)-SUM('Offshore CF'!J149:$J$153)&lt;&gt;0,E138*(((R137+R138)/2)+SUM($T$13:T137)),0))</f>
        <v>#N/A</v>
      </c>
      <c r="U138" s="322" t="e">
        <f t="shared" ca="1" si="14"/>
        <v>#N/A</v>
      </c>
      <c r="V138" s="319" t="e">
        <f t="shared" ca="1" si="15"/>
        <v>#N/A</v>
      </c>
      <c r="W138" s="285"/>
      <c r="X138" s="326"/>
    </row>
    <row r="139" spans="2:24">
      <c r="B139" s="309">
        <f>'Offshore CF'!B150</f>
        <v>123</v>
      </c>
      <c r="C139" s="310">
        <f>'Offshore CF'!C150</f>
        <v>47301.837400000193</v>
      </c>
      <c r="D139" s="311" t="e">
        <f t="shared" ca="1" si="12"/>
        <v>#N/A</v>
      </c>
      <c r="E139" s="312">
        <f t="shared" ca="1" si="13"/>
        <v>0</v>
      </c>
      <c r="F139" s="313">
        <f ca="1">IF(ISERROR('Offshore CF'!E150),0,'Offshore CF'!E150)</f>
        <v>0</v>
      </c>
      <c r="G139" s="319">
        <f ca="1">SUM($F$13:F139)</f>
        <v>0</v>
      </c>
      <c r="H139" s="322" t="e">
        <f ca="1">IF(OR(SUM('Offshore CF'!E151:$E$153)&lt;&gt;0,SUM('Offshore CF'!J151:$J$153)&lt;&gt;0),E139*(((G138+G139)/2)+I138),IF(SUM('Offshore CF'!E150:$E$153)-SUM('Offshore CF'!J150:$J$153)&lt;&gt;0,E139*(((G138+G139)/2)+I138),0))</f>
        <v>#N/A</v>
      </c>
      <c r="I139" s="322" t="e">
        <f ca="1">IF(OR(SUM('Offshore CF'!E151:$E$153)&lt;&gt;0,SUM('Offshore CF'!J151:$J$153)&lt;&gt;0),SUM($H$13:H139),IF(SUM('Offshore CF'!E$153:$E337)-SUM('Offshore CF'!J150:$J$153)&lt;&gt;0,SUM($H$13:H139),0))</f>
        <v>#N/A</v>
      </c>
      <c r="J139" s="322" t="e">
        <f ca="1">IF(OR(SUM('Offshore CF'!E151:$E$153)&lt;&gt;0,SUM('Offshore CF'!J151:$J$153)&lt;&gt;0),I139+G139,IF(SUM('Offshore CF'!E150:$E$153)-SUM('Offshore CF'!J150:$J$153)&lt;&gt;0,I139+G139,0))</f>
        <v>#N/A</v>
      </c>
      <c r="K139" s="323"/>
      <c r="L139" s="324">
        <f ca="1">IF(ISERROR('Offshore CF'!J150),0,'Offshore CF'!J150)</f>
        <v>0</v>
      </c>
      <c r="M139" s="325">
        <f ca="1">SUM($L$13:L139)</f>
        <v>1E-3</v>
      </c>
      <c r="N139" s="322" t="e">
        <f ca="1">IF(OR(SUM('Offshore CF'!E151:$E$153)&lt;&gt;0,SUM('Offshore CF'!J151:$J$153)&lt;&gt;0),E139*(((M138+M139)/2)+O138),IF(SUM('Offshore CF'!E150:$E$153)-SUM('Offshore CF'!J150:$J$153)&lt;&gt;0,E139*(((M138+M139)/2)+O138),0))</f>
        <v>#N/A</v>
      </c>
      <c r="O139" s="322" t="e">
        <f ca="1">IF(OR(SUM('Offshore CF'!E151:$E$153)&lt;&gt;0,SUM('Offshore CF'!J151:$J$153)&lt;&gt;0),SUM($N$13:N139),IF(SUM('Offshore CF'!E150:$E$153)-SUM('Offshore CF'!J150:$J$153)&lt;&gt;0,SUM($N$13:N139),0))</f>
        <v>#N/A</v>
      </c>
      <c r="P139" s="322" t="e">
        <f ca="1">IF(OR(SUM('Offshore CF'!E151:$E$153)&lt;&gt;0,SUM('Offshore CF'!J151:$J$153)&lt;&gt;0),O139+M139,IF(SUM('Offshore CF'!E150:$E$153)-SUM('Offshore CF'!J150:$J$153)&lt;&gt;0,O139+M139,0))</f>
        <v>#N/A</v>
      </c>
      <c r="R139" s="322" t="e">
        <f ca="1">IF(OR(SUM('Offshore CF'!E151:$E$153)&lt;&gt;0,SUM('Offshore CF'!J151:$J$153)&lt;&gt;0),G139-M139,IF(SUM('Offshore CF'!E150:$E$153)-SUM('Offshore CF'!J150:$J$153)&lt;&gt;0,G139-M139,0))</f>
        <v>#N/A</v>
      </c>
      <c r="S139" s="285"/>
      <c r="T139" s="322" t="e">
        <f ca="1">IF(OR(SUM('Offshore CF'!E151:$E$153)&lt;&gt;0,SUM('Offshore CF'!J151:$J$153)&lt;&gt;0),E139*(((R138+R139)/2)+SUM($T$13:T138)),IF(SUM('Offshore CF'!E150:$E$153)-SUM('Offshore CF'!J150:$J$153)&lt;&gt;0,E139*(((R138+R139)/2)+SUM($T$13:T138)),0))</f>
        <v>#N/A</v>
      </c>
      <c r="U139" s="322" t="e">
        <f t="shared" ca="1" si="14"/>
        <v>#N/A</v>
      </c>
      <c r="V139" s="319" t="e">
        <f t="shared" ca="1" si="15"/>
        <v>#N/A</v>
      </c>
      <c r="W139" s="285"/>
      <c r="X139" s="326"/>
    </row>
    <row r="140" spans="2:24">
      <c r="B140" s="309">
        <f>'Offshore CF'!B151</f>
        <v>124</v>
      </c>
      <c r="C140" s="310">
        <f>'Offshore CF'!C151</f>
        <v>47332.254100000195</v>
      </c>
      <c r="D140" s="311" t="e">
        <f t="shared" ca="1" si="12"/>
        <v>#N/A</v>
      </c>
      <c r="E140" s="312">
        <f t="shared" ca="1" si="13"/>
        <v>0</v>
      </c>
      <c r="F140" s="313">
        <f ca="1">IF(ISERROR('Offshore CF'!E151),0,'Offshore CF'!E151)</f>
        <v>0</v>
      </c>
      <c r="G140" s="319">
        <f ca="1">SUM($F$13:F140)</f>
        <v>0</v>
      </c>
      <c r="H140" s="322" t="e">
        <f ca="1">IF(OR(SUM('Offshore CF'!E152:$E$153)&lt;&gt;0,SUM('Offshore CF'!J152:$J$153)&lt;&gt;0),E140*(((G139+G140)/2)+I139),IF(SUM('Offshore CF'!E151:$E$153)-SUM('Offshore CF'!J151:$J$153)&lt;&gt;0,E140*(((G139+G140)/2)+I139),0))</f>
        <v>#N/A</v>
      </c>
      <c r="I140" s="322" t="e">
        <f ca="1">IF(OR(SUM('Offshore CF'!E152:$E$153)&lt;&gt;0,SUM('Offshore CF'!J152:$J$153)&lt;&gt;0),SUM($H$13:H140),IF(SUM('Offshore CF'!E$153:$E338)-SUM('Offshore CF'!J151:$J$153)&lt;&gt;0,SUM($H$13:H140),0))</f>
        <v>#N/A</v>
      </c>
      <c r="J140" s="322" t="e">
        <f ca="1">IF(OR(SUM('Offshore CF'!E152:$E$153)&lt;&gt;0,SUM('Offshore CF'!J152:$J$153)&lt;&gt;0),I140+G140,IF(SUM('Offshore CF'!E151:$E$153)-SUM('Offshore CF'!J151:$J$153)&lt;&gt;0,I140+G140,0))</f>
        <v>#N/A</v>
      </c>
      <c r="K140" s="323"/>
      <c r="L140" s="324">
        <f ca="1">IF(ISERROR('Offshore CF'!J151),0,'Offshore CF'!J151)</f>
        <v>0</v>
      </c>
      <c r="M140" s="325">
        <f ca="1">SUM($L$13:L140)</f>
        <v>1E-3</v>
      </c>
      <c r="N140" s="322" t="e">
        <f ca="1">IF(OR(SUM('Offshore CF'!E152:$E$153)&lt;&gt;0,SUM('Offshore CF'!J152:$J$153)&lt;&gt;0),E140*(((M139+M140)/2)+O139),IF(SUM('Offshore CF'!E151:$E$153)-SUM('Offshore CF'!J151:$J$153)&lt;&gt;0,E140*(((M139+M140)/2)+O139),0))</f>
        <v>#N/A</v>
      </c>
      <c r="O140" s="322" t="e">
        <f ca="1">IF(OR(SUM('Offshore CF'!E152:$E$153)&lt;&gt;0,SUM('Offshore CF'!J152:$J$153)&lt;&gt;0),SUM($N$13:N140),IF(SUM('Offshore CF'!E151:$E$153)-SUM('Offshore CF'!J151:$J$153)&lt;&gt;0,SUM($N$13:N140),0))</f>
        <v>#N/A</v>
      </c>
      <c r="P140" s="322" t="e">
        <f ca="1">IF(OR(SUM('Offshore CF'!E152:$E$153)&lt;&gt;0,SUM('Offshore CF'!J152:$J$153)&lt;&gt;0),O140+M140,IF(SUM('Offshore CF'!E151:$E$153)-SUM('Offshore CF'!J151:$J$153)&lt;&gt;0,O140+M140,0))</f>
        <v>#N/A</v>
      </c>
      <c r="R140" s="322" t="e">
        <f ca="1">IF(OR(SUM('Offshore CF'!E152:$E$153)&lt;&gt;0,SUM('Offshore CF'!J152:$J$153)&lt;&gt;0),G140-M140,IF(SUM('Offshore CF'!E151:$E$153)-SUM('Offshore CF'!J151:$J$153)&lt;&gt;0,G140-M140,0))</f>
        <v>#N/A</v>
      </c>
      <c r="S140" s="285"/>
      <c r="T140" s="322" t="e">
        <f ca="1">IF(OR(SUM('Offshore CF'!E152:$E$153)&lt;&gt;0,SUM('Offshore CF'!J152:$J$153)&lt;&gt;0),E140*(((R139+R140)/2)+SUM($T$13:T139)),IF(SUM('Offshore CF'!E151:$E$153)-SUM('Offshore CF'!J151:$J$153)&lt;&gt;0,E140*(((R139+R140)/2)+SUM($T$13:T139)),0))</f>
        <v>#N/A</v>
      </c>
      <c r="U140" s="322" t="e">
        <f t="shared" ca="1" si="14"/>
        <v>#N/A</v>
      </c>
      <c r="V140" s="319" t="e">
        <f t="shared" ca="1" si="15"/>
        <v>#N/A</v>
      </c>
      <c r="W140" s="285"/>
      <c r="X140" s="326"/>
    </row>
    <row r="141" spans="2:24">
      <c r="B141" s="309">
        <f>'Offshore CF'!B152</f>
        <v>125</v>
      </c>
      <c r="C141" s="310">
        <f>'Offshore CF'!C152</f>
        <v>47362.670800000196</v>
      </c>
      <c r="D141" s="311" t="e">
        <f ca="1">IF(R141&lt;0,E$10/100,D$10/100)</f>
        <v>#N/A</v>
      </c>
      <c r="E141" s="312">
        <f ca="1">IF(ISNUMBER(D141),((1+D141)^(1/12))-1,0)</f>
        <v>0</v>
      </c>
      <c r="F141" s="313">
        <f ca="1">IF(ISERROR('Offshore CF'!E152),0,'Offshore CF'!E152)</f>
        <v>0</v>
      </c>
      <c r="G141" s="319">
        <f ca="1">SUM($F$13:F141)</f>
        <v>0</v>
      </c>
      <c r="H141" s="322" t="e">
        <f ca="1">IF(OR(SUM('Offshore CF'!E153:$E$153)&lt;&gt;0,SUM('Offshore CF'!J153:$J$153)&lt;&gt;0),E141*(((G140+G141)/2)+I140),IF(SUM('Offshore CF'!E152:$E$153)-SUM('Offshore CF'!J152:$J$153)&lt;&gt;0,E141*(((G140+G141)/2)+I140),0))</f>
        <v>#N/A</v>
      </c>
      <c r="I141" s="322" t="e">
        <f ca="1">IF(OR(SUM('Offshore CF'!E153:$E$153)&lt;&gt;0,SUM('Offshore CF'!J153:$J$153)&lt;&gt;0),SUM($H$13:H141),IF(SUM('Offshore CF'!E$153:$E339)-SUM('Offshore CF'!J152:$J$153)&lt;&gt;0,SUM($H$13:H141),0))</f>
        <v>#N/A</v>
      </c>
      <c r="J141" s="322" t="e">
        <f ca="1">IF(OR(SUM('Offshore CF'!E153:$E$153)&lt;&gt;0,SUM('Offshore CF'!J153:$J$153)&lt;&gt;0),I141+G141,IF(SUM('Offshore CF'!E152:$E$153)-SUM('Offshore CF'!J152:$J$153)&lt;&gt;0,I141+G141,0))</f>
        <v>#N/A</v>
      </c>
      <c r="K141" s="323"/>
      <c r="L141" s="324">
        <f ca="1">IF(ISERROR('Offshore CF'!J152),0,'Offshore CF'!J152)</f>
        <v>0</v>
      </c>
      <c r="M141" s="325">
        <f ca="1">SUM($L$13:L141)</f>
        <v>1E-3</v>
      </c>
      <c r="N141" s="322" t="e">
        <f ca="1">IF(OR(SUM('Offshore CF'!E153:$E$153)&lt;&gt;0,SUM('Offshore CF'!J153:$J$153)&lt;&gt;0),E141*(((M140+M141)/2)+O140),IF(SUM('Offshore CF'!E152:$E$153)-SUM('Offshore CF'!J152:$J$153)&lt;&gt;0,E141*(((M140+M141)/2)+O140),0))</f>
        <v>#N/A</v>
      </c>
      <c r="O141" s="322" t="e">
        <f ca="1">IF(OR(SUM('Offshore CF'!E153:$E$153)&lt;&gt;0,SUM('Offshore CF'!J153:$J$153)&lt;&gt;0),SUM($N$13:N141),IF(SUM('Offshore CF'!E152:$E$153)-SUM('Offshore CF'!J152:$J$153)&lt;&gt;0,SUM($N$13:N141),0))</f>
        <v>#N/A</v>
      </c>
      <c r="P141" s="322" t="e">
        <f ca="1">IF(OR(SUM('Offshore CF'!E153:$E$153)&lt;&gt;0,SUM('Offshore CF'!J153:$J$153)&lt;&gt;0),O141+M141,IF(SUM('Offshore CF'!E152:$E$153)-SUM('Offshore CF'!J152:$J$153)&lt;&gt;0,O141+M141,0))</f>
        <v>#N/A</v>
      </c>
      <c r="R141" s="322" t="e">
        <f ca="1">IF(OR(SUM('Offshore CF'!E153:$E$153)&lt;&gt;0,SUM('Offshore CF'!J153:$J$153)&lt;&gt;0),G141-M141,IF(SUM('Offshore CF'!E152:$E$153)-SUM('Offshore CF'!J152:$J$153)&lt;&gt;0,G141-M141,0))</f>
        <v>#N/A</v>
      </c>
      <c r="S141" s="285"/>
      <c r="T141" s="322" t="e">
        <f ca="1">IF(OR(SUM('Offshore CF'!E153:$E$153)&lt;&gt;0,SUM('Offshore CF'!J153:$J$153)&lt;&gt;0),E141*(((R140+R141)/2)+SUM($T$13:T140)),IF(SUM('Offshore CF'!E152:$E$153)-SUM('Offshore CF'!J152:$J$153)&lt;&gt;0,E141*(((R140+R141)/2)+SUM($T$13:T140)),0))</f>
        <v>#N/A</v>
      </c>
      <c r="U141" s="322" t="e">
        <f ca="1">IF(T141&gt;0,T141,0)</f>
        <v>#N/A</v>
      </c>
      <c r="V141" s="319" t="e">
        <f t="shared" ca="1" si="15"/>
        <v>#N/A</v>
      </c>
      <c r="W141" s="285"/>
      <c r="X141" s="326"/>
    </row>
    <row r="142" spans="2:24">
      <c r="B142" s="309">
        <f>'Offshore CF'!B153</f>
        <v>126</v>
      </c>
      <c r="C142" s="310">
        <f>'Offshore CF'!C153</f>
        <v>47393.087500000198</v>
      </c>
      <c r="D142" s="311" t="e">
        <f ca="1">IF(R142&lt;0,E$10/100,D$10/100)</f>
        <v>#N/A</v>
      </c>
      <c r="E142" s="312">
        <f ca="1">IF(ISNUMBER(D142),((1+D142)^(1/12))-1,0)</f>
        <v>0</v>
      </c>
      <c r="F142" s="313">
        <f ca="1">IF(ISERROR('Offshore CF'!E153),0,'Offshore CF'!E153)</f>
        <v>0</v>
      </c>
      <c r="G142" s="319">
        <f ca="1">SUM($F$13:F142)</f>
        <v>0</v>
      </c>
      <c r="H142" s="322" t="e">
        <f ca="1">IF(OR(SUM('Offshore CF'!E$153:$E154)&lt;&gt;0,SUM('Offshore CF'!J$153:$J154)&lt;&gt;0),E142*(((G141+G142)/2)+I141),IF(SUM('Offshore CF'!E153:$E$153)-SUM('Offshore CF'!J153:$J$153)&lt;&gt;0,E142*(((G141+G142)/2)+I141),0))</f>
        <v>#N/A</v>
      </c>
      <c r="I142" s="322" t="e">
        <f ca="1">IF(OR(SUM('Offshore CF'!E$153:$E154)&lt;&gt;0,SUM('Offshore CF'!J$153:$J154)&lt;&gt;0),SUM($H$13:H142),IF(SUM('Offshore CF'!E$153:$E340)-SUM('Offshore CF'!J153:$J$153)&lt;&gt;0,SUM($H$13:H142),0))</f>
        <v>#N/A</v>
      </c>
      <c r="J142" s="322" t="e">
        <f ca="1">IF(OR(SUM('Offshore CF'!E$153:$E154)&lt;&gt;0,SUM('Offshore CF'!J$153:$J154)&lt;&gt;0),I142+G142,IF(SUM('Offshore CF'!E153:$E$153)-SUM('Offshore CF'!J153:$J$153)&lt;&gt;0,I142+G142,0))</f>
        <v>#N/A</v>
      </c>
      <c r="K142" s="323"/>
      <c r="L142" s="324">
        <f ca="1">IF(ISERROR('Offshore CF'!J153),0,'Offshore CF'!J153)</f>
        <v>0</v>
      </c>
      <c r="M142" s="325">
        <f ca="1">SUM($L$13:L142)</f>
        <v>1E-3</v>
      </c>
      <c r="N142" s="322" t="e">
        <f ca="1">IF(OR(SUM('Offshore CF'!E$153:$E154)&lt;&gt;0,SUM('Offshore CF'!J$153:$J154)&lt;&gt;0),E142*(((M141+M142)/2)+O141),IF(SUM('Offshore CF'!E153:$E$153)-SUM('Offshore CF'!J153:$J$153)&lt;&gt;0,E142*(((M141+M142)/2)+O141),0))</f>
        <v>#N/A</v>
      </c>
      <c r="O142" s="322" t="e">
        <f ca="1">IF(OR(SUM('Offshore CF'!E$153:$E154)&lt;&gt;0,SUM('Offshore CF'!J$153:$J154)&lt;&gt;0),SUM($N$13:N142),IF(SUM('Offshore CF'!E153:$E$153)-SUM('Offshore CF'!J153:$J$153)&lt;&gt;0,SUM($N$13:N142),0))</f>
        <v>#N/A</v>
      </c>
      <c r="P142" s="322" t="e">
        <f ca="1">IF(OR(SUM('Offshore CF'!E$153:$E154)&lt;&gt;0,SUM('Offshore CF'!J$153:$J154)&lt;&gt;0),O142+M142,IF(SUM('Offshore CF'!E153:$E$153)-SUM('Offshore CF'!J153:$J$153)&lt;&gt;0,O142+M142,0))</f>
        <v>#N/A</v>
      </c>
      <c r="R142" s="322" t="e">
        <f ca="1">IF(OR(SUM('Offshore CF'!E$153:$E154)&lt;&gt;0,SUM('Offshore CF'!J$153:$J154)&lt;&gt;0),G142-M142,IF(SUM('Offshore CF'!E153:$E$153)-SUM('Offshore CF'!J153:$J$153)&lt;&gt;0,G142-M142,0))</f>
        <v>#N/A</v>
      </c>
      <c r="S142" s="285"/>
      <c r="T142" s="322" t="e">
        <f ca="1">IF(OR(SUM('Offshore CF'!E$153:$E154)&lt;&gt;0,SUM('Offshore CF'!J$153:$J154)&lt;&gt;0),E142*(((R141+R142)/2)+SUM($T$13:T141)),IF(SUM('Offshore CF'!E153:$E$153)-SUM('Offshore CF'!J153:$J$153)&lt;&gt;0,E142*(((R141+R142)/2)+SUM($T$13:T141)),0))</f>
        <v>#N/A</v>
      </c>
      <c r="U142" s="322" t="e">
        <f ca="1">IF(T142&gt;0,T142,0)</f>
        <v>#N/A</v>
      </c>
      <c r="V142" s="319" t="e">
        <f t="shared" ca="1" si="15"/>
        <v>#N/A</v>
      </c>
      <c r="W142" s="285"/>
      <c r="X142" s="326"/>
    </row>
    <row r="143" spans="2:24">
      <c r="B143" s="330"/>
      <c r="C143" s="331"/>
      <c r="D143" s="332"/>
      <c r="E143" s="333"/>
      <c r="F143" s="334"/>
      <c r="G143" s="334"/>
      <c r="H143" s="334"/>
      <c r="I143" s="334"/>
      <c r="J143" s="334"/>
      <c r="K143" s="335"/>
      <c r="L143" s="336"/>
      <c r="M143" s="336"/>
      <c r="N143" s="336"/>
      <c r="O143" s="336"/>
      <c r="P143" s="336"/>
      <c r="R143" s="337"/>
      <c r="S143" s="285"/>
      <c r="T143" s="338"/>
      <c r="U143" s="339"/>
      <c r="V143" s="338"/>
      <c r="W143" s="320"/>
      <c r="X143" s="320"/>
    </row>
    <row r="144" spans="2:24">
      <c r="B144" s="340"/>
      <c r="C144" s="341" t="s">
        <v>118</v>
      </c>
      <c r="D144" s="342"/>
      <c r="E144" s="340"/>
      <c r="F144" s="343">
        <f ca="1">SUM(F13:F143)</f>
        <v>0</v>
      </c>
      <c r="G144" s="343"/>
      <c r="H144" s="344" t="e">
        <f ca="1">SUM(H13:H143)</f>
        <v>#N/A</v>
      </c>
      <c r="I144" s="343"/>
      <c r="J144" s="343"/>
      <c r="K144" s="345"/>
      <c r="L144" s="346">
        <f ca="1">IF(ISERROR(SUM(L13:L143)),1,SUM(L13:L143))</f>
        <v>1E-3</v>
      </c>
      <c r="M144" s="346"/>
      <c r="N144" s="347">
        <f ca="1">IF(ISERROR(SUM(N13:N143)),1,SUM(N13:N143))</f>
        <v>1</v>
      </c>
      <c r="O144" s="348"/>
      <c r="P144" s="348"/>
      <c r="R144" s="340"/>
      <c r="S144" s="285"/>
      <c r="T144" s="346">
        <f ca="1">IF(ISERROR(SUM(T13:T143)),1,SUM(T13:T143))</f>
        <v>1</v>
      </c>
      <c r="U144" s="346">
        <f ca="1">IF(ISERROR(SUM(U13:U143)),1,SUM(U13:U143))</f>
        <v>1</v>
      </c>
      <c r="V144" s="346">
        <f ca="1">IF(ISERROR(SUM(V13:V143)),1,SUM(V13:V143))</f>
        <v>1</v>
      </c>
      <c r="W144" s="320"/>
      <c r="X144" s="320"/>
    </row>
    <row r="145" spans="11:21">
      <c r="K145" s="345"/>
      <c r="P145" s="285"/>
      <c r="Q145" s="285"/>
      <c r="R145" s="349" t="e">
        <f ca="1">H144-N144</f>
        <v>#N/A</v>
      </c>
      <c r="S145" s="350"/>
      <c r="T145" s="349">
        <f ca="1">U144-V144</f>
        <v>0</v>
      </c>
      <c r="U145" s="285"/>
    </row>
    <row r="146" spans="11:21">
      <c r="P146" s="2722" t="s">
        <v>224</v>
      </c>
      <c r="Q146" s="2722"/>
      <c r="R146" s="2722"/>
      <c r="S146" s="2722"/>
      <c r="T146" s="2722"/>
      <c r="U146" s="2722"/>
    </row>
  </sheetData>
  <mergeCells count="6">
    <mergeCell ref="P146:U146"/>
    <mergeCell ref="B1:D1"/>
    <mergeCell ref="F11:J11"/>
    <mergeCell ref="B2:D2"/>
    <mergeCell ref="B3:D3"/>
    <mergeCell ref="B4:D4"/>
  </mergeCells>
  <phoneticPr fontId="10" type="noConversion"/>
  <hyperlinks>
    <hyperlink ref="B9" r:id="rId1" xr:uid="{00000000-0004-0000-1100-000000000000}"/>
  </hyperlinks>
  <pageMargins left="0.75" right="0.19" top="0.66" bottom="0.72" header="0.43" footer="0.39"/>
  <pageSetup scale="70" orientation="portrait" r:id="rId2"/>
  <headerFooter alignWithMargins="0">
    <oddHeader>&amp;C&amp;"Arial,Bold"&amp;12Interest Income/Expense Calculation Sheet</oddHeader>
    <oddFooter>&amp;L&amp;F  &amp;A
&amp;D  &amp;T&amp;CDollars by Thousands unless otherwise noted&amp;RFelix Rev. 9 dated 3/14/05
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0">
    <pageSetUpPr fitToPage="1"/>
  </sheetPr>
  <dimension ref="B2:P144"/>
  <sheetViews>
    <sheetView showGridLines="0" topLeftCell="A73" zoomScale="85" workbookViewId="0">
      <selection activeCell="G80" sqref="G80"/>
    </sheetView>
  </sheetViews>
  <sheetFormatPr defaultRowHeight="12.75" outlineLevelRow="1" outlineLevelCol="1"/>
  <cols>
    <col min="1" max="1" width="0.7109375" style="174" customWidth="1"/>
    <col min="2" max="2" width="11" style="174" customWidth="1"/>
    <col min="3" max="3" width="19.28515625" style="174" customWidth="1"/>
    <col min="4" max="4" width="10.7109375" style="174" bestFit="1" customWidth="1"/>
    <col min="5" max="5" width="15.42578125" style="174" bestFit="1" customWidth="1"/>
    <col min="6" max="6" width="11.28515625" style="174" customWidth="1"/>
    <col min="7" max="7" width="10" style="174" customWidth="1" outlineLevel="1"/>
    <col min="8" max="8" width="12.5703125" style="174" customWidth="1" outlineLevel="1"/>
    <col min="9" max="9" width="11" style="174" customWidth="1" outlineLevel="1"/>
    <col min="10" max="10" width="19.28515625" style="174" customWidth="1" outlineLevel="1"/>
    <col min="11" max="12" width="17.5703125" style="174" customWidth="1" outlineLevel="1"/>
    <col min="13" max="13" width="20.7109375" style="174" customWidth="1" outlineLevel="1"/>
    <col min="14" max="14" width="19.28515625" style="174" customWidth="1"/>
    <col min="15" max="15" width="17.5703125" style="174" customWidth="1"/>
    <col min="16" max="16" width="19" style="174" bestFit="1" customWidth="1"/>
    <col min="17" max="16384" width="9.140625" style="174"/>
  </cols>
  <sheetData>
    <row r="2" spans="2:14">
      <c r="B2" s="174" t="s">
        <v>293</v>
      </c>
      <c r="C2" s="376">
        <f>'Estimate Summary'!D6</f>
        <v>0</v>
      </c>
      <c r="D2" s="375" t="s">
        <v>56</v>
      </c>
      <c r="E2" s="368" t="s">
        <v>212</v>
      </c>
      <c r="F2" s="901">
        <f>'Estimate Summary'!D8</f>
        <v>0</v>
      </c>
    </row>
    <row r="3" spans="2:14">
      <c r="B3" s="174" t="s">
        <v>294</v>
      </c>
      <c r="C3" s="367">
        <f>'Estimate Summary'!D7</f>
        <v>0</v>
      </c>
      <c r="D3" s="375" t="s">
        <v>57</v>
      </c>
      <c r="E3" s="368" t="s">
        <v>213</v>
      </c>
      <c r="F3" s="901">
        <f>'Estimate Summary'!D9</f>
        <v>1</v>
      </c>
    </row>
    <row r="4" spans="2:14">
      <c r="B4" s="369" t="s">
        <v>295</v>
      </c>
      <c r="C4" s="937">
        <f>'Estimate Summary'!AT8</f>
        <v>0</v>
      </c>
      <c r="D4" s="375" t="s">
        <v>58</v>
      </c>
    </row>
    <row r="6" spans="2:14">
      <c r="B6" s="364" t="s">
        <v>296</v>
      </c>
      <c r="E6" s="362" t="s">
        <v>297</v>
      </c>
      <c r="F6" s="362" t="s">
        <v>162</v>
      </c>
      <c r="G6" s="362" t="s">
        <v>10</v>
      </c>
      <c r="H6" s="362" t="s">
        <v>11</v>
      </c>
      <c r="I6" s="362" t="s">
        <v>12</v>
      </c>
      <c r="J6" s="362" t="s">
        <v>13</v>
      </c>
      <c r="K6" s="362" t="s">
        <v>183</v>
      </c>
      <c r="L6" s="362" t="s">
        <v>2</v>
      </c>
      <c r="M6" s="362" t="s">
        <v>81</v>
      </c>
      <c r="N6" s="364" t="s">
        <v>298</v>
      </c>
    </row>
    <row r="7" spans="2:14" hidden="1" outlineLevel="1">
      <c r="C7" s="174" t="s">
        <v>299</v>
      </c>
      <c r="D7" s="175" t="s">
        <v>127</v>
      </c>
      <c r="F7" s="377">
        <f t="shared" ref="F7:F21" si="0">SUM(G7:L7)</f>
        <v>0</v>
      </c>
      <c r="G7" s="363"/>
      <c r="H7" s="363"/>
      <c r="I7" s="363"/>
      <c r="J7" s="363"/>
      <c r="K7" s="363"/>
      <c r="L7" s="363"/>
      <c r="M7" s="363"/>
      <c r="N7" s="365"/>
    </row>
    <row r="8" spans="2:14" hidden="1" outlineLevel="1">
      <c r="D8" s="175" t="s">
        <v>128</v>
      </c>
      <c r="F8" s="377">
        <f t="shared" si="0"/>
        <v>0</v>
      </c>
      <c r="G8" s="363"/>
      <c r="H8" s="363"/>
      <c r="I8" s="363"/>
      <c r="J8" s="363"/>
      <c r="K8" s="363"/>
      <c r="L8" s="363"/>
      <c r="M8" s="363"/>
      <c r="N8" s="365"/>
    </row>
    <row r="9" spans="2:14" hidden="1" outlineLevel="1">
      <c r="D9" s="175" t="s">
        <v>129</v>
      </c>
      <c r="F9" s="377">
        <f t="shared" si="0"/>
        <v>0</v>
      </c>
      <c r="G9" s="363"/>
      <c r="H9" s="363"/>
      <c r="I9" s="363"/>
      <c r="J9" s="363"/>
      <c r="K9" s="363"/>
      <c r="L9" s="363"/>
      <c r="M9" s="363"/>
      <c r="N9" s="365"/>
    </row>
    <row r="10" spans="2:14" hidden="1" outlineLevel="1">
      <c r="C10" s="174" t="s">
        <v>258</v>
      </c>
      <c r="D10" s="175" t="s">
        <v>127</v>
      </c>
      <c r="F10" s="377">
        <f t="shared" si="0"/>
        <v>0</v>
      </c>
      <c r="G10" s="363"/>
      <c r="H10" s="363"/>
      <c r="I10" s="363"/>
      <c r="J10" s="363"/>
      <c r="K10" s="363"/>
      <c r="L10" s="363"/>
      <c r="M10" s="363"/>
      <c r="N10" s="365"/>
    </row>
    <row r="11" spans="2:14" hidden="1" outlineLevel="1">
      <c r="D11" s="175" t="s">
        <v>128</v>
      </c>
      <c r="F11" s="377">
        <f t="shared" si="0"/>
        <v>0</v>
      </c>
      <c r="G11" s="363"/>
      <c r="H11" s="363"/>
      <c r="I11" s="363"/>
      <c r="J11" s="363"/>
      <c r="K11" s="363"/>
      <c r="L11" s="363"/>
      <c r="M11" s="363"/>
      <c r="N11" s="365"/>
    </row>
    <row r="12" spans="2:14" hidden="1" outlineLevel="1">
      <c r="D12" s="175" t="s">
        <v>129</v>
      </c>
      <c r="F12" s="377">
        <f t="shared" si="0"/>
        <v>0</v>
      </c>
      <c r="G12" s="363"/>
      <c r="H12" s="363"/>
      <c r="I12" s="363"/>
      <c r="J12" s="363"/>
      <c r="K12" s="363"/>
      <c r="L12" s="363"/>
      <c r="M12" s="363"/>
      <c r="N12" s="365"/>
    </row>
    <row r="13" spans="2:14" hidden="1" outlineLevel="1">
      <c r="C13" s="174" t="s">
        <v>37</v>
      </c>
      <c r="D13" s="175" t="s">
        <v>127</v>
      </c>
      <c r="F13" s="377">
        <f t="shared" si="0"/>
        <v>0</v>
      </c>
      <c r="G13" s="363"/>
      <c r="H13" s="363"/>
      <c r="I13" s="363"/>
      <c r="J13" s="363"/>
      <c r="K13" s="363"/>
      <c r="L13" s="363"/>
      <c r="M13" s="363"/>
      <c r="N13" s="365"/>
    </row>
    <row r="14" spans="2:14" hidden="1" outlineLevel="1">
      <c r="D14" s="175" t="s">
        <v>128</v>
      </c>
      <c r="F14" s="377">
        <f t="shared" si="0"/>
        <v>0</v>
      </c>
      <c r="G14" s="363"/>
      <c r="H14" s="363"/>
      <c r="I14" s="363"/>
      <c r="J14" s="363"/>
      <c r="K14" s="363"/>
      <c r="L14" s="363"/>
      <c r="M14" s="363"/>
      <c r="N14" s="365"/>
    </row>
    <row r="15" spans="2:14" hidden="1" outlineLevel="1">
      <c r="D15" s="175" t="s">
        <v>129</v>
      </c>
      <c r="F15" s="377">
        <f t="shared" si="0"/>
        <v>0</v>
      </c>
      <c r="G15" s="363"/>
      <c r="H15" s="363"/>
      <c r="I15" s="363"/>
      <c r="J15" s="363"/>
      <c r="K15" s="363"/>
      <c r="L15" s="363"/>
      <c r="M15" s="363"/>
      <c r="N15" s="365"/>
    </row>
    <row r="16" spans="2:14" hidden="1" outlineLevel="1">
      <c r="C16" s="284" t="s">
        <v>59</v>
      </c>
      <c r="D16" s="175" t="s">
        <v>127</v>
      </c>
      <c r="F16" s="377">
        <f t="shared" si="0"/>
        <v>0</v>
      </c>
      <c r="G16" s="363"/>
      <c r="H16" s="363"/>
      <c r="I16" s="363"/>
      <c r="J16" s="363"/>
      <c r="K16" s="363"/>
      <c r="L16" s="363"/>
      <c r="M16" s="363"/>
      <c r="N16" s="365"/>
    </row>
    <row r="17" spans="3:14" hidden="1" outlineLevel="1">
      <c r="D17" s="175" t="s">
        <v>128</v>
      </c>
      <c r="F17" s="377">
        <f t="shared" si="0"/>
        <v>0</v>
      </c>
      <c r="G17" s="363"/>
      <c r="H17" s="363"/>
      <c r="I17" s="363"/>
      <c r="J17" s="363"/>
      <c r="K17" s="363"/>
      <c r="L17" s="363"/>
      <c r="M17" s="363"/>
      <c r="N17" s="365"/>
    </row>
    <row r="18" spans="3:14" hidden="1" outlineLevel="1">
      <c r="D18" s="175" t="s">
        <v>129</v>
      </c>
      <c r="F18" s="377">
        <f t="shared" si="0"/>
        <v>0</v>
      </c>
      <c r="G18" s="363"/>
      <c r="H18" s="363"/>
      <c r="I18" s="363"/>
      <c r="J18" s="363"/>
      <c r="K18" s="363"/>
      <c r="L18" s="363"/>
      <c r="M18" s="363"/>
      <c r="N18" s="365"/>
    </row>
    <row r="19" spans="3:14" hidden="1" outlineLevel="1">
      <c r="C19" s="174" t="s">
        <v>38</v>
      </c>
      <c r="D19" s="175" t="s">
        <v>127</v>
      </c>
      <c r="F19" s="377">
        <f t="shared" si="0"/>
        <v>0</v>
      </c>
      <c r="G19" s="363"/>
      <c r="H19" s="363"/>
      <c r="I19" s="363"/>
      <c r="J19" s="363"/>
      <c r="K19" s="363"/>
      <c r="L19" s="363"/>
      <c r="M19" s="363"/>
      <c r="N19" s="365"/>
    </row>
    <row r="20" spans="3:14" hidden="1" outlineLevel="1">
      <c r="D20" s="175" t="s">
        <v>128</v>
      </c>
      <c r="F20" s="377">
        <f t="shared" si="0"/>
        <v>0</v>
      </c>
      <c r="G20" s="363"/>
      <c r="H20" s="363"/>
      <c r="I20" s="363"/>
      <c r="J20" s="363"/>
      <c r="K20" s="363"/>
      <c r="L20" s="363"/>
      <c r="M20" s="363"/>
      <c r="N20" s="365"/>
    </row>
    <row r="21" spans="3:14" hidden="1" outlineLevel="1">
      <c r="D21" s="175" t="s">
        <v>129</v>
      </c>
      <c r="F21" s="377">
        <f t="shared" si="0"/>
        <v>0</v>
      </c>
      <c r="G21" s="363"/>
      <c r="H21" s="363"/>
      <c r="I21" s="363"/>
      <c r="J21" s="363"/>
      <c r="K21" s="363"/>
      <c r="L21" s="363"/>
      <c r="M21" s="363"/>
      <c r="N21" s="365"/>
    </row>
    <row r="22" spans="3:14" collapsed="1">
      <c r="C22" s="174" t="s">
        <v>39</v>
      </c>
      <c r="D22" s="175" t="s">
        <v>127</v>
      </c>
      <c r="F22" s="377" t="e">
        <f>SUM(G22:M22)</f>
        <v>#REF!</v>
      </c>
      <c r="G22" s="377" t="e">
        <f>'Estimate Summary'!#REF!</f>
        <v>#REF!</v>
      </c>
      <c r="H22" s="377">
        <f>IF('Estimate Summary'!$D$9&lt;2,0,$G22)</f>
        <v>0</v>
      </c>
      <c r="I22" s="377">
        <f>IF('Estimate Summary'!$D$9&lt;3,0,$G22)</f>
        <v>0</v>
      </c>
      <c r="J22" s="377">
        <f>IF('Estimate Summary'!$D$9&lt;4,0,$G22)</f>
        <v>0</v>
      </c>
      <c r="K22" s="377">
        <f>IF('Estimate Summary'!$D$9&lt;5,0,$G22)</f>
        <v>0</v>
      </c>
      <c r="L22" s="377">
        <f>IF('Estimate Summary'!$D$9&lt;6,0,$G22)</f>
        <v>0</v>
      </c>
      <c r="M22" s="377">
        <f>IF('Estimate Summary'!$D$9&lt;7,0,$G22)</f>
        <v>0</v>
      </c>
      <c r="N22" s="365"/>
    </row>
    <row r="23" spans="3:14">
      <c r="D23" s="175" t="s">
        <v>128</v>
      </c>
      <c r="F23" s="377">
        <f t="shared" ref="F23:F82" si="1">SUM(G23:M23)</f>
        <v>0</v>
      </c>
      <c r="G23" s="377">
        <f>SUMIF('Estimate Detail'!$V$190:$V$190,D23,'Estimate Detail'!$H$190:$H$190)</f>
        <v>0</v>
      </c>
      <c r="H23" s="377">
        <f>IF('Estimate Summary'!$D$9&lt;2,0,$G23)</f>
        <v>0</v>
      </c>
      <c r="I23" s="377">
        <f>IF('Estimate Summary'!$D$9&lt;3,0,$G23)</f>
        <v>0</v>
      </c>
      <c r="J23" s="377">
        <f>IF('Estimate Summary'!$D$9&lt;4,0,$G23)</f>
        <v>0</v>
      </c>
      <c r="K23" s="377">
        <f>IF('Estimate Summary'!$D$9&lt;5,0,$G23)</f>
        <v>0</v>
      </c>
      <c r="L23" s="377">
        <f>IF('Estimate Summary'!$D$9&lt;6,0,$G23)</f>
        <v>0</v>
      </c>
      <c r="M23" s="377">
        <f>IF('Estimate Summary'!$D$9&lt;7,0,$G23)</f>
        <v>0</v>
      </c>
      <c r="N23" s="365"/>
    </row>
    <row r="24" spans="3:14">
      <c r="D24" s="175" t="s">
        <v>129</v>
      </c>
      <c r="F24" s="377">
        <f t="shared" si="1"/>
        <v>0</v>
      </c>
      <c r="G24" s="377">
        <f>SUMIF('Estimate Detail'!$V$190:$V$190,D24,'Estimate Detail'!$H$190:$H$190)</f>
        <v>0</v>
      </c>
      <c r="H24" s="377">
        <f>IF('Estimate Summary'!$D$9&lt;2,0,$G24)</f>
        <v>0</v>
      </c>
      <c r="I24" s="377">
        <f>IF('Estimate Summary'!$D$9&lt;3,0,$G24)</f>
        <v>0</v>
      </c>
      <c r="J24" s="377">
        <f>IF('Estimate Summary'!$D$9&lt;4,0,$G24)</f>
        <v>0</v>
      </c>
      <c r="K24" s="377">
        <f>IF('Estimate Summary'!$D$9&lt;5,0,$G24)</f>
        <v>0</v>
      </c>
      <c r="L24" s="377">
        <f>IF('Estimate Summary'!$D$9&lt;6,0,$G24)</f>
        <v>0</v>
      </c>
      <c r="M24" s="377">
        <f>IF('Estimate Summary'!$D$9&lt;7,0,$G24)</f>
        <v>0</v>
      </c>
      <c r="N24" s="365"/>
    </row>
    <row r="25" spans="3:14" hidden="1" outlineLevel="1">
      <c r="C25" s="174" t="s">
        <v>40</v>
      </c>
      <c r="D25" s="175" t="s">
        <v>127</v>
      </c>
      <c r="F25" s="377">
        <f t="shared" si="1"/>
        <v>0</v>
      </c>
      <c r="G25" s="377"/>
      <c r="H25" s="377">
        <f>IF('Estimate Summary'!$D$9&lt;2,0,$G25)</f>
        <v>0</v>
      </c>
      <c r="I25" s="377">
        <f>IF('Estimate Summary'!$D$9&lt;3,0,$G25)</f>
        <v>0</v>
      </c>
      <c r="J25" s="377">
        <f>IF('Estimate Summary'!$D$9&lt;4,0,$G25)</f>
        <v>0</v>
      </c>
      <c r="K25" s="377">
        <f>IF('Estimate Summary'!$D$9&lt;5,0,$G25)</f>
        <v>0</v>
      </c>
      <c r="L25" s="377">
        <f>IF('Estimate Summary'!$D$9&lt;6,0,$G25)</f>
        <v>0</v>
      </c>
      <c r="M25" s="377">
        <f>IF('Estimate Summary'!$D$9&lt;7,0,$G25)</f>
        <v>0</v>
      </c>
      <c r="N25" s="365"/>
    </row>
    <row r="26" spans="3:14" hidden="1" outlineLevel="1">
      <c r="D26" s="175" t="s">
        <v>128</v>
      </c>
      <c r="F26" s="377">
        <f t="shared" si="1"/>
        <v>0</v>
      </c>
      <c r="G26" s="377"/>
      <c r="H26" s="377">
        <f>IF('Estimate Summary'!$D$9&lt;2,0,$G26)</f>
        <v>0</v>
      </c>
      <c r="I26" s="377">
        <f>IF('Estimate Summary'!$D$9&lt;3,0,$G26)</f>
        <v>0</v>
      </c>
      <c r="J26" s="377">
        <f>IF('Estimate Summary'!$D$9&lt;4,0,$G26)</f>
        <v>0</v>
      </c>
      <c r="K26" s="377">
        <f>IF('Estimate Summary'!$D$9&lt;5,0,$G26)</f>
        <v>0</v>
      </c>
      <c r="L26" s="377">
        <f>IF('Estimate Summary'!$D$9&lt;6,0,$G26)</f>
        <v>0</v>
      </c>
      <c r="M26" s="377">
        <f>IF('Estimate Summary'!$D$9&lt;7,0,$G26)</f>
        <v>0</v>
      </c>
      <c r="N26" s="365"/>
    </row>
    <row r="27" spans="3:14" hidden="1" outlineLevel="1">
      <c r="D27" s="175" t="s">
        <v>129</v>
      </c>
      <c r="F27" s="377">
        <f t="shared" si="1"/>
        <v>0</v>
      </c>
      <c r="G27" s="377"/>
      <c r="H27" s="377">
        <f>IF('Estimate Summary'!$D$9&lt;2,0,$G27)</f>
        <v>0</v>
      </c>
      <c r="I27" s="377">
        <f>IF('Estimate Summary'!$D$9&lt;3,0,$G27)</f>
        <v>0</v>
      </c>
      <c r="J27" s="377">
        <f>IF('Estimate Summary'!$D$9&lt;4,0,$G27)</f>
        <v>0</v>
      </c>
      <c r="K27" s="377">
        <f>IF('Estimate Summary'!$D$9&lt;5,0,$G27)</f>
        <v>0</v>
      </c>
      <c r="L27" s="377">
        <f>IF('Estimate Summary'!$D$9&lt;6,0,$G27)</f>
        <v>0</v>
      </c>
      <c r="M27" s="377">
        <f>IF('Estimate Summary'!$D$9&lt;7,0,$G27)</f>
        <v>0</v>
      </c>
      <c r="N27" s="365"/>
    </row>
    <row r="28" spans="3:14" hidden="1" outlineLevel="1">
      <c r="C28" s="174" t="s">
        <v>41</v>
      </c>
      <c r="D28" s="175" t="s">
        <v>127</v>
      </c>
      <c r="F28" s="377">
        <f t="shared" si="1"/>
        <v>0</v>
      </c>
      <c r="G28" s="377"/>
      <c r="H28" s="377">
        <f>IF('Estimate Summary'!$D$9&lt;2,0,$G28)</f>
        <v>0</v>
      </c>
      <c r="I28" s="377">
        <f>IF('Estimate Summary'!$D$9&lt;3,0,$G28)</f>
        <v>0</v>
      </c>
      <c r="J28" s="377">
        <f>IF('Estimate Summary'!$D$9&lt;4,0,$G28)</f>
        <v>0</v>
      </c>
      <c r="K28" s="377">
        <f>IF('Estimate Summary'!$D$9&lt;5,0,$G28)</f>
        <v>0</v>
      </c>
      <c r="L28" s="377">
        <f>IF('Estimate Summary'!$D$9&lt;6,0,$G28)</f>
        <v>0</v>
      </c>
      <c r="M28" s="377">
        <f>IF('Estimate Summary'!$D$9&lt;7,0,$G28)</f>
        <v>0</v>
      </c>
      <c r="N28" s="365"/>
    </row>
    <row r="29" spans="3:14" hidden="1" outlineLevel="1">
      <c r="D29" s="175" t="s">
        <v>128</v>
      </c>
      <c r="F29" s="377">
        <f t="shared" si="1"/>
        <v>0</v>
      </c>
      <c r="G29" s="377"/>
      <c r="H29" s="377">
        <f>IF('Estimate Summary'!$D$9&lt;2,0,$G29)</f>
        <v>0</v>
      </c>
      <c r="I29" s="377">
        <f>IF('Estimate Summary'!$D$9&lt;3,0,$G29)</f>
        <v>0</v>
      </c>
      <c r="J29" s="377">
        <f>IF('Estimate Summary'!$D$9&lt;4,0,$G29)</f>
        <v>0</v>
      </c>
      <c r="K29" s="377">
        <f>IF('Estimate Summary'!$D$9&lt;5,0,$G29)</f>
        <v>0</v>
      </c>
      <c r="L29" s="377">
        <f>IF('Estimate Summary'!$D$9&lt;6,0,$G29)</f>
        <v>0</v>
      </c>
      <c r="M29" s="377">
        <f>IF('Estimate Summary'!$D$9&lt;7,0,$G29)</f>
        <v>0</v>
      </c>
      <c r="N29" s="365"/>
    </row>
    <row r="30" spans="3:14" hidden="1" outlineLevel="1">
      <c r="D30" s="175" t="s">
        <v>129</v>
      </c>
      <c r="F30" s="377">
        <f t="shared" si="1"/>
        <v>0</v>
      </c>
      <c r="G30" s="377"/>
      <c r="H30" s="377">
        <f>IF('Estimate Summary'!$D$9&lt;2,0,$G30)</f>
        <v>0</v>
      </c>
      <c r="I30" s="377">
        <f>IF('Estimate Summary'!$D$9&lt;3,0,$G30)</f>
        <v>0</v>
      </c>
      <c r="J30" s="377">
        <f>IF('Estimate Summary'!$D$9&lt;4,0,$G30)</f>
        <v>0</v>
      </c>
      <c r="K30" s="377">
        <f>IF('Estimate Summary'!$D$9&lt;5,0,$G30)</f>
        <v>0</v>
      </c>
      <c r="L30" s="377">
        <f>IF('Estimate Summary'!$D$9&lt;6,0,$G30)</f>
        <v>0</v>
      </c>
      <c r="M30" s="377">
        <f>IF('Estimate Summary'!$D$9&lt;7,0,$G30)</f>
        <v>0</v>
      </c>
      <c r="N30" s="365"/>
    </row>
    <row r="31" spans="3:14" hidden="1" outlineLevel="1">
      <c r="C31" s="174" t="s">
        <v>42</v>
      </c>
      <c r="D31" s="175" t="s">
        <v>127</v>
      </c>
      <c r="F31" s="377">
        <f t="shared" si="1"/>
        <v>0</v>
      </c>
      <c r="G31" s="377"/>
      <c r="H31" s="377">
        <f>IF('Estimate Summary'!$D$9&lt;2,0,$G31)</f>
        <v>0</v>
      </c>
      <c r="I31" s="377">
        <f>IF('Estimate Summary'!$D$9&lt;3,0,$G31)</f>
        <v>0</v>
      </c>
      <c r="J31" s="377">
        <f>IF('Estimate Summary'!$D$9&lt;4,0,$G31)</f>
        <v>0</v>
      </c>
      <c r="K31" s="377">
        <f>IF('Estimate Summary'!$D$9&lt;5,0,$G31)</f>
        <v>0</v>
      </c>
      <c r="L31" s="377">
        <f>IF('Estimate Summary'!$D$9&lt;6,0,$G31)</f>
        <v>0</v>
      </c>
      <c r="M31" s="377">
        <f>IF('Estimate Summary'!$D$9&lt;7,0,$G31)</f>
        <v>0</v>
      </c>
      <c r="N31" s="365"/>
    </row>
    <row r="32" spans="3:14" hidden="1" outlineLevel="1">
      <c r="D32" s="175" t="s">
        <v>128</v>
      </c>
      <c r="F32" s="377">
        <f t="shared" si="1"/>
        <v>0</v>
      </c>
      <c r="G32" s="377"/>
      <c r="H32" s="377">
        <f>IF('Estimate Summary'!$D$9&lt;2,0,$G32)</f>
        <v>0</v>
      </c>
      <c r="I32" s="377">
        <f>IF('Estimate Summary'!$D$9&lt;3,0,$G32)</f>
        <v>0</v>
      </c>
      <c r="J32" s="377">
        <f>IF('Estimate Summary'!$D$9&lt;4,0,$G32)</f>
        <v>0</v>
      </c>
      <c r="K32" s="377">
        <f>IF('Estimate Summary'!$D$9&lt;5,0,$G32)</f>
        <v>0</v>
      </c>
      <c r="L32" s="377">
        <f>IF('Estimate Summary'!$D$9&lt;6,0,$G32)</f>
        <v>0</v>
      </c>
      <c r="M32" s="377">
        <f>IF('Estimate Summary'!$D$9&lt;7,0,$G32)</f>
        <v>0</v>
      </c>
      <c r="N32" s="365"/>
    </row>
    <row r="33" spans="2:14" hidden="1" outlineLevel="1">
      <c r="D33" s="175" t="s">
        <v>129</v>
      </c>
      <c r="F33" s="377">
        <f t="shared" si="1"/>
        <v>0</v>
      </c>
      <c r="G33" s="377"/>
      <c r="H33" s="377">
        <f>IF('Estimate Summary'!$D$9&lt;2,0,$G33)</f>
        <v>0</v>
      </c>
      <c r="I33" s="377">
        <f>IF('Estimate Summary'!$D$9&lt;3,0,$G33)</f>
        <v>0</v>
      </c>
      <c r="J33" s="377">
        <f>IF('Estimate Summary'!$D$9&lt;4,0,$G33)</f>
        <v>0</v>
      </c>
      <c r="K33" s="377">
        <f>IF('Estimate Summary'!$D$9&lt;5,0,$G33)</f>
        <v>0</v>
      </c>
      <c r="L33" s="377">
        <f>IF('Estimate Summary'!$D$9&lt;6,0,$G33)</f>
        <v>0</v>
      </c>
      <c r="M33" s="377">
        <f>IF('Estimate Summary'!$D$9&lt;7,0,$G33)</f>
        <v>0</v>
      </c>
      <c r="N33" s="365"/>
    </row>
    <row r="34" spans="2:14" collapsed="1">
      <c r="B34" s="364" t="s">
        <v>43</v>
      </c>
      <c r="F34" s="377" t="e">
        <f t="shared" si="1"/>
        <v>#REF!</v>
      </c>
      <c r="G34" s="377" t="e">
        <f>SUM(G7:G33)</f>
        <v>#REF!</v>
      </c>
      <c r="H34" s="377">
        <f t="shared" ref="H34:M34" si="2">SUM(H7:H33)</f>
        <v>0</v>
      </c>
      <c r="I34" s="377">
        <f t="shared" si="2"/>
        <v>0</v>
      </c>
      <c r="J34" s="377">
        <f t="shared" si="2"/>
        <v>0</v>
      </c>
      <c r="K34" s="377">
        <f t="shared" si="2"/>
        <v>0</v>
      </c>
      <c r="L34" s="377">
        <f t="shared" si="2"/>
        <v>0</v>
      </c>
      <c r="M34" s="377">
        <f t="shared" si="2"/>
        <v>0</v>
      </c>
      <c r="N34" s="365"/>
    </row>
    <row r="35" spans="2:14">
      <c r="F35" s="374">
        <f t="shared" si="1"/>
        <v>0</v>
      </c>
      <c r="G35" s="374"/>
      <c r="H35" s="374"/>
      <c r="I35" s="374"/>
      <c r="J35" s="374"/>
      <c r="K35" s="377"/>
      <c r="L35" s="377"/>
      <c r="M35" s="377"/>
    </row>
    <row r="36" spans="2:14">
      <c r="B36" s="364" t="s">
        <v>333</v>
      </c>
      <c r="F36" s="374">
        <f t="shared" si="1"/>
        <v>0</v>
      </c>
      <c r="G36" s="374"/>
      <c r="H36" s="374"/>
      <c r="I36" s="374"/>
      <c r="J36" s="374"/>
      <c r="K36" s="377"/>
      <c r="L36" s="377"/>
      <c r="M36" s="377"/>
    </row>
    <row r="37" spans="2:14">
      <c r="C37" s="284" t="s">
        <v>261</v>
      </c>
      <c r="D37" s="175" t="s">
        <v>127</v>
      </c>
      <c r="F37" s="377" t="e">
        <f t="shared" si="1"/>
        <v>#N/A</v>
      </c>
      <c r="G37" s="377" t="e">
        <f>G117</f>
        <v>#N/A</v>
      </c>
      <c r="H37" s="377">
        <f>IF('Estimate Summary'!$D$9&lt;2,0,$G37)</f>
        <v>0</v>
      </c>
      <c r="I37" s="377">
        <f>IF('Estimate Summary'!$D$9&lt;3,0,$G37)</f>
        <v>0</v>
      </c>
      <c r="J37" s="377">
        <f>IF('Estimate Summary'!$D$9&lt;4,0,$G37)</f>
        <v>0</v>
      </c>
      <c r="K37" s="377">
        <f>IF('Estimate Summary'!$D$9&lt;5,0,$G37)</f>
        <v>0</v>
      </c>
      <c r="L37" s="377">
        <f>IF('Estimate Summary'!$D$9&lt;6,0,$G37)</f>
        <v>0</v>
      </c>
      <c r="M37" s="377">
        <f>IF('Estimate Summary'!$D$9&lt;7,0,$G37)</f>
        <v>0</v>
      </c>
      <c r="N37" s="365"/>
    </row>
    <row r="38" spans="2:14">
      <c r="D38" s="175" t="s">
        <v>128</v>
      </c>
      <c r="F38" s="377">
        <f t="shared" si="1"/>
        <v>0</v>
      </c>
      <c r="G38" s="377">
        <f>G118</f>
        <v>0</v>
      </c>
      <c r="H38" s="377">
        <f>IF('Estimate Summary'!$D$9&lt;2,0,$G38)</f>
        <v>0</v>
      </c>
      <c r="I38" s="377">
        <f>IF('Estimate Summary'!$D$9&lt;3,0,$G38)</f>
        <v>0</v>
      </c>
      <c r="J38" s="377">
        <f>IF('Estimate Summary'!$D$9&lt;4,0,$G38)</f>
        <v>0</v>
      </c>
      <c r="K38" s="377">
        <f>IF('Estimate Summary'!$D$9&lt;5,0,$G38)</f>
        <v>0</v>
      </c>
      <c r="L38" s="377">
        <f>IF('Estimate Summary'!$D$9&lt;6,0,$G38)</f>
        <v>0</v>
      </c>
      <c r="M38" s="377">
        <f>IF('Estimate Summary'!$D$9&lt;7,0,$G38)</f>
        <v>0</v>
      </c>
      <c r="N38" s="365"/>
    </row>
    <row r="39" spans="2:14">
      <c r="D39" s="175" t="s">
        <v>129</v>
      </c>
      <c r="F39" s="377">
        <f>SUM(G39:M39)</f>
        <v>833.81992676923062</v>
      </c>
      <c r="G39" s="377">
        <f>G119</f>
        <v>833.81992676923062</v>
      </c>
      <c r="H39" s="377">
        <f>IF('Estimate Summary'!$D$9&lt;2,0,$G39)</f>
        <v>0</v>
      </c>
      <c r="I39" s="377">
        <f>IF('Estimate Summary'!$D$9&lt;3,0,$G39)</f>
        <v>0</v>
      </c>
      <c r="J39" s="377">
        <f>IF('Estimate Summary'!$D$9&lt;4,0,$G39)</f>
        <v>0</v>
      </c>
      <c r="K39" s="377">
        <f>IF('Estimate Summary'!$D$9&lt;5,0,$G39)</f>
        <v>0</v>
      </c>
      <c r="L39" s="377">
        <f>IF('Estimate Summary'!$D$9&lt;6,0,$G39)</f>
        <v>0</v>
      </c>
      <c r="M39" s="377">
        <f>IF('Estimate Summary'!$D$9&lt;7,0,$G39)</f>
        <v>0</v>
      </c>
      <c r="N39" s="365"/>
    </row>
    <row r="40" spans="2:14">
      <c r="D40" s="175"/>
      <c r="F40" s="379"/>
      <c r="G40" s="379"/>
      <c r="H40" s="377">
        <f>IF('Estimate Summary'!$D$9&lt;2,0,$G40)</f>
        <v>0</v>
      </c>
      <c r="I40" s="377">
        <f>IF('Estimate Summary'!$D$9&lt;3,0,$G40)</f>
        <v>0</v>
      </c>
      <c r="J40" s="377">
        <f>IF('Estimate Summary'!$D$9&lt;4,0,$G40)</f>
        <v>0</v>
      </c>
      <c r="K40" s="377">
        <f>IF('Estimate Summary'!$D$9&lt;5,0,$G40)</f>
        <v>0</v>
      </c>
      <c r="L40" s="377">
        <f>IF('Estimate Summary'!$D$9&lt;6,0,$G40)</f>
        <v>0</v>
      </c>
      <c r="M40" s="377">
        <f>IF('Estimate Summary'!$D$9&lt;7,0,$G40)</f>
        <v>0</v>
      </c>
      <c r="N40" s="365"/>
    </row>
    <row r="41" spans="2:14">
      <c r="C41" s="174" t="s">
        <v>258</v>
      </c>
      <c r="D41" s="175" t="s">
        <v>127</v>
      </c>
      <c r="F41" s="377">
        <f t="shared" si="1"/>
        <v>0</v>
      </c>
      <c r="G41" s="377">
        <f>SUMIF('Estimate Detail'!$S$78:$S$90,D41,'Estimate Detail'!$H$78:$H$90)</f>
        <v>0</v>
      </c>
      <c r="H41" s="377">
        <f>IF('Estimate Summary'!$D$9&lt;2,0,$G41)</f>
        <v>0</v>
      </c>
      <c r="I41" s="377">
        <f>IF('Estimate Summary'!$D$9&lt;3,0,$G41)</f>
        <v>0</v>
      </c>
      <c r="J41" s="377">
        <f>IF('Estimate Summary'!$D$9&lt;4,0,$G41)</f>
        <v>0</v>
      </c>
      <c r="K41" s="377">
        <f>IF('Estimate Summary'!$D$9&lt;5,0,$G41)</f>
        <v>0</v>
      </c>
      <c r="L41" s="377">
        <f>IF('Estimate Summary'!$D$9&lt;6,0,$G41)</f>
        <v>0</v>
      </c>
      <c r="M41" s="377">
        <f>IF('Estimate Summary'!$D$9&lt;7,0,$G41)</f>
        <v>0</v>
      </c>
      <c r="N41" s="365"/>
    </row>
    <row r="42" spans="2:14">
      <c r="D42" s="175" t="s">
        <v>128</v>
      </c>
      <c r="F42" s="377">
        <f t="shared" si="1"/>
        <v>0</v>
      </c>
      <c r="G42" s="377">
        <f>SUMIF('Estimate Detail'!$S$78:$S$90,D42,'Estimate Detail'!$H$78:$H$90)</f>
        <v>0</v>
      </c>
      <c r="H42" s="377">
        <f>IF('Estimate Summary'!$D$9&lt;2,0,$G42)</f>
        <v>0</v>
      </c>
      <c r="I42" s="377">
        <f>IF('Estimate Summary'!$D$9&lt;3,0,$G42)</f>
        <v>0</v>
      </c>
      <c r="J42" s="377">
        <f>IF('Estimate Summary'!$D$9&lt;4,0,$G42)</f>
        <v>0</v>
      </c>
      <c r="K42" s="377">
        <f>IF('Estimate Summary'!$D$9&lt;5,0,$G42)</f>
        <v>0</v>
      </c>
      <c r="L42" s="377">
        <f>IF('Estimate Summary'!$D$9&lt;6,0,$G42)</f>
        <v>0</v>
      </c>
      <c r="M42" s="377">
        <f>IF('Estimate Summary'!$D$9&lt;7,0,$G42)</f>
        <v>0</v>
      </c>
      <c r="N42" s="365"/>
    </row>
    <row r="43" spans="2:14">
      <c r="D43" s="175" t="s">
        <v>129</v>
      </c>
      <c r="F43" s="377">
        <f t="shared" si="1"/>
        <v>0</v>
      </c>
      <c r="G43" s="377">
        <f>SUMIF('Estimate Detail'!$S$78:$S$90,D43,'Estimate Detail'!$H$78:$H$90)</f>
        <v>0</v>
      </c>
      <c r="H43" s="377">
        <f>IF('Estimate Summary'!$D$9&lt;2,0,$G43)</f>
        <v>0</v>
      </c>
      <c r="I43" s="377">
        <f>IF('Estimate Summary'!$D$9&lt;3,0,$G43)</f>
        <v>0</v>
      </c>
      <c r="J43" s="377">
        <f>IF('Estimate Summary'!$D$9&lt;4,0,$G43)</f>
        <v>0</v>
      </c>
      <c r="K43" s="377">
        <f>IF('Estimate Summary'!$D$9&lt;5,0,$G43)</f>
        <v>0</v>
      </c>
      <c r="L43" s="377">
        <f>IF('Estimate Summary'!$D$9&lt;6,0,$G43)</f>
        <v>0</v>
      </c>
      <c r="M43" s="377">
        <f>IF('Estimate Summary'!$D$9&lt;7,0,$G43)</f>
        <v>0</v>
      </c>
      <c r="N43" s="365"/>
    </row>
    <row r="44" spans="2:14">
      <c r="C44" s="174" t="s">
        <v>37</v>
      </c>
      <c r="D44" s="175" t="s">
        <v>127</v>
      </c>
      <c r="F44" s="377">
        <f t="shared" si="1"/>
        <v>0</v>
      </c>
      <c r="G44" s="377">
        <f>SUMIF('Estimate Detail'!$S$96:$S$104,D44,'Estimate Detail'!$H$96:$H$104)</f>
        <v>0</v>
      </c>
      <c r="H44" s="377">
        <f>IF('Estimate Summary'!$D$9&lt;2,0,$G44)</f>
        <v>0</v>
      </c>
      <c r="I44" s="377">
        <f>IF('Estimate Summary'!$D$9&lt;3,0,$G44)</f>
        <v>0</v>
      </c>
      <c r="J44" s="377">
        <f>IF('Estimate Summary'!$D$9&lt;4,0,$G44)</f>
        <v>0</v>
      </c>
      <c r="K44" s="377">
        <f>IF('Estimate Summary'!$D$9&lt;5,0,$G44)</f>
        <v>0</v>
      </c>
      <c r="L44" s="377">
        <f>IF('Estimate Summary'!$D$9&lt;6,0,$G44)</f>
        <v>0</v>
      </c>
      <c r="M44" s="377">
        <f>IF('Estimate Summary'!$D$9&lt;7,0,$G44)</f>
        <v>0</v>
      </c>
      <c r="N44" s="365"/>
    </row>
    <row r="45" spans="2:14">
      <c r="D45" s="175" t="s">
        <v>128</v>
      </c>
      <c r="F45" s="377">
        <f t="shared" si="1"/>
        <v>0</v>
      </c>
      <c r="G45" s="377">
        <f>SUMIF('Estimate Detail'!$S$96:$S$104,D45,'Estimate Detail'!$H$96:$H$104)</f>
        <v>0</v>
      </c>
      <c r="H45" s="377">
        <f>IF('Estimate Summary'!$D$9&lt;2,0,$G45)</f>
        <v>0</v>
      </c>
      <c r="I45" s="377">
        <f>IF('Estimate Summary'!$D$9&lt;3,0,$G45)</f>
        <v>0</v>
      </c>
      <c r="J45" s="377">
        <f>IF('Estimate Summary'!$D$9&lt;4,0,$G45)</f>
        <v>0</v>
      </c>
      <c r="K45" s="377">
        <f>IF('Estimate Summary'!$D$9&lt;5,0,$G45)</f>
        <v>0</v>
      </c>
      <c r="L45" s="377">
        <f>IF('Estimate Summary'!$D$9&lt;6,0,$G45)</f>
        <v>0</v>
      </c>
      <c r="M45" s="377">
        <f>IF('Estimate Summary'!$D$9&lt;7,0,$G45)</f>
        <v>0</v>
      </c>
      <c r="N45" s="365"/>
    </row>
    <row r="46" spans="2:14">
      <c r="D46" s="175" t="s">
        <v>129</v>
      </c>
      <c r="F46" s="377">
        <f t="shared" si="1"/>
        <v>0</v>
      </c>
      <c r="G46" s="377">
        <f>SUMIF('Estimate Detail'!$S$96:$S$104,D46,'Estimate Detail'!$H$96:$H$104)</f>
        <v>0</v>
      </c>
      <c r="H46" s="377">
        <f>IF('Estimate Summary'!$D$9&lt;2,0,$G46)</f>
        <v>0</v>
      </c>
      <c r="I46" s="377">
        <f>IF('Estimate Summary'!$D$9&lt;3,0,$G46)</f>
        <v>0</v>
      </c>
      <c r="J46" s="377">
        <f>IF('Estimate Summary'!$D$9&lt;4,0,$G46)</f>
        <v>0</v>
      </c>
      <c r="K46" s="377">
        <f>IF('Estimate Summary'!$D$9&lt;5,0,$G46)</f>
        <v>0</v>
      </c>
      <c r="L46" s="377">
        <f>IF('Estimate Summary'!$D$9&lt;6,0,$G46)</f>
        <v>0</v>
      </c>
      <c r="M46" s="377">
        <f>IF('Estimate Summary'!$D$9&lt;7,0,$G46)</f>
        <v>0</v>
      </c>
      <c r="N46" s="365"/>
    </row>
    <row r="47" spans="2:14">
      <c r="C47" s="284" t="s">
        <v>59</v>
      </c>
      <c r="D47" s="175" t="s">
        <v>127</v>
      </c>
      <c r="F47" s="377">
        <f t="shared" si="1"/>
        <v>0</v>
      </c>
      <c r="G47" s="377">
        <f>SUMIF('Estimate Detail'!$S$175:$S$183,D47,'Estimate Detail'!$H$175:$H$183)</f>
        <v>0</v>
      </c>
      <c r="H47" s="377">
        <f>IF('Estimate Summary'!$D$9&lt;2,0,$G47)</f>
        <v>0</v>
      </c>
      <c r="I47" s="377">
        <f>IF('Estimate Summary'!$D$9&lt;3,0,$G47)</f>
        <v>0</v>
      </c>
      <c r="J47" s="377">
        <f>IF('Estimate Summary'!$D$9&lt;4,0,$G47)</f>
        <v>0</v>
      </c>
      <c r="K47" s="377">
        <f>IF('Estimate Summary'!$D$9&lt;5,0,$G47)</f>
        <v>0</v>
      </c>
      <c r="L47" s="377">
        <f>IF('Estimate Summary'!$D$9&lt;6,0,$G47)</f>
        <v>0</v>
      </c>
      <c r="M47" s="377">
        <f>IF('Estimate Summary'!$D$9&lt;7,0,$G47)</f>
        <v>0</v>
      </c>
      <c r="N47" s="365"/>
    </row>
    <row r="48" spans="2:14">
      <c r="D48" s="175" t="s">
        <v>128</v>
      </c>
      <c r="F48" s="377">
        <f t="shared" si="1"/>
        <v>0</v>
      </c>
      <c r="G48" s="377">
        <f>SUMIF('Estimate Detail'!$S$175:$S$183,D48,'Estimate Detail'!$H$175:$H$183)</f>
        <v>0</v>
      </c>
      <c r="H48" s="377">
        <f>IF('Estimate Summary'!$D$9&lt;2,0,$G48)</f>
        <v>0</v>
      </c>
      <c r="I48" s="377">
        <f>IF('Estimate Summary'!$D$9&lt;3,0,$G48)</f>
        <v>0</v>
      </c>
      <c r="J48" s="377">
        <f>IF('Estimate Summary'!$D$9&lt;4,0,$G48)</f>
        <v>0</v>
      </c>
      <c r="K48" s="377">
        <f>IF('Estimate Summary'!$D$9&lt;5,0,$G48)</f>
        <v>0</v>
      </c>
      <c r="L48" s="377">
        <f>IF('Estimate Summary'!$D$9&lt;6,0,$G48)</f>
        <v>0</v>
      </c>
      <c r="M48" s="377">
        <f>IF('Estimate Summary'!$D$9&lt;7,0,$G48)</f>
        <v>0</v>
      </c>
      <c r="N48" s="365"/>
    </row>
    <row r="49" spans="3:14">
      <c r="D49" s="175" t="s">
        <v>129</v>
      </c>
      <c r="F49" s="377">
        <f t="shared" si="1"/>
        <v>0</v>
      </c>
      <c r="G49" s="377">
        <f>SUMIF('Estimate Detail'!$S$175:$S$183,D49,'Estimate Detail'!$H$175:$H$183)</f>
        <v>0</v>
      </c>
      <c r="H49" s="377">
        <f>IF('Estimate Summary'!$D$9&lt;2,0,$G49)</f>
        <v>0</v>
      </c>
      <c r="I49" s="377">
        <f>IF('Estimate Summary'!$D$9&lt;3,0,$G49)</f>
        <v>0</v>
      </c>
      <c r="J49" s="377">
        <f>IF('Estimate Summary'!$D$9&lt;4,0,$G49)</f>
        <v>0</v>
      </c>
      <c r="K49" s="377">
        <f>IF('Estimate Summary'!$D$9&lt;5,0,$G49)</f>
        <v>0</v>
      </c>
      <c r="L49" s="377">
        <f>IF('Estimate Summary'!$D$9&lt;6,0,$G49)</f>
        <v>0</v>
      </c>
      <c r="M49" s="377">
        <f>IF('Estimate Summary'!$D$9&lt;7,0,$G49)</f>
        <v>0</v>
      </c>
      <c r="N49" s="365"/>
    </row>
    <row r="50" spans="3:14">
      <c r="C50" s="174" t="s">
        <v>38</v>
      </c>
      <c r="D50" s="175" t="s">
        <v>127</v>
      </c>
      <c r="F50" s="377">
        <f t="shared" si="1"/>
        <v>0</v>
      </c>
      <c r="G50" s="377">
        <f>SUMIF('Estimate Detail'!$S$145:$S$167,D50,'Estimate Detail'!$H$145:$H$167)</f>
        <v>0</v>
      </c>
      <c r="H50" s="377">
        <f>IF('Estimate Summary'!$D$9&lt;2,0,$G50)</f>
        <v>0</v>
      </c>
      <c r="I50" s="377">
        <f>IF('Estimate Summary'!$D$9&lt;3,0,$G50)</f>
        <v>0</v>
      </c>
      <c r="J50" s="377">
        <f>IF('Estimate Summary'!$D$9&lt;4,0,$G50)</f>
        <v>0</v>
      </c>
      <c r="K50" s="377">
        <f>IF('Estimate Summary'!$D$9&lt;5,0,$G50)</f>
        <v>0</v>
      </c>
      <c r="L50" s="377">
        <f>IF('Estimate Summary'!$D$9&lt;6,0,$G50)</f>
        <v>0</v>
      </c>
      <c r="M50" s="377">
        <f>IF('Estimate Summary'!$D$9&lt;7,0,$G50)</f>
        <v>0</v>
      </c>
      <c r="N50" s="365"/>
    </row>
    <row r="51" spans="3:14">
      <c r="D51" s="175" t="s">
        <v>128</v>
      </c>
      <c r="F51" s="377">
        <f t="shared" si="1"/>
        <v>0</v>
      </c>
      <c r="G51" s="377">
        <f>SUMIF('Estimate Detail'!$S$145:$S$167,D51,'Estimate Detail'!$H$145:$H$167)</f>
        <v>0</v>
      </c>
      <c r="H51" s="377">
        <f>IF('Estimate Summary'!$D$9&lt;2,0,$G51)</f>
        <v>0</v>
      </c>
      <c r="I51" s="377">
        <f>IF('Estimate Summary'!$D$9&lt;3,0,$G51)</f>
        <v>0</v>
      </c>
      <c r="J51" s="377">
        <f>IF('Estimate Summary'!$D$9&lt;4,0,$G51)</f>
        <v>0</v>
      </c>
      <c r="K51" s="377">
        <f>IF('Estimate Summary'!$D$9&lt;5,0,$G51)</f>
        <v>0</v>
      </c>
      <c r="L51" s="377">
        <f>IF('Estimate Summary'!$D$9&lt;6,0,$G51)</f>
        <v>0</v>
      </c>
      <c r="M51" s="377">
        <f>IF('Estimate Summary'!$D$9&lt;7,0,$G51)</f>
        <v>0</v>
      </c>
      <c r="N51" s="365"/>
    </row>
    <row r="52" spans="3:14">
      <c r="D52" s="175" t="s">
        <v>129</v>
      </c>
      <c r="F52" s="377">
        <f t="shared" si="1"/>
        <v>0</v>
      </c>
      <c r="G52" s="377">
        <f>SUMIF('Estimate Detail'!$S$145:$S$167,D52,'Estimate Detail'!$H$145:$H$167)</f>
        <v>0</v>
      </c>
      <c r="H52" s="377">
        <f>IF('Estimate Summary'!$D$9&lt;2,0,$G52)</f>
        <v>0</v>
      </c>
      <c r="I52" s="377">
        <f>IF('Estimate Summary'!$D$9&lt;3,0,$G52)</f>
        <v>0</v>
      </c>
      <c r="J52" s="377">
        <f>IF('Estimate Summary'!$D$9&lt;4,0,$G52)</f>
        <v>0</v>
      </c>
      <c r="K52" s="377">
        <f>IF('Estimate Summary'!$D$9&lt;5,0,$G52)</f>
        <v>0</v>
      </c>
      <c r="L52" s="377">
        <f>IF('Estimate Summary'!$D$9&lt;6,0,$G52)</f>
        <v>0</v>
      </c>
      <c r="M52" s="377">
        <f>IF('Estimate Summary'!$D$9&lt;7,0,$G52)</f>
        <v>0</v>
      </c>
      <c r="N52" s="365"/>
    </row>
    <row r="53" spans="3:14">
      <c r="C53" s="284" t="s">
        <v>82</v>
      </c>
      <c r="D53" s="175" t="s">
        <v>127</v>
      </c>
      <c r="F53" s="377" t="e">
        <f t="shared" si="1"/>
        <v>#REF!</v>
      </c>
      <c r="G53" s="377" t="e">
        <f>SUMIF('Estimate Detail'!#REF!,D53,'Estimate Detail'!#REF!)</f>
        <v>#REF!</v>
      </c>
      <c r="H53" s="377">
        <f>IF('Estimate Summary'!$D$9&lt;2,0,$G53)</f>
        <v>0</v>
      </c>
      <c r="I53" s="377">
        <f>IF('Estimate Summary'!$D$9&lt;3,0,$G53)</f>
        <v>0</v>
      </c>
      <c r="J53" s="377">
        <f>IF('Estimate Summary'!$D$9&lt;4,0,$G53)</f>
        <v>0</v>
      </c>
      <c r="K53" s="377">
        <f>IF('Estimate Summary'!$D$9&lt;5,0,$G53)</f>
        <v>0</v>
      </c>
      <c r="L53" s="377">
        <f>IF('Estimate Summary'!$D$9&lt;6,0,$G53)</f>
        <v>0</v>
      </c>
      <c r="M53" s="377">
        <f>IF('Estimate Summary'!$D$9&lt;7,0,$G53)</f>
        <v>0</v>
      </c>
      <c r="N53" s="365"/>
    </row>
    <row r="54" spans="3:14">
      <c r="D54" s="175" t="s">
        <v>128</v>
      </c>
      <c r="F54" s="377" t="e">
        <f t="shared" si="1"/>
        <v>#REF!</v>
      </c>
      <c r="G54" s="377" t="e">
        <f>SUMIF('Estimate Detail'!#REF!,D54,'Estimate Detail'!#REF!)</f>
        <v>#REF!</v>
      </c>
      <c r="H54" s="377">
        <f>IF('Estimate Summary'!$D$9&lt;2,0,$G54)</f>
        <v>0</v>
      </c>
      <c r="I54" s="377">
        <f>IF('Estimate Summary'!$D$9&lt;3,0,$G54)</f>
        <v>0</v>
      </c>
      <c r="J54" s="377">
        <f>IF('Estimate Summary'!$D$9&lt;4,0,$G54)</f>
        <v>0</v>
      </c>
      <c r="K54" s="377">
        <f>IF('Estimate Summary'!$D$9&lt;5,0,$G54)</f>
        <v>0</v>
      </c>
      <c r="L54" s="377">
        <f>IF('Estimate Summary'!$D$9&lt;6,0,$G54)</f>
        <v>0</v>
      </c>
      <c r="M54" s="377">
        <f>IF('Estimate Summary'!$D$9&lt;7,0,$G54)</f>
        <v>0</v>
      </c>
      <c r="N54" s="365"/>
    </row>
    <row r="55" spans="3:14">
      <c r="D55" s="175" t="s">
        <v>129</v>
      </c>
      <c r="F55" s="377" t="e">
        <f t="shared" si="1"/>
        <v>#REF!</v>
      </c>
      <c r="G55" s="377" t="e">
        <f>SUMIF('Estimate Detail'!#REF!,D55,'Estimate Detail'!#REF!)</f>
        <v>#REF!</v>
      </c>
      <c r="H55" s="377">
        <f>IF('Estimate Summary'!$D$9&lt;2,0,$G55)</f>
        <v>0</v>
      </c>
      <c r="I55" s="377">
        <f>IF('Estimate Summary'!$D$9&lt;3,0,$G55)</f>
        <v>0</v>
      </c>
      <c r="J55" s="377">
        <f>IF('Estimate Summary'!$D$9&lt;4,0,$G55)</f>
        <v>0</v>
      </c>
      <c r="K55" s="377">
        <f>IF('Estimate Summary'!$D$9&lt;5,0,$G55)</f>
        <v>0</v>
      </c>
      <c r="L55" s="377">
        <f>IF('Estimate Summary'!$D$9&lt;6,0,$G55)</f>
        <v>0</v>
      </c>
      <c r="M55" s="377">
        <f>IF('Estimate Summary'!$D$9&lt;7,0,$G55)</f>
        <v>0</v>
      </c>
      <c r="N55" s="365"/>
    </row>
    <row r="56" spans="3:14">
      <c r="C56" s="284" t="s">
        <v>54</v>
      </c>
      <c r="D56" s="175" t="s">
        <v>127</v>
      </c>
      <c r="F56" s="377">
        <f t="shared" ref="F56:F73" si="3">SUM(G56:M56)</f>
        <v>0</v>
      </c>
      <c r="G56" s="377">
        <f>SUMIF('Estimate Detail'!$S$107:$S$108,D56,'Estimate Detail'!$H$107:$H$108)</f>
        <v>0</v>
      </c>
      <c r="H56" s="377">
        <f>IF('Estimate Summary'!$D$9&lt;2,0,$G56)</f>
        <v>0</v>
      </c>
      <c r="I56" s="377">
        <f>IF('Estimate Summary'!$D$9&lt;3,0,$G56)</f>
        <v>0</v>
      </c>
      <c r="J56" s="377">
        <f>IF('Estimate Summary'!$D$9&lt;4,0,$G56)</f>
        <v>0</v>
      </c>
      <c r="K56" s="377">
        <f>IF('Estimate Summary'!$D$9&lt;5,0,$G56)</f>
        <v>0</v>
      </c>
      <c r="L56" s="377">
        <f>IF('Estimate Summary'!$D$9&lt;6,0,$G56)</f>
        <v>0</v>
      </c>
      <c r="M56" s="377">
        <f>IF('Estimate Summary'!$D$9&lt;7,0,$G56)</f>
        <v>0</v>
      </c>
      <c r="N56" s="365"/>
    </row>
    <row r="57" spans="3:14">
      <c r="D57" s="175" t="s">
        <v>128</v>
      </c>
      <c r="F57" s="377">
        <f t="shared" si="3"/>
        <v>0</v>
      </c>
      <c r="G57" s="377">
        <f>SUMIF('Estimate Detail'!$S$107:$S$108,D57,'Estimate Detail'!$H$107:$H$108)</f>
        <v>0</v>
      </c>
      <c r="H57" s="377">
        <f>IF('Estimate Summary'!$D$9&lt;2,0,$G57)</f>
        <v>0</v>
      </c>
      <c r="I57" s="377">
        <f>IF('Estimate Summary'!$D$9&lt;3,0,$G57)</f>
        <v>0</v>
      </c>
      <c r="J57" s="377">
        <f>IF('Estimate Summary'!$D$9&lt;4,0,$G57)</f>
        <v>0</v>
      </c>
      <c r="K57" s="377">
        <f>IF('Estimate Summary'!$D$9&lt;5,0,$G57)</f>
        <v>0</v>
      </c>
      <c r="L57" s="377">
        <f>IF('Estimate Summary'!$D$9&lt;6,0,$G57)</f>
        <v>0</v>
      </c>
      <c r="M57" s="377">
        <f>IF('Estimate Summary'!$D$9&lt;7,0,$G57)</f>
        <v>0</v>
      </c>
      <c r="N57" s="365"/>
    </row>
    <row r="58" spans="3:14">
      <c r="D58" s="175" t="s">
        <v>129</v>
      </c>
      <c r="F58" s="377">
        <f t="shared" si="3"/>
        <v>0</v>
      </c>
      <c r="G58" s="377">
        <f>SUMIF('Estimate Detail'!$S$107:$S$108,D58,'Estimate Detail'!$H$107:$H$108)</f>
        <v>0</v>
      </c>
      <c r="H58" s="377">
        <f>IF('Estimate Summary'!$D$9&lt;2,0,$G58)</f>
        <v>0</v>
      </c>
      <c r="I58" s="377">
        <f>IF('Estimate Summary'!$D$9&lt;3,0,$G58)</f>
        <v>0</v>
      </c>
      <c r="J58" s="377">
        <f>IF('Estimate Summary'!$D$9&lt;4,0,$G58)</f>
        <v>0</v>
      </c>
      <c r="K58" s="377">
        <f>IF('Estimate Summary'!$D$9&lt;5,0,$G58)</f>
        <v>0</v>
      </c>
      <c r="L58" s="377">
        <f>IF('Estimate Summary'!$D$9&lt;6,0,$G58)</f>
        <v>0</v>
      </c>
      <c r="M58" s="377">
        <f>IF('Estimate Summary'!$D$9&lt;7,0,$G58)</f>
        <v>0</v>
      </c>
      <c r="N58" s="365"/>
    </row>
    <row r="59" spans="3:14">
      <c r="C59" s="851" t="s">
        <v>407</v>
      </c>
      <c r="D59" s="845" t="s">
        <v>127</v>
      </c>
      <c r="F59" s="377">
        <f t="shared" si="3"/>
        <v>0</v>
      </c>
      <c r="G59" s="377">
        <f>SUMIF('Estimate Detail'!$S$191:$S$191,D59,'Estimate Detail'!$H$191:$H$191)</f>
        <v>0</v>
      </c>
      <c r="H59" s="377">
        <f>IF('Estimate Summary'!$D$9&lt;2,0,$G59)</f>
        <v>0</v>
      </c>
      <c r="I59" s="377">
        <f>IF('Estimate Summary'!$D$9&lt;3,0,$G59)</f>
        <v>0</v>
      </c>
      <c r="J59" s="377">
        <f>IF('Estimate Summary'!$D$9&lt;4,0,$G59)</f>
        <v>0</v>
      </c>
      <c r="K59" s="377">
        <f>IF('Estimate Summary'!$D$9&lt;5,0,$G59)</f>
        <v>0</v>
      </c>
      <c r="L59" s="377">
        <f>IF('Estimate Summary'!$D$9&lt;6,0,$G59)</f>
        <v>0</v>
      </c>
      <c r="M59" s="377">
        <f>IF('Estimate Summary'!$D$9&lt;7,0,$G59)</f>
        <v>0</v>
      </c>
      <c r="N59" s="846"/>
    </row>
    <row r="60" spans="3:14">
      <c r="D60" s="845" t="s">
        <v>128</v>
      </c>
      <c r="F60" s="377">
        <f t="shared" si="3"/>
        <v>0</v>
      </c>
      <c r="G60" s="377">
        <f>SUMIF('Estimate Detail'!$S$191:$S$191,D60,'Estimate Detail'!$H$191:$H$191)</f>
        <v>0</v>
      </c>
      <c r="H60" s="377">
        <f>IF('Estimate Summary'!$D$9&lt;2,0,$G60)</f>
        <v>0</v>
      </c>
      <c r="I60" s="377">
        <f>IF('Estimate Summary'!$D$9&lt;3,0,$G60)</f>
        <v>0</v>
      </c>
      <c r="J60" s="377">
        <f>IF('Estimate Summary'!$D$9&lt;4,0,$G60)</f>
        <v>0</v>
      </c>
      <c r="K60" s="377">
        <f>IF('Estimate Summary'!$D$9&lt;5,0,$G60)</f>
        <v>0</v>
      </c>
      <c r="L60" s="377">
        <f>IF('Estimate Summary'!$D$9&lt;6,0,$G60)</f>
        <v>0</v>
      </c>
      <c r="M60" s="377">
        <f>IF('Estimate Summary'!$D$9&lt;7,0,$G60)</f>
        <v>0</v>
      </c>
      <c r="N60" s="846"/>
    </row>
    <row r="61" spans="3:14">
      <c r="D61" s="845" t="s">
        <v>129</v>
      </c>
      <c r="F61" s="377">
        <f t="shared" si="3"/>
        <v>0</v>
      </c>
      <c r="G61" s="377">
        <f>SUMIF('Estimate Detail'!$S$191:$S$191,D61,'Estimate Detail'!$H$191:$H$191)</f>
        <v>0</v>
      </c>
      <c r="H61" s="377">
        <f>IF('Estimate Summary'!$D$9&lt;2,0,$G61)</f>
        <v>0</v>
      </c>
      <c r="I61" s="377">
        <f>IF('Estimate Summary'!$D$9&lt;3,0,$G61)</f>
        <v>0</v>
      </c>
      <c r="J61" s="377">
        <f>IF('Estimate Summary'!$D$9&lt;4,0,$G61)</f>
        <v>0</v>
      </c>
      <c r="K61" s="377">
        <f>IF('Estimate Summary'!$D$9&lt;5,0,$G61)</f>
        <v>0</v>
      </c>
      <c r="L61" s="377">
        <f>IF('Estimate Summary'!$D$9&lt;6,0,$G61)</f>
        <v>0</v>
      </c>
      <c r="M61" s="377">
        <f>IF('Estimate Summary'!$D$9&lt;7,0,$G61)</f>
        <v>0</v>
      </c>
      <c r="N61" s="846"/>
    </row>
    <row r="62" spans="3:14">
      <c r="C62" s="851" t="s">
        <v>476</v>
      </c>
      <c r="D62" s="1276" t="s">
        <v>127</v>
      </c>
      <c r="F62" s="377">
        <f t="shared" si="3"/>
        <v>0</v>
      </c>
      <c r="G62" s="377">
        <f>SUMIF('Estimate Detail'!$S$197:$S$198,D62,'Estimate Detail'!$H$197:$H$198)</f>
        <v>0</v>
      </c>
      <c r="H62" s="377">
        <f>IF('Estimate Summary'!$D$9&lt;2,0,$G62)</f>
        <v>0</v>
      </c>
      <c r="I62" s="377">
        <f>IF('Estimate Summary'!$D$9&lt;3,0,$G62)</f>
        <v>0</v>
      </c>
      <c r="J62" s="377">
        <f>IF('Estimate Summary'!$D$9&lt;4,0,$G62)</f>
        <v>0</v>
      </c>
      <c r="K62" s="377">
        <f>IF('Estimate Summary'!$D$9&lt;5,0,$G62)</f>
        <v>0</v>
      </c>
      <c r="L62" s="377">
        <f>IF('Estimate Summary'!$D$9&lt;6,0,$G62)</f>
        <v>0</v>
      </c>
      <c r="M62" s="377">
        <f>IF('Estimate Summary'!$D$9&lt;7,0,$G62)</f>
        <v>0</v>
      </c>
      <c r="N62" s="1277"/>
    </row>
    <row r="63" spans="3:14">
      <c r="D63" s="1276" t="s">
        <v>128</v>
      </c>
      <c r="F63" s="377">
        <f t="shared" si="3"/>
        <v>0</v>
      </c>
      <c r="G63" s="377">
        <f>SUMIF('Estimate Detail'!$S$197:$S$198,D63,'Estimate Detail'!$H$197:$H$198)</f>
        <v>0</v>
      </c>
      <c r="H63" s="377">
        <f>IF('Estimate Summary'!$D$9&lt;2,0,$G63)</f>
        <v>0</v>
      </c>
      <c r="I63" s="377">
        <f>IF('Estimate Summary'!$D$9&lt;3,0,$G63)</f>
        <v>0</v>
      </c>
      <c r="J63" s="377">
        <f>IF('Estimate Summary'!$D$9&lt;4,0,$G63)</f>
        <v>0</v>
      </c>
      <c r="K63" s="377">
        <f>IF('Estimate Summary'!$D$9&lt;5,0,$G63)</f>
        <v>0</v>
      </c>
      <c r="L63" s="377">
        <f>IF('Estimate Summary'!$D$9&lt;6,0,$G63)</f>
        <v>0</v>
      </c>
      <c r="M63" s="377">
        <f>IF('Estimate Summary'!$D$9&lt;7,0,$G63)</f>
        <v>0</v>
      </c>
      <c r="N63" s="1277"/>
    </row>
    <row r="64" spans="3:14">
      <c r="D64" s="1276" t="s">
        <v>129</v>
      </c>
      <c r="F64" s="377">
        <f t="shared" si="3"/>
        <v>0</v>
      </c>
      <c r="G64" s="377">
        <f>SUMIF('Estimate Detail'!$S$197:$S$198,D64,'Estimate Detail'!$H$197:$H$198)</f>
        <v>0</v>
      </c>
      <c r="H64" s="377">
        <f>IF('Estimate Summary'!$D$9&lt;2,0,$G64)</f>
        <v>0</v>
      </c>
      <c r="I64" s="377">
        <f>IF('Estimate Summary'!$D$9&lt;3,0,$G64)</f>
        <v>0</v>
      </c>
      <c r="J64" s="377">
        <f>IF('Estimate Summary'!$D$9&lt;4,0,$G64)</f>
        <v>0</v>
      </c>
      <c r="K64" s="377">
        <f>IF('Estimate Summary'!$D$9&lt;5,0,$G64)</f>
        <v>0</v>
      </c>
      <c r="L64" s="377">
        <f>IF('Estimate Summary'!$D$9&lt;6,0,$G64)</f>
        <v>0</v>
      </c>
      <c r="M64" s="377">
        <f>IF('Estimate Summary'!$D$9&lt;7,0,$G64)</f>
        <v>0</v>
      </c>
      <c r="N64" s="1277"/>
    </row>
    <row r="65" spans="3:14">
      <c r="C65" s="851" t="s">
        <v>477</v>
      </c>
      <c r="D65" s="1276" t="s">
        <v>127</v>
      </c>
      <c r="F65" s="377">
        <f t="shared" si="3"/>
        <v>0</v>
      </c>
      <c r="G65" s="377">
        <f>SUMIF('Estimate Detail'!$S$132:$S$132,D65,'Estimate Detail'!$H$132:$H$132)</f>
        <v>0</v>
      </c>
      <c r="H65" s="377">
        <f>IF('Estimate Summary'!$D$9&lt;2,0,$G65)</f>
        <v>0</v>
      </c>
      <c r="I65" s="377">
        <f>IF('Estimate Summary'!$D$9&lt;3,0,$G65)</f>
        <v>0</v>
      </c>
      <c r="J65" s="377">
        <f>IF('Estimate Summary'!$D$9&lt;4,0,$G65)</f>
        <v>0</v>
      </c>
      <c r="K65" s="377">
        <f>IF('Estimate Summary'!$D$9&lt;5,0,$G65)</f>
        <v>0</v>
      </c>
      <c r="L65" s="377">
        <f>IF('Estimate Summary'!$D$9&lt;6,0,$G65)</f>
        <v>0</v>
      </c>
      <c r="M65" s="377">
        <f>IF('Estimate Summary'!$D$9&lt;7,0,$G65)</f>
        <v>0</v>
      </c>
      <c r="N65" s="1277"/>
    </row>
    <row r="66" spans="3:14">
      <c r="D66" s="1276" t="s">
        <v>128</v>
      </c>
      <c r="F66" s="377">
        <f t="shared" si="3"/>
        <v>0</v>
      </c>
      <c r="G66" s="377">
        <f>SUMIF('Estimate Detail'!$S$197:$S$198,D66,'Estimate Detail'!$H$197:$H$198)</f>
        <v>0</v>
      </c>
      <c r="H66" s="377">
        <f>IF('Estimate Summary'!$D$9&lt;2,0,$G66)</f>
        <v>0</v>
      </c>
      <c r="I66" s="377">
        <f>IF('Estimate Summary'!$D$9&lt;3,0,$G66)</f>
        <v>0</v>
      </c>
      <c r="J66" s="377">
        <f>IF('Estimate Summary'!$D$9&lt;4,0,$G66)</f>
        <v>0</v>
      </c>
      <c r="K66" s="377">
        <f>IF('Estimate Summary'!$D$9&lt;5,0,$G66)</f>
        <v>0</v>
      </c>
      <c r="L66" s="377">
        <f>IF('Estimate Summary'!$D$9&lt;6,0,$G66)</f>
        <v>0</v>
      </c>
      <c r="M66" s="377">
        <f>IF('Estimate Summary'!$D$9&lt;7,0,$G66)</f>
        <v>0</v>
      </c>
      <c r="N66" s="1277"/>
    </row>
    <row r="67" spans="3:14">
      <c r="D67" s="1276" t="s">
        <v>129</v>
      </c>
      <c r="F67" s="377">
        <f t="shared" si="3"/>
        <v>0</v>
      </c>
      <c r="G67" s="377">
        <f>SUMIF('Estimate Detail'!$S$132:$S$132,D67,'Estimate Detail'!$H$132:$H$132)</f>
        <v>0</v>
      </c>
      <c r="H67" s="377">
        <f>IF('Estimate Summary'!$D$9&lt;2,0,$G67)</f>
        <v>0</v>
      </c>
      <c r="I67" s="377">
        <f>IF('Estimate Summary'!$D$9&lt;3,0,$G67)</f>
        <v>0</v>
      </c>
      <c r="J67" s="377">
        <f>IF('Estimate Summary'!$D$9&lt;4,0,$G67)</f>
        <v>0</v>
      </c>
      <c r="K67" s="377">
        <f>IF('Estimate Summary'!$D$9&lt;5,0,$G67)</f>
        <v>0</v>
      </c>
      <c r="L67" s="377">
        <f>IF('Estimate Summary'!$D$9&lt;6,0,$G67)</f>
        <v>0</v>
      </c>
      <c r="M67" s="377">
        <f>IF('Estimate Summary'!$D$9&lt;7,0,$G67)</f>
        <v>0</v>
      </c>
      <c r="N67" s="1277"/>
    </row>
    <row r="68" spans="3:14">
      <c r="C68" s="284" t="s">
        <v>199</v>
      </c>
      <c r="D68" s="175" t="s">
        <v>127</v>
      </c>
      <c r="F68" s="377">
        <f t="shared" si="3"/>
        <v>0</v>
      </c>
      <c r="G68" s="377">
        <f>SUMIF('Estimate Detail'!$S$187,D68,'Estimate Detail'!$H$187)</f>
        <v>0</v>
      </c>
      <c r="H68" s="377">
        <f>IF('Estimate Summary'!$D$9&lt;2,0,$G68)</f>
        <v>0</v>
      </c>
      <c r="I68" s="377">
        <f>IF('Estimate Summary'!$D$9&lt;3,0,$G68)</f>
        <v>0</v>
      </c>
      <c r="J68" s="377">
        <f>IF('Estimate Summary'!$D$9&lt;4,0,$G68)</f>
        <v>0</v>
      </c>
      <c r="K68" s="377">
        <f>IF('Estimate Summary'!$D$9&lt;5,0,$G68)</f>
        <v>0</v>
      </c>
      <c r="L68" s="377">
        <f>IF('Estimate Summary'!$D$9&lt;6,0,$G68)</f>
        <v>0</v>
      </c>
      <c r="M68" s="377">
        <f>IF('Estimate Summary'!$D$9&lt;7,0,$G68)</f>
        <v>0</v>
      </c>
      <c r="N68" s="365"/>
    </row>
    <row r="69" spans="3:14">
      <c r="D69" s="175" t="s">
        <v>128</v>
      </c>
      <c r="F69" s="377">
        <f t="shared" si="3"/>
        <v>0</v>
      </c>
      <c r="G69" s="377">
        <f>SUMIF('Estimate Detail'!$S$187,D69,'Estimate Detail'!$H$187)</f>
        <v>0</v>
      </c>
      <c r="H69" s="377">
        <f>IF('Estimate Summary'!$D$9&lt;2,0,$G69)</f>
        <v>0</v>
      </c>
      <c r="I69" s="377">
        <f>IF('Estimate Summary'!$D$9&lt;3,0,$G69)</f>
        <v>0</v>
      </c>
      <c r="J69" s="377">
        <f>IF('Estimate Summary'!$D$9&lt;4,0,$G69)</f>
        <v>0</v>
      </c>
      <c r="K69" s="377">
        <f>IF('Estimate Summary'!$D$9&lt;5,0,$G69)</f>
        <v>0</v>
      </c>
      <c r="L69" s="377">
        <f>IF('Estimate Summary'!$D$9&lt;6,0,$G69)</f>
        <v>0</v>
      </c>
      <c r="M69" s="377">
        <f>IF('Estimate Summary'!$D$9&lt;7,0,$G69)</f>
        <v>0</v>
      </c>
      <c r="N69" s="365"/>
    </row>
    <row r="70" spans="3:14">
      <c r="D70" s="175" t="s">
        <v>129</v>
      </c>
      <c r="F70" s="377">
        <f t="shared" si="3"/>
        <v>0</v>
      </c>
      <c r="G70" s="377">
        <f>SUMIF('Estimate Detail'!$S$187,D70,'Estimate Detail'!$H$187)</f>
        <v>0</v>
      </c>
      <c r="H70" s="377">
        <f>IF('Estimate Summary'!$D$9&lt;2,0,$G70)</f>
        <v>0</v>
      </c>
      <c r="I70" s="377">
        <f>IF('Estimate Summary'!$D$9&lt;3,0,$G70)</f>
        <v>0</v>
      </c>
      <c r="J70" s="377">
        <f>IF('Estimate Summary'!$D$9&lt;4,0,$G70)</f>
        <v>0</v>
      </c>
      <c r="K70" s="377">
        <f>IF('Estimate Summary'!$D$9&lt;5,0,$G70)</f>
        <v>0</v>
      </c>
      <c r="L70" s="377">
        <f>IF('Estimate Summary'!$D$9&lt;6,0,$G70)</f>
        <v>0</v>
      </c>
      <c r="M70" s="377">
        <f>IF('Estimate Summary'!$D$9&lt;7,0,$G70)</f>
        <v>0</v>
      </c>
      <c r="N70" s="365"/>
    </row>
    <row r="71" spans="3:14">
      <c r="C71" s="851" t="s">
        <v>581</v>
      </c>
      <c r="D71" s="1354" t="s">
        <v>127</v>
      </c>
      <c r="F71" s="377">
        <f t="shared" si="3"/>
        <v>0</v>
      </c>
      <c r="G71" s="377">
        <f>'Estimate Summary'!AU28</f>
        <v>0</v>
      </c>
      <c r="H71" s="377">
        <f>IF('Estimate Summary'!$D$9&lt;2,0,$G71)</f>
        <v>0</v>
      </c>
      <c r="I71" s="377">
        <f>IF('Estimate Summary'!$D$9&lt;3,0,$G71)</f>
        <v>0</v>
      </c>
      <c r="J71" s="377">
        <f>IF('Estimate Summary'!$D$9&lt;4,0,$G71)</f>
        <v>0</v>
      </c>
      <c r="K71" s="377">
        <f>IF('Estimate Summary'!$D$9&lt;5,0,$G71)</f>
        <v>0</v>
      </c>
      <c r="L71" s="377">
        <f>IF('Estimate Summary'!$D$9&lt;6,0,$G71)</f>
        <v>0</v>
      </c>
      <c r="M71" s="377">
        <f>IF('Estimate Summary'!$D$9&lt;7,0,$G71)</f>
        <v>0</v>
      </c>
      <c r="N71" s="1355"/>
    </row>
    <row r="72" spans="3:14">
      <c r="D72" s="1354" t="s">
        <v>128</v>
      </c>
      <c r="F72" s="377">
        <f t="shared" si="3"/>
        <v>0</v>
      </c>
      <c r="G72" s="377">
        <f>SUMIF('Estimate Detail'!$S$187,D72,'Estimate Detail'!$H$187)</f>
        <v>0</v>
      </c>
      <c r="H72" s="377">
        <f>IF('Estimate Summary'!$D$9&lt;2,0,$G72)</f>
        <v>0</v>
      </c>
      <c r="I72" s="377">
        <f>IF('Estimate Summary'!$D$9&lt;3,0,$G72)</f>
        <v>0</v>
      </c>
      <c r="J72" s="377">
        <f>IF('Estimate Summary'!$D$9&lt;4,0,$G72)</f>
        <v>0</v>
      </c>
      <c r="K72" s="377">
        <f>IF('Estimate Summary'!$D$9&lt;5,0,$G72)</f>
        <v>0</v>
      </c>
      <c r="L72" s="377">
        <f>IF('Estimate Summary'!$D$9&lt;6,0,$G72)</f>
        <v>0</v>
      </c>
      <c r="M72" s="377">
        <f>IF('Estimate Summary'!$D$9&lt;7,0,$G72)</f>
        <v>0</v>
      </c>
      <c r="N72" s="1355"/>
    </row>
    <row r="73" spans="3:14">
      <c r="D73" s="1354" t="s">
        <v>129</v>
      </c>
      <c r="F73" s="377">
        <f t="shared" si="3"/>
        <v>0</v>
      </c>
      <c r="G73" s="377">
        <f>SUMIF('Estimate Detail'!$S$187,D73,'Estimate Detail'!$H$187)</f>
        <v>0</v>
      </c>
      <c r="H73" s="377">
        <f>IF('Estimate Summary'!$D$9&lt;2,0,$G73)</f>
        <v>0</v>
      </c>
      <c r="I73" s="377">
        <f>IF('Estimate Summary'!$D$9&lt;3,0,$G73)</f>
        <v>0</v>
      </c>
      <c r="J73" s="377">
        <f>IF('Estimate Summary'!$D$9&lt;4,0,$G73)</f>
        <v>0</v>
      </c>
      <c r="K73" s="377">
        <f>IF('Estimate Summary'!$D$9&lt;5,0,$G73)</f>
        <v>0</v>
      </c>
      <c r="L73" s="377">
        <f>IF('Estimate Summary'!$D$9&lt;6,0,$G73)</f>
        <v>0</v>
      </c>
      <c r="M73" s="377">
        <f>IF('Estimate Summary'!$D$9&lt;7,0,$G73)</f>
        <v>0</v>
      </c>
      <c r="N73" s="1355"/>
    </row>
    <row r="74" spans="3:14">
      <c r="C74" s="174" t="s">
        <v>40</v>
      </c>
      <c r="D74" s="175" t="s">
        <v>127</v>
      </c>
      <c r="F74" s="377">
        <f t="shared" si="1"/>
        <v>0</v>
      </c>
      <c r="G74" s="377">
        <f>SUMIF('Estimate Detail'!$S$111:$S$122,D74,'Estimate Detail'!$H$111:$H$122)</f>
        <v>0</v>
      </c>
      <c r="H74" s="377">
        <f>IF('Estimate Summary'!$D$9&lt;2,0,$G74)</f>
        <v>0</v>
      </c>
      <c r="I74" s="377">
        <f>IF('Estimate Summary'!$D$9&lt;3,0,$G74)</f>
        <v>0</v>
      </c>
      <c r="J74" s="377">
        <f>IF('Estimate Summary'!$D$9&lt;4,0,$G74)</f>
        <v>0</v>
      </c>
      <c r="K74" s="377">
        <f>IF('Estimate Summary'!$D$9&lt;5,0,$G74)</f>
        <v>0</v>
      </c>
      <c r="L74" s="377">
        <f>IF('Estimate Summary'!$D$9&lt;6,0,$G74)</f>
        <v>0</v>
      </c>
      <c r="M74" s="377">
        <f>IF('Estimate Summary'!$D$9&lt;7,0,$G74)</f>
        <v>0</v>
      </c>
      <c r="N74" s="365"/>
    </row>
    <row r="75" spans="3:14">
      <c r="D75" s="175" t="s">
        <v>128</v>
      </c>
      <c r="F75" s="377">
        <f t="shared" si="1"/>
        <v>0</v>
      </c>
      <c r="G75" s="377">
        <f>SUMIF('Estimate Detail'!$S$111:$S$122,D75,'Estimate Detail'!$H$111:$H$122)</f>
        <v>0</v>
      </c>
      <c r="H75" s="377">
        <f>IF('Estimate Summary'!$D$9&lt;2,0,$G75)</f>
        <v>0</v>
      </c>
      <c r="I75" s="377">
        <f>IF('Estimate Summary'!$D$9&lt;3,0,$G75)</f>
        <v>0</v>
      </c>
      <c r="J75" s="377">
        <f>IF('Estimate Summary'!$D$9&lt;4,0,$G75)</f>
        <v>0</v>
      </c>
      <c r="K75" s="377">
        <f>IF('Estimate Summary'!$D$9&lt;5,0,$G75)</f>
        <v>0</v>
      </c>
      <c r="L75" s="377">
        <f>IF('Estimate Summary'!$D$9&lt;6,0,$G75)</f>
        <v>0</v>
      </c>
      <c r="M75" s="377">
        <f>IF('Estimate Summary'!$D$9&lt;7,0,$G75)</f>
        <v>0</v>
      </c>
      <c r="N75" s="365"/>
    </row>
    <row r="76" spans="3:14">
      <c r="D76" s="175" t="s">
        <v>129</v>
      </c>
      <c r="F76" s="377">
        <f t="shared" si="1"/>
        <v>0</v>
      </c>
      <c r="G76" s="377">
        <f>SUMIF('Estimate Detail'!$S$111:$S$122,D76,'Estimate Detail'!$H$111:$H$122)</f>
        <v>0</v>
      </c>
      <c r="H76" s="377">
        <f>IF('Estimate Summary'!$D$9&lt;2,0,$G76)</f>
        <v>0</v>
      </c>
      <c r="I76" s="377">
        <f>IF('Estimate Summary'!$D$9&lt;3,0,$G76)</f>
        <v>0</v>
      </c>
      <c r="J76" s="377">
        <f>IF('Estimate Summary'!$D$9&lt;4,0,$G76)</f>
        <v>0</v>
      </c>
      <c r="K76" s="377">
        <f>IF('Estimate Summary'!$D$9&lt;5,0,$G76)</f>
        <v>0</v>
      </c>
      <c r="L76" s="377">
        <f>IF('Estimate Summary'!$D$9&lt;6,0,$G76)</f>
        <v>0</v>
      </c>
      <c r="M76" s="377">
        <f>IF('Estimate Summary'!$D$9&lt;7,0,$G76)</f>
        <v>0</v>
      </c>
      <c r="N76" s="365"/>
    </row>
    <row r="77" spans="3:14">
      <c r="C77" s="174" t="s">
        <v>41</v>
      </c>
      <c r="D77" s="175" t="s">
        <v>127</v>
      </c>
      <c r="F77" s="377">
        <f t="shared" si="1"/>
        <v>0</v>
      </c>
      <c r="G77" s="377">
        <f>SUMIF('Estimate Detail'!$S$243:$S$245,D77,'Estimate Detail'!$H$243:$H$245)</f>
        <v>0</v>
      </c>
      <c r="H77" s="377">
        <f>IF('Estimate Summary'!$D$9&lt;2,0,$G77)</f>
        <v>0</v>
      </c>
      <c r="I77" s="377">
        <f>IF('Estimate Summary'!$D$9&lt;3,0,$G77)</f>
        <v>0</v>
      </c>
      <c r="J77" s="377">
        <f>IF('Estimate Summary'!$D$9&lt;4,0,$G77)</f>
        <v>0</v>
      </c>
      <c r="K77" s="377">
        <f>IF('Estimate Summary'!$D$9&lt;5,0,$G77)</f>
        <v>0</v>
      </c>
      <c r="L77" s="377">
        <f>IF('Estimate Summary'!$D$9&lt;6,0,$G77)</f>
        <v>0</v>
      </c>
      <c r="M77" s="377">
        <f>IF('Estimate Summary'!$D$9&lt;7,0,$G77)</f>
        <v>0</v>
      </c>
      <c r="N77" s="365"/>
    </row>
    <row r="78" spans="3:14">
      <c r="D78" s="175" t="s">
        <v>128</v>
      </c>
      <c r="F78" s="377">
        <f t="shared" si="1"/>
        <v>0</v>
      </c>
      <c r="G78" s="377">
        <f>SUMIF('Estimate Detail'!$S$243:$S$245,D78,'Estimate Detail'!$H$243:$H$245)</f>
        <v>0</v>
      </c>
      <c r="H78" s="377">
        <f>IF('Estimate Summary'!$D$9&lt;2,0,$G78)</f>
        <v>0</v>
      </c>
      <c r="I78" s="377">
        <f>IF('Estimate Summary'!$D$9&lt;3,0,$G78)</f>
        <v>0</v>
      </c>
      <c r="J78" s="377">
        <f>IF('Estimate Summary'!$D$9&lt;4,0,$G78)</f>
        <v>0</v>
      </c>
      <c r="K78" s="377">
        <f>IF('Estimate Summary'!$D$9&lt;5,0,$G78)</f>
        <v>0</v>
      </c>
      <c r="L78" s="377">
        <f>IF('Estimate Summary'!$D$9&lt;6,0,$G78)</f>
        <v>0</v>
      </c>
      <c r="M78" s="377">
        <f>IF('Estimate Summary'!$D$9&lt;7,0,$G78)</f>
        <v>0</v>
      </c>
      <c r="N78" s="365"/>
    </row>
    <row r="79" spans="3:14">
      <c r="D79" s="175" t="s">
        <v>129</v>
      </c>
      <c r="F79" s="377">
        <f t="shared" si="1"/>
        <v>0</v>
      </c>
      <c r="G79" s="377">
        <f>SUMIF('Estimate Detail'!$S$243:$S$245,D79,'Estimate Detail'!$H$243:$H$245)</f>
        <v>0</v>
      </c>
      <c r="H79" s="377">
        <f>IF('Estimate Summary'!$D$9&lt;2,0,$G79)</f>
        <v>0</v>
      </c>
      <c r="I79" s="377">
        <f>IF('Estimate Summary'!$D$9&lt;3,0,$G79)</f>
        <v>0</v>
      </c>
      <c r="J79" s="377">
        <f>IF('Estimate Summary'!$D$9&lt;4,0,$G79)</f>
        <v>0</v>
      </c>
      <c r="K79" s="377">
        <f>IF('Estimate Summary'!$D$9&lt;5,0,$G79)</f>
        <v>0</v>
      </c>
      <c r="L79" s="377">
        <f>IF('Estimate Summary'!$D$9&lt;6,0,$G79)</f>
        <v>0</v>
      </c>
      <c r="M79" s="377">
        <f>IF('Estimate Summary'!$D$9&lt;7,0,$G79)</f>
        <v>0</v>
      </c>
      <c r="N79" s="365"/>
    </row>
    <row r="80" spans="3:14">
      <c r="C80" s="284" t="s">
        <v>207</v>
      </c>
      <c r="D80" s="175" t="s">
        <v>127</v>
      </c>
      <c r="F80" s="377">
        <f t="shared" si="1"/>
        <v>0</v>
      </c>
      <c r="G80" s="377">
        <f>SUMIF('Estimate Detail'!$S$235:$S$240,D80,'Estimate Detail'!$H$235:$H$240)</f>
        <v>0</v>
      </c>
      <c r="H80" s="377">
        <f>IF('Estimate Summary'!$D$9&lt;2,0,$G80)</f>
        <v>0</v>
      </c>
      <c r="I80" s="377">
        <f>IF('Estimate Summary'!$D$9&lt;3,0,$G80)</f>
        <v>0</v>
      </c>
      <c r="J80" s="377">
        <f>IF('Estimate Summary'!$D$9&lt;4,0,$G80)</f>
        <v>0</v>
      </c>
      <c r="K80" s="377">
        <f>IF('Estimate Summary'!$D$9&lt;5,0,$G80)</f>
        <v>0</v>
      </c>
      <c r="L80" s="377">
        <f>IF('Estimate Summary'!$D$9&lt;6,0,$G80)</f>
        <v>0</v>
      </c>
      <c r="M80" s="377">
        <f>IF('Estimate Summary'!$D$9&lt;7,0,$G80)</f>
        <v>0</v>
      </c>
      <c r="N80" s="365"/>
    </row>
    <row r="81" spans="2:14">
      <c r="D81" s="175" t="s">
        <v>128</v>
      </c>
      <c r="F81" s="377">
        <f t="shared" si="1"/>
        <v>0</v>
      </c>
      <c r="G81" s="377">
        <f>SUMIF('Estimate Detail'!$S$235:$S$240,D81,'Estimate Detail'!$H$235:$H$240)</f>
        <v>0</v>
      </c>
      <c r="H81" s="377">
        <f>IF('Estimate Summary'!$D$9&lt;2,0,$G81)</f>
        <v>0</v>
      </c>
      <c r="I81" s="377">
        <f>IF('Estimate Summary'!$D$9&lt;3,0,$G81)</f>
        <v>0</v>
      </c>
      <c r="J81" s="377">
        <f>IF('Estimate Summary'!$D$9&lt;4,0,$G81)</f>
        <v>0</v>
      </c>
      <c r="K81" s="377">
        <f>IF('Estimate Summary'!$D$9&lt;5,0,$G81)</f>
        <v>0</v>
      </c>
      <c r="L81" s="377">
        <f>IF('Estimate Summary'!$D$9&lt;6,0,$G81)</f>
        <v>0</v>
      </c>
      <c r="M81" s="377">
        <f>IF('Estimate Summary'!$D$9&lt;7,0,$G81)</f>
        <v>0</v>
      </c>
      <c r="N81" s="365"/>
    </row>
    <row r="82" spans="2:14">
      <c r="D82" s="175" t="s">
        <v>129</v>
      </c>
      <c r="F82" s="377">
        <f t="shared" si="1"/>
        <v>0</v>
      </c>
      <c r="G82" s="377">
        <f>SUMIF('Estimate Detail'!$S$235:$S$240,D82,'Estimate Detail'!$H$235:$H$240)</f>
        <v>0</v>
      </c>
      <c r="H82" s="377">
        <f>IF('Estimate Summary'!$D$9&lt;2,0,$G82)</f>
        <v>0</v>
      </c>
      <c r="I82" s="377">
        <f>IF('Estimate Summary'!$D$9&lt;3,0,$G82)</f>
        <v>0</v>
      </c>
      <c r="J82" s="377">
        <f>IF('Estimate Summary'!$D$9&lt;4,0,$G82)</f>
        <v>0</v>
      </c>
      <c r="K82" s="377">
        <f>IF('Estimate Summary'!$D$9&lt;5,0,$G82)</f>
        <v>0</v>
      </c>
      <c r="L82" s="377">
        <f>IF('Estimate Summary'!$D$9&lt;6,0,$G82)</f>
        <v>0</v>
      </c>
      <c r="M82" s="377">
        <f>IF('Estimate Summary'!$D$9&lt;7,0,$G82)</f>
        <v>0</v>
      </c>
      <c r="N82" s="365"/>
    </row>
    <row r="83" spans="2:14">
      <c r="D83" s="175"/>
      <c r="F83" s="377"/>
      <c r="G83" s="377"/>
      <c r="H83" s="377"/>
      <c r="I83" s="377"/>
      <c r="J83" s="377"/>
      <c r="K83" s="377"/>
      <c r="L83" s="377"/>
      <c r="M83" s="377"/>
      <c r="N83" s="365"/>
    </row>
    <row r="84" spans="2:14">
      <c r="D84" s="175"/>
      <c r="F84" s="377"/>
      <c r="G84" s="377"/>
      <c r="H84" s="377"/>
      <c r="I84" s="377"/>
      <c r="J84" s="377"/>
      <c r="K84" s="377"/>
      <c r="L84" s="377"/>
      <c r="M84" s="377"/>
      <c r="N84" s="365"/>
    </row>
    <row r="85" spans="2:14" ht="13.5" thickBot="1">
      <c r="D85" s="175"/>
      <c r="F85" s="378"/>
      <c r="G85" s="378"/>
      <c r="H85" s="378"/>
      <c r="I85" s="378"/>
      <c r="J85" s="378"/>
      <c r="K85" s="378"/>
      <c r="L85" s="378"/>
      <c r="M85" s="378"/>
      <c r="N85" s="365"/>
    </row>
    <row r="86" spans="2:14" ht="13.5" thickTop="1">
      <c r="B86" s="364" t="s">
        <v>189</v>
      </c>
      <c r="F86" s="377" t="e">
        <f>SUM(F37:F85)</f>
        <v>#N/A</v>
      </c>
      <c r="G86" s="377" t="e">
        <f>SUM(G37:G85)</f>
        <v>#N/A</v>
      </c>
      <c r="H86" s="377">
        <f t="shared" ref="H86:M86" si="4">SUM(H37:H85)</f>
        <v>0</v>
      </c>
      <c r="I86" s="377">
        <f t="shared" si="4"/>
        <v>0</v>
      </c>
      <c r="J86" s="377">
        <f t="shared" si="4"/>
        <v>0</v>
      </c>
      <c r="K86" s="377">
        <f t="shared" si="4"/>
        <v>0</v>
      </c>
      <c r="L86" s="377">
        <f t="shared" si="4"/>
        <v>0</v>
      </c>
      <c r="M86" s="377">
        <f t="shared" si="4"/>
        <v>0</v>
      </c>
      <c r="N86" s="365"/>
    </row>
    <row r="88" spans="2:14">
      <c r="C88" s="364" t="s">
        <v>29</v>
      </c>
      <c r="F88" s="377" t="e">
        <f>+F34+F86</f>
        <v>#REF!</v>
      </c>
      <c r="G88" s="377" t="e">
        <f>+G34+G86</f>
        <v>#REF!</v>
      </c>
      <c r="H88" s="377">
        <f t="shared" ref="H88:M88" si="5">+H34+H86</f>
        <v>0</v>
      </c>
      <c r="I88" s="377">
        <f t="shared" si="5"/>
        <v>0</v>
      </c>
      <c r="J88" s="377">
        <f t="shared" si="5"/>
        <v>0</v>
      </c>
      <c r="K88" s="377">
        <f t="shared" si="5"/>
        <v>0</v>
      </c>
      <c r="L88" s="377">
        <f t="shared" si="5"/>
        <v>0</v>
      </c>
      <c r="M88" s="377">
        <f t="shared" si="5"/>
        <v>0</v>
      </c>
      <c r="N88" s="365"/>
    </row>
    <row r="90" spans="2:14">
      <c r="C90" s="282" t="s">
        <v>30</v>
      </c>
      <c r="D90" s="175"/>
      <c r="E90" s="370" t="e">
        <f>+F90/F$93</f>
        <v>#REF!</v>
      </c>
      <c r="F90" s="363" t="e">
        <f>SUMIF($D7:$D85,"Q",$F7:$F85)</f>
        <v>#REF!</v>
      </c>
    </row>
    <row r="91" spans="2:14">
      <c r="C91" s="368" t="s">
        <v>262</v>
      </c>
      <c r="D91" s="175"/>
      <c r="E91" s="370" t="e">
        <f>+F91/F$93</f>
        <v>#REF!</v>
      </c>
      <c r="F91" s="363" t="e">
        <f>SUMIF($D7:$D85,"R",$F7:$F85)</f>
        <v>#REF!</v>
      </c>
    </row>
    <row r="92" spans="2:14" ht="13.5" thickBot="1">
      <c r="C92" s="282" t="s">
        <v>31</v>
      </c>
      <c r="D92" s="175"/>
      <c r="E92" s="371" t="e">
        <f>+F92/F$93</f>
        <v>#REF!</v>
      </c>
      <c r="F92" s="366" t="e">
        <f>SUMIF($D7:$D85,"E",$F7:$F85)</f>
        <v>#REF!</v>
      </c>
    </row>
    <row r="93" spans="2:14" ht="13.5" thickTop="1">
      <c r="C93" s="364" t="s">
        <v>62</v>
      </c>
      <c r="E93" s="370" t="e">
        <f>SUM(E90:E92)</f>
        <v>#REF!</v>
      </c>
      <c r="F93" s="994" t="e">
        <f>SUM(F90:F92)</f>
        <v>#REF!</v>
      </c>
    </row>
    <row r="97" spans="5:6">
      <c r="E97" s="368" t="s">
        <v>139</v>
      </c>
      <c r="F97" s="949" t="e">
        <f>F93-('Estimate Summary'!L26+'Estimate Summary'!L27+'Estimate Summary'!L28)</f>
        <v>#REF!</v>
      </c>
    </row>
    <row r="98" spans="5:6">
      <c r="F98" s="379" t="e">
        <f>F88-F93</f>
        <v>#REF!</v>
      </c>
    </row>
    <row r="101" spans="5:6">
      <c r="F101" s="379"/>
    </row>
    <row r="115" spans="2:16" ht="13.5" thickBot="1"/>
    <row r="116" spans="2:16">
      <c r="B116" s="695" t="s">
        <v>159</v>
      </c>
      <c r="C116" t="s">
        <v>433</v>
      </c>
      <c r="D116"/>
      <c r="E116"/>
      <c r="F116" s="524"/>
      <c r="G116" s="525" t="s">
        <v>272</v>
      </c>
      <c r="H116"/>
      <c r="I116" s="695" t="s">
        <v>159</v>
      </c>
      <c r="J116" t="s">
        <v>433</v>
      </c>
      <c r="K116"/>
      <c r="L116"/>
      <c r="M116"/>
      <c r="N116"/>
      <c r="O116"/>
      <c r="P116"/>
    </row>
    <row r="117" spans="2:16">
      <c r="B117" s="986" t="s">
        <v>129</v>
      </c>
      <c r="C117" s="793">
        <v>833819.92676923063</v>
      </c>
      <c r="D117"/>
      <c r="E117"/>
      <c r="F117" s="526" t="s">
        <v>121</v>
      </c>
      <c r="G117" s="527" t="e">
        <f>SUMIF($B$117:$B$127,F117,$C$117:$C$127)/1000</f>
        <v>#N/A</v>
      </c>
      <c r="H117"/>
      <c r="I117" s="986" t="s">
        <v>129</v>
      </c>
      <c r="J117" s="793">
        <v>833819.92676923063</v>
      </c>
      <c r="K117"/>
      <c r="L117"/>
      <c r="M117"/>
      <c r="N117"/>
      <c r="O117"/>
      <c r="P117"/>
    </row>
    <row r="118" spans="2:16">
      <c r="B118" s="986" t="s">
        <v>127</v>
      </c>
      <c r="C118" s="793" t="e">
        <v>#N/A</v>
      </c>
      <c r="D118"/>
      <c r="E118"/>
      <c r="F118" s="526" t="s">
        <v>267</v>
      </c>
      <c r="G118" s="527">
        <f>SUMIF($B$117:$B$127,F118,$C$117:$C$127)/1000</f>
        <v>0</v>
      </c>
      <c r="H118"/>
      <c r="I118" s="986" t="s">
        <v>127</v>
      </c>
      <c r="J118" s="793" t="e">
        <v>#N/A</v>
      </c>
      <c r="K118"/>
      <c r="L118"/>
      <c r="M118"/>
      <c r="N118"/>
      <c r="O118"/>
      <c r="P118"/>
    </row>
    <row r="119" spans="2:16" ht="13.5" thickBot="1">
      <c r="B119" s="986">
        <v>0</v>
      </c>
      <c r="C119" s="793" t="e">
        <v>#N/A</v>
      </c>
      <c r="D119"/>
      <c r="E119"/>
      <c r="F119" s="528" t="s">
        <v>129</v>
      </c>
      <c r="G119" s="529">
        <f>(SUMIF($B$117:$B$127,F119,$C$117:$C$127)+SUMIF($B$117:$B$127,"Q/E",$C$117:$C$127))/1000</f>
        <v>833.81992676923062</v>
      </c>
      <c r="H119"/>
      <c r="I119" s="986">
        <v>0</v>
      </c>
      <c r="J119" s="793" t="e">
        <v>#N/A</v>
      </c>
      <c r="K119"/>
      <c r="L119"/>
      <c r="M119"/>
      <c r="N119"/>
      <c r="O119"/>
      <c r="P119"/>
    </row>
    <row r="120" spans="2:16" ht="15">
      <c r="B120" s="986" t="s">
        <v>1242</v>
      </c>
      <c r="C120" s="793" t="e">
        <v>#N/A</v>
      </c>
      <c r="D120"/>
      <c r="E120"/>
      <c r="F120" s="530" t="s">
        <v>273</v>
      </c>
      <c r="G120" s="531" t="e">
        <f>SUM(G117:G119)</f>
        <v>#N/A</v>
      </c>
      <c r="H120" s="993"/>
      <c r="I120" s="986" t="s">
        <v>1242</v>
      </c>
      <c r="J120" s="793" t="e">
        <v>#N/A</v>
      </c>
      <c r="K120"/>
      <c r="L120"/>
      <c r="M120"/>
      <c r="N120"/>
      <c r="O120"/>
      <c r="P120"/>
    </row>
    <row r="121" spans="2:16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>
      <c r="B122" s="921" t="e">
        <f>'Estimate Detail'!#REF!</f>
        <v>#REF!</v>
      </c>
      <c r="C122" s="551" t="e">
        <f>'Estimate Detail'!#REF!*1000</f>
        <v>#REF!</v>
      </c>
      <c r="D122"/>
      <c r="E122" s="532" t="e">
        <f>'Estimate Detail'!#REF!</f>
        <v>#REF!</v>
      </c>
      <c r="F122" s="533"/>
      <c r="G122"/>
      <c r="H122"/>
      <c r="I122" s="728"/>
      <c r="J122" s="728"/>
      <c r="K122" s="728"/>
      <c r="L122" s="1285" t="s">
        <v>269</v>
      </c>
      <c r="M122"/>
      <c r="N122" t="s">
        <v>433</v>
      </c>
      <c r="O122"/>
      <c r="P122"/>
    </row>
    <row r="123" spans="2:16">
      <c r="B123" s="921" t="e">
        <f>'Estimate Detail'!#REF!</f>
        <v>#REF!</v>
      </c>
      <c r="C123" s="551" t="e">
        <f>'Estimate Detail'!#REF!*1000</f>
        <v>#REF!</v>
      </c>
      <c r="D123" s="523"/>
      <c r="E123" s="80" t="e">
        <f>'Estimate Detail'!#REF!</f>
        <v>#REF!</v>
      </c>
      <c r="F123" s="535"/>
      <c r="G123"/>
      <c r="H123"/>
      <c r="I123" s="728"/>
      <c r="J123" s="728"/>
      <c r="K123" s="1286" t="s">
        <v>218</v>
      </c>
      <c r="L123" s="1287" t="e">
        <f>F92</f>
        <v>#REF!</v>
      </c>
      <c r="M123"/>
      <c r="N123" s="793" t="e">
        <v>#N/A</v>
      </c>
      <c r="O123"/>
      <c r="P123"/>
    </row>
    <row r="124" spans="2:16">
      <c r="B124" s="534" t="e">
        <f>'Estimate Detail'!#REF!</f>
        <v>#REF!</v>
      </c>
      <c r="C124" s="551" t="e">
        <f>'Estimate Detail'!#REF!*1000</f>
        <v>#REF!</v>
      </c>
      <c r="D124" s="523"/>
      <c r="E124" s="80" t="e">
        <f>'Estimate Detail'!#REF!</f>
        <v>#REF!</v>
      </c>
      <c r="F124" s="535"/>
      <c r="G124"/>
      <c r="H124"/>
      <c r="I124" s="1288" t="s">
        <v>584</v>
      </c>
      <c r="J124" s="1289" t="e">
        <f>L124/L123</f>
        <v>#REF!</v>
      </c>
      <c r="K124" s="1286" t="s">
        <v>585</v>
      </c>
      <c r="L124" s="1342" t="e">
        <f>SUM(C122:C127)/1000-C127/1000</f>
        <v>#REF!</v>
      </c>
      <c r="M124"/>
      <c r="N124"/>
      <c r="O124"/>
      <c r="P124"/>
    </row>
    <row r="125" spans="2:16">
      <c r="B125" s="534" t="e">
        <f>'Estimate Detail'!#REF!</f>
        <v>#REF!</v>
      </c>
      <c r="C125" s="551" t="e">
        <f>'Estimate Detail'!#REF!*1000</f>
        <v>#REF!</v>
      </c>
      <c r="D125" s="523"/>
      <c r="E125" s="80" t="e">
        <f>'Estimate Detail'!#REF!</f>
        <v>#REF!</v>
      </c>
      <c r="F125" s="535"/>
      <c r="G125"/>
      <c r="H125"/>
      <c r="I125" s="728"/>
      <c r="J125" s="728"/>
      <c r="K125" s="1286" t="s">
        <v>165</v>
      </c>
      <c r="L125" s="1287">
        <f>O123/1000</f>
        <v>0</v>
      </c>
      <c r="M125"/>
      <c r="N125"/>
      <c r="O125"/>
      <c r="P125"/>
    </row>
    <row r="126" spans="2:16">
      <c r="B126" s="534" t="e">
        <f>'Estimate Detail'!#REF!</f>
        <v>#REF!</v>
      </c>
      <c r="C126" s="551" t="e">
        <f>'Estimate Detail'!#REF!*1000</f>
        <v>#REF!</v>
      </c>
      <c r="D126" s="523"/>
      <c r="E126" s="80" t="e">
        <f>'Estimate Detail'!#REF!</f>
        <v>#REF!</v>
      </c>
      <c r="F126" s="535"/>
      <c r="G126"/>
      <c r="H126"/>
      <c r="I126"/>
      <c r="J126"/>
      <c r="K126"/>
      <c r="L126"/>
      <c r="M126"/>
      <c r="N126"/>
      <c r="O126"/>
      <c r="P126"/>
    </row>
    <row r="127" spans="2:16">
      <c r="B127" s="536" t="e">
        <f>'Estimate Detail'!#REF!</f>
        <v>#REF!</v>
      </c>
      <c r="C127" s="552" t="e">
        <f>'Estimate Detail'!#REF!*1000</f>
        <v>#REF!</v>
      </c>
      <c r="D127" s="538"/>
      <c r="E127" s="537" t="e">
        <f>'Estimate Detail'!#REF!</f>
        <v>#REF!</v>
      </c>
      <c r="F127" s="539"/>
      <c r="G127"/>
      <c r="H127"/>
      <c r="I127"/>
      <c r="J127"/>
      <c r="K127"/>
      <c r="L127"/>
      <c r="M127"/>
      <c r="N127"/>
      <c r="O127"/>
      <c r="P127"/>
    </row>
    <row r="128" spans="2:16">
      <c r="B128"/>
      <c r="C128" s="995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>
      <c r="B130" s="523"/>
      <c r="C130" s="522"/>
      <c r="D130" s="523"/>
      <c r="I130"/>
      <c r="J130"/>
      <c r="K130"/>
      <c r="L130"/>
      <c r="M130"/>
      <c r="N130"/>
      <c r="O130"/>
      <c r="P130"/>
    </row>
    <row r="131" spans="2:16">
      <c r="B131" s="523"/>
      <c r="C131" s="522"/>
      <c r="D131" s="523"/>
      <c r="I131"/>
      <c r="J131"/>
      <c r="K131"/>
      <c r="L131"/>
      <c r="M131"/>
      <c r="N131"/>
      <c r="O131"/>
      <c r="P131"/>
    </row>
    <row r="132" spans="2:16">
      <c r="I132"/>
      <c r="J132"/>
      <c r="K132"/>
      <c r="L132"/>
      <c r="M132"/>
      <c r="N132"/>
      <c r="O132"/>
      <c r="P132"/>
    </row>
    <row r="133" spans="2:16">
      <c r="I133"/>
      <c r="J133"/>
      <c r="K133"/>
      <c r="L133"/>
      <c r="M133"/>
      <c r="N133"/>
      <c r="O133"/>
      <c r="P133"/>
    </row>
    <row r="134" spans="2:16">
      <c r="I134"/>
      <c r="J134"/>
      <c r="K134"/>
      <c r="L134"/>
      <c r="M134"/>
      <c r="N134"/>
      <c r="O134"/>
      <c r="P134"/>
    </row>
    <row r="135" spans="2:16">
      <c r="I135"/>
      <c r="J135"/>
      <c r="K135"/>
      <c r="L135"/>
      <c r="M135"/>
      <c r="N135"/>
      <c r="O135"/>
      <c r="P135"/>
    </row>
    <row r="136" spans="2:16">
      <c r="I136"/>
      <c r="J136"/>
      <c r="K136"/>
      <c r="L136"/>
      <c r="M136"/>
      <c r="N136"/>
      <c r="O136"/>
      <c r="P136"/>
    </row>
    <row r="137" spans="2:16">
      <c r="I137"/>
      <c r="J137"/>
      <c r="K137"/>
      <c r="L137"/>
      <c r="M137"/>
      <c r="N137"/>
      <c r="O137"/>
      <c r="P137"/>
    </row>
    <row r="138" spans="2:16">
      <c r="I138"/>
      <c r="J138"/>
      <c r="K138"/>
      <c r="L138"/>
      <c r="M138"/>
      <c r="N138"/>
      <c r="O138"/>
      <c r="P138"/>
    </row>
    <row r="139" spans="2:16">
      <c r="I139"/>
      <c r="J139"/>
      <c r="K139"/>
      <c r="L139"/>
      <c r="M139"/>
      <c r="N139"/>
      <c r="O139"/>
      <c r="P139"/>
    </row>
    <row r="140" spans="2:16">
      <c r="I140"/>
      <c r="J140"/>
      <c r="K140"/>
      <c r="L140"/>
      <c r="M140"/>
      <c r="N140"/>
      <c r="O140"/>
      <c r="P140"/>
    </row>
    <row r="141" spans="2:16">
      <c r="I141"/>
      <c r="J141"/>
      <c r="K141"/>
      <c r="L141"/>
      <c r="M141"/>
      <c r="N141"/>
      <c r="O141"/>
      <c r="P141"/>
    </row>
    <row r="142" spans="2:16">
      <c r="I142"/>
      <c r="J142"/>
      <c r="K142"/>
      <c r="L142"/>
      <c r="M142"/>
      <c r="N142"/>
      <c r="O142"/>
      <c r="P142"/>
    </row>
    <row r="143" spans="2:16">
      <c r="I143"/>
      <c r="J143"/>
      <c r="K143"/>
      <c r="L143"/>
      <c r="M143"/>
      <c r="N143"/>
      <c r="O143"/>
      <c r="P143"/>
    </row>
    <row r="144" spans="2:16">
      <c r="I144"/>
      <c r="J144"/>
      <c r="K144"/>
      <c r="L144"/>
      <c r="M144"/>
      <c r="N144"/>
      <c r="O144"/>
      <c r="P144"/>
    </row>
  </sheetData>
  <phoneticPr fontId="0" type="noConversion"/>
  <pageMargins left="0.75" right="0.19" top="0.61" bottom="0.56999999999999995" header="0.3" footer="0.28999999999999998"/>
  <pageSetup scale="57" orientation="portrait" r:id="rId4"/>
  <headerFooter alignWithMargins="0">
    <oddHeader>&amp;C&amp;"Arial,Bold"&amp;14Pricing Accuracy</oddHeader>
    <oddFooter>&amp;L&amp;F &amp;A &amp;D &amp;T&amp;CDollars By Thousands&amp;RFelix Rev. 9 dated 3/14/05
Page &amp;P of &amp;N</oddFooter>
  </headerFooter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3"/>
  <dimension ref="B1:O104"/>
  <sheetViews>
    <sheetView showGridLines="0" showZeros="0" zoomScale="80" zoomScaleNormal="80" workbookViewId="0">
      <selection activeCell="C19" sqref="C19"/>
    </sheetView>
  </sheetViews>
  <sheetFormatPr defaultRowHeight="14.25" outlineLevelCol="1"/>
  <cols>
    <col min="1" max="1" width="2.140625" style="1100" customWidth="1"/>
    <col min="2" max="2" width="20.5703125" style="1100" customWidth="1"/>
    <col min="3" max="3" width="44.140625" style="1099" customWidth="1"/>
    <col min="4" max="4" width="13.28515625" style="1263" hidden="1" customWidth="1" outlineLevel="1"/>
    <col min="5" max="5" width="8" style="1263" hidden="1" customWidth="1" outlineLevel="1"/>
    <col min="6" max="6" width="13" style="1263" hidden="1" customWidth="1" outlineLevel="1"/>
    <col min="7" max="7" width="10.7109375" style="1263" hidden="1" customWidth="1" outlineLevel="1"/>
    <col min="8" max="8" width="28.28515625" style="1264" hidden="1" customWidth="1" outlineLevel="1" collapsed="1"/>
    <col min="9" max="10" width="14.28515625" style="1265" hidden="1" customWidth="1" outlineLevel="1"/>
    <col min="11" max="11" width="13.5703125" style="1265" hidden="1" customWidth="1" outlineLevel="1" collapsed="1"/>
    <col min="12" max="12" width="15.42578125" style="1266" customWidth="1" collapsed="1"/>
    <col min="13" max="14" width="13.7109375" style="1267" customWidth="1"/>
    <col min="15" max="15" width="31.42578125" style="1099" customWidth="1"/>
    <col min="16" max="254" width="9.140625" style="1100"/>
    <col min="255" max="255" width="3.7109375" style="1100" customWidth="1"/>
    <col min="256" max="256" width="22.140625" style="1100" customWidth="1"/>
    <col min="257" max="257" width="44.140625" style="1100" customWidth="1"/>
    <col min="258" max="261" width="0" style="1100" hidden="1" customWidth="1"/>
    <col min="262" max="262" width="33" style="1100" customWidth="1"/>
    <col min="263" max="266" width="0" style="1100" hidden="1" customWidth="1"/>
    <col min="267" max="267" width="33" style="1100" customWidth="1"/>
    <col min="268" max="268" width="0" style="1100" hidden="1" customWidth="1"/>
    <col min="269" max="270" width="30.7109375" style="1100" customWidth="1"/>
    <col min="271" max="271" width="41.5703125" style="1100" customWidth="1"/>
    <col min="272" max="510" width="9.140625" style="1100"/>
    <col min="511" max="511" width="3.7109375" style="1100" customWidth="1"/>
    <col min="512" max="512" width="22.140625" style="1100" customWidth="1"/>
    <col min="513" max="513" width="44.140625" style="1100" customWidth="1"/>
    <col min="514" max="517" width="0" style="1100" hidden="1" customWidth="1"/>
    <col min="518" max="518" width="33" style="1100" customWidth="1"/>
    <col min="519" max="522" width="0" style="1100" hidden="1" customWidth="1"/>
    <col min="523" max="523" width="33" style="1100" customWidth="1"/>
    <col min="524" max="524" width="0" style="1100" hidden="1" customWidth="1"/>
    <col min="525" max="526" width="30.7109375" style="1100" customWidth="1"/>
    <col min="527" max="527" width="41.5703125" style="1100" customWidth="1"/>
    <col min="528" max="766" width="9.140625" style="1100"/>
    <col min="767" max="767" width="3.7109375" style="1100" customWidth="1"/>
    <col min="768" max="768" width="22.140625" style="1100" customWidth="1"/>
    <col min="769" max="769" width="44.140625" style="1100" customWidth="1"/>
    <col min="770" max="773" width="0" style="1100" hidden="1" customWidth="1"/>
    <col min="774" max="774" width="33" style="1100" customWidth="1"/>
    <col min="775" max="778" width="0" style="1100" hidden="1" customWidth="1"/>
    <col min="779" max="779" width="33" style="1100" customWidth="1"/>
    <col min="780" max="780" width="0" style="1100" hidden="1" customWidth="1"/>
    <col min="781" max="782" width="30.7109375" style="1100" customWidth="1"/>
    <col min="783" max="783" width="41.5703125" style="1100" customWidth="1"/>
    <col min="784" max="1022" width="9.140625" style="1100"/>
    <col min="1023" max="1023" width="3.7109375" style="1100" customWidth="1"/>
    <col min="1024" max="1024" width="22.140625" style="1100" customWidth="1"/>
    <col min="1025" max="1025" width="44.140625" style="1100" customWidth="1"/>
    <col min="1026" max="1029" width="0" style="1100" hidden="1" customWidth="1"/>
    <col min="1030" max="1030" width="33" style="1100" customWidth="1"/>
    <col min="1031" max="1034" width="0" style="1100" hidden="1" customWidth="1"/>
    <col min="1035" max="1035" width="33" style="1100" customWidth="1"/>
    <col min="1036" max="1036" width="0" style="1100" hidden="1" customWidth="1"/>
    <col min="1037" max="1038" width="30.7109375" style="1100" customWidth="1"/>
    <col min="1039" max="1039" width="41.5703125" style="1100" customWidth="1"/>
    <col min="1040" max="1278" width="9.140625" style="1100"/>
    <col min="1279" max="1279" width="3.7109375" style="1100" customWidth="1"/>
    <col min="1280" max="1280" width="22.140625" style="1100" customWidth="1"/>
    <col min="1281" max="1281" width="44.140625" style="1100" customWidth="1"/>
    <col min="1282" max="1285" width="0" style="1100" hidden="1" customWidth="1"/>
    <col min="1286" max="1286" width="33" style="1100" customWidth="1"/>
    <col min="1287" max="1290" width="0" style="1100" hidden="1" customWidth="1"/>
    <col min="1291" max="1291" width="33" style="1100" customWidth="1"/>
    <col min="1292" max="1292" width="0" style="1100" hidden="1" customWidth="1"/>
    <col min="1293" max="1294" width="30.7109375" style="1100" customWidth="1"/>
    <col min="1295" max="1295" width="41.5703125" style="1100" customWidth="1"/>
    <col min="1296" max="1534" width="9.140625" style="1100"/>
    <col min="1535" max="1535" width="3.7109375" style="1100" customWidth="1"/>
    <col min="1536" max="1536" width="22.140625" style="1100" customWidth="1"/>
    <col min="1537" max="1537" width="44.140625" style="1100" customWidth="1"/>
    <col min="1538" max="1541" width="0" style="1100" hidden="1" customWidth="1"/>
    <col min="1542" max="1542" width="33" style="1100" customWidth="1"/>
    <col min="1543" max="1546" width="0" style="1100" hidden="1" customWidth="1"/>
    <col min="1547" max="1547" width="33" style="1100" customWidth="1"/>
    <col min="1548" max="1548" width="0" style="1100" hidden="1" customWidth="1"/>
    <col min="1549" max="1550" width="30.7109375" style="1100" customWidth="1"/>
    <col min="1551" max="1551" width="41.5703125" style="1100" customWidth="1"/>
    <col min="1552" max="1790" width="9.140625" style="1100"/>
    <col min="1791" max="1791" width="3.7109375" style="1100" customWidth="1"/>
    <col min="1792" max="1792" width="22.140625" style="1100" customWidth="1"/>
    <col min="1793" max="1793" width="44.140625" style="1100" customWidth="1"/>
    <col min="1794" max="1797" width="0" style="1100" hidden="1" customWidth="1"/>
    <col min="1798" max="1798" width="33" style="1100" customWidth="1"/>
    <col min="1799" max="1802" width="0" style="1100" hidden="1" customWidth="1"/>
    <col min="1803" max="1803" width="33" style="1100" customWidth="1"/>
    <col min="1804" max="1804" width="0" style="1100" hidden="1" customWidth="1"/>
    <col min="1805" max="1806" width="30.7109375" style="1100" customWidth="1"/>
    <col min="1807" max="1807" width="41.5703125" style="1100" customWidth="1"/>
    <col min="1808" max="2046" width="9.140625" style="1100"/>
    <col min="2047" max="2047" width="3.7109375" style="1100" customWidth="1"/>
    <col min="2048" max="2048" width="22.140625" style="1100" customWidth="1"/>
    <col min="2049" max="2049" width="44.140625" style="1100" customWidth="1"/>
    <col min="2050" max="2053" width="0" style="1100" hidden="1" customWidth="1"/>
    <col min="2054" max="2054" width="33" style="1100" customWidth="1"/>
    <col min="2055" max="2058" width="0" style="1100" hidden="1" customWidth="1"/>
    <col min="2059" max="2059" width="33" style="1100" customWidth="1"/>
    <col min="2060" max="2060" width="0" style="1100" hidden="1" customWidth="1"/>
    <col min="2061" max="2062" width="30.7109375" style="1100" customWidth="1"/>
    <col min="2063" max="2063" width="41.5703125" style="1100" customWidth="1"/>
    <col min="2064" max="2302" width="9.140625" style="1100"/>
    <col min="2303" max="2303" width="3.7109375" style="1100" customWidth="1"/>
    <col min="2304" max="2304" width="22.140625" style="1100" customWidth="1"/>
    <col min="2305" max="2305" width="44.140625" style="1100" customWidth="1"/>
    <col min="2306" max="2309" width="0" style="1100" hidden="1" customWidth="1"/>
    <col min="2310" max="2310" width="33" style="1100" customWidth="1"/>
    <col min="2311" max="2314" width="0" style="1100" hidden="1" customWidth="1"/>
    <col min="2315" max="2315" width="33" style="1100" customWidth="1"/>
    <col min="2316" max="2316" width="0" style="1100" hidden="1" customWidth="1"/>
    <col min="2317" max="2318" width="30.7109375" style="1100" customWidth="1"/>
    <col min="2319" max="2319" width="41.5703125" style="1100" customWidth="1"/>
    <col min="2320" max="2558" width="9.140625" style="1100"/>
    <col min="2559" max="2559" width="3.7109375" style="1100" customWidth="1"/>
    <col min="2560" max="2560" width="22.140625" style="1100" customWidth="1"/>
    <col min="2561" max="2561" width="44.140625" style="1100" customWidth="1"/>
    <col min="2562" max="2565" width="0" style="1100" hidden="1" customWidth="1"/>
    <col min="2566" max="2566" width="33" style="1100" customWidth="1"/>
    <col min="2567" max="2570" width="0" style="1100" hidden="1" customWidth="1"/>
    <col min="2571" max="2571" width="33" style="1100" customWidth="1"/>
    <col min="2572" max="2572" width="0" style="1100" hidden="1" customWidth="1"/>
    <col min="2573" max="2574" width="30.7109375" style="1100" customWidth="1"/>
    <col min="2575" max="2575" width="41.5703125" style="1100" customWidth="1"/>
    <col min="2576" max="2814" width="9.140625" style="1100"/>
    <col min="2815" max="2815" width="3.7109375" style="1100" customWidth="1"/>
    <col min="2816" max="2816" width="22.140625" style="1100" customWidth="1"/>
    <col min="2817" max="2817" width="44.140625" style="1100" customWidth="1"/>
    <col min="2818" max="2821" width="0" style="1100" hidden="1" customWidth="1"/>
    <col min="2822" max="2822" width="33" style="1100" customWidth="1"/>
    <col min="2823" max="2826" width="0" style="1100" hidden="1" customWidth="1"/>
    <col min="2827" max="2827" width="33" style="1100" customWidth="1"/>
    <col min="2828" max="2828" width="0" style="1100" hidden="1" customWidth="1"/>
    <col min="2829" max="2830" width="30.7109375" style="1100" customWidth="1"/>
    <col min="2831" max="2831" width="41.5703125" style="1100" customWidth="1"/>
    <col min="2832" max="3070" width="9.140625" style="1100"/>
    <col min="3071" max="3071" width="3.7109375" style="1100" customWidth="1"/>
    <col min="3072" max="3072" width="22.140625" style="1100" customWidth="1"/>
    <col min="3073" max="3073" width="44.140625" style="1100" customWidth="1"/>
    <col min="3074" max="3077" width="0" style="1100" hidden="1" customWidth="1"/>
    <col min="3078" max="3078" width="33" style="1100" customWidth="1"/>
    <col min="3079" max="3082" width="0" style="1100" hidden="1" customWidth="1"/>
    <col min="3083" max="3083" width="33" style="1100" customWidth="1"/>
    <col min="3084" max="3084" width="0" style="1100" hidden="1" customWidth="1"/>
    <col min="3085" max="3086" width="30.7109375" style="1100" customWidth="1"/>
    <col min="3087" max="3087" width="41.5703125" style="1100" customWidth="1"/>
    <col min="3088" max="3326" width="9.140625" style="1100"/>
    <col min="3327" max="3327" width="3.7109375" style="1100" customWidth="1"/>
    <col min="3328" max="3328" width="22.140625" style="1100" customWidth="1"/>
    <col min="3329" max="3329" width="44.140625" style="1100" customWidth="1"/>
    <col min="3330" max="3333" width="0" style="1100" hidden="1" customWidth="1"/>
    <col min="3334" max="3334" width="33" style="1100" customWidth="1"/>
    <col min="3335" max="3338" width="0" style="1100" hidden="1" customWidth="1"/>
    <col min="3339" max="3339" width="33" style="1100" customWidth="1"/>
    <col min="3340" max="3340" width="0" style="1100" hidden="1" customWidth="1"/>
    <col min="3341" max="3342" width="30.7109375" style="1100" customWidth="1"/>
    <col min="3343" max="3343" width="41.5703125" style="1100" customWidth="1"/>
    <col min="3344" max="3582" width="9.140625" style="1100"/>
    <col min="3583" max="3583" width="3.7109375" style="1100" customWidth="1"/>
    <col min="3584" max="3584" width="22.140625" style="1100" customWidth="1"/>
    <col min="3585" max="3585" width="44.140625" style="1100" customWidth="1"/>
    <col min="3586" max="3589" width="0" style="1100" hidden="1" customWidth="1"/>
    <col min="3590" max="3590" width="33" style="1100" customWidth="1"/>
    <col min="3591" max="3594" width="0" style="1100" hidden="1" customWidth="1"/>
    <col min="3595" max="3595" width="33" style="1100" customWidth="1"/>
    <col min="3596" max="3596" width="0" style="1100" hidden="1" customWidth="1"/>
    <col min="3597" max="3598" width="30.7109375" style="1100" customWidth="1"/>
    <col min="3599" max="3599" width="41.5703125" style="1100" customWidth="1"/>
    <col min="3600" max="3838" width="9.140625" style="1100"/>
    <col min="3839" max="3839" width="3.7109375" style="1100" customWidth="1"/>
    <col min="3840" max="3840" width="22.140625" style="1100" customWidth="1"/>
    <col min="3841" max="3841" width="44.140625" style="1100" customWidth="1"/>
    <col min="3842" max="3845" width="0" style="1100" hidden="1" customWidth="1"/>
    <col min="3846" max="3846" width="33" style="1100" customWidth="1"/>
    <col min="3847" max="3850" width="0" style="1100" hidden="1" customWidth="1"/>
    <col min="3851" max="3851" width="33" style="1100" customWidth="1"/>
    <col min="3852" max="3852" width="0" style="1100" hidden="1" customWidth="1"/>
    <col min="3853" max="3854" width="30.7109375" style="1100" customWidth="1"/>
    <col min="3855" max="3855" width="41.5703125" style="1100" customWidth="1"/>
    <col min="3856" max="4094" width="9.140625" style="1100"/>
    <col min="4095" max="4095" width="3.7109375" style="1100" customWidth="1"/>
    <col min="4096" max="4096" width="22.140625" style="1100" customWidth="1"/>
    <col min="4097" max="4097" width="44.140625" style="1100" customWidth="1"/>
    <col min="4098" max="4101" width="0" style="1100" hidden="1" customWidth="1"/>
    <col min="4102" max="4102" width="33" style="1100" customWidth="1"/>
    <col min="4103" max="4106" width="0" style="1100" hidden="1" customWidth="1"/>
    <col min="4107" max="4107" width="33" style="1100" customWidth="1"/>
    <col min="4108" max="4108" width="0" style="1100" hidden="1" customWidth="1"/>
    <col min="4109" max="4110" width="30.7109375" style="1100" customWidth="1"/>
    <col min="4111" max="4111" width="41.5703125" style="1100" customWidth="1"/>
    <col min="4112" max="4350" width="9.140625" style="1100"/>
    <col min="4351" max="4351" width="3.7109375" style="1100" customWidth="1"/>
    <col min="4352" max="4352" width="22.140625" style="1100" customWidth="1"/>
    <col min="4353" max="4353" width="44.140625" style="1100" customWidth="1"/>
    <col min="4354" max="4357" width="0" style="1100" hidden="1" customWidth="1"/>
    <col min="4358" max="4358" width="33" style="1100" customWidth="1"/>
    <col min="4359" max="4362" width="0" style="1100" hidden="1" customWidth="1"/>
    <col min="4363" max="4363" width="33" style="1100" customWidth="1"/>
    <col min="4364" max="4364" width="0" style="1100" hidden="1" customWidth="1"/>
    <col min="4365" max="4366" width="30.7109375" style="1100" customWidth="1"/>
    <col min="4367" max="4367" width="41.5703125" style="1100" customWidth="1"/>
    <col min="4368" max="4606" width="9.140625" style="1100"/>
    <col min="4607" max="4607" width="3.7109375" style="1100" customWidth="1"/>
    <col min="4608" max="4608" width="22.140625" style="1100" customWidth="1"/>
    <col min="4609" max="4609" width="44.140625" style="1100" customWidth="1"/>
    <col min="4610" max="4613" width="0" style="1100" hidden="1" customWidth="1"/>
    <col min="4614" max="4614" width="33" style="1100" customWidth="1"/>
    <col min="4615" max="4618" width="0" style="1100" hidden="1" customWidth="1"/>
    <col min="4619" max="4619" width="33" style="1100" customWidth="1"/>
    <col min="4620" max="4620" width="0" style="1100" hidden="1" customWidth="1"/>
    <col min="4621" max="4622" width="30.7109375" style="1100" customWidth="1"/>
    <col min="4623" max="4623" width="41.5703125" style="1100" customWidth="1"/>
    <col min="4624" max="4862" width="9.140625" style="1100"/>
    <col min="4863" max="4863" width="3.7109375" style="1100" customWidth="1"/>
    <col min="4864" max="4864" width="22.140625" style="1100" customWidth="1"/>
    <col min="4865" max="4865" width="44.140625" style="1100" customWidth="1"/>
    <col min="4866" max="4869" width="0" style="1100" hidden="1" customWidth="1"/>
    <col min="4870" max="4870" width="33" style="1100" customWidth="1"/>
    <col min="4871" max="4874" width="0" style="1100" hidden="1" customWidth="1"/>
    <col min="4875" max="4875" width="33" style="1100" customWidth="1"/>
    <col min="4876" max="4876" width="0" style="1100" hidden="1" customWidth="1"/>
    <col min="4877" max="4878" width="30.7109375" style="1100" customWidth="1"/>
    <col min="4879" max="4879" width="41.5703125" style="1100" customWidth="1"/>
    <col min="4880" max="5118" width="9.140625" style="1100"/>
    <col min="5119" max="5119" width="3.7109375" style="1100" customWidth="1"/>
    <col min="5120" max="5120" width="22.140625" style="1100" customWidth="1"/>
    <col min="5121" max="5121" width="44.140625" style="1100" customWidth="1"/>
    <col min="5122" max="5125" width="0" style="1100" hidden="1" customWidth="1"/>
    <col min="5126" max="5126" width="33" style="1100" customWidth="1"/>
    <col min="5127" max="5130" width="0" style="1100" hidden="1" customWidth="1"/>
    <col min="5131" max="5131" width="33" style="1100" customWidth="1"/>
    <col min="5132" max="5132" width="0" style="1100" hidden="1" customWidth="1"/>
    <col min="5133" max="5134" width="30.7109375" style="1100" customWidth="1"/>
    <col min="5135" max="5135" width="41.5703125" style="1100" customWidth="1"/>
    <col min="5136" max="5374" width="9.140625" style="1100"/>
    <col min="5375" max="5375" width="3.7109375" style="1100" customWidth="1"/>
    <col min="5376" max="5376" width="22.140625" style="1100" customWidth="1"/>
    <col min="5377" max="5377" width="44.140625" style="1100" customWidth="1"/>
    <col min="5378" max="5381" width="0" style="1100" hidden="1" customWidth="1"/>
    <col min="5382" max="5382" width="33" style="1100" customWidth="1"/>
    <col min="5383" max="5386" width="0" style="1100" hidden="1" customWidth="1"/>
    <col min="5387" max="5387" width="33" style="1100" customWidth="1"/>
    <col min="5388" max="5388" width="0" style="1100" hidden="1" customWidth="1"/>
    <col min="5389" max="5390" width="30.7109375" style="1100" customWidth="1"/>
    <col min="5391" max="5391" width="41.5703125" style="1100" customWidth="1"/>
    <col min="5392" max="5630" width="9.140625" style="1100"/>
    <col min="5631" max="5631" width="3.7109375" style="1100" customWidth="1"/>
    <col min="5632" max="5632" width="22.140625" style="1100" customWidth="1"/>
    <col min="5633" max="5633" width="44.140625" style="1100" customWidth="1"/>
    <col min="5634" max="5637" width="0" style="1100" hidden="1" customWidth="1"/>
    <col min="5638" max="5638" width="33" style="1100" customWidth="1"/>
    <col min="5639" max="5642" width="0" style="1100" hidden="1" customWidth="1"/>
    <col min="5643" max="5643" width="33" style="1100" customWidth="1"/>
    <col min="5644" max="5644" width="0" style="1100" hidden="1" customWidth="1"/>
    <col min="5645" max="5646" width="30.7109375" style="1100" customWidth="1"/>
    <col min="5647" max="5647" width="41.5703125" style="1100" customWidth="1"/>
    <col min="5648" max="5886" width="9.140625" style="1100"/>
    <col min="5887" max="5887" width="3.7109375" style="1100" customWidth="1"/>
    <col min="5888" max="5888" width="22.140625" style="1100" customWidth="1"/>
    <col min="5889" max="5889" width="44.140625" style="1100" customWidth="1"/>
    <col min="5890" max="5893" width="0" style="1100" hidden="1" customWidth="1"/>
    <col min="5894" max="5894" width="33" style="1100" customWidth="1"/>
    <col min="5895" max="5898" width="0" style="1100" hidden="1" customWidth="1"/>
    <col min="5899" max="5899" width="33" style="1100" customWidth="1"/>
    <col min="5900" max="5900" width="0" style="1100" hidden="1" customWidth="1"/>
    <col min="5901" max="5902" width="30.7109375" style="1100" customWidth="1"/>
    <col min="5903" max="5903" width="41.5703125" style="1100" customWidth="1"/>
    <col min="5904" max="6142" width="9.140625" style="1100"/>
    <col min="6143" max="6143" width="3.7109375" style="1100" customWidth="1"/>
    <col min="6144" max="6144" width="22.140625" style="1100" customWidth="1"/>
    <col min="6145" max="6145" width="44.140625" style="1100" customWidth="1"/>
    <col min="6146" max="6149" width="0" style="1100" hidden="1" customWidth="1"/>
    <col min="6150" max="6150" width="33" style="1100" customWidth="1"/>
    <col min="6151" max="6154" width="0" style="1100" hidden="1" customWidth="1"/>
    <col min="6155" max="6155" width="33" style="1100" customWidth="1"/>
    <col min="6156" max="6156" width="0" style="1100" hidden="1" customWidth="1"/>
    <col min="6157" max="6158" width="30.7109375" style="1100" customWidth="1"/>
    <col min="6159" max="6159" width="41.5703125" style="1100" customWidth="1"/>
    <col min="6160" max="6398" width="9.140625" style="1100"/>
    <col min="6399" max="6399" width="3.7109375" style="1100" customWidth="1"/>
    <col min="6400" max="6400" width="22.140625" style="1100" customWidth="1"/>
    <col min="6401" max="6401" width="44.140625" style="1100" customWidth="1"/>
    <col min="6402" max="6405" width="0" style="1100" hidden="1" customWidth="1"/>
    <col min="6406" max="6406" width="33" style="1100" customWidth="1"/>
    <col min="6407" max="6410" width="0" style="1100" hidden="1" customWidth="1"/>
    <col min="6411" max="6411" width="33" style="1100" customWidth="1"/>
    <col min="6412" max="6412" width="0" style="1100" hidden="1" customWidth="1"/>
    <col min="6413" max="6414" width="30.7109375" style="1100" customWidth="1"/>
    <col min="6415" max="6415" width="41.5703125" style="1100" customWidth="1"/>
    <col min="6416" max="6654" width="9.140625" style="1100"/>
    <col min="6655" max="6655" width="3.7109375" style="1100" customWidth="1"/>
    <col min="6656" max="6656" width="22.140625" style="1100" customWidth="1"/>
    <col min="6657" max="6657" width="44.140625" style="1100" customWidth="1"/>
    <col min="6658" max="6661" width="0" style="1100" hidden="1" customWidth="1"/>
    <col min="6662" max="6662" width="33" style="1100" customWidth="1"/>
    <col min="6663" max="6666" width="0" style="1100" hidden="1" customWidth="1"/>
    <col min="6667" max="6667" width="33" style="1100" customWidth="1"/>
    <col min="6668" max="6668" width="0" style="1100" hidden="1" customWidth="1"/>
    <col min="6669" max="6670" width="30.7109375" style="1100" customWidth="1"/>
    <col min="6671" max="6671" width="41.5703125" style="1100" customWidth="1"/>
    <col min="6672" max="6910" width="9.140625" style="1100"/>
    <col min="6911" max="6911" width="3.7109375" style="1100" customWidth="1"/>
    <col min="6912" max="6912" width="22.140625" style="1100" customWidth="1"/>
    <col min="6913" max="6913" width="44.140625" style="1100" customWidth="1"/>
    <col min="6914" max="6917" width="0" style="1100" hidden="1" customWidth="1"/>
    <col min="6918" max="6918" width="33" style="1100" customWidth="1"/>
    <col min="6919" max="6922" width="0" style="1100" hidden="1" customWidth="1"/>
    <col min="6923" max="6923" width="33" style="1100" customWidth="1"/>
    <col min="6924" max="6924" width="0" style="1100" hidden="1" customWidth="1"/>
    <col min="6925" max="6926" width="30.7109375" style="1100" customWidth="1"/>
    <col min="6927" max="6927" width="41.5703125" style="1100" customWidth="1"/>
    <col min="6928" max="7166" width="9.140625" style="1100"/>
    <col min="7167" max="7167" width="3.7109375" style="1100" customWidth="1"/>
    <col min="7168" max="7168" width="22.140625" style="1100" customWidth="1"/>
    <col min="7169" max="7169" width="44.140625" style="1100" customWidth="1"/>
    <col min="7170" max="7173" width="0" style="1100" hidden="1" customWidth="1"/>
    <col min="7174" max="7174" width="33" style="1100" customWidth="1"/>
    <col min="7175" max="7178" width="0" style="1100" hidden="1" customWidth="1"/>
    <col min="7179" max="7179" width="33" style="1100" customWidth="1"/>
    <col min="7180" max="7180" width="0" style="1100" hidden="1" customWidth="1"/>
    <col min="7181" max="7182" width="30.7109375" style="1100" customWidth="1"/>
    <col min="7183" max="7183" width="41.5703125" style="1100" customWidth="1"/>
    <col min="7184" max="7422" width="9.140625" style="1100"/>
    <col min="7423" max="7423" width="3.7109375" style="1100" customWidth="1"/>
    <col min="7424" max="7424" width="22.140625" style="1100" customWidth="1"/>
    <col min="7425" max="7425" width="44.140625" style="1100" customWidth="1"/>
    <col min="7426" max="7429" width="0" style="1100" hidden="1" customWidth="1"/>
    <col min="7430" max="7430" width="33" style="1100" customWidth="1"/>
    <col min="7431" max="7434" width="0" style="1100" hidden="1" customWidth="1"/>
    <col min="7435" max="7435" width="33" style="1100" customWidth="1"/>
    <col min="7436" max="7436" width="0" style="1100" hidden="1" customWidth="1"/>
    <col min="7437" max="7438" width="30.7109375" style="1100" customWidth="1"/>
    <col min="7439" max="7439" width="41.5703125" style="1100" customWidth="1"/>
    <col min="7440" max="7678" width="9.140625" style="1100"/>
    <col min="7679" max="7679" width="3.7109375" style="1100" customWidth="1"/>
    <col min="7680" max="7680" width="22.140625" style="1100" customWidth="1"/>
    <col min="7681" max="7681" width="44.140625" style="1100" customWidth="1"/>
    <col min="7682" max="7685" width="0" style="1100" hidden="1" customWidth="1"/>
    <col min="7686" max="7686" width="33" style="1100" customWidth="1"/>
    <col min="7687" max="7690" width="0" style="1100" hidden="1" customWidth="1"/>
    <col min="7691" max="7691" width="33" style="1100" customWidth="1"/>
    <col min="7692" max="7692" width="0" style="1100" hidden="1" customWidth="1"/>
    <col min="7693" max="7694" width="30.7109375" style="1100" customWidth="1"/>
    <col min="7695" max="7695" width="41.5703125" style="1100" customWidth="1"/>
    <col min="7696" max="7934" width="9.140625" style="1100"/>
    <col min="7935" max="7935" width="3.7109375" style="1100" customWidth="1"/>
    <col min="7936" max="7936" width="22.140625" style="1100" customWidth="1"/>
    <col min="7937" max="7937" width="44.140625" style="1100" customWidth="1"/>
    <col min="7938" max="7941" width="0" style="1100" hidden="1" customWidth="1"/>
    <col min="7942" max="7942" width="33" style="1100" customWidth="1"/>
    <col min="7943" max="7946" width="0" style="1100" hidden="1" customWidth="1"/>
    <col min="7947" max="7947" width="33" style="1100" customWidth="1"/>
    <col min="7948" max="7948" width="0" style="1100" hidden="1" customWidth="1"/>
    <col min="7949" max="7950" width="30.7109375" style="1100" customWidth="1"/>
    <col min="7951" max="7951" width="41.5703125" style="1100" customWidth="1"/>
    <col min="7952" max="8190" width="9.140625" style="1100"/>
    <col min="8191" max="8191" width="3.7109375" style="1100" customWidth="1"/>
    <col min="8192" max="8192" width="22.140625" style="1100" customWidth="1"/>
    <col min="8193" max="8193" width="44.140625" style="1100" customWidth="1"/>
    <col min="8194" max="8197" width="0" style="1100" hidden="1" customWidth="1"/>
    <col min="8198" max="8198" width="33" style="1100" customWidth="1"/>
    <col min="8199" max="8202" width="0" style="1100" hidden="1" customWidth="1"/>
    <col min="8203" max="8203" width="33" style="1100" customWidth="1"/>
    <col min="8204" max="8204" width="0" style="1100" hidden="1" customWidth="1"/>
    <col min="8205" max="8206" width="30.7109375" style="1100" customWidth="1"/>
    <col min="8207" max="8207" width="41.5703125" style="1100" customWidth="1"/>
    <col min="8208" max="8446" width="9.140625" style="1100"/>
    <col min="8447" max="8447" width="3.7109375" style="1100" customWidth="1"/>
    <col min="8448" max="8448" width="22.140625" style="1100" customWidth="1"/>
    <col min="8449" max="8449" width="44.140625" style="1100" customWidth="1"/>
    <col min="8450" max="8453" width="0" style="1100" hidden="1" customWidth="1"/>
    <col min="8454" max="8454" width="33" style="1100" customWidth="1"/>
    <col min="8455" max="8458" width="0" style="1100" hidden="1" customWidth="1"/>
    <col min="8459" max="8459" width="33" style="1100" customWidth="1"/>
    <col min="8460" max="8460" width="0" style="1100" hidden="1" customWidth="1"/>
    <col min="8461" max="8462" width="30.7109375" style="1100" customWidth="1"/>
    <col min="8463" max="8463" width="41.5703125" style="1100" customWidth="1"/>
    <col min="8464" max="8702" width="9.140625" style="1100"/>
    <col min="8703" max="8703" width="3.7109375" style="1100" customWidth="1"/>
    <col min="8704" max="8704" width="22.140625" style="1100" customWidth="1"/>
    <col min="8705" max="8705" width="44.140625" style="1100" customWidth="1"/>
    <col min="8706" max="8709" width="0" style="1100" hidden="1" customWidth="1"/>
    <col min="8710" max="8710" width="33" style="1100" customWidth="1"/>
    <col min="8711" max="8714" width="0" style="1100" hidden="1" customWidth="1"/>
    <col min="8715" max="8715" width="33" style="1100" customWidth="1"/>
    <col min="8716" max="8716" width="0" style="1100" hidden="1" customWidth="1"/>
    <col min="8717" max="8718" width="30.7109375" style="1100" customWidth="1"/>
    <col min="8719" max="8719" width="41.5703125" style="1100" customWidth="1"/>
    <col min="8720" max="8958" width="9.140625" style="1100"/>
    <col min="8959" max="8959" width="3.7109375" style="1100" customWidth="1"/>
    <col min="8960" max="8960" width="22.140625" style="1100" customWidth="1"/>
    <col min="8961" max="8961" width="44.140625" style="1100" customWidth="1"/>
    <col min="8962" max="8965" width="0" style="1100" hidden="1" customWidth="1"/>
    <col min="8966" max="8966" width="33" style="1100" customWidth="1"/>
    <col min="8967" max="8970" width="0" style="1100" hidden="1" customWidth="1"/>
    <col min="8971" max="8971" width="33" style="1100" customWidth="1"/>
    <col min="8972" max="8972" width="0" style="1100" hidden="1" customWidth="1"/>
    <col min="8973" max="8974" width="30.7109375" style="1100" customWidth="1"/>
    <col min="8975" max="8975" width="41.5703125" style="1100" customWidth="1"/>
    <col min="8976" max="9214" width="9.140625" style="1100"/>
    <col min="9215" max="9215" width="3.7109375" style="1100" customWidth="1"/>
    <col min="9216" max="9216" width="22.140625" style="1100" customWidth="1"/>
    <col min="9217" max="9217" width="44.140625" style="1100" customWidth="1"/>
    <col min="9218" max="9221" width="0" style="1100" hidden="1" customWidth="1"/>
    <col min="9222" max="9222" width="33" style="1100" customWidth="1"/>
    <col min="9223" max="9226" width="0" style="1100" hidden="1" customWidth="1"/>
    <col min="9227" max="9227" width="33" style="1100" customWidth="1"/>
    <col min="9228" max="9228" width="0" style="1100" hidden="1" customWidth="1"/>
    <col min="9229" max="9230" width="30.7109375" style="1100" customWidth="1"/>
    <col min="9231" max="9231" width="41.5703125" style="1100" customWidth="1"/>
    <col min="9232" max="9470" width="9.140625" style="1100"/>
    <col min="9471" max="9471" width="3.7109375" style="1100" customWidth="1"/>
    <col min="9472" max="9472" width="22.140625" style="1100" customWidth="1"/>
    <col min="9473" max="9473" width="44.140625" style="1100" customWidth="1"/>
    <col min="9474" max="9477" width="0" style="1100" hidden="1" customWidth="1"/>
    <col min="9478" max="9478" width="33" style="1100" customWidth="1"/>
    <col min="9479" max="9482" width="0" style="1100" hidden="1" customWidth="1"/>
    <col min="9483" max="9483" width="33" style="1100" customWidth="1"/>
    <col min="9484" max="9484" width="0" style="1100" hidden="1" customWidth="1"/>
    <col min="9485" max="9486" width="30.7109375" style="1100" customWidth="1"/>
    <col min="9487" max="9487" width="41.5703125" style="1100" customWidth="1"/>
    <col min="9488" max="9726" width="9.140625" style="1100"/>
    <col min="9727" max="9727" width="3.7109375" style="1100" customWidth="1"/>
    <col min="9728" max="9728" width="22.140625" style="1100" customWidth="1"/>
    <col min="9729" max="9729" width="44.140625" style="1100" customWidth="1"/>
    <col min="9730" max="9733" width="0" style="1100" hidden="1" customWidth="1"/>
    <col min="9734" max="9734" width="33" style="1100" customWidth="1"/>
    <col min="9735" max="9738" width="0" style="1100" hidden="1" customWidth="1"/>
    <col min="9739" max="9739" width="33" style="1100" customWidth="1"/>
    <col min="9740" max="9740" width="0" style="1100" hidden="1" customWidth="1"/>
    <col min="9741" max="9742" width="30.7109375" style="1100" customWidth="1"/>
    <col min="9743" max="9743" width="41.5703125" style="1100" customWidth="1"/>
    <col min="9744" max="9982" width="9.140625" style="1100"/>
    <col min="9983" max="9983" width="3.7109375" style="1100" customWidth="1"/>
    <col min="9984" max="9984" width="22.140625" style="1100" customWidth="1"/>
    <col min="9985" max="9985" width="44.140625" style="1100" customWidth="1"/>
    <col min="9986" max="9989" width="0" style="1100" hidden="1" customWidth="1"/>
    <col min="9990" max="9990" width="33" style="1100" customWidth="1"/>
    <col min="9991" max="9994" width="0" style="1100" hidden="1" customWidth="1"/>
    <col min="9995" max="9995" width="33" style="1100" customWidth="1"/>
    <col min="9996" max="9996" width="0" style="1100" hidden="1" customWidth="1"/>
    <col min="9997" max="9998" width="30.7109375" style="1100" customWidth="1"/>
    <col min="9999" max="9999" width="41.5703125" style="1100" customWidth="1"/>
    <col min="10000" max="10238" width="9.140625" style="1100"/>
    <col min="10239" max="10239" width="3.7109375" style="1100" customWidth="1"/>
    <col min="10240" max="10240" width="22.140625" style="1100" customWidth="1"/>
    <col min="10241" max="10241" width="44.140625" style="1100" customWidth="1"/>
    <col min="10242" max="10245" width="0" style="1100" hidden="1" customWidth="1"/>
    <col min="10246" max="10246" width="33" style="1100" customWidth="1"/>
    <col min="10247" max="10250" width="0" style="1100" hidden="1" customWidth="1"/>
    <col min="10251" max="10251" width="33" style="1100" customWidth="1"/>
    <col min="10252" max="10252" width="0" style="1100" hidden="1" customWidth="1"/>
    <col min="10253" max="10254" width="30.7109375" style="1100" customWidth="1"/>
    <col min="10255" max="10255" width="41.5703125" style="1100" customWidth="1"/>
    <col min="10256" max="10494" width="9.140625" style="1100"/>
    <col min="10495" max="10495" width="3.7109375" style="1100" customWidth="1"/>
    <col min="10496" max="10496" width="22.140625" style="1100" customWidth="1"/>
    <col min="10497" max="10497" width="44.140625" style="1100" customWidth="1"/>
    <col min="10498" max="10501" width="0" style="1100" hidden="1" customWidth="1"/>
    <col min="10502" max="10502" width="33" style="1100" customWidth="1"/>
    <col min="10503" max="10506" width="0" style="1100" hidden="1" customWidth="1"/>
    <col min="10507" max="10507" width="33" style="1100" customWidth="1"/>
    <col min="10508" max="10508" width="0" style="1100" hidden="1" customWidth="1"/>
    <col min="10509" max="10510" width="30.7109375" style="1100" customWidth="1"/>
    <col min="10511" max="10511" width="41.5703125" style="1100" customWidth="1"/>
    <col min="10512" max="10750" width="9.140625" style="1100"/>
    <col min="10751" max="10751" width="3.7109375" style="1100" customWidth="1"/>
    <col min="10752" max="10752" width="22.140625" style="1100" customWidth="1"/>
    <col min="10753" max="10753" width="44.140625" style="1100" customWidth="1"/>
    <col min="10754" max="10757" width="0" style="1100" hidden="1" customWidth="1"/>
    <col min="10758" max="10758" width="33" style="1100" customWidth="1"/>
    <col min="10759" max="10762" width="0" style="1100" hidden="1" customWidth="1"/>
    <col min="10763" max="10763" width="33" style="1100" customWidth="1"/>
    <col min="10764" max="10764" width="0" style="1100" hidden="1" customWidth="1"/>
    <col min="10765" max="10766" width="30.7109375" style="1100" customWidth="1"/>
    <col min="10767" max="10767" width="41.5703125" style="1100" customWidth="1"/>
    <col min="10768" max="11006" width="9.140625" style="1100"/>
    <col min="11007" max="11007" width="3.7109375" style="1100" customWidth="1"/>
    <col min="11008" max="11008" width="22.140625" style="1100" customWidth="1"/>
    <col min="11009" max="11009" width="44.140625" style="1100" customWidth="1"/>
    <col min="11010" max="11013" width="0" style="1100" hidden="1" customWidth="1"/>
    <col min="11014" max="11014" width="33" style="1100" customWidth="1"/>
    <col min="11015" max="11018" width="0" style="1100" hidden="1" customWidth="1"/>
    <col min="11019" max="11019" width="33" style="1100" customWidth="1"/>
    <col min="11020" max="11020" width="0" style="1100" hidden="1" customWidth="1"/>
    <col min="11021" max="11022" width="30.7109375" style="1100" customWidth="1"/>
    <col min="11023" max="11023" width="41.5703125" style="1100" customWidth="1"/>
    <col min="11024" max="11262" width="9.140625" style="1100"/>
    <col min="11263" max="11263" width="3.7109375" style="1100" customWidth="1"/>
    <col min="11264" max="11264" width="22.140625" style="1100" customWidth="1"/>
    <col min="11265" max="11265" width="44.140625" style="1100" customWidth="1"/>
    <col min="11266" max="11269" width="0" style="1100" hidden="1" customWidth="1"/>
    <col min="11270" max="11270" width="33" style="1100" customWidth="1"/>
    <col min="11271" max="11274" width="0" style="1100" hidden="1" customWidth="1"/>
    <col min="11275" max="11275" width="33" style="1100" customWidth="1"/>
    <col min="11276" max="11276" width="0" style="1100" hidden="1" customWidth="1"/>
    <col min="11277" max="11278" width="30.7109375" style="1100" customWidth="1"/>
    <col min="11279" max="11279" width="41.5703125" style="1100" customWidth="1"/>
    <col min="11280" max="11518" width="9.140625" style="1100"/>
    <col min="11519" max="11519" width="3.7109375" style="1100" customWidth="1"/>
    <col min="11520" max="11520" width="22.140625" style="1100" customWidth="1"/>
    <col min="11521" max="11521" width="44.140625" style="1100" customWidth="1"/>
    <col min="11522" max="11525" width="0" style="1100" hidden="1" customWidth="1"/>
    <col min="11526" max="11526" width="33" style="1100" customWidth="1"/>
    <col min="11527" max="11530" width="0" style="1100" hidden="1" customWidth="1"/>
    <col min="11531" max="11531" width="33" style="1100" customWidth="1"/>
    <col min="11532" max="11532" width="0" style="1100" hidden="1" customWidth="1"/>
    <col min="11533" max="11534" width="30.7109375" style="1100" customWidth="1"/>
    <col min="11535" max="11535" width="41.5703125" style="1100" customWidth="1"/>
    <col min="11536" max="11774" width="9.140625" style="1100"/>
    <col min="11775" max="11775" width="3.7109375" style="1100" customWidth="1"/>
    <col min="11776" max="11776" width="22.140625" style="1100" customWidth="1"/>
    <col min="11777" max="11777" width="44.140625" style="1100" customWidth="1"/>
    <col min="11778" max="11781" width="0" style="1100" hidden="1" customWidth="1"/>
    <col min="11782" max="11782" width="33" style="1100" customWidth="1"/>
    <col min="11783" max="11786" width="0" style="1100" hidden="1" customWidth="1"/>
    <col min="11787" max="11787" width="33" style="1100" customWidth="1"/>
    <col min="11788" max="11788" width="0" style="1100" hidden="1" customWidth="1"/>
    <col min="11789" max="11790" width="30.7109375" style="1100" customWidth="1"/>
    <col min="11791" max="11791" width="41.5703125" style="1100" customWidth="1"/>
    <col min="11792" max="12030" width="9.140625" style="1100"/>
    <col min="12031" max="12031" width="3.7109375" style="1100" customWidth="1"/>
    <col min="12032" max="12032" width="22.140625" style="1100" customWidth="1"/>
    <col min="12033" max="12033" width="44.140625" style="1100" customWidth="1"/>
    <col min="12034" max="12037" width="0" style="1100" hidden="1" customWidth="1"/>
    <col min="12038" max="12038" width="33" style="1100" customWidth="1"/>
    <col min="12039" max="12042" width="0" style="1100" hidden="1" customWidth="1"/>
    <col min="12043" max="12043" width="33" style="1100" customWidth="1"/>
    <col min="12044" max="12044" width="0" style="1100" hidden="1" customWidth="1"/>
    <col min="12045" max="12046" width="30.7109375" style="1100" customWidth="1"/>
    <col min="12047" max="12047" width="41.5703125" style="1100" customWidth="1"/>
    <col min="12048" max="12286" width="9.140625" style="1100"/>
    <col min="12287" max="12287" width="3.7109375" style="1100" customWidth="1"/>
    <col min="12288" max="12288" width="22.140625" style="1100" customWidth="1"/>
    <col min="12289" max="12289" width="44.140625" style="1100" customWidth="1"/>
    <col min="12290" max="12293" width="0" style="1100" hidden="1" customWidth="1"/>
    <col min="12294" max="12294" width="33" style="1100" customWidth="1"/>
    <col min="12295" max="12298" width="0" style="1100" hidden="1" customWidth="1"/>
    <col min="12299" max="12299" width="33" style="1100" customWidth="1"/>
    <col min="12300" max="12300" width="0" style="1100" hidden="1" customWidth="1"/>
    <col min="12301" max="12302" width="30.7109375" style="1100" customWidth="1"/>
    <col min="12303" max="12303" width="41.5703125" style="1100" customWidth="1"/>
    <col min="12304" max="12542" width="9.140625" style="1100"/>
    <col min="12543" max="12543" width="3.7109375" style="1100" customWidth="1"/>
    <col min="12544" max="12544" width="22.140625" style="1100" customWidth="1"/>
    <col min="12545" max="12545" width="44.140625" style="1100" customWidth="1"/>
    <col min="12546" max="12549" width="0" style="1100" hidden="1" customWidth="1"/>
    <col min="12550" max="12550" width="33" style="1100" customWidth="1"/>
    <col min="12551" max="12554" width="0" style="1100" hidden="1" customWidth="1"/>
    <col min="12555" max="12555" width="33" style="1100" customWidth="1"/>
    <col min="12556" max="12556" width="0" style="1100" hidden="1" customWidth="1"/>
    <col min="12557" max="12558" width="30.7109375" style="1100" customWidth="1"/>
    <col min="12559" max="12559" width="41.5703125" style="1100" customWidth="1"/>
    <col min="12560" max="12798" width="9.140625" style="1100"/>
    <col min="12799" max="12799" width="3.7109375" style="1100" customWidth="1"/>
    <col min="12800" max="12800" width="22.140625" style="1100" customWidth="1"/>
    <col min="12801" max="12801" width="44.140625" style="1100" customWidth="1"/>
    <col min="12802" max="12805" width="0" style="1100" hidden="1" customWidth="1"/>
    <col min="12806" max="12806" width="33" style="1100" customWidth="1"/>
    <col min="12807" max="12810" width="0" style="1100" hidden="1" customWidth="1"/>
    <col min="12811" max="12811" width="33" style="1100" customWidth="1"/>
    <col min="12812" max="12812" width="0" style="1100" hidden="1" customWidth="1"/>
    <col min="12813" max="12814" width="30.7109375" style="1100" customWidth="1"/>
    <col min="12815" max="12815" width="41.5703125" style="1100" customWidth="1"/>
    <col min="12816" max="13054" width="9.140625" style="1100"/>
    <col min="13055" max="13055" width="3.7109375" style="1100" customWidth="1"/>
    <col min="13056" max="13056" width="22.140625" style="1100" customWidth="1"/>
    <col min="13057" max="13057" width="44.140625" style="1100" customWidth="1"/>
    <col min="13058" max="13061" width="0" style="1100" hidden="1" customWidth="1"/>
    <col min="13062" max="13062" width="33" style="1100" customWidth="1"/>
    <col min="13063" max="13066" width="0" style="1100" hidden="1" customWidth="1"/>
    <col min="13067" max="13067" width="33" style="1100" customWidth="1"/>
    <col min="13068" max="13068" width="0" style="1100" hidden="1" customWidth="1"/>
    <col min="13069" max="13070" width="30.7109375" style="1100" customWidth="1"/>
    <col min="13071" max="13071" width="41.5703125" style="1100" customWidth="1"/>
    <col min="13072" max="13310" width="9.140625" style="1100"/>
    <col min="13311" max="13311" width="3.7109375" style="1100" customWidth="1"/>
    <col min="13312" max="13312" width="22.140625" style="1100" customWidth="1"/>
    <col min="13313" max="13313" width="44.140625" style="1100" customWidth="1"/>
    <col min="13314" max="13317" width="0" style="1100" hidden="1" customWidth="1"/>
    <col min="13318" max="13318" width="33" style="1100" customWidth="1"/>
    <col min="13319" max="13322" width="0" style="1100" hidden="1" customWidth="1"/>
    <col min="13323" max="13323" width="33" style="1100" customWidth="1"/>
    <col min="13324" max="13324" width="0" style="1100" hidden="1" customWidth="1"/>
    <col min="13325" max="13326" width="30.7109375" style="1100" customWidth="1"/>
    <col min="13327" max="13327" width="41.5703125" style="1100" customWidth="1"/>
    <col min="13328" max="13566" width="9.140625" style="1100"/>
    <col min="13567" max="13567" width="3.7109375" style="1100" customWidth="1"/>
    <col min="13568" max="13568" width="22.140625" style="1100" customWidth="1"/>
    <col min="13569" max="13569" width="44.140625" style="1100" customWidth="1"/>
    <col min="13570" max="13573" width="0" style="1100" hidden="1" customWidth="1"/>
    <col min="13574" max="13574" width="33" style="1100" customWidth="1"/>
    <col min="13575" max="13578" width="0" style="1100" hidden="1" customWidth="1"/>
    <col min="13579" max="13579" width="33" style="1100" customWidth="1"/>
    <col min="13580" max="13580" width="0" style="1100" hidden="1" customWidth="1"/>
    <col min="13581" max="13582" width="30.7109375" style="1100" customWidth="1"/>
    <col min="13583" max="13583" width="41.5703125" style="1100" customWidth="1"/>
    <col min="13584" max="13822" width="9.140625" style="1100"/>
    <col min="13823" max="13823" width="3.7109375" style="1100" customWidth="1"/>
    <col min="13824" max="13824" width="22.140625" style="1100" customWidth="1"/>
    <col min="13825" max="13825" width="44.140625" style="1100" customWidth="1"/>
    <col min="13826" max="13829" width="0" style="1100" hidden="1" customWidth="1"/>
    <col min="13830" max="13830" width="33" style="1100" customWidth="1"/>
    <col min="13831" max="13834" width="0" style="1100" hidden="1" customWidth="1"/>
    <col min="13835" max="13835" width="33" style="1100" customWidth="1"/>
    <col min="13836" max="13836" width="0" style="1100" hidden="1" customWidth="1"/>
    <col min="13837" max="13838" width="30.7109375" style="1100" customWidth="1"/>
    <col min="13839" max="13839" width="41.5703125" style="1100" customWidth="1"/>
    <col min="13840" max="14078" width="9.140625" style="1100"/>
    <col min="14079" max="14079" width="3.7109375" style="1100" customWidth="1"/>
    <col min="14080" max="14080" width="22.140625" style="1100" customWidth="1"/>
    <col min="14081" max="14081" width="44.140625" style="1100" customWidth="1"/>
    <col min="14082" max="14085" width="0" style="1100" hidden="1" customWidth="1"/>
    <col min="14086" max="14086" width="33" style="1100" customWidth="1"/>
    <col min="14087" max="14090" width="0" style="1100" hidden="1" customWidth="1"/>
    <col min="14091" max="14091" width="33" style="1100" customWidth="1"/>
    <col min="14092" max="14092" width="0" style="1100" hidden="1" customWidth="1"/>
    <col min="14093" max="14094" width="30.7109375" style="1100" customWidth="1"/>
    <col min="14095" max="14095" width="41.5703125" style="1100" customWidth="1"/>
    <col min="14096" max="14334" width="9.140625" style="1100"/>
    <col min="14335" max="14335" width="3.7109375" style="1100" customWidth="1"/>
    <col min="14336" max="14336" width="22.140625" style="1100" customWidth="1"/>
    <col min="14337" max="14337" width="44.140625" style="1100" customWidth="1"/>
    <col min="14338" max="14341" width="0" style="1100" hidden="1" customWidth="1"/>
    <col min="14342" max="14342" width="33" style="1100" customWidth="1"/>
    <col min="14343" max="14346" width="0" style="1100" hidden="1" customWidth="1"/>
    <col min="14347" max="14347" width="33" style="1100" customWidth="1"/>
    <col min="14348" max="14348" width="0" style="1100" hidden="1" customWidth="1"/>
    <col min="14349" max="14350" width="30.7109375" style="1100" customWidth="1"/>
    <col min="14351" max="14351" width="41.5703125" style="1100" customWidth="1"/>
    <col min="14352" max="14590" width="9.140625" style="1100"/>
    <col min="14591" max="14591" width="3.7109375" style="1100" customWidth="1"/>
    <col min="14592" max="14592" width="22.140625" style="1100" customWidth="1"/>
    <col min="14593" max="14593" width="44.140625" style="1100" customWidth="1"/>
    <col min="14594" max="14597" width="0" style="1100" hidden="1" customWidth="1"/>
    <col min="14598" max="14598" width="33" style="1100" customWidth="1"/>
    <col min="14599" max="14602" width="0" style="1100" hidden="1" customWidth="1"/>
    <col min="14603" max="14603" width="33" style="1100" customWidth="1"/>
    <col min="14604" max="14604" width="0" style="1100" hidden="1" customWidth="1"/>
    <col min="14605" max="14606" width="30.7109375" style="1100" customWidth="1"/>
    <col min="14607" max="14607" width="41.5703125" style="1100" customWidth="1"/>
    <col min="14608" max="14846" width="9.140625" style="1100"/>
    <col min="14847" max="14847" width="3.7109375" style="1100" customWidth="1"/>
    <col min="14848" max="14848" width="22.140625" style="1100" customWidth="1"/>
    <col min="14849" max="14849" width="44.140625" style="1100" customWidth="1"/>
    <col min="14850" max="14853" width="0" style="1100" hidden="1" customWidth="1"/>
    <col min="14854" max="14854" width="33" style="1100" customWidth="1"/>
    <col min="14855" max="14858" width="0" style="1100" hidden="1" customWidth="1"/>
    <col min="14859" max="14859" width="33" style="1100" customWidth="1"/>
    <col min="14860" max="14860" width="0" style="1100" hidden="1" customWidth="1"/>
    <col min="14861" max="14862" width="30.7109375" style="1100" customWidth="1"/>
    <col min="14863" max="14863" width="41.5703125" style="1100" customWidth="1"/>
    <col min="14864" max="15102" width="9.140625" style="1100"/>
    <col min="15103" max="15103" width="3.7109375" style="1100" customWidth="1"/>
    <col min="15104" max="15104" width="22.140625" style="1100" customWidth="1"/>
    <col min="15105" max="15105" width="44.140625" style="1100" customWidth="1"/>
    <col min="15106" max="15109" width="0" style="1100" hidden="1" customWidth="1"/>
    <col min="15110" max="15110" width="33" style="1100" customWidth="1"/>
    <col min="15111" max="15114" width="0" style="1100" hidden="1" customWidth="1"/>
    <col min="15115" max="15115" width="33" style="1100" customWidth="1"/>
    <col min="15116" max="15116" width="0" style="1100" hidden="1" customWidth="1"/>
    <col min="15117" max="15118" width="30.7109375" style="1100" customWidth="1"/>
    <col min="15119" max="15119" width="41.5703125" style="1100" customWidth="1"/>
    <col min="15120" max="15358" width="9.140625" style="1100"/>
    <col min="15359" max="15359" width="3.7109375" style="1100" customWidth="1"/>
    <col min="15360" max="15360" width="22.140625" style="1100" customWidth="1"/>
    <col min="15361" max="15361" width="44.140625" style="1100" customWidth="1"/>
    <col min="15362" max="15365" width="0" style="1100" hidden="1" customWidth="1"/>
    <col min="15366" max="15366" width="33" style="1100" customWidth="1"/>
    <col min="15367" max="15370" width="0" style="1100" hidden="1" customWidth="1"/>
    <col min="15371" max="15371" width="33" style="1100" customWidth="1"/>
    <col min="15372" max="15372" width="0" style="1100" hidden="1" customWidth="1"/>
    <col min="15373" max="15374" width="30.7109375" style="1100" customWidth="1"/>
    <col min="15375" max="15375" width="41.5703125" style="1100" customWidth="1"/>
    <col min="15376" max="15614" width="9.140625" style="1100"/>
    <col min="15615" max="15615" width="3.7109375" style="1100" customWidth="1"/>
    <col min="15616" max="15616" width="22.140625" style="1100" customWidth="1"/>
    <col min="15617" max="15617" width="44.140625" style="1100" customWidth="1"/>
    <col min="15618" max="15621" width="0" style="1100" hidden="1" customWidth="1"/>
    <col min="15622" max="15622" width="33" style="1100" customWidth="1"/>
    <col min="15623" max="15626" width="0" style="1100" hidden="1" customWidth="1"/>
    <col min="15627" max="15627" width="33" style="1100" customWidth="1"/>
    <col min="15628" max="15628" width="0" style="1100" hidden="1" customWidth="1"/>
    <col min="15629" max="15630" width="30.7109375" style="1100" customWidth="1"/>
    <col min="15631" max="15631" width="41.5703125" style="1100" customWidth="1"/>
    <col min="15632" max="15870" width="9.140625" style="1100"/>
    <col min="15871" max="15871" width="3.7109375" style="1100" customWidth="1"/>
    <col min="15872" max="15872" width="22.140625" style="1100" customWidth="1"/>
    <col min="15873" max="15873" width="44.140625" style="1100" customWidth="1"/>
    <col min="15874" max="15877" width="0" style="1100" hidden="1" customWidth="1"/>
    <col min="15878" max="15878" width="33" style="1100" customWidth="1"/>
    <col min="15879" max="15882" width="0" style="1100" hidden="1" customWidth="1"/>
    <col min="15883" max="15883" width="33" style="1100" customWidth="1"/>
    <col min="15884" max="15884" width="0" style="1100" hidden="1" customWidth="1"/>
    <col min="15885" max="15886" width="30.7109375" style="1100" customWidth="1"/>
    <col min="15887" max="15887" width="41.5703125" style="1100" customWidth="1"/>
    <col min="15888" max="16126" width="9.140625" style="1100"/>
    <col min="16127" max="16127" width="3.7109375" style="1100" customWidth="1"/>
    <col min="16128" max="16128" width="22.140625" style="1100" customWidth="1"/>
    <col min="16129" max="16129" width="44.140625" style="1100" customWidth="1"/>
    <col min="16130" max="16133" width="0" style="1100" hidden="1" customWidth="1"/>
    <col min="16134" max="16134" width="33" style="1100" customWidth="1"/>
    <col min="16135" max="16138" width="0" style="1100" hidden="1" customWidth="1"/>
    <col min="16139" max="16139" width="33" style="1100" customWidth="1"/>
    <col min="16140" max="16140" width="0" style="1100" hidden="1" customWidth="1"/>
    <col min="16141" max="16142" width="30.7109375" style="1100" customWidth="1"/>
    <col min="16143" max="16143" width="41.5703125" style="1100" customWidth="1"/>
    <col min="16144" max="16384" width="9.140625" style="1100"/>
  </cols>
  <sheetData>
    <row r="1" spans="2:15" ht="24.75" customHeight="1" thickBot="1">
      <c r="B1" s="1091" t="s">
        <v>480</v>
      </c>
      <c r="C1" s="1092"/>
      <c r="D1" s="1093"/>
      <c r="E1" s="1093"/>
      <c r="F1" s="1093"/>
      <c r="G1" s="1093"/>
      <c r="H1" s="1094"/>
      <c r="I1" s="1094"/>
      <c r="J1" s="1095"/>
      <c r="K1" s="1096"/>
      <c r="L1" s="1097"/>
      <c r="M1" s="1098"/>
      <c r="N1" s="1098"/>
    </row>
    <row r="2" spans="2:15" s="1111" customFormat="1" ht="54.75" customHeight="1">
      <c r="B2" s="1101"/>
      <c r="C2" s="1102"/>
      <c r="D2" s="1103" t="s">
        <v>481</v>
      </c>
      <c r="E2" s="1103" t="s">
        <v>186</v>
      </c>
      <c r="F2" s="1104" t="s">
        <v>10</v>
      </c>
      <c r="G2" s="1104" t="s">
        <v>11</v>
      </c>
      <c r="H2" s="1105" t="s">
        <v>482</v>
      </c>
      <c r="I2" s="1106" t="s">
        <v>483</v>
      </c>
      <c r="J2" s="1107" t="s">
        <v>484</v>
      </c>
      <c r="K2" s="1108" t="s">
        <v>485</v>
      </c>
      <c r="L2" s="1109" t="s">
        <v>486</v>
      </c>
      <c r="M2" s="2727" t="s">
        <v>487</v>
      </c>
      <c r="N2" s="2728"/>
      <c r="O2" s="1110" t="s">
        <v>488</v>
      </c>
    </row>
    <row r="3" spans="2:15" ht="15">
      <c r="B3" s="1112" t="s">
        <v>489</v>
      </c>
      <c r="C3" s="1113" t="s">
        <v>46</v>
      </c>
      <c r="D3" s="1114" t="s">
        <v>490</v>
      </c>
      <c r="E3" s="1114" t="s">
        <v>47</v>
      </c>
      <c r="F3" s="1115" t="s">
        <v>60</v>
      </c>
      <c r="G3" s="1115" t="s">
        <v>60</v>
      </c>
      <c r="H3" s="1116"/>
      <c r="I3" s="1117"/>
      <c r="J3" s="1118"/>
      <c r="K3" s="1115" t="s">
        <v>60</v>
      </c>
      <c r="L3" s="1119"/>
      <c r="M3" s="1120" t="s">
        <v>491</v>
      </c>
      <c r="N3" s="1120" t="s">
        <v>491</v>
      </c>
      <c r="O3" s="1121"/>
    </row>
    <row r="4" spans="2:15" ht="15">
      <c r="B4" s="1122" t="s">
        <v>492</v>
      </c>
      <c r="C4" s="1123"/>
      <c r="D4" s="1114"/>
      <c r="E4" s="1114"/>
      <c r="F4" s="1115"/>
      <c r="G4" s="1115"/>
      <c r="H4" s="1124"/>
      <c r="I4" s="1118"/>
      <c r="J4" s="1118"/>
      <c r="K4" s="1118"/>
      <c r="L4" s="1119"/>
      <c r="M4" s="1125">
        <v>0.17</v>
      </c>
      <c r="N4" s="1126"/>
      <c r="O4" s="1121"/>
    </row>
    <row r="5" spans="2:15" ht="15">
      <c r="B5" s="1112" t="s">
        <v>63</v>
      </c>
      <c r="C5" s="1113"/>
      <c r="D5" s="1114"/>
      <c r="E5" s="1114"/>
      <c r="F5" s="1115"/>
      <c r="G5" s="1115"/>
      <c r="H5" s="1127"/>
      <c r="I5" s="1128"/>
      <c r="J5" s="1128"/>
      <c r="K5" s="1129"/>
      <c r="L5" s="1119"/>
      <c r="M5" s="1120"/>
      <c r="N5" s="1126"/>
      <c r="O5" s="1121"/>
    </row>
    <row r="6" spans="2:15">
      <c r="B6" s="1130"/>
      <c r="C6" s="1131" t="str">
        <f>'Estimate Detail'!C12</f>
        <v>Water Cooling System</v>
      </c>
      <c r="D6" s="1132"/>
      <c r="E6" s="1133"/>
      <c r="F6" s="931"/>
      <c r="G6" s="1134"/>
      <c r="H6" s="1127"/>
      <c r="I6" s="1128"/>
      <c r="J6" s="1135"/>
      <c r="K6" s="931"/>
      <c r="L6" s="1119"/>
      <c r="M6" s="1136">
        <v>0.17</v>
      </c>
      <c r="N6" s="1126"/>
      <c r="O6" s="1121"/>
    </row>
    <row r="7" spans="2:15">
      <c r="B7" s="1130"/>
      <c r="C7" s="1131" t="str">
        <f>'Estimate Detail'!C13</f>
        <v>Water Cooling System</v>
      </c>
      <c r="D7" s="1132"/>
      <c r="E7" s="1133"/>
      <c r="F7" s="931"/>
      <c r="G7" s="1134"/>
      <c r="H7" s="1137"/>
      <c r="I7" s="1128"/>
      <c r="J7" s="1135"/>
      <c r="K7" s="931"/>
      <c r="L7" s="1119"/>
      <c r="M7" s="1125">
        <v>0.17</v>
      </c>
      <c r="N7" s="1138"/>
      <c r="O7" s="1121"/>
    </row>
    <row r="8" spans="2:15">
      <c r="B8" s="1139"/>
      <c r="C8" s="1131" t="str">
        <f>'Estimate Detail'!C15</f>
        <v>Superheater internal surfaces</v>
      </c>
      <c r="D8" s="1132"/>
      <c r="E8" s="1133"/>
      <c r="F8" s="931"/>
      <c r="G8" s="1134"/>
      <c r="H8" s="1137"/>
      <c r="I8" s="1128"/>
      <c r="J8" s="1135"/>
      <c r="K8" s="931"/>
      <c r="L8" s="1119"/>
      <c r="M8" s="1125">
        <v>0.17</v>
      </c>
      <c r="N8" s="1138"/>
      <c r="O8" s="1121"/>
    </row>
    <row r="9" spans="2:15">
      <c r="B9" s="1139"/>
      <c r="C9" s="1131" t="str">
        <f>'Estimate Detail'!C23</f>
        <v>Reheater</v>
      </c>
      <c r="D9" s="1132"/>
      <c r="E9" s="1133"/>
      <c r="F9" s="931"/>
      <c r="G9" s="1134"/>
      <c r="H9" s="1137"/>
      <c r="I9" s="1128"/>
      <c r="J9" s="1135"/>
      <c r="K9" s="931"/>
      <c r="L9" s="1119"/>
      <c r="M9" s="1125">
        <v>0.17</v>
      </c>
      <c r="N9" s="1138"/>
      <c r="O9" s="1121"/>
    </row>
    <row r="10" spans="2:15">
      <c r="B10" s="1139"/>
      <c r="C10" s="1131" t="str">
        <f>'Estimate Detail'!C24</f>
        <v>Economizer</v>
      </c>
      <c r="D10" s="1132"/>
      <c r="E10" s="1133"/>
      <c r="F10" s="931"/>
      <c r="G10" s="1134"/>
      <c r="H10" s="1137"/>
      <c r="I10" s="1128"/>
      <c r="J10" s="1135"/>
      <c r="K10" s="931"/>
      <c r="L10" s="1119"/>
      <c r="M10" s="1125">
        <v>0.17</v>
      </c>
      <c r="N10" s="1138"/>
      <c r="O10" s="1121"/>
    </row>
    <row r="11" spans="2:15">
      <c r="B11" s="1139" t="s">
        <v>404</v>
      </c>
      <c r="C11" s="1131" t="str">
        <f>'Estimate Detail'!C47</f>
        <v>Drums</v>
      </c>
      <c r="D11" s="1132"/>
      <c r="E11" s="1133"/>
      <c r="F11" s="931"/>
      <c r="G11" s="1134"/>
      <c r="H11" s="1137"/>
      <c r="I11" s="1128"/>
      <c r="J11" s="1135"/>
      <c r="K11" s="931"/>
      <c r="L11" s="1119"/>
      <c r="M11" s="1125">
        <v>0.17</v>
      </c>
      <c r="N11" s="1138"/>
      <c r="O11" s="1121"/>
    </row>
    <row r="12" spans="2:15">
      <c r="B12" s="1139"/>
      <c r="C12" s="1131" t="str">
        <f>'Estimate Detail'!C50</f>
        <v>Welding</v>
      </c>
      <c r="D12" s="1132"/>
      <c r="E12" s="1133"/>
      <c r="F12" s="931"/>
      <c r="G12" s="1134"/>
      <c r="H12" s="1137"/>
      <c r="I12" s="1128"/>
      <c r="J12" s="1135"/>
      <c r="K12" s="931"/>
      <c r="L12" s="1119"/>
      <c r="M12" s="1125">
        <v>0.17</v>
      </c>
      <c r="N12" s="1138"/>
      <c r="O12" s="1121"/>
    </row>
    <row r="13" spans="2:15">
      <c r="B13" s="1139"/>
      <c r="C13" s="1131"/>
      <c r="D13" s="1132"/>
      <c r="E13" s="1133"/>
      <c r="F13" s="931"/>
      <c r="G13" s="1134"/>
      <c r="H13" s="1137"/>
      <c r="I13" s="1128"/>
      <c r="J13" s="1135"/>
      <c r="K13" s="931"/>
      <c r="L13" s="1119"/>
      <c r="M13" s="1125">
        <v>0.17</v>
      </c>
      <c r="N13" s="1138"/>
      <c r="O13" s="1121"/>
    </row>
    <row r="14" spans="2:15">
      <c r="B14" s="1139"/>
      <c r="C14" s="1131" t="str">
        <f>'Estimate Detail'!C51</f>
        <v>Painting</v>
      </c>
      <c r="D14" s="1132"/>
      <c r="E14" s="1133"/>
      <c r="F14" s="931"/>
      <c r="G14" s="1134"/>
      <c r="H14" s="1137"/>
      <c r="I14" s="1128"/>
      <c r="J14" s="1135"/>
      <c r="K14" s="931"/>
      <c r="L14" s="1119"/>
      <c r="M14" s="1125">
        <v>0.17</v>
      </c>
      <c r="N14" s="1138"/>
      <c r="O14" s="1121"/>
    </row>
    <row r="15" spans="2:15">
      <c r="B15" s="1139"/>
      <c r="C15" s="1131" t="str">
        <f>'Estimate Detail'!C52</f>
        <v>Packaging</v>
      </c>
      <c r="D15" s="1132"/>
      <c r="E15" s="1133"/>
      <c r="F15" s="931"/>
      <c r="G15" s="1134"/>
      <c r="H15" s="1137"/>
      <c r="I15" s="1128"/>
      <c r="J15" s="1135"/>
      <c r="K15" s="931"/>
      <c r="L15" s="1119"/>
      <c r="M15" s="1125">
        <v>0.17</v>
      </c>
      <c r="N15" s="1138"/>
      <c r="O15" s="1121"/>
    </row>
    <row r="16" spans="2:15">
      <c r="B16" s="1139"/>
      <c r="C16" s="1131"/>
      <c r="D16" s="1132"/>
      <c r="E16" s="1133"/>
      <c r="F16" s="931"/>
      <c r="G16" s="1134"/>
      <c r="H16" s="1142"/>
      <c r="I16" s="1129"/>
      <c r="J16" s="1143"/>
      <c r="K16" s="931"/>
      <c r="L16" s="1144"/>
      <c r="M16" s="1125">
        <v>0.17</v>
      </c>
      <c r="N16" s="1138"/>
      <c r="O16" s="1145" t="s">
        <v>493</v>
      </c>
    </row>
    <row r="17" spans="2:15">
      <c r="B17" s="1139"/>
      <c r="C17" s="1131"/>
      <c r="D17" s="1132"/>
      <c r="E17" s="1133"/>
      <c r="F17" s="931"/>
      <c r="G17" s="1134"/>
      <c r="H17" s="1142"/>
      <c r="I17" s="1129"/>
      <c r="J17" s="1143"/>
      <c r="K17" s="931"/>
      <c r="L17" s="1119"/>
      <c r="M17" s="1120"/>
      <c r="N17" s="1126"/>
      <c r="O17" s="1121"/>
    </row>
    <row r="18" spans="2:15">
      <c r="B18" s="1139"/>
      <c r="C18" s="1131"/>
      <c r="D18" s="1132"/>
      <c r="E18" s="1133"/>
      <c r="F18" s="931"/>
      <c r="G18" s="1134"/>
      <c r="H18" s="1142"/>
      <c r="I18" s="1128"/>
      <c r="J18" s="1135"/>
      <c r="K18" s="931"/>
      <c r="L18" s="1119"/>
      <c r="M18" s="1125">
        <v>0.17</v>
      </c>
      <c r="N18" s="1138"/>
      <c r="O18" s="1146"/>
    </row>
    <row r="19" spans="2:15">
      <c r="B19" s="1139"/>
      <c r="C19" s="1131"/>
      <c r="D19" s="1132"/>
      <c r="E19" s="1133"/>
      <c r="F19" s="931"/>
      <c r="G19" s="1134"/>
      <c r="H19" s="1142"/>
      <c r="I19" s="1128"/>
      <c r="J19" s="1135"/>
      <c r="K19" s="931"/>
      <c r="L19" s="1119"/>
      <c r="M19" s="1125"/>
      <c r="N19" s="1138"/>
      <c r="O19" s="1146"/>
    </row>
    <row r="20" spans="2:15">
      <c r="B20" s="1139"/>
      <c r="C20" s="1131"/>
      <c r="D20" s="1132"/>
      <c r="E20" s="1133"/>
      <c r="F20" s="931"/>
      <c r="G20" s="1134"/>
      <c r="H20" s="1142"/>
      <c r="I20" s="1128"/>
      <c r="J20" s="1135"/>
      <c r="K20" s="931"/>
      <c r="L20" s="1144"/>
      <c r="M20" s="1125">
        <v>0.17</v>
      </c>
      <c r="N20" s="1138"/>
      <c r="O20" s="1121"/>
    </row>
    <row r="21" spans="2:15">
      <c r="B21" s="1139"/>
      <c r="C21" s="1131"/>
      <c r="D21" s="1132"/>
      <c r="E21" s="1133"/>
      <c r="F21" s="931"/>
      <c r="G21" s="1134"/>
      <c r="H21" s="1142"/>
      <c r="I21" s="1129"/>
      <c r="J21" s="1129"/>
      <c r="K21" s="931"/>
      <c r="L21" s="1119"/>
      <c r="M21" s="1136">
        <v>0.17</v>
      </c>
      <c r="N21" s="1126"/>
      <c r="O21" s="1121"/>
    </row>
    <row r="22" spans="2:15" ht="15">
      <c r="B22" s="1139"/>
      <c r="C22" s="1147" t="s">
        <v>125</v>
      </c>
      <c r="D22" s="1148"/>
      <c r="E22" s="1140"/>
      <c r="F22" s="1149"/>
      <c r="G22" s="1150"/>
      <c r="H22" s="1151"/>
      <c r="I22" s="1152"/>
      <c r="J22" s="1153"/>
      <c r="K22" s="1150"/>
      <c r="L22" s="1119"/>
      <c r="M22" s="1120"/>
      <c r="N22" s="1126"/>
      <c r="O22" s="1121"/>
    </row>
    <row r="23" spans="2:15" ht="15.75" thickBot="1">
      <c r="B23" s="1139"/>
      <c r="C23" s="1147" t="s">
        <v>126</v>
      </c>
      <c r="D23" s="1154">
        <v>0</v>
      </c>
      <c r="E23" s="1155">
        <v>0</v>
      </c>
      <c r="F23" s="1156"/>
      <c r="G23" s="1157"/>
      <c r="H23" s="1151"/>
      <c r="I23" s="1152"/>
      <c r="J23" s="1152"/>
      <c r="K23" s="1129"/>
      <c r="L23" s="1119"/>
      <c r="M23" s="1120"/>
      <c r="N23" s="1126"/>
      <c r="O23" s="1121"/>
    </row>
    <row r="24" spans="2:15" s="1099" customFormat="1" ht="15.75" thickTop="1">
      <c r="B24" s="1158" t="s">
        <v>34</v>
      </c>
      <c r="C24" s="1159"/>
      <c r="D24" s="1160"/>
      <c r="E24" s="1161"/>
      <c r="F24" s="1162"/>
      <c r="G24" s="1162"/>
      <c r="H24" s="1163"/>
      <c r="I24" s="1164"/>
      <c r="J24" s="1164"/>
      <c r="K24" s="1164"/>
      <c r="L24" s="1165"/>
      <c r="M24" s="1166"/>
      <c r="N24" s="1167"/>
      <c r="O24" s="1168"/>
    </row>
    <row r="25" spans="2:15">
      <c r="B25" s="1139" t="s">
        <v>494</v>
      </c>
      <c r="C25" s="1169" t="str">
        <f>'Estimate Detail'!C78</f>
        <v>Structural Steel</v>
      </c>
      <c r="D25" s="1170">
        <f>'Estimate Detail'!E78</f>
        <v>0</v>
      </c>
      <c r="E25" s="1140">
        <f>'Estimate Detail'!F78</f>
        <v>0</v>
      </c>
      <c r="F25" s="1141">
        <f>'Estimate Detail'!H78</f>
        <v>0</v>
      </c>
      <c r="G25" s="1141">
        <f>'Estimate Detail'!I78</f>
        <v>0</v>
      </c>
      <c r="H25" s="1137">
        <f>'Estimate Detail'!J78</f>
        <v>0</v>
      </c>
      <c r="I25" s="1128">
        <f>'Estimate Detail'!K78</f>
        <v>0</v>
      </c>
      <c r="J25" s="1135">
        <f>'Estimate Detail'!L78</f>
        <v>0</v>
      </c>
      <c r="K25" s="931">
        <f>IF(M25=$M$4,0,SUM(F25:G25)*($M$4-M25))</f>
        <v>0</v>
      </c>
      <c r="L25" s="1119"/>
      <c r="M25" s="1125">
        <v>0.17</v>
      </c>
      <c r="N25" s="1138"/>
      <c r="O25" s="1121"/>
    </row>
    <row r="26" spans="2:15" ht="48" customHeight="1">
      <c r="B26" s="1139" t="s">
        <v>495</v>
      </c>
      <c r="C26" s="1169" t="str">
        <f>'Estimate Detail'!C87</f>
        <v>Platforms &amp; Stairs</v>
      </c>
      <c r="D26" s="1170">
        <f>'Estimate Detail'!E87</f>
        <v>0</v>
      </c>
      <c r="E26" s="1140">
        <f>'Estimate Detail'!F87</f>
        <v>0</v>
      </c>
      <c r="F26" s="1141">
        <f>'Estimate Detail'!H87</f>
        <v>0</v>
      </c>
      <c r="G26" s="1141">
        <f>'Estimate Detail'!I87</f>
        <v>0</v>
      </c>
      <c r="H26" s="1142">
        <v>8402900000</v>
      </c>
      <c r="I26" s="1128">
        <v>0.17</v>
      </c>
      <c r="J26" s="1135"/>
      <c r="K26" s="931">
        <f>IF(M26=$M$4,0,SUM(F26:G26)*($M$4-M26))</f>
        <v>0</v>
      </c>
      <c r="L26" s="1119"/>
      <c r="M26" s="1125">
        <v>0.17</v>
      </c>
      <c r="N26" s="1138"/>
      <c r="O26" s="1171" t="s">
        <v>496</v>
      </c>
    </row>
    <row r="27" spans="2:15">
      <c r="B27" s="1139" t="s">
        <v>497</v>
      </c>
      <c r="C27" s="1169" t="str">
        <f>'Estimate Detail'!C93</f>
        <v>Buckstays</v>
      </c>
      <c r="D27" s="1170">
        <f>'Estimate Detail'!E93</f>
        <v>0</v>
      </c>
      <c r="E27" s="1140">
        <f>'Estimate Detail'!F93</f>
        <v>0</v>
      </c>
      <c r="F27" s="1141">
        <f>'Estimate Detail'!H93</f>
        <v>0</v>
      </c>
      <c r="G27" s="1141">
        <f>'Estimate Detail'!I93</f>
        <v>0</v>
      </c>
      <c r="H27" s="1142">
        <v>8402900000</v>
      </c>
      <c r="I27" s="1128">
        <v>0.17</v>
      </c>
      <c r="J27" s="1135"/>
      <c r="K27" s="931">
        <f>IF(M27=$M$4,0,SUM(F27:G27)*($M$4-M27))</f>
        <v>0</v>
      </c>
      <c r="L27" s="1119"/>
      <c r="M27" s="1125">
        <v>0.17</v>
      </c>
      <c r="N27" s="1138"/>
      <c r="O27" s="1121"/>
    </row>
    <row r="28" spans="2:15">
      <c r="B28" s="1139" t="s">
        <v>498</v>
      </c>
      <c r="C28" s="1172" t="str">
        <f>'Estimate Detail'!C90</f>
        <v>Boiler Roof and External Cladding - Assy No. 36</v>
      </c>
      <c r="D28" s="1170">
        <f>'Estimate Detail'!E90</f>
        <v>0</v>
      </c>
      <c r="E28" s="1140">
        <f>'Estimate Detail'!F90</f>
        <v>0</v>
      </c>
      <c r="F28" s="1141">
        <f>'Estimate Detail'!H90</f>
        <v>0</v>
      </c>
      <c r="G28" s="1141">
        <f>'Estimate Detail'!I90</f>
        <v>0</v>
      </c>
      <c r="H28" s="1173">
        <f>'Estimate Detail'!J90</f>
        <v>0</v>
      </c>
      <c r="I28" s="1129">
        <f>'Estimate Detail'!K90</f>
        <v>0</v>
      </c>
      <c r="J28" s="1143">
        <f>'Estimate Detail'!L90</f>
        <v>0</v>
      </c>
      <c r="K28" s="931">
        <f>IF(M28=$M$4,0,SUM(F28:G28)*($M$4-M28))</f>
        <v>0</v>
      </c>
      <c r="L28" s="1119"/>
      <c r="M28" s="1125">
        <v>0.17</v>
      </c>
      <c r="N28" s="1126"/>
      <c r="O28" s="1121"/>
    </row>
    <row r="29" spans="2:15" s="1099" customFormat="1" ht="15">
      <c r="B29" s="1174"/>
      <c r="C29" s="1175" t="s">
        <v>190</v>
      </c>
      <c r="D29" s="1176">
        <f>'Estimate Detail'!E91</f>
        <v>0</v>
      </c>
      <c r="E29" s="1177">
        <f>'Estimate Detail'!F91</f>
        <v>0</v>
      </c>
      <c r="F29" s="1178">
        <f>'Estimate Detail'!H91</f>
        <v>0</v>
      </c>
      <c r="G29" s="1179">
        <f>'Estimate Detail'!I91</f>
        <v>0</v>
      </c>
      <c r="H29" s="1173"/>
      <c r="I29" s="1129"/>
      <c r="J29" s="1128"/>
      <c r="K29" s="1179">
        <f>SUM(K25:K28)</f>
        <v>0</v>
      </c>
      <c r="L29" s="1119"/>
      <c r="M29" s="1120"/>
      <c r="N29" s="1126"/>
      <c r="O29" s="1121"/>
    </row>
    <row r="30" spans="2:15" s="1099" customFormat="1" ht="15.75" thickBot="1">
      <c r="B30" s="1180"/>
      <c r="C30" s="1181" t="s">
        <v>126</v>
      </c>
      <c r="D30" s="1154"/>
      <c r="E30" s="1155"/>
      <c r="F30" s="1156"/>
      <c r="G30" s="1157"/>
      <c r="H30" s="1173"/>
      <c r="I30" s="1129"/>
      <c r="J30" s="1129"/>
      <c r="K30" s="1129"/>
      <c r="L30" s="1119"/>
      <c r="M30" s="1120"/>
      <c r="N30" s="1126"/>
      <c r="O30" s="1121"/>
    </row>
    <row r="31" spans="2:15" s="1099" customFormat="1" ht="15.75" thickTop="1">
      <c r="B31" s="1158" t="s">
        <v>499</v>
      </c>
      <c r="C31" s="1159"/>
      <c r="D31" s="1160"/>
      <c r="E31" s="1161"/>
      <c r="F31" s="1162"/>
      <c r="G31" s="1162"/>
      <c r="H31" s="1163"/>
      <c r="I31" s="1164"/>
      <c r="J31" s="1164"/>
      <c r="K31" s="1164"/>
      <c r="L31" s="1165"/>
      <c r="M31" s="1166"/>
      <c r="N31" s="1167"/>
      <c r="O31" s="1168"/>
    </row>
    <row r="32" spans="2:15" ht="25.5">
      <c r="B32" s="1139" t="s">
        <v>500</v>
      </c>
      <c r="C32" s="1169" t="str">
        <f>'Estimate Detail'!C96</f>
        <v>Outer Casing - Assy No. 09</v>
      </c>
      <c r="D32" s="1170">
        <f>'Estimate Detail'!E96</f>
        <v>0</v>
      </c>
      <c r="E32" s="1140">
        <f>'Estimate Detail'!F96</f>
        <v>0</v>
      </c>
      <c r="F32" s="1141">
        <f>'Estimate Detail'!H96</f>
        <v>0</v>
      </c>
      <c r="G32" s="1141">
        <f>'Estimate Detail'!I96</f>
        <v>0</v>
      </c>
      <c r="H32" s="1142">
        <v>8402900000</v>
      </c>
      <c r="I32" s="1128">
        <v>0.17</v>
      </c>
      <c r="J32" s="1135"/>
      <c r="K32" s="931">
        <f>IF(M32=$M$4,0,SUM(F32:G32)*($M$4-M32))</f>
        <v>0</v>
      </c>
      <c r="L32" s="1144" t="s">
        <v>501</v>
      </c>
      <c r="M32" s="1125">
        <v>0.13</v>
      </c>
      <c r="N32" s="1138"/>
      <c r="O32" s="1121" t="s">
        <v>502</v>
      </c>
    </row>
    <row r="33" spans="2:15">
      <c r="B33" s="1139" t="s">
        <v>503</v>
      </c>
      <c r="C33" s="1169" t="str">
        <f>'Estimate Detail'!C99</f>
        <v>Top Enclosure - Assy No. 34</v>
      </c>
      <c r="D33" s="1170">
        <f>'Estimate Detail'!E99</f>
        <v>0</v>
      </c>
      <c r="E33" s="1140">
        <f>'Estimate Detail'!F99</f>
        <v>0</v>
      </c>
      <c r="F33" s="1141">
        <f>'Estimate Detail'!H99</f>
        <v>0</v>
      </c>
      <c r="G33" s="1141">
        <f>'Estimate Detail'!I99</f>
        <v>0</v>
      </c>
      <c r="H33" s="1142">
        <v>8402900000</v>
      </c>
      <c r="I33" s="1128">
        <v>0.17</v>
      </c>
      <c r="J33" s="1135"/>
      <c r="K33" s="931">
        <f>IF(M33=$M$4,0,SUM(F33:G33)*($M$4-M33))</f>
        <v>0</v>
      </c>
      <c r="L33" s="1119"/>
      <c r="M33" s="1125">
        <v>0.17</v>
      </c>
      <c r="N33" s="1138"/>
      <c r="O33" s="1121" t="s">
        <v>502</v>
      </c>
    </row>
    <row r="34" spans="2:15">
      <c r="B34" s="1139" t="s">
        <v>504</v>
      </c>
      <c r="C34" s="1169" t="str">
        <f>'Estimate Detail'!C100</f>
        <v>Skin Casing - Assy No. 35</v>
      </c>
      <c r="D34" s="1170">
        <f>'Estimate Detail'!E100</f>
        <v>0</v>
      </c>
      <c r="E34" s="1140">
        <f>'Estimate Detail'!F100</f>
        <v>0</v>
      </c>
      <c r="F34" s="1141">
        <f>'Estimate Detail'!H100</f>
        <v>0</v>
      </c>
      <c r="G34" s="1141">
        <f>'Estimate Detail'!I100</f>
        <v>0</v>
      </c>
      <c r="H34" s="1142">
        <v>8402900000</v>
      </c>
      <c r="I34" s="1128">
        <v>0.17</v>
      </c>
      <c r="J34" s="1135"/>
      <c r="K34" s="931">
        <f>IF(M34=$M$4,0,SUM(F34:G34)*($M$4-M34))</f>
        <v>0</v>
      </c>
      <c r="L34" s="1119"/>
      <c r="M34" s="1125">
        <v>0.17</v>
      </c>
      <c r="N34" s="1138"/>
      <c r="O34" s="1121"/>
    </row>
    <row r="35" spans="2:15" ht="28.5">
      <c r="B35" s="1139" t="s">
        <v>505</v>
      </c>
      <c r="C35" s="1169" t="str">
        <f>'Estimate Detail'!C101</f>
        <v>Pressure Parts Hangers &amp; Supports - Assy No. 32</v>
      </c>
      <c r="D35" s="1170">
        <f>'Estimate Detail'!E101</f>
        <v>0</v>
      </c>
      <c r="E35" s="1140">
        <f>'Estimate Detail'!F101</f>
        <v>0</v>
      </c>
      <c r="F35" s="1141">
        <f>'Estimate Detail'!H101</f>
        <v>0</v>
      </c>
      <c r="G35" s="1141">
        <f>'Estimate Detail'!I101</f>
        <v>0</v>
      </c>
      <c r="H35" s="1142">
        <v>8402900000</v>
      </c>
      <c r="I35" s="1128">
        <v>0.17</v>
      </c>
      <c r="J35" s="1135"/>
      <c r="K35" s="931">
        <f>IF(M35=$M$4,0,SUM(F35:G35)*($M$4-M35))</f>
        <v>0</v>
      </c>
      <c r="L35" s="1119"/>
      <c r="M35" s="1125">
        <v>0.17</v>
      </c>
      <c r="N35" s="1138"/>
      <c r="O35" s="1121" t="s">
        <v>502</v>
      </c>
    </row>
    <row r="36" spans="2:15">
      <c r="B36" s="1139" t="s">
        <v>506</v>
      </c>
      <c r="C36" s="1169" t="str">
        <f>'Estimate Detail'!C97</f>
        <v>Doors including Connection - Assy No. 23</v>
      </c>
      <c r="D36" s="1170">
        <f>'Estimate Detail'!E97</f>
        <v>0</v>
      </c>
      <c r="E36" s="1140">
        <f>'Estimate Detail'!F97</f>
        <v>0</v>
      </c>
      <c r="F36" s="1141">
        <f>'Estimate Detail'!H97</f>
        <v>0</v>
      </c>
      <c r="G36" s="1141">
        <f>'Estimate Detail'!I97</f>
        <v>0</v>
      </c>
      <c r="H36" s="1142">
        <v>8404101000</v>
      </c>
      <c r="I36" s="1129">
        <v>0.17</v>
      </c>
      <c r="J36" s="1143"/>
      <c r="K36" s="931">
        <f>IF(M36=$M$4,0,SUM(F36:G36)*($M$4-M36))</f>
        <v>0</v>
      </c>
      <c r="L36" s="1119"/>
      <c r="M36" s="1125">
        <v>0.17</v>
      </c>
      <c r="N36" s="1138"/>
      <c r="O36" s="1121" t="s">
        <v>502</v>
      </c>
    </row>
    <row r="37" spans="2:15" s="1099" customFormat="1" ht="15">
      <c r="B37" s="1174"/>
      <c r="C37" s="1175" t="s">
        <v>191</v>
      </c>
      <c r="D37" s="1182">
        <f>'Estimate Detail'!E105</f>
        <v>0</v>
      </c>
      <c r="E37" s="1140">
        <f>'Estimate Detail'!F105</f>
        <v>0</v>
      </c>
      <c r="F37" s="1178">
        <f>'Estimate Detail'!H105</f>
        <v>0</v>
      </c>
      <c r="G37" s="1179">
        <f>'Estimate Detail'!I105</f>
        <v>0</v>
      </c>
      <c r="H37" s="1173"/>
      <c r="I37" s="1129"/>
      <c r="J37" s="1128"/>
      <c r="K37" s="1179">
        <f>SUM(K32:K36)</f>
        <v>0</v>
      </c>
      <c r="L37" s="1119"/>
      <c r="M37" s="1120"/>
      <c r="N37" s="1126"/>
      <c r="O37" s="1121"/>
    </row>
    <row r="38" spans="2:15" s="1099" customFormat="1" ht="15.75" thickBot="1">
      <c r="B38" s="1180"/>
      <c r="C38" s="1181" t="s">
        <v>126</v>
      </c>
      <c r="D38" s="1183"/>
      <c r="E38" s="1155"/>
      <c r="F38" s="1156"/>
      <c r="G38" s="1157"/>
      <c r="H38" s="1173"/>
      <c r="I38" s="1129"/>
      <c r="J38" s="1129"/>
      <c r="K38" s="1129"/>
      <c r="L38" s="1119"/>
      <c r="M38" s="1120"/>
      <c r="N38" s="1126"/>
      <c r="O38" s="1121"/>
    </row>
    <row r="39" spans="2:15" s="1099" customFormat="1" ht="15.75" thickTop="1">
      <c r="B39" s="1158" t="s">
        <v>507</v>
      </c>
      <c r="C39" s="1159"/>
      <c r="D39" s="1160"/>
      <c r="E39" s="1161"/>
      <c r="F39" s="1162"/>
      <c r="G39" s="1162"/>
      <c r="H39" s="1163"/>
      <c r="I39" s="1164"/>
      <c r="J39" s="1164"/>
      <c r="K39" s="1164"/>
      <c r="L39" s="1165"/>
      <c r="M39" s="1166"/>
      <c r="N39" s="1167"/>
      <c r="O39" s="1168"/>
    </row>
    <row r="40" spans="2:15">
      <c r="B40" s="1139" t="s">
        <v>508</v>
      </c>
      <c r="C40" s="1169" t="str">
        <f>'Estimate Detail'!C175</f>
        <v>Air &amp; Duct</v>
      </c>
      <c r="D40" s="1170">
        <f>'Estimate Detail'!E175</f>
        <v>0</v>
      </c>
      <c r="E40" s="1140">
        <f>'Estimate Detail'!F175</f>
        <v>0</v>
      </c>
      <c r="F40" s="1141">
        <f>'Estimate Detail'!H175</f>
        <v>0</v>
      </c>
      <c r="G40" s="1141">
        <f>'Estimate Detail'!I175</f>
        <v>0</v>
      </c>
      <c r="H40" s="1142">
        <v>8402900000</v>
      </c>
      <c r="I40" s="1128">
        <v>0.17</v>
      </c>
      <c r="J40" s="1135"/>
      <c r="K40" s="931">
        <f>IF(M40=$M$4,0,SUM(F40:G40)*($M$4-M40))</f>
        <v>0</v>
      </c>
      <c r="L40" s="1119"/>
      <c r="M40" s="1125">
        <v>0.17</v>
      </c>
      <c r="N40" s="1138"/>
      <c r="O40" s="1121" t="s">
        <v>502</v>
      </c>
    </row>
    <row r="41" spans="2:15">
      <c r="B41" s="1184"/>
      <c r="C41" s="1131" t="e">
        <f>'Estimate Detail'!#REF!</f>
        <v>#REF!</v>
      </c>
      <c r="D41" s="1170"/>
      <c r="E41" s="1140"/>
      <c r="F41" s="1141"/>
      <c r="G41" s="1141"/>
      <c r="H41" s="1142"/>
      <c r="I41" s="1128"/>
      <c r="J41" s="1135"/>
      <c r="K41" s="931"/>
      <c r="L41" s="1119"/>
      <c r="M41" s="1125">
        <v>0.17</v>
      </c>
      <c r="N41" s="1138"/>
      <c r="O41" s="1121" t="s">
        <v>502</v>
      </c>
    </row>
    <row r="42" spans="2:15" s="1099" customFormat="1" ht="15">
      <c r="B42" s="1185"/>
      <c r="C42" s="1147" t="s">
        <v>289</v>
      </c>
      <c r="D42" s="1148"/>
      <c r="E42" s="1140"/>
      <c r="F42" s="1186"/>
      <c r="G42" s="1187"/>
      <c r="H42" s="1173"/>
      <c r="I42" s="1129"/>
      <c r="J42" s="1129"/>
      <c r="K42" s="1187"/>
      <c r="L42" s="1119"/>
      <c r="M42" s="1120"/>
      <c r="N42" s="1126"/>
      <c r="O42" s="1121"/>
    </row>
    <row r="43" spans="2:15" s="1099" customFormat="1" ht="15.75" thickBot="1">
      <c r="B43" s="1188"/>
      <c r="C43" s="1189" t="s">
        <v>126</v>
      </c>
      <c r="D43" s="1190"/>
      <c r="E43" s="1191"/>
      <c r="F43" s="1192"/>
      <c r="G43" s="1193"/>
      <c r="H43" s="1173"/>
      <c r="I43" s="1129"/>
      <c r="J43" s="1129"/>
      <c r="K43" s="1129"/>
      <c r="L43" s="1119"/>
      <c r="M43" s="1120"/>
      <c r="N43" s="1126"/>
      <c r="O43" s="1121"/>
    </row>
    <row r="44" spans="2:15" s="1099" customFormat="1" ht="15.75" thickTop="1">
      <c r="B44" s="1158" t="s">
        <v>509</v>
      </c>
      <c r="C44" s="1159"/>
      <c r="D44" s="1160"/>
      <c r="E44" s="1161"/>
      <c r="F44" s="1162"/>
      <c r="G44" s="1162"/>
      <c r="H44" s="1163"/>
      <c r="I44" s="1164"/>
      <c r="J44" s="1164"/>
      <c r="K44" s="1164"/>
      <c r="L44" s="1165"/>
      <c r="M44" s="1166"/>
      <c r="N44" s="1167"/>
      <c r="O44" s="1168"/>
    </row>
    <row r="45" spans="2:15">
      <c r="B45" s="1139" t="s">
        <v>510</v>
      </c>
      <c r="C45" s="1169" t="str">
        <f>'Estimate Detail'!C145</f>
        <v>Burners</v>
      </c>
      <c r="D45" s="1170"/>
      <c r="E45" s="1140"/>
      <c r="F45" s="1141"/>
      <c r="G45" s="1141"/>
      <c r="H45" s="1137"/>
      <c r="I45" s="1128"/>
      <c r="J45" s="1135"/>
      <c r="K45" s="931"/>
      <c r="L45" s="1144" t="s">
        <v>511</v>
      </c>
      <c r="M45" s="1125">
        <v>0.15</v>
      </c>
      <c r="N45" s="1138"/>
      <c r="O45" s="1121"/>
    </row>
    <row r="46" spans="2:15">
      <c r="B46" s="1139" t="s">
        <v>512</v>
      </c>
      <c r="C46" s="1169" t="e">
        <f>'Estimate Detail'!#REF!</f>
        <v>#REF!</v>
      </c>
      <c r="D46" s="1170"/>
      <c r="E46" s="1140"/>
      <c r="F46" s="1141"/>
      <c r="G46" s="1141"/>
      <c r="H46" s="1194"/>
      <c r="I46" s="1195"/>
      <c r="J46" s="1196"/>
      <c r="K46" s="931"/>
      <c r="L46" s="1197"/>
      <c r="M46" s="1136">
        <v>0.15</v>
      </c>
      <c r="N46" s="1198"/>
      <c r="O46" s="1121" t="s">
        <v>513</v>
      </c>
    </row>
    <row r="47" spans="2:15" s="1099" customFormat="1" ht="15">
      <c r="B47" s="1185"/>
      <c r="C47" s="1147" t="s">
        <v>290</v>
      </c>
      <c r="D47" s="1148">
        <f>SUM(D45:D46)</f>
        <v>0</v>
      </c>
      <c r="E47" s="1140"/>
      <c r="F47" s="1186">
        <f>SUM(F45:F46)</f>
        <v>0</v>
      </c>
      <c r="G47" s="1187">
        <f>SUM(G45:G46)</f>
        <v>0</v>
      </c>
      <c r="H47" s="1173"/>
      <c r="I47" s="1129"/>
      <c r="J47" s="1129"/>
      <c r="K47" s="1187">
        <f>SUM(K45:K46)</f>
        <v>0</v>
      </c>
      <c r="L47" s="1119"/>
      <c r="M47" s="1120"/>
      <c r="N47" s="1126"/>
      <c r="O47" s="1121"/>
    </row>
    <row r="48" spans="2:15" s="1099" customFormat="1" ht="15.75" thickBot="1">
      <c r="B48" s="1188"/>
      <c r="C48" s="1189" t="s">
        <v>126</v>
      </c>
      <c r="D48" s="1190"/>
      <c r="E48" s="1191"/>
      <c r="F48" s="1192"/>
      <c r="G48" s="1193"/>
      <c r="H48" s="1173"/>
      <c r="I48" s="1129"/>
      <c r="J48" s="1129"/>
      <c r="K48" s="1129"/>
      <c r="L48" s="1119"/>
      <c r="M48" s="1120"/>
      <c r="N48" s="1126"/>
      <c r="O48" s="1121"/>
    </row>
    <row r="49" spans="2:15" s="1099" customFormat="1" ht="15.75" thickTop="1">
      <c r="B49" s="1199" t="s">
        <v>514</v>
      </c>
      <c r="C49" s="1200"/>
      <c r="D49" s="1201"/>
      <c r="E49" s="1202"/>
      <c r="F49" s="1203"/>
      <c r="G49" s="1203"/>
      <c r="H49" s="1163"/>
      <c r="I49" s="1164"/>
      <c r="J49" s="1164"/>
      <c r="K49" s="1164"/>
      <c r="L49" s="1165"/>
      <c r="M49" s="1166"/>
      <c r="N49" s="1167"/>
      <c r="O49" s="1168"/>
    </row>
    <row r="50" spans="2:15">
      <c r="B50" s="1139"/>
      <c r="C50" s="1169" t="s">
        <v>515</v>
      </c>
      <c r="D50" s="1170">
        <v>0</v>
      </c>
      <c r="E50" s="1140">
        <v>0</v>
      </c>
      <c r="F50" s="1141">
        <v>0</v>
      </c>
      <c r="G50" s="1141">
        <v>0</v>
      </c>
      <c r="H50" s="1137"/>
      <c r="I50" s="1128"/>
      <c r="J50" s="1135"/>
      <c r="K50" s="931">
        <f>IF(M50=$M$4,0,SUM(F50:G50)*($M$4-M50))</f>
        <v>0</v>
      </c>
      <c r="L50" s="1119"/>
      <c r="M50" s="1120"/>
      <c r="N50" s="1126"/>
      <c r="O50" s="1121"/>
    </row>
    <row r="51" spans="2:15" ht="15">
      <c r="B51" s="1185"/>
      <c r="C51" s="1147" t="s">
        <v>290</v>
      </c>
      <c r="D51" s="1148"/>
      <c r="E51" s="1140"/>
      <c r="F51" s="1186"/>
      <c r="G51" s="1187">
        <f>SUM(G50)</f>
        <v>0</v>
      </c>
      <c r="H51" s="1173"/>
      <c r="I51" s="1129"/>
      <c r="J51" s="1129"/>
      <c r="K51" s="1187"/>
      <c r="L51" s="1119"/>
      <c r="M51" s="1136">
        <v>0.17</v>
      </c>
      <c r="N51" s="1126"/>
      <c r="O51" s="1121"/>
    </row>
    <row r="52" spans="2:15" ht="15.75" thickBot="1">
      <c r="B52" s="1188"/>
      <c r="C52" s="1189" t="s">
        <v>126</v>
      </c>
      <c r="D52" s="1190"/>
      <c r="E52" s="1191"/>
      <c r="F52" s="1192"/>
      <c r="G52" s="1193"/>
      <c r="H52" s="1173"/>
      <c r="I52" s="1129"/>
      <c r="J52" s="1129"/>
      <c r="K52" s="1129"/>
      <c r="L52" s="1119"/>
      <c r="M52" s="1120"/>
      <c r="N52" s="1126"/>
      <c r="O52" s="1121"/>
    </row>
    <row r="53" spans="2:15" s="1099" customFormat="1" ht="15.75" thickTop="1">
      <c r="B53" s="1158" t="s">
        <v>516</v>
      </c>
      <c r="C53" s="1159"/>
      <c r="D53" s="1160"/>
      <c r="E53" s="1161"/>
      <c r="F53" s="1162"/>
      <c r="G53" s="1162"/>
      <c r="H53" s="1163"/>
      <c r="I53" s="1164"/>
      <c r="J53" s="1164"/>
      <c r="K53" s="1164"/>
      <c r="L53" s="1165"/>
      <c r="M53" s="1166"/>
      <c r="N53" s="1167"/>
      <c r="O53" s="1168"/>
    </row>
    <row r="54" spans="2:15">
      <c r="B54" s="1139"/>
      <c r="C54" s="1169" t="str">
        <f>'Estimate Detail'!C107</f>
        <v>Condensate Pumps - Assy No. 64</v>
      </c>
      <c r="D54" s="1170">
        <f>'Estimate Detail'!E107</f>
        <v>0</v>
      </c>
      <c r="E54" s="1140">
        <f>'Estimate Detail'!F107</f>
        <v>0</v>
      </c>
      <c r="F54" s="1141">
        <f>'Estimate Detail'!H107</f>
        <v>0</v>
      </c>
      <c r="G54" s="1141">
        <f>'Estimate Detail'!I107</f>
        <v>0</v>
      </c>
      <c r="H54" s="1137"/>
      <c r="I54" s="1128"/>
      <c r="J54" s="1135"/>
      <c r="K54" s="931">
        <f>IF(M54=$M$4,0,SUM(F54:G54)*($M$4-M54))</f>
        <v>0</v>
      </c>
      <c r="L54" s="1144"/>
      <c r="M54" s="1136">
        <v>0.17</v>
      </c>
      <c r="N54" s="1138"/>
      <c r="O54" s="1121"/>
    </row>
    <row r="55" spans="2:15">
      <c r="B55" s="1139"/>
      <c r="C55" s="1169" t="str">
        <f>'Estimate Detail'!C108</f>
        <v>Boiler Circulating Pumps - Assy No. 64</v>
      </c>
      <c r="D55" s="1170">
        <f>'Estimate Detail'!E108</f>
        <v>0</v>
      </c>
      <c r="E55" s="1140">
        <f>'Estimate Detail'!F108</f>
        <v>0</v>
      </c>
      <c r="F55" s="1141">
        <f>'Estimate Detail'!H108</f>
        <v>0</v>
      </c>
      <c r="G55" s="1141">
        <f>'Estimate Detail'!I108</f>
        <v>0</v>
      </c>
      <c r="H55" s="1137"/>
      <c r="I55" s="1128"/>
      <c r="J55" s="1135"/>
      <c r="K55" s="931">
        <f>IF(M55=$M$4,0,SUM(F55:G55)*($M$4-M55))</f>
        <v>0</v>
      </c>
      <c r="L55" s="1144"/>
      <c r="M55" s="1136">
        <v>0.17</v>
      </c>
      <c r="N55" s="1138"/>
      <c r="O55" s="1121"/>
    </row>
    <row r="56" spans="2:15" s="1099" customFormat="1" ht="15">
      <c r="B56" s="1185"/>
      <c r="C56" s="1147" t="s">
        <v>517</v>
      </c>
      <c r="D56" s="1148">
        <f>SUM(D54)</f>
        <v>0</v>
      </c>
      <c r="E56" s="1140"/>
      <c r="F56" s="1186">
        <f>SUM(F54:F55)</f>
        <v>0</v>
      </c>
      <c r="G56" s="1186">
        <f>SUM(G54:G55)</f>
        <v>0</v>
      </c>
      <c r="H56" s="1173"/>
      <c r="I56" s="1129"/>
      <c r="J56" s="1129"/>
      <c r="K56" s="1187">
        <f>SUM(K54)</f>
        <v>0</v>
      </c>
      <c r="L56" s="1119"/>
      <c r="M56" s="1120"/>
      <c r="N56" s="1126"/>
      <c r="O56" s="1121"/>
    </row>
    <row r="57" spans="2:15" s="1099" customFormat="1" ht="15.75" thickBot="1">
      <c r="B57" s="1188"/>
      <c r="C57" s="1189" t="s">
        <v>126</v>
      </c>
      <c r="D57" s="1190"/>
      <c r="E57" s="1191"/>
      <c r="F57" s="1192"/>
      <c r="G57" s="1193"/>
      <c r="H57" s="1173"/>
      <c r="I57" s="1129"/>
      <c r="J57" s="1129"/>
      <c r="K57" s="1129"/>
      <c r="L57" s="1119"/>
      <c r="M57" s="1120"/>
      <c r="N57" s="1126"/>
      <c r="O57" s="1121"/>
    </row>
    <row r="58" spans="2:15" s="1099" customFormat="1" ht="15.75" thickTop="1">
      <c r="B58" s="1158" t="s">
        <v>518</v>
      </c>
      <c r="C58" s="1159"/>
      <c r="D58" s="1160"/>
      <c r="E58" s="1161"/>
      <c r="F58" s="1162"/>
      <c r="G58" s="1162"/>
      <c r="H58" s="1163"/>
      <c r="I58" s="1164"/>
      <c r="J58" s="1164"/>
      <c r="K58" s="1164"/>
      <c r="L58" s="1165"/>
      <c r="M58" s="1166"/>
      <c r="N58" s="1167"/>
      <c r="O58" s="1168"/>
    </row>
    <row r="59" spans="2:15">
      <c r="B59" s="1139"/>
      <c r="C59" s="1169" t="s">
        <v>519</v>
      </c>
      <c r="D59" s="1170">
        <v>0</v>
      </c>
      <c r="E59" s="1140">
        <v>0</v>
      </c>
      <c r="F59" s="1141">
        <v>0</v>
      </c>
      <c r="G59" s="1141">
        <v>0</v>
      </c>
      <c r="H59" s="1137"/>
      <c r="I59" s="1128"/>
      <c r="J59" s="1135"/>
      <c r="K59" s="931">
        <f>SUM(F59:G59)*M59</f>
        <v>0</v>
      </c>
      <c r="L59" s="1144"/>
      <c r="M59" s="1125"/>
      <c r="N59" s="1138"/>
      <c r="O59" s="1121"/>
    </row>
    <row r="60" spans="2:15" s="1099" customFormat="1" ht="15">
      <c r="B60" s="1185"/>
      <c r="C60" s="1147" t="s">
        <v>520</v>
      </c>
      <c r="D60" s="1148">
        <f>SUM(D59)</f>
        <v>0</v>
      </c>
      <c r="E60" s="1140"/>
      <c r="F60" s="1186">
        <f>SUM(F59)</f>
        <v>0</v>
      </c>
      <c r="G60" s="1187">
        <f>SUM(G59)</f>
        <v>0</v>
      </c>
      <c r="H60" s="1173"/>
      <c r="I60" s="1129"/>
      <c r="J60" s="1129"/>
      <c r="K60" s="1187">
        <f>SUM(K59)</f>
        <v>0</v>
      </c>
      <c r="L60" s="1119"/>
      <c r="M60" s="1120"/>
      <c r="N60" s="1126"/>
      <c r="O60" s="1121"/>
    </row>
    <row r="61" spans="2:15" s="1099" customFormat="1" ht="15.75" thickBot="1">
      <c r="B61" s="1188"/>
      <c r="C61" s="1189" t="s">
        <v>126</v>
      </c>
      <c r="D61" s="1190"/>
      <c r="E61" s="1191"/>
      <c r="F61" s="1192"/>
      <c r="G61" s="1193"/>
      <c r="H61" s="1173"/>
      <c r="I61" s="1129"/>
      <c r="J61" s="1129"/>
      <c r="K61" s="1129"/>
      <c r="L61" s="1119"/>
      <c r="M61" s="1120"/>
      <c r="N61" s="1126"/>
      <c r="O61" s="1121"/>
    </row>
    <row r="62" spans="2:15" s="1099" customFormat="1" ht="15.75" thickTop="1">
      <c r="B62" s="1158" t="s">
        <v>521</v>
      </c>
      <c r="C62" s="1159"/>
      <c r="D62" s="1160"/>
      <c r="E62" s="1161"/>
      <c r="F62" s="1162"/>
      <c r="G62" s="1162"/>
      <c r="H62" s="1163"/>
      <c r="I62" s="1164"/>
      <c r="J62" s="1164"/>
      <c r="K62" s="1164"/>
      <c r="L62" s="1165"/>
      <c r="M62" s="1166"/>
      <c r="N62" s="1167"/>
      <c r="O62" s="1168"/>
    </row>
    <row r="63" spans="2:15">
      <c r="B63" s="1139" t="s">
        <v>522</v>
      </c>
      <c r="C63" s="1169" t="s">
        <v>523</v>
      </c>
      <c r="D63" s="1170"/>
      <c r="E63" s="1140"/>
      <c r="F63" s="1141"/>
      <c r="G63" s="1141"/>
      <c r="H63" s="1137" t="s">
        <v>524</v>
      </c>
      <c r="I63" s="1128" t="s">
        <v>525</v>
      </c>
      <c r="J63" s="1135"/>
      <c r="K63" s="931">
        <f>IF(M63=$M$4,0,SUM(F63:G63)*($M$4-M63))</f>
        <v>0</v>
      </c>
      <c r="L63" s="1144"/>
      <c r="M63" s="1136">
        <v>0.17</v>
      </c>
      <c r="N63" s="1138"/>
      <c r="O63" s="1121"/>
    </row>
    <row r="64" spans="2:15" s="1099" customFormat="1" ht="15">
      <c r="B64" s="1185"/>
      <c r="C64" s="1147" t="s">
        <v>291</v>
      </c>
      <c r="D64" s="1148">
        <f>SUM(D63)</f>
        <v>0</v>
      </c>
      <c r="E64" s="1140"/>
      <c r="F64" s="1186">
        <f>SUM(F63)</f>
        <v>0</v>
      </c>
      <c r="G64" s="1187">
        <f>SUM(G63)</f>
        <v>0</v>
      </c>
      <c r="H64" s="1173"/>
      <c r="I64" s="1129"/>
      <c r="J64" s="1129"/>
      <c r="K64" s="1187">
        <f>SUM(K63)</f>
        <v>0</v>
      </c>
      <c r="L64" s="1119"/>
      <c r="M64" s="1120"/>
      <c r="N64" s="1126"/>
      <c r="O64" s="1121"/>
    </row>
    <row r="65" spans="2:15" s="1099" customFormat="1" ht="15.75" thickBot="1">
      <c r="B65" s="1188"/>
      <c r="C65" s="1189" t="s">
        <v>126</v>
      </c>
      <c r="D65" s="1190"/>
      <c r="E65" s="1191"/>
      <c r="F65" s="1192"/>
      <c r="G65" s="1193"/>
      <c r="H65" s="1173"/>
      <c r="I65" s="1129"/>
      <c r="J65" s="1129"/>
      <c r="K65" s="1129"/>
      <c r="L65" s="1119"/>
      <c r="M65" s="1120"/>
      <c r="N65" s="1126"/>
      <c r="O65" s="1121"/>
    </row>
    <row r="66" spans="2:15" s="1099" customFormat="1" ht="15.75" thickTop="1">
      <c r="B66" s="1158" t="s">
        <v>526</v>
      </c>
      <c r="C66" s="1159"/>
      <c r="D66" s="1160"/>
      <c r="E66" s="1161"/>
      <c r="F66" s="1162"/>
      <c r="G66" s="1162"/>
      <c r="H66" s="1163"/>
      <c r="I66" s="1164"/>
      <c r="J66" s="1164"/>
      <c r="K66" s="1164"/>
      <c r="L66" s="1165"/>
      <c r="M66" s="1166"/>
      <c r="N66" s="1167"/>
      <c r="O66" s="1168"/>
    </row>
    <row r="67" spans="2:15" ht="38.25">
      <c r="B67" s="1139" t="s">
        <v>527</v>
      </c>
      <c r="C67" s="1169" t="s">
        <v>528</v>
      </c>
      <c r="D67" s="1170"/>
      <c r="E67" s="1140"/>
      <c r="F67" s="1141"/>
      <c r="G67" s="1141"/>
      <c r="H67" s="1194" t="s">
        <v>529</v>
      </c>
      <c r="I67" s="1195">
        <v>0.13</v>
      </c>
      <c r="J67" s="1195"/>
      <c r="K67" s="1141">
        <f>SUM(F67:G67)*M67</f>
        <v>0</v>
      </c>
      <c r="L67" s="1197"/>
      <c r="M67" s="1204"/>
      <c r="N67" s="1198"/>
      <c r="O67" s="1121"/>
    </row>
    <row r="68" spans="2:15" s="1099" customFormat="1">
      <c r="B68" s="1205"/>
      <c r="C68" s="1206" t="s">
        <v>530</v>
      </c>
      <c r="D68" s="1207"/>
      <c r="E68" s="1208"/>
      <c r="F68" s="1209">
        <f>'Estimate Detail'!H111</f>
        <v>0</v>
      </c>
      <c r="G68" s="1209">
        <f>'Estimate Detail'!I111</f>
        <v>0</v>
      </c>
      <c r="H68" s="1210">
        <v>8481801090</v>
      </c>
      <c r="I68" s="1211">
        <v>0.15</v>
      </c>
      <c r="J68" s="1212"/>
      <c r="K68" s="931">
        <f t="shared" ref="K68:K74" si="0">IF(M68=$M$4,0,SUM(F68:G68)*($M$4-M68))</f>
        <v>0</v>
      </c>
      <c r="L68" s="1144">
        <v>8481804090</v>
      </c>
      <c r="M68" s="1125">
        <v>0.15</v>
      </c>
      <c r="N68" s="1138"/>
      <c r="O68" s="1213" t="s">
        <v>531</v>
      </c>
    </row>
    <row r="69" spans="2:15" s="1099" customFormat="1">
      <c r="B69" s="1205"/>
      <c r="C69" s="1206" t="s">
        <v>532</v>
      </c>
      <c r="D69" s="1207">
        <v>0</v>
      </c>
      <c r="E69" s="1208">
        <v>0</v>
      </c>
      <c r="F69" s="1209">
        <v>0</v>
      </c>
      <c r="G69" s="1209">
        <v>0</v>
      </c>
      <c r="H69" s="1210">
        <v>8481400000</v>
      </c>
      <c r="I69" s="1211">
        <v>0.15</v>
      </c>
      <c r="J69" s="1212"/>
      <c r="K69" s="931">
        <f t="shared" si="0"/>
        <v>0</v>
      </c>
      <c r="L69" s="1214"/>
      <c r="M69" s="1125">
        <v>0.15</v>
      </c>
      <c r="N69" s="1138"/>
      <c r="O69" s="1213"/>
    </row>
    <row r="70" spans="2:15" s="1099" customFormat="1">
      <c r="B70" s="1205"/>
      <c r="C70" s="1206" t="s">
        <v>533</v>
      </c>
      <c r="D70" s="1207"/>
      <c r="E70" s="1208"/>
      <c r="F70" s="1209">
        <v>0</v>
      </c>
      <c r="G70" s="1209">
        <v>0</v>
      </c>
      <c r="H70" s="1210">
        <v>8481300000</v>
      </c>
      <c r="I70" s="1211">
        <v>0.15</v>
      </c>
      <c r="J70" s="1212"/>
      <c r="K70" s="931">
        <f t="shared" si="0"/>
        <v>0</v>
      </c>
      <c r="L70" s="1214"/>
      <c r="M70" s="1125">
        <v>0.15</v>
      </c>
      <c r="N70" s="1138"/>
      <c r="O70" s="1213"/>
    </row>
    <row r="71" spans="2:15" s="1099" customFormat="1">
      <c r="B71" s="1205"/>
      <c r="C71" s="1206" t="s">
        <v>534</v>
      </c>
      <c r="D71" s="1207"/>
      <c r="E71" s="1208"/>
      <c r="F71" s="1209"/>
      <c r="G71" s="1209"/>
      <c r="H71" s="1210">
        <v>8481201000</v>
      </c>
      <c r="I71" s="1211">
        <v>0.15</v>
      </c>
      <c r="J71" s="1212"/>
      <c r="K71" s="931">
        <f t="shared" si="0"/>
        <v>0</v>
      </c>
      <c r="L71" s="1215"/>
      <c r="M71" s="1125">
        <v>0.15</v>
      </c>
      <c r="N71" s="1138"/>
      <c r="O71" s="1213"/>
    </row>
    <row r="72" spans="2:15" s="1099" customFormat="1" ht="25.5">
      <c r="B72" s="1205"/>
      <c r="C72" s="1206" t="s">
        <v>535</v>
      </c>
      <c r="D72" s="1207"/>
      <c r="E72" s="1208"/>
      <c r="F72" s="1209"/>
      <c r="G72" s="1209"/>
      <c r="H72" s="1210">
        <v>8481100000</v>
      </c>
      <c r="I72" s="1211">
        <v>0.13</v>
      </c>
      <c r="J72" s="1212"/>
      <c r="K72" s="931">
        <f t="shared" si="0"/>
        <v>0</v>
      </c>
      <c r="L72" s="1144" t="s">
        <v>536</v>
      </c>
      <c r="M72" s="1125">
        <v>0.15</v>
      </c>
      <c r="N72" s="1138"/>
      <c r="O72" s="1213"/>
    </row>
    <row r="73" spans="2:15" s="1099" customFormat="1">
      <c r="B73" s="1205"/>
      <c r="C73" s="1206" t="s">
        <v>537</v>
      </c>
      <c r="D73" s="1207"/>
      <c r="E73" s="1208"/>
      <c r="F73" s="1209"/>
      <c r="G73" s="1209"/>
      <c r="H73" s="1210">
        <v>8481901000</v>
      </c>
      <c r="I73" s="1211">
        <v>0.15</v>
      </c>
      <c r="J73" s="1212"/>
      <c r="K73" s="931">
        <f t="shared" si="0"/>
        <v>0</v>
      </c>
      <c r="L73" s="1215"/>
      <c r="M73" s="1125">
        <v>0.15</v>
      </c>
      <c r="N73" s="1138"/>
      <c r="O73" s="1213"/>
    </row>
    <row r="74" spans="2:15">
      <c r="B74" s="1139" t="s">
        <v>538</v>
      </c>
      <c r="C74" s="1169" t="s">
        <v>539</v>
      </c>
      <c r="D74" s="1170">
        <f>'Estimate Detail'!E120</f>
        <v>0</v>
      </c>
      <c r="E74" s="1140">
        <f>'Estimate Detail'!F120</f>
        <v>0</v>
      </c>
      <c r="F74" s="1141">
        <f>'Estimate Detail'!H120</f>
        <v>0</v>
      </c>
      <c r="G74" s="1141">
        <f>'Estimate Detail'!I120</f>
        <v>0</v>
      </c>
      <c r="H74" s="1142">
        <v>0</v>
      </c>
      <c r="I74" s="1128">
        <v>0</v>
      </c>
      <c r="J74" s="1135">
        <v>0</v>
      </c>
      <c r="K74" s="931">
        <f t="shared" si="0"/>
        <v>0</v>
      </c>
      <c r="L74" s="1119"/>
      <c r="M74" s="1125">
        <v>0.17</v>
      </c>
      <c r="N74" s="1138"/>
      <c r="O74" s="1146"/>
    </row>
    <row r="75" spans="2:15" s="1099" customFormat="1" ht="15">
      <c r="B75" s="1185"/>
      <c r="C75" s="1147" t="s">
        <v>292</v>
      </c>
      <c r="D75" s="1148">
        <f>SUM(D67:D74)</f>
        <v>0</v>
      </c>
      <c r="E75" s="1140"/>
      <c r="F75" s="1186">
        <f>SUM(F67:F74)</f>
        <v>0</v>
      </c>
      <c r="G75" s="1187">
        <f>SUM(G67:G74)</f>
        <v>0</v>
      </c>
      <c r="H75" s="1173"/>
      <c r="I75" s="1129"/>
      <c r="J75" s="1129"/>
      <c r="K75" s="1187">
        <f>SUM(K67:K74)</f>
        <v>0</v>
      </c>
      <c r="L75" s="1119"/>
      <c r="M75" s="1120"/>
      <c r="N75" s="1126"/>
      <c r="O75" s="1121"/>
    </row>
    <row r="76" spans="2:15" s="1099" customFormat="1" ht="15.75" thickBot="1">
      <c r="B76" s="1188"/>
      <c r="C76" s="1189" t="s">
        <v>126</v>
      </c>
      <c r="D76" s="1190"/>
      <c r="E76" s="1191"/>
      <c r="F76" s="1192"/>
      <c r="G76" s="1193"/>
      <c r="H76" s="1173"/>
      <c r="I76" s="1129"/>
      <c r="J76" s="1129"/>
      <c r="K76" s="1129"/>
      <c r="L76" s="1119"/>
      <c r="M76" s="1120"/>
      <c r="N76" s="1126"/>
      <c r="O76" s="1121"/>
    </row>
    <row r="77" spans="2:15" s="1099" customFormat="1" ht="15.75" thickTop="1">
      <c r="B77" s="1158" t="s">
        <v>540</v>
      </c>
      <c r="C77" s="1159"/>
      <c r="D77" s="1160"/>
      <c r="E77" s="1161"/>
      <c r="F77" s="1162"/>
      <c r="G77" s="1162"/>
      <c r="H77" s="1163"/>
      <c r="I77" s="1164"/>
      <c r="J77" s="1164"/>
      <c r="K77" s="1164"/>
      <c r="L77" s="1165"/>
      <c r="M77" s="1166"/>
      <c r="N77" s="1167"/>
      <c r="O77" s="1168"/>
    </row>
    <row r="78" spans="2:15" ht="27.75" customHeight="1">
      <c r="B78" s="1216">
        <v>10</v>
      </c>
      <c r="C78" s="1131" t="s">
        <v>541</v>
      </c>
      <c r="D78" s="1170"/>
      <c r="E78" s="1140">
        <f>'Estimate Detail'!F243</f>
        <v>0</v>
      </c>
      <c r="F78" s="1141">
        <f>'Estimate Detail'!H243</f>
        <v>0</v>
      </c>
      <c r="G78" s="1141">
        <f>'Estimate Detail'!I243</f>
        <v>0</v>
      </c>
      <c r="H78" s="1142">
        <v>8402900000</v>
      </c>
      <c r="I78" s="1128">
        <v>0.17</v>
      </c>
      <c r="J78" s="1135"/>
      <c r="K78" s="931">
        <f>IF(M78=$M$4,0,SUM(F78:G78)*($M$4-M78))</f>
        <v>0</v>
      </c>
      <c r="L78" s="1119"/>
      <c r="M78" s="1125">
        <v>0.17</v>
      </c>
      <c r="N78" s="1138"/>
      <c r="O78" s="1121" t="s">
        <v>502</v>
      </c>
    </row>
    <row r="79" spans="2:15" s="1099" customFormat="1" ht="15">
      <c r="B79" s="1217"/>
      <c r="C79" s="1147" t="s">
        <v>3</v>
      </c>
      <c r="D79" s="1148">
        <f>SUM(D78)</f>
        <v>0</v>
      </c>
      <c r="E79" s="1140"/>
      <c r="F79" s="1186">
        <f>SUM(F78)</f>
        <v>0</v>
      </c>
      <c r="G79" s="1187">
        <f>SUM(G78)</f>
        <v>0</v>
      </c>
      <c r="H79" s="1173"/>
      <c r="I79" s="1129"/>
      <c r="J79" s="1129"/>
      <c r="K79" s="1187">
        <f>SUM(K78)</f>
        <v>0</v>
      </c>
      <c r="L79" s="1119"/>
      <c r="M79" s="1120"/>
      <c r="N79" s="1126"/>
      <c r="O79" s="1121"/>
    </row>
    <row r="80" spans="2:15" s="1099" customFormat="1" ht="15.75" thickBot="1">
      <c r="B80" s="1218"/>
      <c r="C80" s="1189" t="s">
        <v>126</v>
      </c>
      <c r="D80" s="1190"/>
      <c r="E80" s="1191"/>
      <c r="F80" s="1192"/>
      <c r="G80" s="1193"/>
      <c r="H80" s="1173"/>
      <c r="I80" s="1129"/>
      <c r="J80" s="1129"/>
      <c r="K80" s="1129"/>
      <c r="L80" s="1119"/>
      <c r="M80" s="1120"/>
      <c r="N80" s="1126"/>
      <c r="O80" s="1121"/>
    </row>
    <row r="81" spans="2:15" s="1099" customFormat="1" ht="15.75" thickTop="1">
      <c r="B81" s="1158" t="s">
        <v>542</v>
      </c>
      <c r="C81" s="1159"/>
      <c r="D81" s="1160"/>
      <c r="E81" s="1161"/>
      <c r="F81" s="1162"/>
      <c r="G81" s="1162"/>
      <c r="H81" s="1163"/>
      <c r="I81" s="1164"/>
      <c r="J81" s="1164"/>
      <c r="K81" s="1164"/>
      <c r="L81" s="1165"/>
      <c r="M81" s="1166"/>
      <c r="N81" s="1167"/>
      <c r="O81" s="1168"/>
    </row>
    <row r="82" spans="2:15">
      <c r="B82" s="1139" t="s">
        <v>543</v>
      </c>
      <c r="C82" s="1169" t="s">
        <v>544</v>
      </c>
      <c r="D82" s="1170"/>
      <c r="E82" s="1219"/>
      <c r="F82" s="1141"/>
      <c r="G82" s="1141"/>
      <c r="H82" s="1137" t="e">
        <f>'Estimate Detail'!#REF!</f>
        <v>#REF!</v>
      </c>
      <c r="I82" s="1129" t="e">
        <f>'Estimate Detail'!#REF!</f>
        <v>#REF!</v>
      </c>
      <c r="J82" s="1143" t="e">
        <f>'Estimate Detail'!#REF!</f>
        <v>#REF!</v>
      </c>
      <c r="K82" s="931">
        <f t="shared" ref="K82:K89" si="1">IF(M82=$M$4,0,SUM(F82:G82)*($M$4-M82))</f>
        <v>0</v>
      </c>
      <c r="L82" s="1144">
        <v>8404101000</v>
      </c>
      <c r="M82" s="1125">
        <v>0.17</v>
      </c>
      <c r="N82" s="1138"/>
      <c r="O82" s="1121"/>
    </row>
    <row r="83" spans="2:15">
      <c r="B83" s="1139" t="s">
        <v>545</v>
      </c>
      <c r="C83" s="1169" t="s">
        <v>546</v>
      </c>
      <c r="D83" s="1170"/>
      <c r="E83" s="1140"/>
      <c r="F83" s="1141"/>
      <c r="G83" s="1141"/>
      <c r="H83" s="1137">
        <v>0</v>
      </c>
      <c r="I83" s="1129">
        <v>0</v>
      </c>
      <c r="J83" s="1143">
        <v>0</v>
      </c>
      <c r="K83" s="931">
        <f t="shared" si="1"/>
        <v>0</v>
      </c>
      <c r="L83" s="1144">
        <v>8404101000</v>
      </c>
      <c r="M83" s="1125">
        <v>0.17</v>
      </c>
      <c r="N83" s="1138"/>
      <c r="O83" s="1121"/>
    </row>
    <row r="84" spans="2:15">
      <c r="B84" s="1184" t="s">
        <v>547</v>
      </c>
      <c r="C84" s="1169" t="s">
        <v>548</v>
      </c>
      <c r="D84" s="1170"/>
      <c r="E84" s="1140"/>
      <c r="F84" s="1141"/>
      <c r="G84" s="1141"/>
      <c r="H84" s="1173"/>
      <c r="I84" s="1129"/>
      <c r="J84" s="1143"/>
      <c r="K84" s="931">
        <f t="shared" si="1"/>
        <v>0</v>
      </c>
      <c r="L84" s="1119"/>
      <c r="M84" s="1136">
        <v>0.17</v>
      </c>
      <c r="N84" s="1126"/>
      <c r="O84" s="1121" t="s">
        <v>549</v>
      </c>
    </row>
    <row r="85" spans="2:15" ht="28.5">
      <c r="B85" s="1220" t="s">
        <v>550</v>
      </c>
      <c r="C85" s="1169" t="s">
        <v>551</v>
      </c>
      <c r="D85" s="1160"/>
      <c r="E85" s="1161">
        <f>'Estimate Detail'!F237</f>
        <v>0</v>
      </c>
      <c r="F85" s="1141">
        <f>'Estimate Detail'!H237</f>
        <v>0</v>
      </c>
      <c r="G85" s="1141">
        <f>'Estimate Detail'!I237</f>
        <v>0</v>
      </c>
      <c r="H85" s="1173"/>
      <c r="I85" s="1129"/>
      <c r="J85" s="1143"/>
      <c r="K85" s="931">
        <f t="shared" si="1"/>
        <v>0</v>
      </c>
      <c r="L85" s="1119"/>
      <c r="M85" s="1136">
        <v>0.17</v>
      </c>
      <c r="N85" s="1126"/>
      <c r="O85" s="1121"/>
    </row>
    <row r="86" spans="2:15">
      <c r="B86" s="1139" t="s">
        <v>552</v>
      </c>
      <c r="C86" s="1169" t="s">
        <v>553</v>
      </c>
      <c r="D86" s="1160"/>
      <c r="E86" s="1161">
        <f>'Estimate Detail'!F238</f>
        <v>0</v>
      </c>
      <c r="F86" s="1141">
        <f>'Estimate Detail'!H238</f>
        <v>0</v>
      </c>
      <c r="G86" s="1141">
        <f>'Estimate Detail'!I238</f>
        <v>0</v>
      </c>
      <c r="H86" s="1194">
        <v>0</v>
      </c>
      <c r="I86" s="1195">
        <v>0</v>
      </c>
      <c r="J86" s="1196">
        <v>0</v>
      </c>
      <c r="K86" s="931">
        <f t="shared" si="1"/>
        <v>0</v>
      </c>
      <c r="L86" s="1197"/>
      <c r="M86" s="1136">
        <v>0.17</v>
      </c>
      <c r="N86" s="1198"/>
      <c r="O86" s="1121"/>
    </row>
    <row r="87" spans="2:15">
      <c r="B87" s="1139" t="s">
        <v>554</v>
      </c>
      <c r="C87" s="1169" t="s">
        <v>555</v>
      </c>
      <c r="D87" s="1160"/>
      <c r="E87" s="1161"/>
      <c r="F87" s="1141"/>
      <c r="G87" s="1141"/>
      <c r="H87" s="1173"/>
      <c r="I87" s="1129"/>
      <c r="J87" s="1143"/>
      <c r="K87" s="931">
        <f t="shared" si="1"/>
        <v>0</v>
      </c>
      <c r="L87" s="1119"/>
      <c r="M87" s="1136">
        <v>0.17</v>
      </c>
      <c r="N87" s="1126"/>
      <c r="O87" s="1121"/>
    </row>
    <row r="88" spans="2:15">
      <c r="B88" s="1139"/>
      <c r="C88" s="1169" t="s">
        <v>556</v>
      </c>
      <c r="D88" s="1221"/>
      <c r="E88" s="1140"/>
      <c r="F88" s="1141"/>
      <c r="G88" s="1141"/>
      <c r="H88" s="1173"/>
      <c r="I88" s="1129"/>
      <c r="J88" s="1143"/>
      <c r="K88" s="931">
        <f t="shared" si="1"/>
        <v>0</v>
      </c>
      <c r="L88" s="1119"/>
      <c r="M88" s="1136">
        <v>0.17</v>
      </c>
      <c r="N88" s="1126"/>
      <c r="O88" s="1121"/>
    </row>
    <row r="89" spans="2:15">
      <c r="B89" s="1139"/>
      <c r="C89" s="1131" t="s">
        <v>557</v>
      </c>
      <c r="D89" s="1222"/>
      <c r="E89" s="1219"/>
      <c r="F89" s="1141"/>
      <c r="G89" s="1141"/>
      <c r="H89" s="1124"/>
      <c r="I89" s="1118"/>
      <c r="J89" s="1223"/>
      <c r="K89" s="931">
        <f t="shared" si="1"/>
        <v>0</v>
      </c>
      <c r="L89" s="1119"/>
      <c r="M89" s="1136">
        <v>0.17</v>
      </c>
      <c r="N89" s="1138"/>
      <c r="O89" s="1121"/>
    </row>
    <row r="90" spans="2:15" s="1099" customFormat="1" ht="15">
      <c r="B90" s="1185"/>
      <c r="C90" s="1147" t="s">
        <v>558</v>
      </c>
      <c r="D90" s="1224">
        <f>SUM(D82:D89)</f>
        <v>0</v>
      </c>
      <c r="E90" s="1140"/>
      <c r="F90" s="1186">
        <f>SUM(F82:F89)</f>
        <v>0</v>
      </c>
      <c r="G90" s="1187">
        <f>SUM(G82:G89)</f>
        <v>0</v>
      </c>
      <c r="H90" s="1173"/>
      <c r="I90" s="1129"/>
      <c r="J90" s="1129"/>
      <c r="K90" s="1187">
        <f>SUM(K82:K89)</f>
        <v>0</v>
      </c>
      <c r="L90" s="1119"/>
      <c r="M90" s="1120"/>
      <c r="N90" s="1126"/>
      <c r="O90" s="1121"/>
    </row>
    <row r="91" spans="2:15" s="1099" customFormat="1" ht="15.75" thickBot="1">
      <c r="B91" s="1225"/>
      <c r="C91" s="1200" t="s">
        <v>126</v>
      </c>
      <c r="D91" s="1201"/>
      <c r="E91" s="1202"/>
      <c r="F91" s="1226"/>
      <c r="G91" s="1227"/>
      <c r="H91" s="1127"/>
      <c r="I91" s="1128"/>
      <c r="J91" s="1128"/>
      <c r="K91" s="1128"/>
      <c r="L91" s="1228"/>
      <c r="M91" s="1229"/>
      <c r="N91" s="1230"/>
      <c r="O91" s="1231"/>
    </row>
    <row r="92" spans="2:15" s="1099" customFormat="1" ht="15.75" thickTop="1">
      <c r="B92" s="1158" t="s">
        <v>559</v>
      </c>
      <c r="C92" s="1159"/>
      <c r="D92" s="1232"/>
      <c r="E92" s="1233"/>
      <c r="F92" s="1234"/>
      <c r="G92" s="1234"/>
      <c r="H92" s="1163"/>
      <c r="I92" s="1164"/>
      <c r="J92" s="1164"/>
      <c r="K92" s="1164"/>
      <c r="L92" s="1165"/>
      <c r="M92" s="1166"/>
      <c r="N92" s="1167"/>
      <c r="O92" s="1168"/>
    </row>
    <row r="93" spans="2:15" s="1099" customFormat="1" ht="27.75">
      <c r="B93" s="1235"/>
      <c r="C93" s="1236" t="s">
        <v>560</v>
      </c>
      <c r="D93" s="1237"/>
      <c r="E93" s="1238"/>
      <c r="F93" s="1141"/>
      <c r="G93" s="1141"/>
      <c r="H93" s="1173">
        <v>8479899090</v>
      </c>
      <c r="I93" s="1129">
        <v>0.14000000000000001</v>
      </c>
      <c r="J93" s="1129"/>
      <c r="K93" s="1129"/>
      <c r="L93" s="1144" t="s">
        <v>561</v>
      </c>
      <c r="M93" s="1136">
        <v>0.15</v>
      </c>
      <c r="N93" s="1138" t="s">
        <v>562</v>
      </c>
      <c r="O93" s="1121" t="s">
        <v>502</v>
      </c>
    </row>
    <row r="94" spans="2:15" s="1099" customFormat="1" ht="27.75">
      <c r="B94" s="1239"/>
      <c r="C94" s="1236" t="s">
        <v>563</v>
      </c>
      <c r="D94" s="1237"/>
      <c r="E94" s="1240"/>
      <c r="F94" s="1241"/>
      <c r="G94" s="1242"/>
      <c r="H94" s="1173" t="s">
        <v>564</v>
      </c>
      <c r="I94" s="1129" t="s">
        <v>565</v>
      </c>
      <c r="J94" s="1129"/>
      <c r="K94" s="1129"/>
      <c r="L94" s="1144" t="s">
        <v>561</v>
      </c>
      <c r="M94" s="1136">
        <v>0.15</v>
      </c>
      <c r="N94" s="1138" t="s">
        <v>562</v>
      </c>
      <c r="O94" s="1121" t="s">
        <v>502</v>
      </c>
    </row>
    <row r="95" spans="2:15" s="1099" customFormat="1">
      <c r="B95" s="1235"/>
      <c r="C95" s="1236" t="s">
        <v>566</v>
      </c>
      <c r="D95" s="1237"/>
      <c r="E95" s="1240"/>
      <c r="F95" s="1241"/>
      <c r="G95" s="1242"/>
      <c r="H95" s="1173" t="s">
        <v>567</v>
      </c>
      <c r="I95" s="1129" t="s">
        <v>568</v>
      </c>
      <c r="J95" s="1129"/>
      <c r="K95" s="1129"/>
      <c r="L95" s="1144">
        <v>73090000</v>
      </c>
      <c r="M95" s="1136">
        <v>0.05</v>
      </c>
      <c r="N95" s="1138">
        <v>0.05</v>
      </c>
      <c r="O95" s="1121" t="s">
        <v>502</v>
      </c>
    </row>
    <row r="96" spans="2:15" s="1099" customFormat="1" ht="27.75">
      <c r="B96" s="1243"/>
      <c r="C96" s="1236" t="s">
        <v>569</v>
      </c>
      <c r="D96" s="1237"/>
      <c r="E96" s="1240"/>
      <c r="F96" s="1241"/>
      <c r="G96" s="1242"/>
      <c r="H96" s="1173">
        <v>8402900000</v>
      </c>
      <c r="I96" s="1129">
        <v>0.17</v>
      </c>
      <c r="J96" s="1129"/>
      <c r="K96" s="1129"/>
      <c r="L96" s="1144" t="s">
        <v>561</v>
      </c>
      <c r="M96" s="1136">
        <v>0.15</v>
      </c>
      <c r="N96" s="1138" t="s">
        <v>562</v>
      </c>
      <c r="O96" s="1121" t="s">
        <v>502</v>
      </c>
    </row>
    <row r="97" spans="2:15" s="1099" customFormat="1" ht="25.5">
      <c r="B97" s="1244"/>
      <c r="C97" s="1236" t="s">
        <v>570</v>
      </c>
      <c r="D97" s="1245"/>
      <c r="E97" s="1246"/>
      <c r="F97" s="1247"/>
      <c r="G97" s="1162"/>
      <c r="H97" s="1151" t="s">
        <v>571</v>
      </c>
      <c r="I97" s="1152">
        <v>0</v>
      </c>
      <c r="J97" s="1152"/>
      <c r="K97" s="1129"/>
      <c r="L97" s="1144" t="s">
        <v>572</v>
      </c>
      <c r="M97" s="1136">
        <v>0.05</v>
      </c>
      <c r="N97" s="1138" t="s">
        <v>573</v>
      </c>
      <c r="O97" s="1121" t="s">
        <v>502</v>
      </c>
    </row>
    <row r="98" spans="2:15" s="1099" customFormat="1">
      <c r="B98" s="1235"/>
      <c r="C98" s="1248" t="s">
        <v>574</v>
      </c>
      <c r="D98" s="1221"/>
      <c r="E98" s="1240"/>
      <c r="F98" s="1249"/>
      <c r="G98" s="1242"/>
      <c r="H98" s="1173">
        <v>3816000000</v>
      </c>
      <c r="I98" s="1129">
        <v>0</v>
      </c>
      <c r="J98" s="1129"/>
      <c r="K98" s="1129"/>
      <c r="L98" s="1119"/>
      <c r="M98" s="1136"/>
      <c r="N98" s="1138"/>
      <c r="O98" s="1121" t="s">
        <v>502</v>
      </c>
    </row>
    <row r="99" spans="2:15" ht="38.25">
      <c r="B99" s="1250"/>
      <c r="C99" s="1251" t="s">
        <v>575</v>
      </c>
      <c r="D99" s="1160">
        <f>'Estimate Detail'!E196</f>
        <v>0</v>
      </c>
      <c r="E99" s="1161">
        <f>'Estimate Detail'!F196</f>
        <v>0</v>
      </c>
      <c r="F99" s="1141">
        <f>'Estimate Detail'!H196</f>
        <v>0</v>
      </c>
      <c r="G99" s="1141">
        <f>'Estimate Detail'!I196</f>
        <v>0</v>
      </c>
      <c r="H99" s="1124"/>
      <c r="I99" s="1118"/>
      <c r="J99" s="1118"/>
      <c r="K99" s="931">
        <f>IF(M99=$M$4,0,SUM(F99:G99)*($M$4-M99))</f>
        <v>0</v>
      </c>
      <c r="L99" s="1144" t="s">
        <v>576</v>
      </c>
      <c r="M99" s="1136">
        <v>0.15</v>
      </c>
      <c r="N99" s="1138" t="s">
        <v>562</v>
      </c>
      <c r="O99" s="1121"/>
    </row>
    <row r="100" spans="2:15">
      <c r="B100" s="1268"/>
      <c r="C100" s="1269" t="s">
        <v>581</v>
      </c>
      <c r="D100" s="1270">
        <f>'Estimate Detail'!E132</f>
        <v>0</v>
      </c>
      <c r="E100" s="1202">
        <f>'Estimate Detail'!F132</f>
        <v>0</v>
      </c>
      <c r="F100" s="1271">
        <f>'Estimate Detail'!H132</f>
        <v>0</v>
      </c>
      <c r="G100" s="1271">
        <f>'Estimate Detail'!I132</f>
        <v>0</v>
      </c>
      <c r="H100" s="1272"/>
      <c r="I100" s="1273"/>
      <c r="J100" s="1273"/>
      <c r="K100" s="931">
        <f>IF(M100=$M$4,0,SUM(F100:G100)*($M$4-M100))</f>
        <v>0</v>
      </c>
      <c r="L100" s="1274"/>
      <c r="M100" s="1136">
        <v>0.15</v>
      </c>
      <c r="N100" s="1275"/>
      <c r="O100" s="1231" t="s">
        <v>31</v>
      </c>
    </row>
    <row r="101" spans="2:15" ht="15" thickBot="1">
      <c r="B101" s="1252"/>
      <c r="C101" s="1253" t="s">
        <v>577</v>
      </c>
      <c r="D101" s="1254"/>
      <c r="E101" s="1254"/>
      <c r="F101" s="1255"/>
      <c r="G101" s="1256"/>
      <c r="H101" s="1257"/>
      <c r="I101" s="1258"/>
      <c r="J101" s="1258"/>
      <c r="K101" s="1258"/>
      <c r="L101" s="1259" t="s">
        <v>578</v>
      </c>
      <c r="M101" s="1260">
        <v>0.15</v>
      </c>
      <c r="N101" s="1261">
        <v>0.15</v>
      </c>
      <c r="O101" s="1262" t="s">
        <v>502</v>
      </c>
    </row>
    <row r="103" spans="2:15">
      <c r="F103" s="1187">
        <f>F29+F37+F42+F47+F64+F75+F79+F90+F99+F100</f>
        <v>0</v>
      </c>
      <c r="G103" s="1187">
        <f>G29+G37+G42+G47+G64+G75+G79+G90+G99+G100</f>
        <v>0</v>
      </c>
      <c r="K103" s="1187">
        <f>(K29+K37+K42+K47+K64+K75+K79+K90+K99+K100)</f>
        <v>0</v>
      </c>
    </row>
    <row r="104" spans="2:15">
      <c r="K104" s="1187">
        <f>K103/2</f>
        <v>0</v>
      </c>
    </row>
  </sheetData>
  <autoFilter ref="B2:O101" xr:uid="{00000000-0009-0000-0000-000014000000}">
    <filterColumn colId="11" showButton="0"/>
  </autoFilter>
  <mergeCells count="1">
    <mergeCell ref="M2:N2"/>
  </mergeCells>
  <phoneticPr fontId="42" type="noConversion"/>
  <pageMargins left="0.7" right="0.7" top="0.75" bottom="0.75" header="0.3" footer="0.3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5"/>
  <dimension ref="A2:Q266"/>
  <sheetViews>
    <sheetView showGridLines="0"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H240" sqref="H240"/>
    </sheetView>
  </sheetViews>
  <sheetFormatPr defaultRowHeight="12.75"/>
  <cols>
    <col min="1" max="1" width="2.7109375" style="647" customWidth="1"/>
    <col min="2" max="2" width="16.85546875" style="647" customWidth="1"/>
    <col min="3" max="3" width="19.42578125" style="647" customWidth="1"/>
    <col min="4" max="4" width="8" style="647" customWidth="1"/>
    <col min="5" max="6" width="8.85546875" style="670" bestFit="1" customWidth="1"/>
    <col min="7" max="7" width="26.7109375" style="647" customWidth="1"/>
    <col min="8" max="8" width="16.140625" style="647" bestFit="1" customWidth="1"/>
    <col min="9" max="9" width="9.140625" style="647" bestFit="1" customWidth="1"/>
    <col min="10" max="10" width="8.85546875" style="648" customWidth="1"/>
    <col min="11" max="11" width="14" style="647" customWidth="1"/>
    <col min="12" max="12" width="10.85546875" style="1480" customWidth="1"/>
    <col min="13" max="13" width="11" style="647" customWidth="1"/>
    <col min="14" max="14" width="9.140625" style="1480" customWidth="1"/>
    <col min="15" max="15" width="9.140625" style="647" customWidth="1"/>
    <col min="16" max="16" width="13.7109375" style="630" customWidth="1"/>
    <col min="17" max="16384" width="9.140625" style="630"/>
  </cols>
  <sheetData>
    <row r="2" spans="1:16">
      <c r="B2" s="664" t="s">
        <v>328</v>
      </c>
      <c r="E2" s="665"/>
      <c r="F2" s="666"/>
    </row>
    <row r="3" spans="1:16">
      <c r="C3" s="664"/>
      <c r="D3" s="664"/>
      <c r="E3" s="665"/>
      <c r="F3" s="666"/>
    </row>
    <row r="4" spans="1:16">
      <c r="C4" s="667"/>
      <c r="D4" s="667"/>
      <c r="E4" s="666"/>
      <c r="F4" s="666"/>
    </row>
    <row r="5" spans="1:16">
      <c r="C5" s="667"/>
      <c r="D5" s="667"/>
      <c r="E5" s="666"/>
      <c r="F5" s="666"/>
    </row>
    <row r="6" spans="1:16">
      <c r="C6" s="667"/>
      <c r="D6" s="667"/>
      <c r="E6" s="666"/>
      <c r="F6" s="666"/>
    </row>
    <row r="8" spans="1:16" s="632" customFormat="1" ht="12" customHeight="1">
      <c r="A8" s="2729" t="s">
        <v>329</v>
      </c>
      <c r="B8" s="2732" t="s">
        <v>330</v>
      </c>
      <c r="C8" s="2732" t="s">
        <v>331</v>
      </c>
      <c r="D8" s="2733" t="s">
        <v>347</v>
      </c>
      <c r="E8" s="2734"/>
      <c r="F8" s="2735"/>
      <c r="G8" s="668"/>
      <c r="H8" s="2730" t="s">
        <v>326</v>
      </c>
      <c r="I8" s="2731"/>
      <c r="J8" s="2730"/>
      <c r="K8" s="2730"/>
      <c r="L8" s="2730"/>
      <c r="M8" s="2730"/>
      <c r="N8" s="2730"/>
      <c r="O8" s="2730"/>
    </row>
    <row r="9" spans="1:16" s="632" customFormat="1" ht="25.5">
      <c r="A9" s="2729"/>
      <c r="B9" s="2732"/>
      <c r="C9" s="2732"/>
      <c r="D9" s="801" t="s">
        <v>386</v>
      </c>
      <c r="E9" s="690" t="s">
        <v>348</v>
      </c>
      <c r="F9" s="691" t="s">
        <v>353</v>
      </c>
      <c r="G9" s="629" t="s">
        <v>312</v>
      </c>
      <c r="H9" s="649" t="s">
        <v>327</v>
      </c>
      <c r="I9" s="1082" t="s">
        <v>442</v>
      </c>
      <c r="J9" s="650" t="s">
        <v>307</v>
      </c>
      <c r="K9" s="631" t="s">
        <v>308</v>
      </c>
      <c r="L9" s="1481" t="s">
        <v>309</v>
      </c>
      <c r="M9" s="631" t="s">
        <v>310</v>
      </c>
      <c r="N9" s="1481" t="s">
        <v>311</v>
      </c>
      <c r="O9" s="631" t="s">
        <v>313</v>
      </c>
      <c r="P9" s="1479" t="s">
        <v>721</v>
      </c>
    </row>
    <row r="10" spans="1:16" ht="15.95" customHeight="1">
      <c r="A10" s="669"/>
      <c r="B10" s="1350" t="s">
        <v>592</v>
      </c>
      <c r="C10" s="1339" t="s">
        <v>259</v>
      </c>
      <c r="D10" s="800"/>
      <c r="E10" s="1339">
        <v>101.6</v>
      </c>
      <c r="F10" s="1339">
        <v>8</v>
      </c>
      <c r="G10" s="669" t="str">
        <f>C10&amp;" "&amp;E10&amp;"-"&amp;F10</f>
        <v>SA-106C 101.6-8</v>
      </c>
      <c r="H10" s="2393">
        <v>7200</v>
      </c>
      <c r="I10" s="2393"/>
      <c r="J10" s="2394" t="s">
        <v>1582</v>
      </c>
      <c r="K10" s="2394" t="s">
        <v>1583</v>
      </c>
      <c r="L10" s="2394">
        <v>90</v>
      </c>
      <c r="M10" s="2395">
        <v>42914</v>
      </c>
      <c r="N10" s="2394">
        <v>7</v>
      </c>
      <c r="O10" s="2394" t="s">
        <v>1597</v>
      </c>
      <c r="P10" s="2393"/>
    </row>
    <row r="11" spans="1:16" ht="15.95" customHeight="1">
      <c r="A11" s="669"/>
      <c r="B11" s="1350" t="s">
        <v>592</v>
      </c>
      <c r="C11" s="1339" t="s">
        <v>259</v>
      </c>
      <c r="D11" s="800"/>
      <c r="E11" s="1339">
        <v>101.6</v>
      </c>
      <c r="F11" s="1339">
        <v>16</v>
      </c>
      <c r="G11" s="669" t="str">
        <f t="shared" ref="G11:G74" si="0">C11&amp;" "&amp;E11&amp;"-"&amp;F11</f>
        <v>SA-106C 101.6-16</v>
      </c>
      <c r="H11" s="2393">
        <v>7200</v>
      </c>
      <c r="I11" s="2393"/>
      <c r="J11" s="2394" t="s">
        <v>1582</v>
      </c>
      <c r="K11" s="2394" t="s">
        <v>1583</v>
      </c>
      <c r="L11" s="2394">
        <v>90</v>
      </c>
      <c r="M11" s="2395">
        <v>42914</v>
      </c>
      <c r="N11" s="2394">
        <v>7</v>
      </c>
      <c r="O11" s="2394" t="s">
        <v>1597</v>
      </c>
      <c r="P11" s="2393"/>
    </row>
    <row r="12" spans="1:16" ht="15.95" customHeight="1">
      <c r="A12" s="669"/>
      <c r="B12" s="1338" t="s">
        <v>592</v>
      </c>
      <c r="C12" s="1339" t="s">
        <v>259</v>
      </c>
      <c r="D12" s="800"/>
      <c r="E12" s="1339">
        <v>108</v>
      </c>
      <c r="F12" s="1339">
        <v>12</v>
      </c>
      <c r="G12" s="669" t="str">
        <f t="shared" si="0"/>
        <v>SA-106C 108-12</v>
      </c>
      <c r="H12" s="2393">
        <v>7200</v>
      </c>
      <c r="I12" s="2393"/>
      <c r="J12" s="2394" t="s">
        <v>1582</v>
      </c>
      <c r="K12" s="2394" t="s">
        <v>1583</v>
      </c>
      <c r="L12" s="2394">
        <v>90</v>
      </c>
      <c r="M12" s="2395">
        <v>42914</v>
      </c>
      <c r="N12" s="2394">
        <v>7</v>
      </c>
      <c r="O12" s="2394" t="s">
        <v>1597</v>
      </c>
      <c r="P12" s="2393"/>
    </row>
    <row r="13" spans="1:16" ht="15.95" customHeight="1">
      <c r="A13" s="669"/>
      <c r="B13" s="1350" t="s">
        <v>592</v>
      </c>
      <c r="C13" s="1339" t="s">
        <v>259</v>
      </c>
      <c r="D13" s="800"/>
      <c r="E13" s="1339">
        <v>114</v>
      </c>
      <c r="F13" s="1339">
        <v>20</v>
      </c>
      <c r="G13" s="669" t="str">
        <f t="shared" si="0"/>
        <v>SA-106C 114-20</v>
      </c>
      <c r="H13" s="2393">
        <v>7200</v>
      </c>
      <c r="I13" s="2393"/>
      <c r="J13" s="2394" t="s">
        <v>1582</v>
      </c>
      <c r="K13" s="2394" t="s">
        <v>1583</v>
      </c>
      <c r="L13" s="2394">
        <v>90</v>
      </c>
      <c r="M13" s="2395">
        <v>42914</v>
      </c>
      <c r="N13" s="2394">
        <v>7</v>
      </c>
      <c r="O13" s="2394" t="s">
        <v>1597</v>
      </c>
      <c r="P13" s="2393"/>
    </row>
    <row r="14" spans="1:16" ht="15.95" customHeight="1">
      <c r="A14" s="669"/>
      <c r="B14" s="1350" t="s">
        <v>592</v>
      </c>
      <c r="C14" s="1339" t="s">
        <v>259</v>
      </c>
      <c r="D14" s="800"/>
      <c r="E14" s="1339">
        <v>114.3</v>
      </c>
      <c r="F14" s="1339">
        <v>10</v>
      </c>
      <c r="G14" s="669" t="str">
        <f t="shared" si="0"/>
        <v>SA-106C 114.3-10</v>
      </c>
      <c r="H14" s="2393">
        <v>7200</v>
      </c>
      <c r="I14" s="2393"/>
      <c r="J14" s="2394" t="s">
        <v>1582</v>
      </c>
      <c r="K14" s="2394" t="s">
        <v>1583</v>
      </c>
      <c r="L14" s="2394">
        <v>90</v>
      </c>
      <c r="M14" s="2395">
        <v>42914</v>
      </c>
      <c r="N14" s="2394">
        <v>7</v>
      </c>
      <c r="O14" s="2394" t="s">
        <v>1597</v>
      </c>
      <c r="P14" s="2393">
        <v>2000</v>
      </c>
    </row>
    <row r="15" spans="1:16" ht="15.95" customHeight="1">
      <c r="A15" s="669"/>
      <c r="B15" s="1350" t="s">
        <v>592</v>
      </c>
      <c r="C15" s="1339" t="s">
        <v>259</v>
      </c>
      <c r="D15" s="800"/>
      <c r="E15" s="1339">
        <v>159</v>
      </c>
      <c r="F15" s="1339">
        <v>25</v>
      </c>
      <c r="G15" s="669" t="str">
        <f t="shared" si="0"/>
        <v>SA-106C 159-25</v>
      </c>
      <c r="H15" s="2393">
        <v>7200</v>
      </c>
      <c r="I15" s="2393"/>
      <c r="J15" s="2394" t="s">
        <v>1582</v>
      </c>
      <c r="K15" s="2394" t="s">
        <v>1583</v>
      </c>
      <c r="L15" s="2394">
        <v>90</v>
      </c>
      <c r="M15" s="2395">
        <v>42914</v>
      </c>
      <c r="N15" s="2394">
        <v>7</v>
      </c>
      <c r="O15" s="2394" t="s">
        <v>1597</v>
      </c>
      <c r="P15" s="2393"/>
    </row>
    <row r="16" spans="1:16" ht="15.95" customHeight="1">
      <c r="A16" s="669"/>
      <c r="B16" s="1350" t="s">
        <v>592</v>
      </c>
      <c r="C16" s="1339" t="s">
        <v>259</v>
      </c>
      <c r="D16" s="800"/>
      <c r="E16" s="1339">
        <v>168</v>
      </c>
      <c r="F16" s="1339">
        <v>10</v>
      </c>
      <c r="G16" s="669" t="str">
        <f t="shared" si="0"/>
        <v>SA-106C 168-10</v>
      </c>
      <c r="H16" s="2393">
        <v>7200</v>
      </c>
      <c r="I16" s="2393"/>
      <c r="J16" s="2394" t="s">
        <v>1582</v>
      </c>
      <c r="K16" s="2394" t="s">
        <v>1583</v>
      </c>
      <c r="L16" s="2394">
        <v>90</v>
      </c>
      <c r="M16" s="2395">
        <v>42914</v>
      </c>
      <c r="N16" s="2394">
        <v>7</v>
      </c>
      <c r="O16" s="2394" t="s">
        <v>1597</v>
      </c>
      <c r="P16" s="2393"/>
    </row>
    <row r="17" spans="1:16" ht="15.95" customHeight="1">
      <c r="A17" s="669"/>
      <c r="B17" s="1350" t="s">
        <v>592</v>
      </c>
      <c r="C17" s="1339" t="s">
        <v>259</v>
      </c>
      <c r="D17" s="800"/>
      <c r="E17" s="1339">
        <v>168</v>
      </c>
      <c r="F17" s="1339">
        <v>28</v>
      </c>
      <c r="G17" s="669" t="str">
        <f t="shared" si="0"/>
        <v>SA-106C 168-28</v>
      </c>
      <c r="H17" s="2393">
        <v>7200</v>
      </c>
      <c r="I17" s="2393"/>
      <c r="J17" s="2394" t="s">
        <v>1582</v>
      </c>
      <c r="K17" s="2394" t="s">
        <v>1583</v>
      </c>
      <c r="L17" s="2394">
        <v>90</v>
      </c>
      <c r="M17" s="2395">
        <v>42914</v>
      </c>
      <c r="N17" s="2394">
        <v>7</v>
      </c>
      <c r="O17" s="2394" t="s">
        <v>1597</v>
      </c>
      <c r="P17" s="2393"/>
    </row>
    <row r="18" spans="1:16" ht="15.95" customHeight="1">
      <c r="A18" s="669"/>
      <c r="B18" s="1350" t="s">
        <v>592</v>
      </c>
      <c r="C18" s="1339" t="s">
        <v>1605</v>
      </c>
      <c r="D18" s="800"/>
      <c r="E18" s="1339">
        <v>133</v>
      </c>
      <c r="F18" s="1339">
        <v>24</v>
      </c>
      <c r="G18" s="669" t="str">
        <f t="shared" si="0"/>
        <v>SA-210M C 133-24</v>
      </c>
      <c r="H18" s="2393">
        <v>7200</v>
      </c>
      <c r="I18" s="2393"/>
      <c r="J18" s="2394" t="s">
        <v>1582</v>
      </c>
      <c r="K18" s="2394" t="s">
        <v>1583</v>
      </c>
      <c r="L18" s="2394">
        <v>90</v>
      </c>
      <c r="M18" s="2395">
        <v>42914</v>
      </c>
      <c r="N18" s="2394">
        <v>7</v>
      </c>
      <c r="O18" s="2394" t="s">
        <v>1597</v>
      </c>
      <c r="P18" s="2393">
        <v>2000</v>
      </c>
    </row>
    <row r="19" spans="1:16" ht="15.95" customHeight="1">
      <c r="A19" s="669"/>
      <c r="B19" s="1350" t="s">
        <v>592</v>
      </c>
      <c r="C19" s="1339" t="s">
        <v>1424</v>
      </c>
      <c r="D19" s="800"/>
      <c r="E19" s="1339">
        <v>108</v>
      </c>
      <c r="F19" s="1339">
        <v>10</v>
      </c>
      <c r="G19" s="669" t="str">
        <f t="shared" si="0"/>
        <v>SA-213M T12 108-10</v>
      </c>
      <c r="H19" s="2393">
        <v>9100</v>
      </c>
      <c r="I19" s="2393"/>
      <c r="J19" s="2394" t="s">
        <v>1582</v>
      </c>
      <c r="K19" s="2394" t="s">
        <v>1583</v>
      </c>
      <c r="L19" s="2394">
        <v>90</v>
      </c>
      <c r="M19" s="2395">
        <v>42914</v>
      </c>
      <c r="N19" s="2394">
        <v>7</v>
      </c>
      <c r="O19" s="2394" t="s">
        <v>1597</v>
      </c>
      <c r="P19" s="2393">
        <v>2000</v>
      </c>
    </row>
    <row r="20" spans="1:16" ht="15.95" customHeight="1">
      <c r="A20" s="669"/>
      <c r="B20" s="1350" t="s">
        <v>592</v>
      </c>
      <c r="C20" s="1339" t="s">
        <v>1438</v>
      </c>
      <c r="D20" s="800"/>
      <c r="E20" s="1339">
        <v>101.6</v>
      </c>
      <c r="F20" s="1339">
        <v>25</v>
      </c>
      <c r="G20" s="669" t="str">
        <f t="shared" si="0"/>
        <v>SA-213M T22 101.6-25</v>
      </c>
      <c r="H20" s="2393">
        <v>11330</v>
      </c>
      <c r="I20" s="2393"/>
      <c r="J20" s="2394" t="s">
        <v>1582</v>
      </c>
      <c r="K20" s="2394" t="s">
        <v>1583</v>
      </c>
      <c r="L20" s="2394">
        <v>90</v>
      </c>
      <c r="M20" s="2395">
        <v>42914</v>
      </c>
      <c r="N20" s="2394">
        <v>7</v>
      </c>
      <c r="O20" s="2394" t="s">
        <v>1597</v>
      </c>
      <c r="P20" s="2393">
        <v>2000</v>
      </c>
    </row>
    <row r="21" spans="1:16" ht="15.95" customHeight="1">
      <c r="A21" s="669"/>
      <c r="B21" s="1350" t="s">
        <v>592</v>
      </c>
      <c r="C21" s="1339" t="s">
        <v>1438</v>
      </c>
      <c r="D21" s="800"/>
      <c r="E21" s="1339">
        <v>159</v>
      </c>
      <c r="F21" s="1339">
        <v>10</v>
      </c>
      <c r="G21" s="669" t="str">
        <f t="shared" si="0"/>
        <v>SA-213M T22 159-10</v>
      </c>
      <c r="H21" s="2393">
        <v>11330</v>
      </c>
      <c r="I21" s="2393"/>
      <c r="J21" s="2394" t="s">
        <v>1584</v>
      </c>
      <c r="K21" s="2394" t="s">
        <v>1585</v>
      </c>
      <c r="L21" s="2394">
        <v>90</v>
      </c>
      <c r="M21" s="2395">
        <v>42914</v>
      </c>
      <c r="N21" s="2394">
        <v>7</v>
      </c>
      <c r="O21" s="2394" t="s">
        <v>1597</v>
      </c>
      <c r="P21" s="2393">
        <v>2000</v>
      </c>
    </row>
    <row r="22" spans="1:16" ht="15.95" customHeight="1">
      <c r="A22" s="669"/>
      <c r="B22" s="1350" t="s">
        <v>592</v>
      </c>
      <c r="C22" s="1339" t="s">
        <v>1438</v>
      </c>
      <c r="D22" s="800"/>
      <c r="E22" s="1339">
        <v>168</v>
      </c>
      <c r="F22" s="1339">
        <v>6.3</v>
      </c>
      <c r="G22" s="669" t="str">
        <f t="shared" si="0"/>
        <v>SA-213M T22 168-6.3</v>
      </c>
      <c r="H22" s="2393">
        <v>11330</v>
      </c>
      <c r="I22" s="2393"/>
      <c r="J22" s="2394" t="s">
        <v>1584</v>
      </c>
      <c r="K22" s="2394" t="s">
        <v>1585</v>
      </c>
      <c r="L22" s="2394">
        <v>90</v>
      </c>
      <c r="M22" s="2395">
        <v>42914</v>
      </c>
      <c r="N22" s="2394">
        <v>7</v>
      </c>
      <c r="O22" s="2394" t="s">
        <v>1597</v>
      </c>
      <c r="P22" s="2393">
        <v>2000</v>
      </c>
    </row>
    <row r="23" spans="1:16" ht="15.95" customHeight="1">
      <c r="A23" s="669"/>
      <c r="B23" s="1350" t="s">
        <v>592</v>
      </c>
      <c r="C23" s="1339" t="s">
        <v>1438</v>
      </c>
      <c r="D23" s="800"/>
      <c r="E23" s="1339">
        <v>168</v>
      </c>
      <c r="F23" s="1339">
        <v>28</v>
      </c>
      <c r="G23" s="669" t="str">
        <f t="shared" si="0"/>
        <v>SA-213M T22 168-28</v>
      </c>
      <c r="H23" s="2393">
        <v>11330</v>
      </c>
      <c r="I23" s="2393"/>
      <c r="J23" s="2394" t="s">
        <v>1584</v>
      </c>
      <c r="K23" s="2394" t="s">
        <v>1585</v>
      </c>
      <c r="L23" s="2394">
        <v>90</v>
      </c>
      <c r="M23" s="2395">
        <v>42914</v>
      </c>
      <c r="N23" s="2394">
        <v>7</v>
      </c>
      <c r="O23" s="2394" t="s">
        <v>1597</v>
      </c>
      <c r="P23" s="2393">
        <v>2000</v>
      </c>
    </row>
    <row r="24" spans="1:16" ht="15.95" customHeight="1">
      <c r="A24" s="669"/>
      <c r="B24" s="1350" t="s">
        <v>592</v>
      </c>
      <c r="C24" s="1339" t="s">
        <v>1438</v>
      </c>
      <c r="D24" s="800"/>
      <c r="E24" s="1339">
        <v>171</v>
      </c>
      <c r="F24" s="1339">
        <v>28</v>
      </c>
      <c r="G24" s="669" t="str">
        <f t="shared" si="0"/>
        <v>SA-213M T22 171-28</v>
      </c>
      <c r="H24" s="2393">
        <v>11330</v>
      </c>
      <c r="I24" s="2393"/>
      <c r="J24" s="2394" t="s">
        <v>1584</v>
      </c>
      <c r="K24" s="2394" t="s">
        <v>1585</v>
      </c>
      <c r="L24" s="2394">
        <v>90</v>
      </c>
      <c r="M24" s="2395">
        <v>42914</v>
      </c>
      <c r="N24" s="2394">
        <v>7</v>
      </c>
      <c r="O24" s="2394" t="s">
        <v>1597</v>
      </c>
      <c r="P24" s="2393">
        <v>2000</v>
      </c>
    </row>
    <row r="25" spans="1:16" ht="15.95" customHeight="1">
      <c r="A25" s="669"/>
      <c r="B25" s="1350" t="s">
        <v>592</v>
      </c>
      <c r="C25" s="1339" t="s">
        <v>1450</v>
      </c>
      <c r="D25" s="800"/>
      <c r="E25" s="1339">
        <v>90</v>
      </c>
      <c r="F25" s="1339">
        <v>15</v>
      </c>
      <c r="G25" s="669" t="str">
        <f t="shared" si="0"/>
        <v>SA-213M T91 90-15</v>
      </c>
      <c r="H25" s="2393">
        <v>22000</v>
      </c>
      <c r="I25" s="2393"/>
      <c r="J25" s="2394" t="s">
        <v>1584</v>
      </c>
      <c r="K25" s="2394" t="s">
        <v>1586</v>
      </c>
      <c r="L25" s="2394">
        <v>90</v>
      </c>
      <c r="M25" s="2395">
        <v>42914</v>
      </c>
      <c r="N25" s="2394">
        <v>7</v>
      </c>
      <c r="O25" s="2394" t="s">
        <v>1597</v>
      </c>
      <c r="P25" s="2393">
        <v>2000</v>
      </c>
    </row>
    <row r="26" spans="1:16" ht="15.95" customHeight="1">
      <c r="A26" s="669"/>
      <c r="B26" s="1350" t="s">
        <v>592</v>
      </c>
      <c r="C26" s="1339" t="s">
        <v>1451</v>
      </c>
      <c r="D26" s="800"/>
      <c r="E26" s="1339">
        <v>90</v>
      </c>
      <c r="F26" s="1339">
        <v>15</v>
      </c>
      <c r="G26" s="669" t="str">
        <f t="shared" si="0"/>
        <v>SA-213M T92 90-15</v>
      </c>
      <c r="H26" s="2396">
        <v>4500</v>
      </c>
      <c r="I26" s="2396"/>
      <c r="J26" s="2394" t="s">
        <v>1587</v>
      </c>
      <c r="K26" s="2394" t="s">
        <v>1588</v>
      </c>
      <c r="L26" s="2394">
        <v>180</v>
      </c>
      <c r="M26" s="2395">
        <v>42914</v>
      </c>
      <c r="N26" s="2394">
        <v>7</v>
      </c>
      <c r="O26" s="2394" t="s">
        <v>1597</v>
      </c>
      <c r="P26" s="2393">
        <v>3000</v>
      </c>
    </row>
    <row r="27" spans="1:16" ht="15.95" customHeight="1">
      <c r="A27" s="669"/>
      <c r="B27" s="1350" t="s">
        <v>592</v>
      </c>
      <c r="C27" s="1339" t="s">
        <v>718</v>
      </c>
      <c r="D27" s="800"/>
      <c r="E27" s="1339">
        <v>114</v>
      </c>
      <c r="F27" s="1339">
        <v>8</v>
      </c>
      <c r="G27" s="669" t="str">
        <f t="shared" si="0"/>
        <v>SA-335 P91 114-8</v>
      </c>
      <c r="H27" s="2393">
        <v>22000</v>
      </c>
      <c r="I27" s="2393"/>
      <c r="J27" s="2394" t="s">
        <v>1584</v>
      </c>
      <c r="K27" s="2394" t="s">
        <v>1586</v>
      </c>
      <c r="L27" s="2394">
        <v>90</v>
      </c>
      <c r="M27" s="2395">
        <v>42914</v>
      </c>
      <c r="N27" s="2394">
        <v>7</v>
      </c>
      <c r="O27" s="2394" t="s">
        <v>1597</v>
      </c>
      <c r="P27" s="2393"/>
    </row>
    <row r="28" spans="1:16" ht="15.95" customHeight="1">
      <c r="A28" s="669"/>
      <c r="B28" s="1350" t="s">
        <v>592</v>
      </c>
      <c r="C28" s="1339" t="s">
        <v>1433</v>
      </c>
      <c r="D28" s="800"/>
      <c r="E28" s="1339">
        <v>101.6</v>
      </c>
      <c r="F28" s="1339">
        <v>10</v>
      </c>
      <c r="G28" s="669" t="str">
        <f t="shared" si="0"/>
        <v>SA-335M P12 101.6-10</v>
      </c>
      <c r="H28" s="2393">
        <v>9100</v>
      </c>
      <c r="I28" s="2393"/>
      <c r="J28" s="2394" t="s">
        <v>1584</v>
      </c>
      <c r="K28" s="2394" t="s">
        <v>1585</v>
      </c>
      <c r="L28" s="2394">
        <v>90</v>
      </c>
      <c r="M28" s="2395">
        <v>42914</v>
      </c>
      <c r="N28" s="2394">
        <v>7</v>
      </c>
      <c r="O28" s="2394" t="s">
        <v>1597</v>
      </c>
      <c r="P28" s="2393"/>
    </row>
    <row r="29" spans="1:16" ht="15.95" customHeight="1">
      <c r="A29" s="669"/>
      <c r="B29" s="1350" t="s">
        <v>592</v>
      </c>
      <c r="C29" s="1339" t="s">
        <v>1433</v>
      </c>
      <c r="D29" s="800"/>
      <c r="E29" s="1339">
        <v>108</v>
      </c>
      <c r="F29" s="1339">
        <v>10</v>
      </c>
      <c r="G29" s="669" t="str">
        <f t="shared" si="0"/>
        <v>SA-335M P12 108-10</v>
      </c>
      <c r="H29" s="2393">
        <v>9100</v>
      </c>
      <c r="I29" s="2393"/>
      <c r="J29" s="2394" t="s">
        <v>1584</v>
      </c>
      <c r="K29" s="2394" t="s">
        <v>1585</v>
      </c>
      <c r="L29" s="2394">
        <v>90</v>
      </c>
      <c r="M29" s="2395">
        <v>42914</v>
      </c>
      <c r="N29" s="2394">
        <v>7</v>
      </c>
      <c r="O29" s="2394" t="s">
        <v>1597</v>
      </c>
      <c r="P29" s="2393">
        <v>2000</v>
      </c>
    </row>
    <row r="30" spans="1:16" ht="15.95" customHeight="1">
      <c r="A30" s="669"/>
      <c r="B30" s="1350" t="s">
        <v>592</v>
      </c>
      <c r="C30" s="1339" t="s">
        <v>1433</v>
      </c>
      <c r="D30" s="800"/>
      <c r="E30" s="1339">
        <v>114</v>
      </c>
      <c r="F30" s="1339">
        <v>8</v>
      </c>
      <c r="G30" s="669" t="str">
        <f t="shared" si="0"/>
        <v>SA-335M P12 114-8</v>
      </c>
      <c r="H30" s="2393">
        <v>9100</v>
      </c>
      <c r="I30" s="2393"/>
      <c r="J30" s="2394" t="s">
        <v>1584</v>
      </c>
      <c r="K30" s="2394" t="s">
        <v>1585</v>
      </c>
      <c r="L30" s="2394">
        <v>90</v>
      </c>
      <c r="M30" s="2395">
        <v>42914</v>
      </c>
      <c r="N30" s="2394">
        <v>7</v>
      </c>
      <c r="O30" s="2394" t="s">
        <v>1597</v>
      </c>
      <c r="P30" s="2393"/>
    </row>
    <row r="31" spans="1:16" ht="15.95" customHeight="1">
      <c r="A31" s="669"/>
      <c r="B31" s="1350" t="s">
        <v>592</v>
      </c>
      <c r="C31" s="1339" t="s">
        <v>1433</v>
      </c>
      <c r="D31" s="800"/>
      <c r="E31" s="1339">
        <v>127</v>
      </c>
      <c r="F31" s="1339">
        <v>25</v>
      </c>
      <c r="G31" s="669" t="str">
        <f t="shared" si="0"/>
        <v>SA-335M P12 127-25</v>
      </c>
      <c r="H31" s="2393">
        <v>9100</v>
      </c>
      <c r="I31" s="2393"/>
      <c r="J31" s="2394" t="s">
        <v>1584</v>
      </c>
      <c r="K31" s="2394" t="s">
        <v>1585</v>
      </c>
      <c r="L31" s="2394">
        <v>90</v>
      </c>
      <c r="M31" s="2395">
        <v>42914</v>
      </c>
      <c r="N31" s="2394">
        <v>7</v>
      </c>
      <c r="O31" s="2394" t="s">
        <v>1597</v>
      </c>
      <c r="P31" s="2393"/>
    </row>
    <row r="32" spans="1:16" ht="15.95" customHeight="1">
      <c r="A32" s="669"/>
      <c r="B32" s="1350" t="s">
        <v>592</v>
      </c>
      <c r="C32" s="1339" t="s">
        <v>1433</v>
      </c>
      <c r="D32" s="800"/>
      <c r="E32" s="1339">
        <v>133</v>
      </c>
      <c r="F32" s="1339">
        <v>20</v>
      </c>
      <c r="G32" s="669" t="str">
        <f t="shared" si="0"/>
        <v>SA-335M P12 133-20</v>
      </c>
      <c r="H32" s="2393">
        <v>9100</v>
      </c>
      <c r="I32" s="2393"/>
      <c r="J32" s="2394" t="s">
        <v>1584</v>
      </c>
      <c r="K32" s="2394" t="s">
        <v>1585</v>
      </c>
      <c r="L32" s="2394">
        <v>90</v>
      </c>
      <c r="M32" s="2395">
        <v>42914</v>
      </c>
      <c r="N32" s="2394">
        <v>7</v>
      </c>
      <c r="O32" s="2394" t="s">
        <v>1597</v>
      </c>
      <c r="P32" s="2393"/>
    </row>
    <row r="33" spans="1:17" ht="15.95" customHeight="1">
      <c r="A33" s="669"/>
      <c r="B33" s="1350" t="s">
        <v>592</v>
      </c>
      <c r="C33" s="1339" t="s">
        <v>1433</v>
      </c>
      <c r="D33" s="800"/>
      <c r="E33" s="1339">
        <v>159</v>
      </c>
      <c r="F33" s="1339">
        <v>10</v>
      </c>
      <c r="G33" s="669" t="str">
        <f t="shared" si="0"/>
        <v>SA-335M P12 159-10</v>
      </c>
      <c r="H33" s="2393">
        <v>9100</v>
      </c>
      <c r="I33" s="2393"/>
      <c r="J33" s="2394" t="s">
        <v>1584</v>
      </c>
      <c r="K33" s="2394" t="s">
        <v>1585</v>
      </c>
      <c r="L33" s="2394">
        <v>90</v>
      </c>
      <c r="M33" s="2395">
        <v>42914</v>
      </c>
      <c r="N33" s="2394">
        <v>7</v>
      </c>
      <c r="O33" s="2394" t="s">
        <v>1597</v>
      </c>
      <c r="P33" s="2393"/>
    </row>
    <row r="34" spans="1:17" ht="15.95" customHeight="1">
      <c r="A34" s="669"/>
      <c r="B34" s="1350" t="s">
        <v>592</v>
      </c>
      <c r="C34" s="1339" t="s">
        <v>1437</v>
      </c>
      <c r="D34" s="800"/>
      <c r="E34" s="1339">
        <v>159</v>
      </c>
      <c r="F34" s="1339">
        <v>30</v>
      </c>
      <c r="G34" s="669" t="str">
        <f t="shared" si="0"/>
        <v>SA-335M P22 159-30</v>
      </c>
      <c r="H34" s="2393">
        <v>12000</v>
      </c>
      <c r="I34" s="2393"/>
      <c r="J34" s="2394" t="s">
        <v>1584</v>
      </c>
      <c r="K34" s="2394" t="s">
        <v>1589</v>
      </c>
      <c r="L34" s="2394">
        <v>90</v>
      </c>
      <c r="M34" s="2395">
        <v>42914</v>
      </c>
      <c r="N34" s="2394">
        <v>7</v>
      </c>
      <c r="O34" s="2394" t="s">
        <v>1597</v>
      </c>
      <c r="P34" s="2393"/>
    </row>
    <row r="35" spans="1:17" ht="15.95" customHeight="1">
      <c r="A35" s="669"/>
      <c r="B35" s="1350" t="s">
        <v>592</v>
      </c>
      <c r="C35" s="1339" t="s">
        <v>1437</v>
      </c>
      <c r="D35" s="800"/>
      <c r="E35" s="1339">
        <v>159</v>
      </c>
      <c r="F35" s="1339">
        <v>36</v>
      </c>
      <c r="G35" s="669" t="str">
        <f t="shared" si="0"/>
        <v>SA-335M P22 159-36</v>
      </c>
      <c r="H35" s="2393">
        <v>12000</v>
      </c>
      <c r="I35" s="2393"/>
      <c r="J35" s="2394" t="s">
        <v>1584</v>
      </c>
      <c r="K35" s="2394" t="s">
        <v>1589</v>
      </c>
      <c r="L35" s="2394">
        <v>90</v>
      </c>
      <c r="M35" s="2395">
        <v>42914</v>
      </c>
      <c r="N35" s="2394">
        <v>7</v>
      </c>
      <c r="O35" s="2394" t="s">
        <v>1597</v>
      </c>
      <c r="P35" s="2393"/>
    </row>
    <row r="36" spans="1:17" ht="15.95" customHeight="1">
      <c r="A36" s="669"/>
      <c r="B36" s="1350" t="s">
        <v>592</v>
      </c>
      <c r="C36" s="1339" t="s">
        <v>1433</v>
      </c>
      <c r="D36" s="800"/>
      <c r="E36" s="1339">
        <v>180</v>
      </c>
      <c r="F36" s="1339">
        <v>30</v>
      </c>
      <c r="G36" s="669" t="str">
        <f t="shared" si="0"/>
        <v>SA-335M P12 180-30</v>
      </c>
      <c r="H36" s="2393">
        <v>9100</v>
      </c>
      <c r="I36" s="2393"/>
      <c r="J36" s="2394" t="s">
        <v>1584</v>
      </c>
      <c r="K36" s="2394" t="s">
        <v>1585</v>
      </c>
      <c r="L36" s="2394">
        <v>90</v>
      </c>
      <c r="M36" s="2395">
        <v>42914</v>
      </c>
      <c r="N36" s="2394">
        <v>7</v>
      </c>
      <c r="O36" s="2394" t="s">
        <v>1597</v>
      </c>
      <c r="P36" s="2393"/>
    </row>
    <row r="37" spans="1:17" ht="15.95" customHeight="1">
      <c r="A37" s="669"/>
      <c r="B37" s="1350" t="s">
        <v>305</v>
      </c>
      <c r="C37" s="1339" t="s">
        <v>259</v>
      </c>
      <c r="D37" s="800"/>
      <c r="E37" s="1339">
        <v>219</v>
      </c>
      <c r="F37" s="1339">
        <v>10</v>
      </c>
      <c r="G37" s="669" t="str">
        <f t="shared" si="0"/>
        <v>SA-106C 219-10</v>
      </c>
      <c r="H37" s="2393">
        <f>7200*1.1</f>
        <v>7920.0000000000009</v>
      </c>
      <c r="I37" s="2393"/>
      <c r="J37" s="2394" t="s">
        <v>1584</v>
      </c>
      <c r="K37" s="2394" t="s">
        <v>1589</v>
      </c>
      <c r="L37" s="2394">
        <v>90</v>
      </c>
      <c r="M37" s="2395">
        <v>42914</v>
      </c>
      <c r="N37" s="2394">
        <v>7</v>
      </c>
      <c r="O37" s="2394" t="s">
        <v>1597</v>
      </c>
      <c r="P37" s="2393"/>
    </row>
    <row r="38" spans="1:17" ht="15.95" customHeight="1">
      <c r="A38" s="669"/>
      <c r="B38" s="1350" t="s">
        <v>305</v>
      </c>
      <c r="C38" s="1339" t="s">
        <v>259</v>
      </c>
      <c r="D38" s="800"/>
      <c r="E38" s="1339">
        <v>219</v>
      </c>
      <c r="F38" s="1339">
        <v>18</v>
      </c>
      <c r="G38" s="669" t="str">
        <f t="shared" si="0"/>
        <v>SA-106C 219-18</v>
      </c>
      <c r="H38" s="2393">
        <f>7200*1.1</f>
        <v>7920.0000000000009</v>
      </c>
      <c r="I38" s="2393"/>
      <c r="J38" s="2394" t="s">
        <v>1584</v>
      </c>
      <c r="K38" s="2394" t="s">
        <v>1589</v>
      </c>
      <c r="L38" s="2394">
        <v>90</v>
      </c>
      <c r="M38" s="2395">
        <v>42914</v>
      </c>
      <c r="N38" s="2394">
        <v>7</v>
      </c>
      <c r="O38" s="2394" t="s">
        <v>1597</v>
      </c>
      <c r="P38" s="2393"/>
    </row>
    <row r="39" spans="1:17" ht="15.95" customHeight="1">
      <c r="A39" s="669"/>
      <c r="B39" s="1350" t="s">
        <v>305</v>
      </c>
      <c r="C39" s="1339" t="s">
        <v>259</v>
      </c>
      <c r="D39" s="800"/>
      <c r="E39" s="1339">
        <v>219</v>
      </c>
      <c r="F39" s="1339">
        <v>30</v>
      </c>
      <c r="G39" s="669" t="str">
        <f t="shared" si="0"/>
        <v>SA-106C 219-30</v>
      </c>
      <c r="H39" s="2393">
        <v>7200</v>
      </c>
      <c r="I39" s="2393"/>
      <c r="J39" s="2394" t="s">
        <v>1584</v>
      </c>
      <c r="K39" s="2394" t="s">
        <v>1589</v>
      </c>
      <c r="L39" s="2394">
        <v>90</v>
      </c>
      <c r="M39" s="2395">
        <v>42914</v>
      </c>
      <c r="N39" s="2394">
        <v>7</v>
      </c>
      <c r="O39" s="2394" t="s">
        <v>1597</v>
      </c>
      <c r="P39" s="2393"/>
    </row>
    <row r="40" spans="1:17" ht="15.95" customHeight="1">
      <c r="A40" s="669"/>
      <c r="B40" s="1350" t="s">
        <v>305</v>
      </c>
      <c r="C40" s="1339" t="s">
        <v>259</v>
      </c>
      <c r="D40" s="800"/>
      <c r="E40" s="1339">
        <v>219</v>
      </c>
      <c r="F40" s="1339">
        <v>35</v>
      </c>
      <c r="G40" s="669" t="str">
        <f t="shared" si="0"/>
        <v>SA-106C 219-35</v>
      </c>
      <c r="H40" s="2393">
        <v>7200</v>
      </c>
      <c r="I40" s="2393"/>
      <c r="J40" s="2394" t="s">
        <v>1584</v>
      </c>
      <c r="K40" s="2394" t="s">
        <v>1589</v>
      </c>
      <c r="L40" s="2394">
        <v>90</v>
      </c>
      <c r="M40" s="2395">
        <v>42914</v>
      </c>
      <c r="N40" s="2394">
        <v>7</v>
      </c>
      <c r="O40" s="2394" t="s">
        <v>1597</v>
      </c>
      <c r="P40" s="2393"/>
    </row>
    <row r="41" spans="1:17" ht="15.95" customHeight="1">
      <c r="A41" s="669"/>
      <c r="B41" s="1350" t="s">
        <v>305</v>
      </c>
      <c r="C41" s="1339" t="s">
        <v>259</v>
      </c>
      <c r="D41" s="800"/>
      <c r="E41" s="1339">
        <v>273</v>
      </c>
      <c r="F41" s="1339">
        <v>10</v>
      </c>
      <c r="G41" s="669" t="str">
        <f t="shared" si="0"/>
        <v>SA-106C 273-10</v>
      </c>
      <c r="H41" s="2393">
        <f>7200*1.1</f>
        <v>7920.0000000000009</v>
      </c>
      <c r="I41" s="2393"/>
      <c r="J41" s="2394" t="s">
        <v>1584</v>
      </c>
      <c r="K41" s="2394" t="s">
        <v>1589</v>
      </c>
      <c r="L41" s="2394">
        <v>90</v>
      </c>
      <c r="M41" s="2395">
        <v>42914</v>
      </c>
      <c r="N41" s="2394">
        <v>7</v>
      </c>
      <c r="O41" s="2394" t="s">
        <v>1597</v>
      </c>
      <c r="P41" s="2393"/>
    </row>
    <row r="42" spans="1:17" ht="15.95" customHeight="1">
      <c r="A42" s="669"/>
      <c r="B42" s="1350" t="s">
        <v>305</v>
      </c>
      <c r="C42" s="1339" t="s">
        <v>259</v>
      </c>
      <c r="D42" s="800"/>
      <c r="E42" s="1339">
        <v>324</v>
      </c>
      <c r="F42" s="1339">
        <v>10</v>
      </c>
      <c r="G42" s="669" t="str">
        <f t="shared" si="0"/>
        <v>SA-106C 324-10</v>
      </c>
      <c r="H42" s="2393">
        <f>7200*1.1</f>
        <v>7920.0000000000009</v>
      </c>
      <c r="I42" s="2393"/>
      <c r="J42" s="2394" t="s">
        <v>1584</v>
      </c>
      <c r="K42" s="2394" t="s">
        <v>1589</v>
      </c>
      <c r="L42" s="2394">
        <v>90</v>
      </c>
      <c r="M42" s="2395">
        <v>42914</v>
      </c>
      <c r="N42" s="2394">
        <v>7</v>
      </c>
      <c r="O42" s="2394" t="s">
        <v>1597</v>
      </c>
      <c r="P42" s="2393"/>
    </row>
    <row r="43" spans="1:17" ht="15.95" customHeight="1">
      <c r="A43" s="669"/>
      <c r="B43" s="1350" t="s">
        <v>305</v>
      </c>
      <c r="C43" s="1339" t="s">
        <v>259</v>
      </c>
      <c r="D43" s="800"/>
      <c r="E43" s="1339">
        <v>324</v>
      </c>
      <c r="F43" s="1339">
        <v>45</v>
      </c>
      <c r="G43" s="669" t="str">
        <f t="shared" si="0"/>
        <v>SA-106C 324-45</v>
      </c>
      <c r="H43" s="2393">
        <v>7200</v>
      </c>
      <c r="I43" s="2393"/>
      <c r="J43" s="2394" t="s">
        <v>1584</v>
      </c>
      <c r="K43" s="2394" t="s">
        <v>1589</v>
      </c>
      <c r="L43" s="2394">
        <v>90</v>
      </c>
      <c r="M43" s="2395">
        <v>42914</v>
      </c>
      <c r="N43" s="2394">
        <v>7</v>
      </c>
      <c r="O43" s="2394" t="s">
        <v>1597</v>
      </c>
      <c r="P43" s="2393"/>
    </row>
    <row r="44" spans="1:17" ht="15.95" customHeight="1">
      <c r="A44" s="669"/>
      <c r="B44" s="1350" t="s">
        <v>305</v>
      </c>
      <c r="C44" s="1339" t="s">
        <v>259</v>
      </c>
      <c r="D44" s="800"/>
      <c r="E44" s="1339">
        <v>324</v>
      </c>
      <c r="F44" s="1339">
        <v>70</v>
      </c>
      <c r="G44" s="669" t="str">
        <f t="shared" si="0"/>
        <v>SA-106C 324-70</v>
      </c>
      <c r="H44" s="2393">
        <f>7200*1.1</f>
        <v>7920.0000000000009</v>
      </c>
      <c r="I44" s="2393"/>
      <c r="J44" s="2394" t="s">
        <v>1582</v>
      </c>
      <c r="K44" s="2394" t="s">
        <v>1590</v>
      </c>
      <c r="L44" s="2394">
        <v>90</v>
      </c>
      <c r="M44" s="2395">
        <v>42914</v>
      </c>
      <c r="N44" s="2394">
        <v>7</v>
      </c>
      <c r="O44" s="2394" t="s">
        <v>1597</v>
      </c>
      <c r="P44" s="2393"/>
    </row>
    <row r="45" spans="1:17" ht="15.95" customHeight="1">
      <c r="A45" s="669"/>
      <c r="B45" s="1350" t="s">
        <v>305</v>
      </c>
      <c r="C45" s="1339" t="s">
        <v>259</v>
      </c>
      <c r="D45" s="800"/>
      <c r="E45" s="1339">
        <v>356</v>
      </c>
      <c r="F45" s="1339">
        <v>10</v>
      </c>
      <c r="G45" s="669" t="str">
        <f t="shared" si="0"/>
        <v>SA-106C 356-10</v>
      </c>
      <c r="H45" s="2393">
        <f>7200*1.1</f>
        <v>7920.0000000000009</v>
      </c>
      <c r="I45" s="2393"/>
      <c r="J45" s="2394" t="s">
        <v>1582</v>
      </c>
      <c r="K45" s="2394" t="s">
        <v>1590</v>
      </c>
      <c r="L45" s="2394">
        <v>90</v>
      </c>
      <c r="M45" s="2395">
        <v>42914</v>
      </c>
      <c r="N45" s="2394">
        <v>7</v>
      </c>
      <c r="O45" s="2394" t="s">
        <v>1597</v>
      </c>
      <c r="P45" s="2393"/>
    </row>
    <row r="46" spans="1:17" ht="15.95" customHeight="1">
      <c r="A46" s="669"/>
      <c r="B46" s="1350" t="s">
        <v>305</v>
      </c>
      <c r="C46" s="1339" t="s">
        <v>259</v>
      </c>
      <c r="D46" s="800"/>
      <c r="E46" s="1339">
        <v>356</v>
      </c>
      <c r="F46" s="1339">
        <v>20</v>
      </c>
      <c r="G46" s="669" t="str">
        <f t="shared" si="0"/>
        <v>SA-106C 356-20</v>
      </c>
      <c r="H46" s="2393">
        <v>7200</v>
      </c>
      <c r="I46" s="2393"/>
      <c r="J46" s="2394" t="s">
        <v>1582</v>
      </c>
      <c r="K46" s="2394" t="s">
        <v>1590</v>
      </c>
      <c r="L46" s="2394">
        <v>90</v>
      </c>
      <c r="M46" s="2395">
        <v>42914</v>
      </c>
      <c r="N46" s="2394">
        <v>7</v>
      </c>
      <c r="O46" s="2394" t="s">
        <v>1597</v>
      </c>
      <c r="P46" s="2393">
        <f>(E46-F46)*F46*0.0246615*6</f>
        <v>994.35167999999999</v>
      </c>
      <c r="Q46" s="630" t="s">
        <v>1581</v>
      </c>
    </row>
    <row r="47" spans="1:17" ht="15.95" customHeight="1">
      <c r="A47" s="669"/>
      <c r="B47" s="1350" t="s">
        <v>305</v>
      </c>
      <c r="C47" s="1339" t="s">
        <v>259</v>
      </c>
      <c r="D47" s="800"/>
      <c r="E47" s="1339">
        <v>356</v>
      </c>
      <c r="F47" s="1339">
        <v>55</v>
      </c>
      <c r="G47" s="669" t="str">
        <f t="shared" si="0"/>
        <v>SA-106C 356-55</v>
      </c>
      <c r="H47" s="2393">
        <v>7200</v>
      </c>
      <c r="I47" s="2393"/>
      <c r="J47" s="2394" t="s">
        <v>1582</v>
      </c>
      <c r="K47" s="2394" t="s">
        <v>1590</v>
      </c>
      <c r="L47" s="2394">
        <v>90</v>
      </c>
      <c r="M47" s="2395">
        <v>42914</v>
      </c>
      <c r="N47" s="2394">
        <v>7</v>
      </c>
      <c r="O47" s="2394" t="s">
        <v>1597</v>
      </c>
      <c r="P47" s="2393"/>
    </row>
    <row r="48" spans="1:17" ht="15.95" customHeight="1">
      <c r="A48" s="669"/>
      <c r="B48" s="1350" t="s">
        <v>305</v>
      </c>
      <c r="C48" s="1339" t="s">
        <v>259</v>
      </c>
      <c r="D48" s="800"/>
      <c r="E48" s="1339">
        <v>377</v>
      </c>
      <c r="F48" s="1339">
        <v>70</v>
      </c>
      <c r="G48" s="669" t="str">
        <f t="shared" si="0"/>
        <v>SA-106C 377-70</v>
      </c>
      <c r="H48" s="2393">
        <v>7200</v>
      </c>
      <c r="I48" s="2393"/>
      <c r="J48" s="2394" t="s">
        <v>1582</v>
      </c>
      <c r="K48" s="2394" t="s">
        <v>1590</v>
      </c>
      <c r="L48" s="2394">
        <v>90</v>
      </c>
      <c r="M48" s="2395">
        <v>42914</v>
      </c>
      <c r="N48" s="2394">
        <v>7</v>
      </c>
      <c r="O48" s="2394" t="s">
        <v>1597</v>
      </c>
      <c r="P48" s="2393"/>
    </row>
    <row r="49" spans="1:17" ht="15.95" customHeight="1">
      <c r="A49" s="669"/>
      <c r="B49" s="1350" t="s">
        <v>305</v>
      </c>
      <c r="C49" s="1339" t="s">
        <v>259</v>
      </c>
      <c r="D49" s="800"/>
      <c r="E49" s="1339">
        <v>406</v>
      </c>
      <c r="F49" s="1339">
        <v>10</v>
      </c>
      <c r="G49" s="669" t="str">
        <f t="shared" si="0"/>
        <v>SA-106C 406-10</v>
      </c>
      <c r="H49" s="2393">
        <f>7200*1.1</f>
        <v>7920.0000000000009</v>
      </c>
      <c r="I49" s="2393"/>
      <c r="J49" s="2394" t="s">
        <v>1582</v>
      </c>
      <c r="K49" s="2394" t="s">
        <v>1590</v>
      </c>
      <c r="L49" s="2394">
        <v>90</v>
      </c>
      <c r="M49" s="2395">
        <v>42914</v>
      </c>
      <c r="N49" s="2394">
        <v>7</v>
      </c>
      <c r="O49" s="2394" t="s">
        <v>1597</v>
      </c>
      <c r="P49" s="2393"/>
    </row>
    <row r="50" spans="1:17" ht="15.95" customHeight="1">
      <c r="A50" s="669"/>
      <c r="B50" s="1350" t="s">
        <v>305</v>
      </c>
      <c r="C50" s="1339" t="s">
        <v>259</v>
      </c>
      <c r="D50" s="800"/>
      <c r="E50" s="1339">
        <v>406</v>
      </c>
      <c r="F50" s="1339">
        <v>75</v>
      </c>
      <c r="G50" s="669" t="str">
        <f t="shared" si="0"/>
        <v>SA-106C 406-75</v>
      </c>
      <c r="H50" s="2393">
        <f>7200*1.1</f>
        <v>7920.0000000000009</v>
      </c>
      <c r="I50" s="2393"/>
      <c r="J50" s="2394" t="s">
        <v>1582</v>
      </c>
      <c r="K50" s="2394" t="s">
        <v>1590</v>
      </c>
      <c r="L50" s="2394">
        <v>90</v>
      </c>
      <c r="M50" s="2395">
        <v>42914</v>
      </c>
      <c r="N50" s="2394">
        <v>7</v>
      </c>
      <c r="O50" s="2394" t="s">
        <v>1597</v>
      </c>
      <c r="P50" s="2393"/>
    </row>
    <row r="51" spans="1:17" ht="15.95" customHeight="1">
      <c r="A51" s="669"/>
      <c r="B51" s="1350" t="s">
        <v>305</v>
      </c>
      <c r="C51" s="1339" t="s">
        <v>259</v>
      </c>
      <c r="D51" s="800"/>
      <c r="E51" s="1339">
        <v>457</v>
      </c>
      <c r="F51" s="1339">
        <v>65</v>
      </c>
      <c r="G51" s="669" t="str">
        <f t="shared" si="0"/>
        <v>SA-106C 457-65</v>
      </c>
      <c r="H51" s="2393">
        <v>7200</v>
      </c>
      <c r="I51" s="2393"/>
      <c r="J51" s="2394" t="s">
        <v>1582</v>
      </c>
      <c r="K51" s="2394" t="s">
        <v>1590</v>
      </c>
      <c r="L51" s="2394">
        <v>90</v>
      </c>
      <c r="M51" s="2395">
        <v>42914</v>
      </c>
      <c r="N51" s="2394">
        <v>7</v>
      </c>
      <c r="O51" s="2394" t="s">
        <v>1597</v>
      </c>
      <c r="P51" s="2393"/>
    </row>
    <row r="52" spans="1:17" ht="15.95" customHeight="1">
      <c r="A52" s="669"/>
      <c r="B52" s="1350" t="s">
        <v>305</v>
      </c>
      <c r="C52" s="1339" t="s">
        <v>259</v>
      </c>
      <c r="D52" s="800"/>
      <c r="E52" s="1339">
        <v>457</v>
      </c>
      <c r="F52" s="1339">
        <v>70</v>
      </c>
      <c r="G52" s="669" t="str">
        <f t="shared" si="0"/>
        <v>SA-106C 457-70</v>
      </c>
      <c r="H52" s="2393">
        <v>7200</v>
      </c>
      <c r="I52" s="2393"/>
      <c r="J52" s="2394" t="s">
        <v>1582</v>
      </c>
      <c r="K52" s="2394" t="s">
        <v>1590</v>
      </c>
      <c r="L52" s="2394">
        <v>90</v>
      </c>
      <c r="M52" s="2395">
        <v>42914</v>
      </c>
      <c r="N52" s="2394">
        <v>7</v>
      </c>
      <c r="O52" s="2394" t="s">
        <v>1597</v>
      </c>
      <c r="P52" s="2393"/>
    </row>
    <row r="53" spans="1:17" ht="15.95" customHeight="1">
      <c r="A53" s="669"/>
      <c r="B53" s="1350" t="s">
        <v>305</v>
      </c>
      <c r="C53" s="1339" t="s">
        <v>259</v>
      </c>
      <c r="D53" s="800"/>
      <c r="E53" s="1339">
        <v>473</v>
      </c>
      <c r="F53" s="1339">
        <v>65</v>
      </c>
      <c r="G53" s="669" t="str">
        <f t="shared" si="0"/>
        <v>SA-106C 473-65</v>
      </c>
      <c r="H53" s="2393">
        <v>7200</v>
      </c>
      <c r="I53" s="2393"/>
      <c r="J53" s="2394" t="s">
        <v>1582</v>
      </c>
      <c r="K53" s="2394" t="s">
        <v>1590</v>
      </c>
      <c r="L53" s="2394">
        <v>90</v>
      </c>
      <c r="M53" s="2395">
        <v>42914</v>
      </c>
      <c r="N53" s="2394">
        <v>7</v>
      </c>
      <c r="O53" s="2394" t="s">
        <v>1597</v>
      </c>
      <c r="P53" s="2393"/>
    </row>
    <row r="54" spans="1:17" ht="15.95" customHeight="1">
      <c r="A54" s="669"/>
      <c r="B54" s="1350" t="s">
        <v>305</v>
      </c>
      <c r="C54" s="1339" t="s">
        <v>259</v>
      </c>
      <c r="D54" s="800"/>
      <c r="E54" s="1339">
        <v>480</v>
      </c>
      <c r="F54" s="1339">
        <v>70</v>
      </c>
      <c r="G54" s="669" t="str">
        <f t="shared" si="0"/>
        <v>SA-106C 480-70</v>
      </c>
      <c r="H54" s="2393">
        <v>7200</v>
      </c>
      <c r="I54" s="2393"/>
      <c r="J54" s="2394" t="s">
        <v>1582</v>
      </c>
      <c r="K54" s="2394" t="s">
        <v>1590</v>
      </c>
      <c r="L54" s="2394">
        <v>90</v>
      </c>
      <c r="M54" s="2395">
        <v>42914</v>
      </c>
      <c r="N54" s="2394">
        <v>7</v>
      </c>
      <c r="O54" s="2394" t="s">
        <v>1597</v>
      </c>
      <c r="P54" s="2393"/>
    </row>
    <row r="55" spans="1:17" ht="15.95" customHeight="1">
      <c r="A55" s="669"/>
      <c r="B55" s="1350" t="s">
        <v>305</v>
      </c>
      <c r="C55" s="1339" t="s">
        <v>259</v>
      </c>
      <c r="D55" s="800"/>
      <c r="E55" s="1339">
        <v>480</v>
      </c>
      <c r="F55" s="1339">
        <v>75</v>
      </c>
      <c r="G55" s="669" t="str">
        <f t="shared" si="0"/>
        <v>SA-106C 480-75</v>
      </c>
      <c r="H55" s="2393">
        <v>7200</v>
      </c>
      <c r="I55" s="2393"/>
      <c r="J55" s="2394" t="s">
        <v>1582</v>
      </c>
      <c r="K55" s="2394" t="s">
        <v>1590</v>
      </c>
      <c r="L55" s="2394">
        <v>90</v>
      </c>
      <c r="M55" s="2395">
        <v>42914</v>
      </c>
      <c r="N55" s="2394">
        <v>7</v>
      </c>
      <c r="O55" s="2394" t="s">
        <v>1597</v>
      </c>
      <c r="P55" s="2393"/>
    </row>
    <row r="56" spans="1:17" ht="15.95" customHeight="1">
      <c r="A56" s="669"/>
      <c r="B56" s="1350" t="s">
        <v>305</v>
      </c>
      <c r="C56" s="1339" t="s">
        <v>259</v>
      </c>
      <c r="D56" s="800"/>
      <c r="E56" s="1339">
        <v>508</v>
      </c>
      <c r="F56" s="1339">
        <v>11</v>
      </c>
      <c r="G56" s="669" t="str">
        <f t="shared" si="0"/>
        <v>SA-106C 508-11</v>
      </c>
      <c r="H56" s="2393">
        <f>7200*1.1</f>
        <v>7920.0000000000009</v>
      </c>
      <c r="I56" s="2393"/>
      <c r="J56" s="2394" t="s">
        <v>1582</v>
      </c>
      <c r="K56" s="2394" t="s">
        <v>1590</v>
      </c>
      <c r="L56" s="2394">
        <v>90</v>
      </c>
      <c r="M56" s="2395">
        <v>42914</v>
      </c>
      <c r="N56" s="2394">
        <v>7</v>
      </c>
      <c r="O56" s="2394" t="s">
        <v>1597</v>
      </c>
      <c r="P56" s="2393"/>
    </row>
    <row r="57" spans="1:17" ht="15.95" customHeight="1">
      <c r="A57" s="669"/>
      <c r="B57" s="1350" t="s">
        <v>305</v>
      </c>
      <c r="C57" s="1339" t="s">
        <v>259</v>
      </c>
      <c r="D57" s="800"/>
      <c r="E57" s="1339">
        <v>508</v>
      </c>
      <c r="F57" s="1339">
        <v>75</v>
      </c>
      <c r="G57" s="669" t="str">
        <f t="shared" si="0"/>
        <v>SA-106C 508-75</v>
      </c>
      <c r="H57" s="2393">
        <v>7200</v>
      </c>
      <c r="I57" s="2393"/>
      <c r="J57" s="2394" t="s">
        <v>1582</v>
      </c>
      <c r="K57" s="2394" t="s">
        <v>1590</v>
      </c>
      <c r="L57" s="2394">
        <v>90</v>
      </c>
      <c r="M57" s="2395">
        <v>42914</v>
      </c>
      <c r="N57" s="2394">
        <v>7</v>
      </c>
      <c r="O57" s="2394" t="s">
        <v>1597</v>
      </c>
      <c r="P57" s="2393"/>
    </row>
    <row r="58" spans="1:17" ht="15.95" customHeight="1">
      <c r="A58" s="669"/>
      <c r="B58" s="1350" t="s">
        <v>305</v>
      </c>
      <c r="C58" s="1339" t="s">
        <v>259</v>
      </c>
      <c r="D58" s="800"/>
      <c r="E58" s="1339">
        <v>610</v>
      </c>
      <c r="F58" s="1339">
        <v>75</v>
      </c>
      <c r="G58" s="669" t="str">
        <f t="shared" si="0"/>
        <v>SA-106C 610-75</v>
      </c>
      <c r="H58" s="2393">
        <v>7200</v>
      </c>
      <c r="I58" s="2393"/>
      <c r="J58" s="2394" t="s">
        <v>1582</v>
      </c>
      <c r="K58" s="2394" t="s">
        <v>1590</v>
      </c>
      <c r="L58" s="2394">
        <v>90</v>
      </c>
      <c r="M58" s="2395">
        <v>42914</v>
      </c>
      <c r="N58" s="2394">
        <v>7</v>
      </c>
      <c r="O58" s="2394" t="s">
        <v>1597</v>
      </c>
      <c r="P58" s="2393"/>
    </row>
    <row r="59" spans="1:17" ht="15.95" customHeight="1">
      <c r="A59" s="669"/>
      <c r="B59" s="1350" t="s">
        <v>305</v>
      </c>
      <c r="C59" s="1339" t="s">
        <v>1437</v>
      </c>
      <c r="D59" s="800"/>
      <c r="E59" s="1339">
        <v>273</v>
      </c>
      <c r="F59" s="1339">
        <v>20</v>
      </c>
      <c r="G59" s="669" t="str">
        <f t="shared" si="0"/>
        <v>SA-335M P22 273-20</v>
      </c>
      <c r="H59" s="2393">
        <v>12000</v>
      </c>
      <c r="I59" s="2393"/>
      <c r="J59" s="2394" t="s">
        <v>1582</v>
      </c>
      <c r="K59" s="2394" t="s">
        <v>1590</v>
      </c>
      <c r="L59" s="2394">
        <v>90</v>
      </c>
      <c r="M59" s="2395">
        <v>42914</v>
      </c>
      <c r="N59" s="2394">
        <v>7</v>
      </c>
      <c r="O59" s="2394" t="s">
        <v>1597</v>
      </c>
      <c r="P59" s="2393">
        <f>(E59-F59)*F59*0.0246615*6</f>
        <v>748.72313999999994</v>
      </c>
      <c r="Q59" s="630" t="s">
        <v>1581</v>
      </c>
    </row>
    <row r="60" spans="1:17" ht="15.95" customHeight="1">
      <c r="A60" s="669"/>
      <c r="B60" s="1350" t="s">
        <v>305</v>
      </c>
      <c r="C60" s="1339" t="s">
        <v>1437</v>
      </c>
      <c r="D60" s="800"/>
      <c r="E60" s="1339">
        <v>457</v>
      </c>
      <c r="F60" s="1339">
        <v>25</v>
      </c>
      <c r="G60" s="669" t="str">
        <f t="shared" si="0"/>
        <v>SA-335M P22 457-25</v>
      </c>
      <c r="H60" s="2393">
        <f>12000*1.1</f>
        <v>13200.000000000002</v>
      </c>
      <c r="I60" s="2393"/>
      <c r="J60" s="2394" t="s">
        <v>1582</v>
      </c>
      <c r="K60" s="2394" t="s">
        <v>1590</v>
      </c>
      <c r="L60" s="2394">
        <v>90</v>
      </c>
      <c r="M60" s="2395">
        <v>42914</v>
      </c>
      <c r="N60" s="2394">
        <v>7</v>
      </c>
      <c r="O60" s="2394" t="s">
        <v>1597</v>
      </c>
      <c r="P60" s="2393"/>
    </row>
    <row r="61" spans="1:17" ht="15.95" customHeight="1">
      <c r="A61" s="669"/>
      <c r="B61" s="1350" t="s">
        <v>305</v>
      </c>
      <c r="C61" s="1339" t="s">
        <v>718</v>
      </c>
      <c r="D61" s="800"/>
      <c r="E61" s="1339">
        <v>245</v>
      </c>
      <c r="F61" s="1339">
        <v>40</v>
      </c>
      <c r="G61" s="669" t="str">
        <f t="shared" si="0"/>
        <v>SA-335 P91 245-40</v>
      </c>
      <c r="H61" s="2393">
        <f>23000</f>
        <v>23000</v>
      </c>
      <c r="I61" s="2393"/>
      <c r="J61" s="2394" t="s">
        <v>1582</v>
      </c>
      <c r="K61" s="2394" t="s">
        <v>1591</v>
      </c>
      <c r="L61" s="2394">
        <v>90</v>
      </c>
      <c r="M61" s="2395">
        <v>42914</v>
      </c>
      <c r="N61" s="2394">
        <v>7</v>
      </c>
      <c r="O61" s="2394" t="s">
        <v>1597</v>
      </c>
      <c r="P61" s="2393"/>
    </row>
    <row r="62" spans="1:17" ht="15.95" customHeight="1">
      <c r="A62" s="669"/>
      <c r="B62" s="1350" t="s">
        <v>305</v>
      </c>
      <c r="C62" s="1339" t="s">
        <v>718</v>
      </c>
      <c r="D62" s="800"/>
      <c r="E62" s="1339">
        <v>273</v>
      </c>
      <c r="F62" s="1339">
        <v>40</v>
      </c>
      <c r="G62" s="669" t="str">
        <f t="shared" si="0"/>
        <v>SA-335 P91 273-40</v>
      </c>
      <c r="H62" s="2393">
        <f>23000</f>
        <v>23000</v>
      </c>
      <c r="I62" s="2393"/>
      <c r="J62" s="2394" t="s">
        <v>1582</v>
      </c>
      <c r="K62" s="2394" t="s">
        <v>1591</v>
      </c>
      <c r="L62" s="2394">
        <v>90</v>
      </c>
      <c r="M62" s="2395">
        <v>42914</v>
      </c>
      <c r="N62" s="2394">
        <v>7</v>
      </c>
      <c r="O62" s="2394" t="s">
        <v>1597</v>
      </c>
      <c r="P62" s="2393"/>
    </row>
    <row r="63" spans="1:17" ht="15.95" customHeight="1">
      <c r="A63" s="669"/>
      <c r="B63" s="1350" t="s">
        <v>305</v>
      </c>
      <c r="C63" s="1339" t="s">
        <v>718</v>
      </c>
      <c r="D63" s="800"/>
      <c r="E63" s="1339">
        <v>273</v>
      </c>
      <c r="F63" s="1339">
        <v>55</v>
      </c>
      <c r="G63" s="669" t="str">
        <f t="shared" si="0"/>
        <v>SA-335 P91 273-55</v>
      </c>
      <c r="H63" s="2393">
        <f>23000</f>
        <v>23000</v>
      </c>
      <c r="I63" s="2393"/>
      <c r="J63" s="2394" t="s">
        <v>1582</v>
      </c>
      <c r="K63" s="2394" t="s">
        <v>1591</v>
      </c>
      <c r="L63" s="2394">
        <v>90</v>
      </c>
      <c r="M63" s="2395">
        <v>42914</v>
      </c>
      <c r="N63" s="2394">
        <v>7</v>
      </c>
      <c r="O63" s="2394" t="s">
        <v>1597</v>
      </c>
      <c r="P63" s="2393"/>
    </row>
    <row r="64" spans="1:17" ht="15.95" customHeight="1">
      <c r="A64" s="669"/>
      <c r="B64" s="1350" t="s">
        <v>305</v>
      </c>
      <c r="C64" s="1339" t="s">
        <v>718</v>
      </c>
      <c r="D64" s="800"/>
      <c r="E64" s="1339">
        <v>324</v>
      </c>
      <c r="F64" s="1339">
        <v>50</v>
      </c>
      <c r="G64" s="669" t="str">
        <f t="shared" si="0"/>
        <v>SA-335 P91 324-50</v>
      </c>
      <c r="H64" s="2393">
        <f>23000</f>
        <v>23000</v>
      </c>
      <c r="I64" s="2393"/>
      <c r="J64" s="2394" t="s">
        <v>1582</v>
      </c>
      <c r="K64" s="2394" t="s">
        <v>1591</v>
      </c>
      <c r="L64" s="2394">
        <v>90</v>
      </c>
      <c r="M64" s="2395">
        <v>42914</v>
      </c>
      <c r="N64" s="2394">
        <v>7</v>
      </c>
      <c r="O64" s="2394" t="s">
        <v>1597</v>
      </c>
      <c r="P64" s="2393"/>
    </row>
    <row r="65" spans="1:16" ht="15.95" customHeight="1">
      <c r="A65" s="669"/>
      <c r="B65" s="1350" t="s">
        <v>305</v>
      </c>
      <c r="C65" s="1339" t="s">
        <v>718</v>
      </c>
      <c r="D65" s="800"/>
      <c r="E65" s="1339">
        <v>324</v>
      </c>
      <c r="F65" s="1339">
        <v>55</v>
      </c>
      <c r="G65" s="669" t="str">
        <f t="shared" si="0"/>
        <v>SA-335 P91 324-55</v>
      </c>
      <c r="H65" s="2393">
        <f>23000</f>
        <v>23000</v>
      </c>
      <c r="I65" s="2393"/>
      <c r="J65" s="2394" t="s">
        <v>1582</v>
      </c>
      <c r="K65" s="2394" t="s">
        <v>1591</v>
      </c>
      <c r="L65" s="2394">
        <v>90</v>
      </c>
      <c r="M65" s="2395">
        <v>42914</v>
      </c>
      <c r="N65" s="2394">
        <v>7</v>
      </c>
      <c r="O65" s="2394" t="s">
        <v>1597</v>
      </c>
      <c r="P65" s="2393"/>
    </row>
    <row r="66" spans="1:16" ht="15.95" customHeight="1">
      <c r="A66" s="669"/>
      <c r="B66" s="1350" t="s">
        <v>305</v>
      </c>
      <c r="C66" s="1339" t="s">
        <v>718</v>
      </c>
      <c r="D66" s="800"/>
      <c r="E66" s="1339">
        <v>324</v>
      </c>
      <c r="F66" s="1339">
        <v>60</v>
      </c>
      <c r="G66" s="669" t="str">
        <f t="shared" si="0"/>
        <v>SA-335 P91 324-60</v>
      </c>
      <c r="H66" s="2393">
        <f>23000</f>
        <v>23000</v>
      </c>
      <c r="I66" s="2393"/>
      <c r="J66" s="2394" t="s">
        <v>1582</v>
      </c>
      <c r="K66" s="2394" t="s">
        <v>1591</v>
      </c>
      <c r="L66" s="2394">
        <v>90</v>
      </c>
      <c r="M66" s="2395">
        <v>42914</v>
      </c>
      <c r="N66" s="2394">
        <v>7</v>
      </c>
      <c r="O66" s="2394" t="s">
        <v>1597</v>
      </c>
      <c r="P66" s="2393"/>
    </row>
    <row r="67" spans="1:16" ht="15.95" customHeight="1">
      <c r="A67" s="669"/>
      <c r="B67" s="1350" t="s">
        <v>305</v>
      </c>
      <c r="C67" s="1339" t="s">
        <v>718</v>
      </c>
      <c r="D67" s="800"/>
      <c r="E67" s="1339">
        <v>356</v>
      </c>
      <c r="F67" s="1339">
        <v>50</v>
      </c>
      <c r="G67" s="669" t="str">
        <f t="shared" si="0"/>
        <v>SA-335 P91 356-50</v>
      </c>
      <c r="H67" s="2393">
        <f>23000</f>
        <v>23000</v>
      </c>
      <c r="I67" s="2393"/>
      <c r="J67" s="2394" t="s">
        <v>1582</v>
      </c>
      <c r="K67" s="2394" t="s">
        <v>1591</v>
      </c>
      <c r="L67" s="2394">
        <v>90</v>
      </c>
      <c r="M67" s="2395">
        <v>42914</v>
      </c>
      <c r="N67" s="2394">
        <v>7</v>
      </c>
      <c r="O67" s="2394" t="s">
        <v>1597</v>
      </c>
      <c r="P67" s="2393"/>
    </row>
    <row r="68" spans="1:16" ht="15.95" customHeight="1">
      <c r="A68" s="669"/>
      <c r="B68" s="1350" t="s">
        <v>305</v>
      </c>
      <c r="C68" s="1339" t="s">
        <v>718</v>
      </c>
      <c r="D68" s="800"/>
      <c r="E68" s="1339">
        <v>406</v>
      </c>
      <c r="F68" s="1339">
        <v>65</v>
      </c>
      <c r="G68" s="669" t="str">
        <f t="shared" si="0"/>
        <v>SA-335 P91 406-65</v>
      </c>
      <c r="H68" s="2393">
        <f>23000</f>
        <v>23000</v>
      </c>
      <c r="I68" s="2393"/>
      <c r="J68" s="2394" t="s">
        <v>1582</v>
      </c>
      <c r="K68" s="2394" t="s">
        <v>1591</v>
      </c>
      <c r="L68" s="2394">
        <v>90</v>
      </c>
      <c r="M68" s="2395">
        <v>42914</v>
      </c>
      <c r="N68" s="2394">
        <v>7</v>
      </c>
      <c r="O68" s="2394" t="s">
        <v>1597</v>
      </c>
      <c r="P68" s="2393"/>
    </row>
    <row r="69" spans="1:16" ht="15.95" customHeight="1">
      <c r="A69" s="669"/>
      <c r="B69" s="1350" t="s">
        <v>305</v>
      </c>
      <c r="C69" s="1339" t="s">
        <v>718</v>
      </c>
      <c r="D69" s="800"/>
      <c r="E69" s="1339">
        <v>600</v>
      </c>
      <c r="F69" s="1339">
        <v>75</v>
      </c>
      <c r="G69" s="669" t="str">
        <f t="shared" si="0"/>
        <v>SA-335 P91 600-75</v>
      </c>
      <c r="H69" s="2393">
        <f>23000</f>
        <v>23000</v>
      </c>
      <c r="I69" s="2393"/>
      <c r="J69" s="2394" t="s">
        <v>1582</v>
      </c>
      <c r="K69" s="2394" t="s">
        <v>1591</v>
      </c>
      <c r="L69" s="2394">
        <v>90</v>
      </c>
      <c r="M69" s="2395">
        <v>42914</v>
      </c>
      <c r="N69" s="2394">
        <v>7</v>
      </c>
      <c r="O69" s="2394" t="s">
        <v>1597</v>
      </c>
      <c r="P69" s="2393"/>
    </row>
    <row r="70" spans="1:16" ht="15.95" customHeight="1">
      <c r="A70" s="669"/>
      <c r="B70" s="1350" t="s">
        <v>305</v>
      </c>
      <c r="C70" s="1339" t="s">
        <v>1233</v>
      </c>
      <c r="D70" s="800"/>
      <c r="E70" s="1339">
        <v>245</v>
      </c>
      <c r="F70" s="1339">
        <v>40</v>
      </c>
      <c r="G70" s="669" t="str">
        <f t="shared" si="0"/>
        <v>SA-335 P92 245-40</v>
      </c>
      <c r="H70" s="2396">
        <v>6710</v>
      </c>
      <c r="I70" s="2396"/>
      <c r="J70" s="2394" t="s">
        <v>1592</v>
      </c>
      <c r="K70" s="2394" t="s">
        <v>1593</v>
      </c>
      <c r="L70" s="2394">
        <v>180</v>
      </c>
      <c r="M70" s="2395">
        <v>42914</v>
      </c>
      <c r="N70" s="2394">
        <v>7</v>
      </c>
      <c r="O70" s="2394" t="s">
        <v>1597</v>
      </c>
      <c r="P70" s="2393"/>
    </row>
    <row r="71" spans="1:16" ht="15.95" customHeight="1">
      <c r="A71" s="669"/>
      <c r="B71" s="1350" t="s">
        <v>305</v>
      </c>
      <c r="C71" s="1339" t="s">
        <v>1233</v>
      </c>
      <c r="D71" s="800"/>
      <c r="E71" s="1339">
        <v>273</v>
      </c>
      <c r="F71" s="1339">
        <v>45</v>
      </c>
      <c r="G71" s="669" t="str">
        <f t="shared" si="0"/>
        <v>SA-335 P92 273-45</v>
      </c>
      <c r="H71" s="2396">
        <v>6710</v>
      </c>
      <c r="I71" s="2396"/>
      <c r="J71" s="2394" t="s">
        <v>1592</v>
      </c>
      <c r="K71" s="2394" t="s">
        <v>1593</v>
      </c>
      <c r="L71" s="2394">
        <v>180</v>
      </c>
      <c r="M71" s="2395">
        <v>42914</v>
      </c>
      <c r="N71" s="2394">
        <v>7</v>
      </c>
      <c r="O71" s="2394" t="s">
        <v>1597</v>
      </c>
      <c r="P71" s="2393"/>
    </row>
    <row r="72" spans="1:16" ht="15.95" customHeight="1">
      <c r="A72" s="669"/>
      <c r="B72" s="1350" t="s">
        <v>305</v>
      </c>
      <c r="C72" s="1339" t="s">
        <v>1233</v>
      </c>
      <c r="D72" s="800"/>
      <c r="E72" s="1339">
        <v>320</v>
      </c>
      <c r="F72" s="1339">
        <v>10</v>
      </c>
      <c r="G72" s="669" t="str">
        <f t="shared" si="0"/>
        <v>SA-335 P92 320-10</v>
      </c>
      <c r="H72" s="2396">
        <v>6710</v>
      </c>
      <c r="I72" s="2396"/>
      <c r="J72" s="2394" t="s">
        <v>1592</v>
      </c>
      <c r="K72" s="2394" t="s">
        <v>1593</v>
      </c>
      <c r="L72" s="2394">
        <v>180</v>
      </c>
      <c r="M72" s="2395">
        <v>42914</v>
      </c>
      <c r="N72" s="2394">
        <v>7</v>
      </c>
      <c r="O72" s="2394" t="s">
        <v>1597</v>
      </c>
      <c r="P72" s="2393"/>
    </row>
    <row r="73" spans="1:16" ht="15.95" customHeight="1">
      <c r="A73" s="669"/>
      <c r="B73" s="1350" t="s">
        <v>305</v>
      </c>
      <c r="C73" s="1339" t="s">
        <v>1233</v>
      </c>
      <c r="D73" s="800"/>
      <c r="E73" s="1339">
        <v>377</v>
      </c>
      <c r="F73" s="1339">
        <v>20</v>
      </c>
      <c r="G73" s="669" t="str">
        <f t="shared" si="0"/>
        <v>SA-335 P92 377-20</v>
      </c>
      <c r="H73" s="2396">
        <v>6710</v>
      </c>
      <c r="I73" s="2396"/>
      <c r="J73" s="2394" t="s">
        <v>1592</v>
      </c>
      <c r="K73" s="2394" t="s">
        <v>1593</v>
      </c>
      <c r="L73" s="2394">
        <v>180</v>
      </c>
      <c r="M73" s="2395">
        <v>42914</v>
      </c>
      <c r="N73" s="2394">
        <v>7</v>
      </c>
      <c r="O73" s="2394" t="s">
        <v>1597</v>
      </c>
      <c r="P73" s="2393"/>
    </row>
    <row r="74" spans="1:16" ht="15.95" customHeight="1">
      <c r="A74" s="669"/>
      <c r="B74" s="1350" t="s">
        <v>305</v>
      </c>
      <c r="C74" s="1339" t="s">
        <v>1233</v>
      </c>
      <c r="D74" s="800"/>
      <c r="E74" s="1339">
        <v>377</v>
      </c>
      <c r="F74" s="1339">
        <v>25</v>
      </c>
      <c r="G74" s="669" t="str">
        <f t="shared" si="0"/>
        <v>SA-335 P92 377-25</v>
      </c>
      <c r="H74" s="2396">
        <v>6710</v>
      </c>
      <c r="I74" s="2396"/>
      <c r="J74" s="2394" t="s">
        <v>1592</v>
      </c>
      <c r="K74" s="2394" t="s">
        <v>1593</v>
      </c>
      <c r="L74" s="2394">
        <v>180</v>
      </c>
      <c r="M74" s="2395">
        <v>42914</v>
      </c>
      <c r="N74" s="2394">
        <v>7</v>
      </c>
      <c r="O74" s="2394" t="s">
        <v>1597</v>
      </c>
      <c r="P74" s="2393"/>
    </row>
    <row r="75" spans="1:16" ht="15.95" customHeight="1">
      <c r="A75" s="669"/>
      <c r="B75" s="1350" t="s">
        <v>305</v>
      </c>
      <c r="C75" s="1339" t="s">
        <v>1233</v>
      </c>
      <c r="D75" s="800"/>
      <c r="E75" s="1339">
        <v>406</v>
      </c>
      <c r="F75" s="1339">
        <v>35</v>
      </c>
      <c r="G75" s="669" t="str">
        <f t="shared" ref="G75:G138" si="1">C75&amp;" "&amp;E75&amp;"-"&amp;F75</f>
        <v>SA-335 P92 406-35</v>
      </c>
      <c r="H75" s="2396">
        <v>6710</v>
      </c>
      <c r="I75" s="2396"/>
      <c r="J75" s="2394" t="s">
        <v>1592</v>
      </c>
      <c r="K75" s="2394" t="s">
        <v>1593</v>
      </c>
      <c r="L75" s="2394">
        <v>180</v>
      </c>
      <c r="M75" s="2395">
        <v>42914</v>
      </c>
      <c r="N75" s="2394">
        <v>7</v>
      </c>
      <c r="O75" s="2394" t="s">
        <v>1597</v>
      </c>
      <c r="P75" s="2393"/>
    </row>
    <row r="76" spans="1:16" ht="15.95" customHeight="1">
      <c r="A76" s="669"/>
      <c r="B76" s="1350" t="s">
        <v>305</v>
      </c>
      <c r="C76" s="1339" t="s">
        <v>1233</v>
      </c>
      <c r="D76" s="800"/>
      <c r="E76" s="1339">
        <v>280</v>
      </c>
      <c r="F76" s="1339">
        <v>55</v>
      </c>
      <c r="G76" s="669" t="str">
        <f t="shared" si="1"/>
        <v>SA-335 P92 280-55</v>
      </c>
      <c r="H76" s="2396">
        <v>6710</v>
      </c>
      <c r="I76" s="2396"/>
      <c r="J76" s="2394" t="s">
        <v>1592</v>
      </c>
      <c r="K76" s="2394" t="s">
        <v>1593</v>
      </c>
      <c r="L76" s="2394">
        <v>180</v>
      </c>
      <c r="M76" s="2395">
        <v>42914</v>
      </c>
      <c r="N76" s="2394">
        <v>7</v>
      </c>
      <c r="O76" s="2394" t="s">
        <v>1597</v>
      </c>
      <c r="P76" s="2393"/>
    </row>
    <row r="77" spans="1:16" ht="15.95" customHeight="1">
      <c r="A77" s="669"/>
      <c r="B77" s="1350" t="s">
        <v>305</v>
      </c>
      <c r="C77" s="1339" t="s">
        <v>1233</v>
      </c>
      <c r="D77" s="800"/>
      <c r="E77" s="1339">
        <v>280</v>
      </c>
      <c r="F77" s="1339">
        <v>65</v>
      </c>
      <c r="G77" s="669" t="str">
        <f t="shared" si="1"/>
        <v>SA-335 P92 280-65</v>
      </c>
      <c r="H77" s="2396">
        <v>6710</v>
      </c>
      <c r="I77" s="2396"/>
      <c r="J77" s="2394" t="s">
        <v>1592</v>
      </c>
      <c r="K77" s="2394" t="s">
        <v>1593</v>
      </c>
      <c r="L77" s="2394">
        <v>180</v>
      </c>
      <c r="M77" s="2395">
        <v>42914</v>
      </c>
      <c r="N77" s="2394">
        <v>7</v>
      </c>
      <c r="O77" s="2394" t="s">
        <v>1597</v>
      </c>
      <c r="P77" s="2393"/>
    </row>
    <row r="78" spans="1:16" ht="15.95" customHeight="1">
      <c r="A78" s="669"/>
      <c r="B78" s="1350" t="s">
        <v>305</v>
      </c>
      <c r="C78" s="1339" t="s">
        <v>1233</v>
      </c>
      <c r="D78" s="800"/>
      <c r="E78" s="1339">
        <v>430</v>
      </c>
      <c r="F78" s="1339">
        <v>40</v>
      </c>
      <c r="G78" s="669" t="str">
        <f t="shared" si="1"/>
        <v>SA-335 P92 430-40</v>
      </c>
      <c r="H78" s="2396">
        <v>6710</v>
      </c>
      <c r="I78" s="2396"/>
      <c r="J78" s="2394" t="s">
        <v>1592</v>
      </c>
      <c r="K78" s="2394" t="s">
        <v>1593</v>
      </c>
      <c r="L78" s="2394">
        <v>180</v>
      </c>
      <c r="M78" s="2395">
        <v>42914</v>
      </c>
      <c r="N78" s="2394">
        <v>7</v>
      </c>
      <c r="O78" s="2394" t="s">
        <v>1597</v>
      </c>
      <c r="P78" s="2393"/>
    </row>
    <row r="79" spans="1:16" ht="15.95" customHeight="1">
      <c r="A79" s="669"/>
      <c r="B79" s="1350" t="s">
        <v>305</v>
      </c>
      <c r="C79" s="1339" t="s">
        <v>1433</v>
      </c>
      <c r="D79" s="800"/>
      <c r="E79" s="1339">
        <v>219</v>
      </c>
      <c r="F79" s="1339">
        <v>45</v>
      </c>
      <c r="G79" s="669" t="str">
        <f t="shared" si="1"/>
        <v>SA-335M P12 219-45</v>
      </c>
      <c r="H79" s="2393">
        <v>9200</v>
      </c>
      <c r="I79" s="2393"/>
      <c r="J79" s="2394" t="s">
        <v>1582</v>
      </c>
      <c r="K79" s="2394" t="s">
        <v>1590</v>
      </c>
      <c r="L79" s="2394">
        <v>90</v>
      </c>
      <c r="M79" s="2395">
        <v>42914</v>
      </c>
      <c r="N79" s="2394">
        <v>7</v>
      </c>
      <c r="O79" s="2394" t="s">
        <v>1597</v>
      </c>
      <c r="P79" s="2393"/>
    </row>
    <row r="80" spans="1:16" ht="15.95" customHeight="1">
      <c r="A80" s="669"/>
      <c r="B80" s="1350" t="s">
        <v>305</v>
      </c>
      <c r="C80" s="1339" t="s">
        <v>1433</v>
      </c>
      <c r="D80" s="800"/>
      <c r="E80" s="1339">
        <v>245</v>
      </c>
      <c r="F80" s="1339">
        <v>40</v>
      </c>
      <c r="G80" s="669" t="str">
        <f t="shared" si="1"/>
        <v>SA-335M P12 245-40</v>
      </c>
      <c r="H80" s="2393">
        <v>9200</v>
      </c>
      <c r="I80" s="2393"/>
      <c r="J80" s="2394" t="s">
        <v>1582</v>
      </c>
      <c r="K80" s="2394" t="s">
        <v>1590</v>
      </c>
      <c r="L80" s="2394">
        <v>90</v>
      </c>
      <c r="M80" s="2395">
        <v>42914</v>
      </c>
      <c r="N80" s="2394">
        <v>7</v>
      </c>
      <c r="O80" s="2394" t="s">
        <v>1597</v>
      </c>
      <c r="P80" s="2393"/>
    </row>
    <row r="81" spans="1:17" ht="15.95" customHeight="1">
      <c r="A81" s="669"/>
      <c r="B81" s="1350" t="s">
        <v>305</v>
      </c>
      <c r="C81" s="1339" t="s">
        <v>1433</v>
      </c>
      <c r="D81" s="800"/>
      <c r="E81" s="1339">
        <v>273</v>
      </c>
      <c r="F81" s="1339">
        <v>45</v>
      </c>
      <c r="G81" s="669" t="str">
        <f t="shared" si="1"/>
        <v>SA-335M P12 273-45</v>
      </c>
      <c r="H81" s="2393">
        <v>9200</v>
      </c>
      <c r="I81" s="2393"/>
      <c r="J81" s="2394" t="s">
        <v>1582</v>
      </c>
      <c r="K81" s="2394" t="s">
        <v>1590</v>
      </c>
      <c r="L81" s="2394">
        <v>90</v>
      </c>
      <c r="M81" s="2395">
        <v>42914</v>
      </c>
      <c r="N81" s="2394">
        <v>7</v>
      </c>
      <c r="O81" s="2394" t="s">
        <v>1597</v>
      </c>
      <c r="P81" s="2393"/>
    </row>
    <row r="82" spans="1:17" ht="15.95" customHeight="1">
      <c r="A82" s="669"/>
      <c r="B82" s="1350" t="s">
        <v>305</v>
      </c>
      <c r="C82" s="1339" t="s">
        <v>1433</v>
      </c>
      <c r="D82" s="800"/>
      <c r="E82" s="1339">
        <v>508</v>
      </c>
      <c r="F82" s="1339">
        <v>80</v>
      </c>
      <c r="G82" s="669" t="str">
        <f t="shared" si="1"/>
        <v>SA-335M P12 508-80</v>
      </c>
      <c r="H82" s="2393">
        <v>9200</v>
      </c>
      <c r="I82" s="2393"/>
      <c r="J82" s="2394" t="s">
        <v>1582</v>
      </c>
      <c r="K82" s="2394" t="s">
        <v>1590</v>
      </c>
      <c r="L82" s="2394">
        <v>90</v>
      </c>
      <c r="M82" s="2395">
        <v>42914</v>
      </c>
      <c r="N82" s="2394">
        <v>7</v>
      </c>
      <c r="O82" s="2394" t="s">
        <v>1597</v>
      </c>
      <c r="P82" s="2393">
        <f>(E82-F82)*F82*0.0246615*6</f>
        <v>5066.45856</v>
      </c>
      <c r="Q82" s="630" t="s">
        <v>1581</v>
      </c>
    </row>
    <row r="83" spans="1:17" ht="15.95" customHeight="1">
      <c r="A83" s="669"/>
      <c r="B83" s="1350" t="s">
        <v>305</v>
      </c>
      <c r="C83" s="1339" t="s">
        <v>1437</v>
      </c>
      <c r="D83" s="800"/>
      <c r="E83" s="1339">
        <v>245</v>
      </c>
      <c r="F83" s="1339">
        <v>55</v>
      </c>
      <c r="G83" s="669" t="str">
        <f t="shared" si="1"/>
        <v>SA-335M P22 245-55</v>
      </c>
      <c r="H83" s="2393">
        <v>12000</v>
      </c>
      <c r="I83" s="2393"/>
      <c r="J83" s="2394" t="s">
        <v>1582</v>
      </c>
      <c r="K83" s="2394" t="s">
        <v>1590</v>
      </c>
      <c r="L83" s="2394">
        <v>90</v>
      </c>
      <c r="M83" s="2395">
        <v>42914</v>
      </c>
      <c r="N83" s="2394">
        <v>7</v>
      </c>
      <c r="O83" s="2394" t="s">
        <v>1597</v>
      </c>
      <c r="P83" s="2393"/>
    </row>
    <row r="84" spans="1:17" ht="15.95" customHeight="1">
      <c r="A84" s="669"/>
      <c r="B84" s="1350" t="s">
        <v>305</v>
      </c>
      <c r="C84" s="1339" t="s">
        <v>1437</v>
      </c>
      <c r="D84" s="800"/>
      <c r="E84" s="1339">
        <v>457</v>
      </c>
      <c r="F84" s="1339">
        <v>70</v>
      </c>
      <c r="G84" s="669" t="str">
        <f t="shared" si="1"/>
        <v>SA-335M P22 457-70</v>
      </c>
      <c r="H84" s="2393">
        <v>12000</v>
      </c>
      <c r="I84" s="2393"/>
      <c r="J84" s="2394" t="s">
        <v>1582</v>
      </c>
      <c r="K84" s="2394" t="s">
        <v>1590</v>
      </c>
      <c r="L84" s="2394">
        <v>90</v>
      </c>
      <c r="M84" s="2395">
        <v>42914</v>
      </c>
      <c r="N84" s="2394">
        <v>7</v>
      </c>
      <c r="O84" s="2394" t="s">
        <v>1597</v>
      </c>
      <c r="P84" s="2393"/>
    </row>
    <row r="85" spans="1:17" ht="15.95" customHeight="1">
      <c r="A85" s="669"/>
      <c r="B85" s="1350" t="s">
        <v>335</v>
      </c>
      <c r="C85" s="1339">
        <v>20</v>
      </c>
      <c r="D85" s="800"/>
      <c r="E85" s="1339">
        <v>25</v>
      </c>
      <c r="F85" s="1339">
        <v>3</v>
      </c>
      <c r="G85" s="669" t="str">
        <f t="shared" si="1"/>
        <v>20 25-3</v>
      </c>
      <c r="H85" s="2397">
        <f>6650*1.12</f>
        <v>7448.0000000000009</v>
      </c>
      <c r="I85" s="2397"/>
      <c r="J85" s="2394" t="s">
        <v>1582</v>
      </c>
      <c r="K85" s="2394" t="s">
        <v>1594</v>
      </c>
      <c r="L85" s="2394">
        <v>90</v>
      </c>
      <c r="M85" s="2395">
        <v>42914</v>
      </c>
      <c r="N85" s="2394">
        <v>7</v>
      </c>
      <c r="O85" s="2394" t="s">
        <v>1597</v>
      </c>
      <c r="P85" s="2393">
        <v>2000</v>
      </c>
    </row>
    <row r="86" spans="1:17" ht="15.95" customHeight="1">
      <c r="A86" s="669"/>
      <c r="B86" s="1350" t="s">
        <v>335</v>
      </c>
      <c r="C86" s="1339" t="s">
        <v>259</v>
      </c>
      <c r="D86" s="800"/>
      <c r="E86" s="1339">
        <v>34</v>
      </c>
      <c r="F86" s="1339">
        <v>6.5</v>
      </c>
      <c r="G86" s="669" t="str">
        <f t="shared" si="1"/>
        <v>SA-106C 34-6.5</v>
      </c>
      <c r="H86" s="2397">
        <f>6650</f>
        <v>6650</v>
      </c>
      <c r="I86" s="2397"/>
      <c r="J86" s="2394" t="s">
        <v>1582</v>
      </c>
      <c r="K86" s="2394" t="s">
        <v>1594</v>
      </c>
      <c r="L86" s="2394">
        <v>90</v>
      </c>
      <c r="M86" s="2395">
        <v>42914</v>
      </c>
      <c r="N86" s="2394">
        <v>7</v>
      </c>
      <c r="O86" s="2394" t="s">
        <v>1597</v>
      </c>
      <c r="P86" s="2393">
        <v>2000</v>
      </c>
    </row>
    <row r="87" spans="1:17" ht="15.95" customHeight="1">
      <c r="A87" s="669"/>
      <c r="B87" s="1350" t="s">
        <v>335</v>
      </c>
      <c r="C87" s="1339" t="s">
        <v>259</v>
      </c>
      <c r="D87" s="800"/>
      <c r="E87" s="1339">
        <v>60</v>
      </c>
      <c r="F87" s="1339">
        <v>10</v>
      </c>
      <c r="G87" s="669" t="str">
        <f t="shared" si="1"/>
        <v>SA-106C 60-10</v>
      </c>
      <c r="H87" s="2397">
        <f>6650</f>
        <v>6650</v>
      </c>
      <c r="I87" s="2397"/>
      <c r="J87" s="2394" t="s">
        <v>1582</v>
      </c>
      <c r="K87" s="2394" t="s">
        <v>1594</v>
      </c>
      <c r="L87" s="2394">
        <v>90</v>
      </c>
      <c r="M87" s="2395">
        <v>42914</v>
      </c>
      <c r="N87" s="2394">
        <v>7</v>
      </c>
      <c r="O87" s="2394" t="s">
        <v>1597</v>
      </c>
      <c r="P87" s="2393">
        <v>2000</v>
      </c>
    </row>
    <row r="88" spans="1:17" ht="15.95" customHeight="1">
      <c r="A88" s="669"/>
      <c r="B88" s="1350" t="s">
        <v>335</v>
      </c>
      <c r="C88" s="1339" t="s">
        <v>259</v>
      </c>
      <c r="D88" s="800"/>
      <c r="E88" s="1339">
        <v>73</v>
      </c>
      <c r="F88" s="1339">
        <v>5.16</v>
      </c>
      <c r="G88" s="669" t="str">
        <f t="shared" si="1"/>
        <v>SA-106C 73-5.16</v>
      </c>
      <c r="H88" s="2397">
        <f>6650</f>
        <v>6650</v>
      </c>
      <c r="I88" s="2397"/>
      <c r="J88" s="2394" t="s">
        <v>1582</v>
      </c>
      <c r="K88" s="2394" t="s">
        <v>1594</v>
      </c>
      <c r="L88" s="2394">
        <v>90</v>
      </c>
      <c r="M88" s="2395">
        <v>42914</v>
      </c>
      <c r="N88" s="2394">
        <v>7</v>
      </c>
      <c r="O88" s="2394" t="s">
        <v>1597</v>
      </c>
      <c r="P88" s="2393">
        <v>2000</v>
      </c>
    </row>
    <row r="89" spans="1:17" ht="15.95" customHeight="1">
      <c r="A89" s="669"/>
      <c r="B89" s="1350" t="s">
        <v>335</v>
      </c>
      <c r="C89" s="1339" t="s">
        <v>259</v>
      </c>
      <c r="D89" s="800"/>
      <c r="E89" s="1339">
        <v>76</v>
      </c>
      <c r="F89" s="1339">
        <v>4</v>
      </c>
      <c r="G89" s="669" t="str">
        <f t="shared" si="1"/>
        <v>SA-106C 76-4</v>
      </c>
      <c r="H89" s="2397">
        <f>6650</f>
        <v>6650</v>
      </c>
      <c r="I89" s="2397"/>
      <c r="J89" s="2394" t="s">
        <v>1582</v>
      </c>
      <c r="K89" s="2394" t="s">
        <v>1594</v>
      </c>
      <c r="L89" s="2394">
        <v>90</v>
      </c>
      <c r="M89" s="2395">
        <v>42914</v>
      </c>
      <c r="N89" s="2394">
        <v>7</v>
      </c>
      <c r="O89" s="2394" t="s">
        <v>1597</v>
      </c>
      <c r="P89" s="2393">
        <v>2000</v>
      </c>
    </row>
    <row r="90" spans="1:17" ht="15.95" customHeight="1">
      <c r="A90" s="669"/>
      <c r="B90" s="1350" t="s">
        <v>335</v>
      </c>
      <c r="C90" s="1339" t="s">
        <v>259</v>
      </c>
      <c r="D90" s="800"/>
      <c r="E90" s="1339">
        <v>76</v>
      </c>
      <c r="F90" s="1339">
        <v>8</v>
      </c>
      <c r="G90" s="669" t="str">
        <f t="shared" si="1"/>
        <v>SA-106C 76-8</v>
      </c>
      <c r="H90" s="2397">
        <f>6650</f>
        <v>6650</v>
      </c>
      <c r="I90" s="2397"/>
      <c r="J90" s="2394" t="s">
        <v>1582</v>
      </c>
      <c r="K90" s="2394" t="s">
        <v>1594</v>
      </c>
      <c r="L90" s="2394">
        <v>90</v>
      </c>
      <c r="M90" s="2395">
        <v>42914</v>
      </c>
      <c r="N90" s="2394">
        <v>7</v>
      </c>
      <c r="O90" s="2394" t="s">
        <v>1597</v>
      </c>
      <c r="P90" s="2393"/>
    </row>
    <row r="91" spans="1:17" ht="15.95" customHeight="1">
      <c r="A91" s="669"/>
      <c r="B91" s="1350" t="s">
        <v>335</v>
      </c>
      <c r="C91" s="1339" t="s">
        <v>259</v>
      </c>
      <c r="D91" s="800"/>
      <c r="E91" s="1339">
        <v>89</v>
      </c>
      <c r="F91" s="1339">
        <v>5</v>
      </c>
      <c r="G91" s="669" t="str">
        <f t="shared" si="1"/>
        <v>SA-106C 89-5</v>
      </c>
      <c r="H91" s="2397">
        <f>6650</f>
        <v>6650</v>
      </c>
      <c r="I91" s="2397"/>
      <c r="J91" s="2394" t="s">
        <v>1582</v>
      </c>
      <c r="K91" s="2394" t="s">
        <v>1594</v>
      </c>
      <c r="L91" s="2394">
        <v>90</v>
      </c>
      <c r="M91" s="2395">
        <v>42914</v>
      </c>
      <c r="N91" s="2394">
        <v>7</v>
      </c>
      <c r="O91" s="2394" t="s">
        <v>1597</v>
      </c>
      <c r="P91" s="2393">
        <v>2000</v>
      </c>
    </row>
    <row r="92" spans="1:17" ht="15.95" customHeight="1">
      <c r="A92" s="669"/>
      <c r="B92" s="1350" t="s">
        <v>335</v>
      </c>
      <c r="C92" s="1339" t="s">
        <v>259</v>
      </c>
      <c r="D92" s="800"/>
      <c r="E92" s="1339">
        <v>89</v>
      </c>
      <c r="F92" s="1339">
        <v>12</v>
      </c>
      <c r="G92" s="669" t="str">
        <f t="shared" si="1"/>
        <v>SA-106C 89-12</v>
      </c>
      <c r="H92" s="2397">
        <f>6650</f>
        <v>6650</v>
      </c>
      <c r="I92" s="2397"/>
      <c r="J92" s="2394" t="s">
        <v>1582</v>
      </c>
      <c r="K92" s="2394" t="s">
        <v>1594</v>
      </c>
      <c r="L92" s="2394">
        <v>90</v>
      </c>
      <c r="M92" s="2395">
        <v>42914</v>
      </c>
      <c r="N92" s="2394">
        <v>7</v>
      </c>
      <c r="O92" s="2394" t="s">
        <v>1597</v>
      </c>
      <c r="P92" s="2393"/>
    </row>
    <row r="93" spans="1:17" ht="15.95" customHeight="1">
      <c r="A93" s="669"/>
      <c r="B93" s="1350" t="s">
        <v>335</v>
      </c>
      <c r="C93" s="1339" t="s">
        <v>1418</v>
      </c>
      <c r="D93" s="800"/>
      <c r="E93" s="1339">
        <v>33.6</v>
      </c>
      <c r="F93" s="1339">
        <v>6</v>
      </c>
      <c r="G93" s="669" t="str">
        <f t="shared" si="1"/>
        <v>SA-210M C 33.6-6</v>
      </c>
      <c r="H93" s="2397">
        <f>6650</f>
        <v>6650</v>
      </c>
      <c r="I93" s="2397"/>
      <c r="J93" s="2394" t="s">
        <v>1582</v>
      </c>
      <c r="K93" s="2394" t="s">
        <v>1594</v>
      </c>
      <c r="L93" s="2394">
        <v>90</v>
      </c>
      <c r="M93" s="2395">
        <v>42914</v>
      </c>
      <c r="N93" s="2394">
        <v>7</v>
      </c>
      <c r="O93" s="2394" t="s">
        <v>1597</v>
      </c>
      <c r="P93" s="2393">
        <v>2000</v>
      </c>
    </row>
    <row r="94" spans="1:17" ht="15.95" customHeight="1">
      <c r="A94" s="669"/>
      <c r="B94" s="1350" t="s">
        <v>335</v>
      </c>
      <c r="C94" s="1339" t="s">
        <v>1418</v>
      </c>
      <c r="D94" s="800"/>
      <c r="E94" s="1339">
        <v>42.2</v>
      </c>
      <c r="F94" s="1339">
        <v>6.1</v>
      </c>
      <c r="G94" s="669" t="str">
        <f t="shared" si="1"/>
        <v>SA-210M C 42.2-6.1</v>
      </c>
      <c r="H94" s="2397">
        <f>6650</f>
        <v>6650</v>
      </c>
      <c r="I94" s="2397"/>
      <c r="J94" s="2394" t="s">
        <v>1582</v>
      </c>
      <c r="K94" s="2394" t="s">
        <v>1594</v>
      </c>
      <c r="L94" s="2394">
        <v>90</v>
      </c>
      <c r="M94" s="2395">
        <v>42914</v>
      </c>
      <c r="N94" s="2394">
        <v>7</v>
      </c>
      <c r="O94" s="2394" t="s">
        <v>1597</v>
      </c>
      <c r="P94" s="2393">
        <v>2000</v>
      </c>
    </row>
    <row r="95" spans="1:17" ht="15.95" customHeight="1">
      <c r="A95" s="669"/>
      <c r="B95" s="1350" t="s">
        <v>335</v>
      </c>
      <c r="C95" s="1339" t="s">
        <v>1418</v>
      </c>
      <c r="D95" s="800"/>
      <c r="E95" s="1339">
        <v>44.5</v>
      </c>
      <c r="F95" s="1339">
        <v>6</v>
      </c>
      <c r="G95" s="669" t="str">
        <f t="shared" si="1"/>
        <v>SA-210M C 44.5-6</v>
      </c>
      <c r="H95" s="2397">
        <f>6650</f>
        <v>6650</v>
      </c>
      <c r="I95" s="2397"/>
      <c r="J95" s="2394" t="s">
        <v>1582</v>
      </c>
      <c r="K95" s="2394" t="s">
        <v>1594</v>
      </c>
      <c r="L95" s="2394">
        <v>90</v>
      </c>
      <c r="M95" s="2395">
        <v>42914</v>
      </c>
      <c r="N95" s="2394">
        <v>7</v>
      </c>
      <c r="O95" s="2394" t="s">
        <v>1597</v>
      </c>
      <c r="P95" s="2393"/>
    </row>
    <row r="96" spans="1:17" ht="15.95" customHeight="1">
      <c r="A96" s="669"/>
      <c r="B96" s="1350" t="s">
        <v>335</v>
      </c>
      <c r="C96" s="1339" t="s">
        <v>1418</v>
      </c>
      <c r="D96" s="800"/>
      <c r="E96" s="1339">
        <v>48.3</v>
      </c>
      <c r="F96" s="1339">
        <v>8</v>
      </c>
      <c r="G96" s="669" t="str">
        <f t="shared" si="1"/>
        <v>SA-210M C 48.3-8</v>
      </c>
      <c r="H96" s="2397">
        <f>6650</f>
        <v>6650</v>
      </c>
      <c r="I96" s="2397"/>
      <c r="J96" s="2394" t="s">
        <v>1582</v>
      </c>
      <c r="K96" s="2394" t="s">
        <v>1594</v>
      </c>
      <c r="L96" s="2394">
        <v>90</v>
      </c>
      <c r="M96" s="2395">
        <v>42914</v>
      </c>
      <c r="N96" s="2394">
        <v>7</v>
      </c>
      <c r="O96" s="2394" t="s">
        <v>1597</v>
      </c>
      <c r="P96" s="2393">
        <v>2000</v>
      </c>
    </row>
    <row r="97" spans="1:16" ht="15.95" customHeight="1">
      <c r="A97" s="669"/>
      <c r="B97" s="1350" t="s">
        <v>335</v>
      </c>
      <c r="C97" s="1339" t="s">
        <v>1418</v>
      </c>
      <c r="D97" s="800"/>
      <c r="E97" s="1339">
        <v>54</v>
      </c>
      <c r="F97" s="1339">
        <v>10</v>
      </c>
      <c r="G97" s="669" t="str">
        <f t="shared" si="1"/>
        <v>SA-210M C 54-10</v>
      </c>
      <c r="H97" s="2397">
        <f>6650*1.12</f>
        <v>7448.0000000000009</v>
      </c>
      <c r="I97" s="2397"/>
      <c r="J97" s="2394" t="s">
        <v>1582</v>
      </c>
      <c r="K97" s="2394" t="s">
        <v>1594</v>
      </c>
      <c r="L97" s="2394">
        <v>90</v>
      </c>
      <c r="M97" s="2395">
        <v>42914</v>
      </c>
      <c r="N97" s="2394">
        <v>7</v>
      </c>
      <c r="O97" s="2394" t="s">
        <v>1597</v>
      </c>
      <c r="P97" s="2393">
        <v>2000</v>
      </c>
    </row>
    <row r="98" spans="1:16" ht="15.95" customHeight="1">
      <c r="A98" s="669"/>
      <c r="B98" s="1350" t="s">
        <v>335</v>
      </c>
      <c r="C98" s="1339" t="s">
        <v>1418</v>
      </c>
      <c r="D98" s="800"/>
      <c r="E98" s="1339">
        <v>60</v>
      </c>
      <c r="F98" s="1339">
        <v>12</v>
      </c>
      <c r="G98" s="669" t="str">
        <f t="shared" si="1"/>
        <v>SA-210M C 60-12</v>
      </c>
      <c r="H98" s="2397">
        <f>6650*1.12</f>
        <v>7448.0000000000009</v>
      </c>
      <c r="I98" s="2397"/>
      <c r="J98" s="2394" t="s">
        <v>1582</v>
      </c>
      <c r="K98" s="2394" t="s">
        <v>1594</v>
      </c>
      <c r="L98" s="2394">
        <v>90</v>
      </c>
      <c r="M98" s="2395">
        <v>42914</v>
      </c>
      <c r="N98" s="2394">
        <v>7</v>
      </c>
      <c r="O98" s="2394" t="s">
        <v>1597</v>
      </c>
      <c r="P98" s="2393"/>
    </row>
    <row r="99" spans="1:16" ht="15.95" customHeight="1">
      <c r="A99" s="669"/>
      <c r="B99" s="1350" t="s">
        <v>335</v>
      </c>
      <c r="C99" s="1339" t="s">
        <v>1418</v>
      </c>
      <c r="D99" s="800"/>
      <c r="E99" s="1339">
        <v>76</v>
      </c>
      <c r="F99" s="1339">
        <v>14</v>
      </c>
      <c r="G99" s="669" t="str">
        <f t="shared" si="1"/>
        <v>SA-210M C 76-14</v>
      </c>
      <c r="H99" s="2397">
        <f>6650</f>
        <v>6650</v>
      </c>
      <c r="I99" s="2397"/>
      <c r="J99" s="2394" t="s">
        <v>1582</v>
      </c>
      <c r="K99" s="2394" t="s">
        <v>1595</v>
      </c>
      <c r="L99" s="2394">
        <v>90</v>
      </c>
      <c r="M99" s="2395">
        <v>42914</v>
      </c>
      <c r="N99" s="2394">
        <v>7</v>
      </c>
      <c r="O99" s="2394" t="s">
        <v>1597</v>
      </c>
      <c r="P99" s="2393">
        <v>2000</v>
      </c>
    </row>
    <row r="100" spans="1:16" ht="15.95" customHeight="1">
      <c r="A100" s="669"/>
      <c r="B100" s="1350" t="s">
        <v>335</v>
      </c>
      <c r="C100" s="1339" t="s">
        <v>1418</v>
      </c>
      <c r="D100" s="800"/>
      <c r="E100" s="1339">
        <v>88.9</v>
      </c>
      <c r="F100" s="1339">
        <v>12.5</v>
      </c>
      <c r="G100" s="669" t="str">
        <f t="shared" si="1"/>
        <v>SA-210M C 88.9-12.5</v>
      </c>
      <c r="H100" s="2397">
        <f>6650</f>
        <v>6650</v>
      </c>
      <c r="I100" s="2397"/>
      <c r="J100" s="2394" t="s">
        <v>1582</v>
      </c>
      <c r="K100" s="2394" t="s">
        <v>1595</v>
      </c>
      <c r="L100" s="2394">
        <v>90</v>
      </c>
      <c r="M100" s="2395">
        <v>42914</v>
      </c>
      <c r="N100" s="2394">
        <v>7</v>
      </c>
      <c r="O100" s="2394" t="s">
        <v>1597</v>
      </c>
      <c r="P100" s="2393">
        <v>2000</v>
      </c>
    </row>
    <row r="101" spans="1:16" ht="15.95" customHeight="1">
      <c r="A101" s="669"/>
      <c r="B101" s="1350" t="s">
        <v>335</v>
      </c>
      <c r="C101" s="1339" t="s">
        <v>716</v>
      </c>
      <c r="D101" s="800"/>
      <c r="E101" s="1339">
        <v>38.1</v>
      </c>
      <c r="F101" s="1339">
        <v>6.1</v>
      </c>
      <c r="G101" s="669" t="str">
        <f t="shared" si="1"/>
        <v>SA-213 Super304H SB 38.1-6.1</v>
      </c>
      <c r="H101" s="2398">
        <v>7600</v>
      </c>
      <c r="I101" s="2398"/>
      <c r="J101" s="2394" t="s">
        <v>1592</v>
      </c>
      <c r="K101" s="2394" t="s">
        <v>1596</v>
      </c>
      <c r="L101" s="2394">
        <v>180</v>
      </c>
      <c r="M101" s="2395">
        <v>42914</v>
      </c>
      <c r="N101" s="2394">
        <v>7</v>
      </c>
      <c r="O101" s="2394" t="s">
        <v>1597</v>
      </c>
      <c r="P101" s="2393"/>
    </row>
    <row r="102" spans="1:16" ht="15.95" customHeight="1">
      <c r="A102" s="669"/>
      <c r="B102" s="1350" t="s">
        <v>335</v>
      </c>
      <c r="C102" s="1339" t="s">
        <v>716</v>
      </c>
      <c r="D102" s="800"/>
      <c r="E102" s="1339">
        <v>38.1</v>
      </c>
      <c r="F102" s="1339">
        <v>6.5</v>
      </c>
      <c r="G102" s="669" t="str">
        <f t="shared" si="1"/>
        <v>SA-213 Super304H SB 38.1-6.5</v>
      </c>
      <c r="H102" s="2398">
        <v>7600</v>
      </c>
      <c r="I102" s="2398"/>
      <c r="J102" s="2394" t="s">
        <v>1592</v>
      </c>
      <c r="K102" s="2394" t="s">
        <v>1596</v>
      </c>
      <c r="L102" s="2394">
        <v>180</v>
      </c>
      <c r="M102" s="2395">
        <v>42914</v>
      </c>
      <c r="N102" s="2394">
        <v>7</v>
      </c>
      <c r="O102" s="2394" t="s">
        <v>1597</v>
      </c>
      <c r="P102" s="2393"/>
    </row>
    <row r="103" spans="1:16" ht="15.95" customHeight="1">
      <c r="A103" s="669"/>
      <c r="B103" s="1350" t="s">
        <v>335</v>
      </c>
      <c r="C103" s="1339" t="s">
        <v>716</v>
      </c>
      <c r="D103" s="800"/>
      <c r="E103" s="1339">
        <v>48.3</v>
      </c>
      <c r="F103" s="1339">
        <v>3.81</v>
      </c>
      <c r="G103" s="669" t="str">
        <f t="shared" si="1"/>
        <v>SA-213 Super304H SB 48.3-3.81</v>
      </c>
      <c r="H103" s="2398">
        <v>7600</v>
      </c>
      <c r="I103" s="2398"/>
      <c r="J103" s="2394" t="s">
        <v>1592</v>
      </c>
      <c r="K103" s="2394" t="s">
        <v>1596</v>
      </c>
      <c r="L103" s="2394">
        <v>180</v>
      </c>
      <c r="M103" s="2395">
        <v>42914</v>
      </c>
      <c r="N103" s="2394">
        <v>7</v>
      </c>
      <c r="O103" s="2394" t="s">
        <v>1597</v>
      </c>
      <c r="P103" s="2393"/>
    </row>
    <row r="104" spans="1:16" ht="15.95" customHeight="1">
      <c r="A104" s="669"/>
      <c r="B104" s="1350" t="s">
        <v>335</v>
      </c>
      <c r="C104" s="1339" t="s">
        <v>716</v>
      </c>
      <c r="D104" s="800"/>
      <c r="E104" s="1339">
        <v>54</v>
      </c>
      <c r="F104" s="1339">
        <v>6</v>
      </c>
      <c r="G104" s="669" t="str">
        <f t="shared" si="1"/>
        <v>SA-213 Super304H SB 54-6</v>
      </c>
      <c r="H104" s="2398">
        <v>7600</v>
      </c>
      <c r="I104" s="2398"/>
      <c r="J104" s="2394" t="s">
        <v>1592</v>
      </c>
      <c r="K104" s="2394" t="s">
        <v>1596</v>
      </c>
      <c r="L104" s="2394">
        <v>180</v>
      </c>
      <c r="M104" s="2395">
        <v>42914</v>
      </c>
      <c r="N104" s="2394">
        <v>7</v>
      </c>
      <c r="O104" s="2394" t="s">
        <v>1597</v>
      </c>
      <c r="P104" s="2393">
        <v>3000</v>
      </c>
    </row>
    <row r="105" spans="1:16" ht="15.95" customHeight="1">
      <c r="A105" s="669"/>
      <c r="B105" s="1350" t="s">
        <v>335</v>
      </c>
      <c r="C105" s="1339" t="s">
        <v>716</v>
      </c>
      <c r="D105" s="800"/>
      <c r="E105" s="1339">
        <v>65</v>
      </c>
      <c r="F105" s="1339">
        <v>5.2</v>
      </c>
      <c r="G105" s="669" t="str">
        <f t="shared" si="1"/>
        <v>SA-213 Super304H SB 65-5.2</v>
      </c>
      <c r="H105" s="2398">
        <v>7600</v>
      </c>
      <c r="I105" s="2398"/>
      <c r="J105" s="2394" t="s">
        <v>1592</v>
      </c>
      <c r="K105" s="2394" t="s">
        <v>1596</v>
      </c>
      <c r="L105" s="2394">
        <v>180</v>
      </c>
      <c r="M105" s="2395">
        <v>42914</v>
      </c>
      <c r="N105" s="2394">
        <v>7</v>
      </c>
      <c r="O105" s="2394" t="s">
        <v>1597</v>
      </c>
      <c r="P105" s="2393">
        <v>3000</v>
      </c>
    </row>
    <row r="106" spans="1:16" ht="15.95" customHeight="1">
      <c r="A106" s="669"/>
      <c r="B106" s="1350" t="s">
        <v>335</v>
      </c>
      <c r="C106" s="1339" t="s">
        <v>1467</v>
      </c>
      <c r="D106" s="800"/>
      <c r="E106" s="1339">
        <v>48.3</v>
      </c>
      <c r="F106" s="1339">
        <v>3.81</v>
      </c>
      <c r="G106" s="669" t="str">
        <f t="shared" si="1"/>
        <v>SA-213 TP310HCBN 48.3-3.81</v>
      </c>
      <c r="H106" s="2398">
        <v>10800</v>
      </c>
      <c r="I106" s="2398"/>
      <c r="J106" s="2394" t="s">
        <v>1592</v>
      </c>
      <c r="K106" s="2394" t="s">
        <v>1596</v>
      </c>
      <c r="L106" s="2394">
        <v>180</v>
      </c>
      <c r="M106" s="2395">
        <v>42914</v>
      </c>
      <c r="N106" s="2394">
        <v>7</v>
      </c>
      <c r="O106" s="2394" t="s">
        <v>1597</v>
      </c>
      <c r="P106" s="2393"/>
    </row>
    <row r="107" spans="1:16" ht="15.95" customHeight="1">
      <c r="A107" s="669"/>
      <c r="B107" s="1350" t="s">
        <v>335</v>
      </c>
      <c r="C107" s="1339" t="s">
        <v>1460</v>
      </c>
      <c r="D107" s="800"/>
      <c r="E107" s="1339">
        <v>44.45</v>
      </c>
      <c r="F107" s="1339">
        <v>6.5</v>
      </c>
      <c r="G107" s="669" t="str">
        <f t="shared" si="1"/>
        <v>SA-213 TP347H SB 44.45-6.5</v>
      </c>
      <c r="H107" s="2397">
        <v>38000</v>
      </c>
      <c r="I107" s="2397"/>
      <c r="J107" s="2394" t="s">
        <v>1582</v>
      </c>
      <c r="K107" s="2394" t="s">
        <v>1595</v>
      </c>
      <c r="L107" s="2394">
        <v>90</v>
      </c>
      <c r="M107" s="2395">
        <v>42914</v>
      </c>
      <c r="N107" s="2394">
        <v>7</v>
      </c>
      <c r="O107" s="2394" t="s">
        <v>1597</v>
      </c>
      <c r="P107" s="2393"/>
    </row>
    <row r="108" spans="1:16" ht="15.95" customHeight="1">
      <c r="A108" s="669"/>
      <c r="B108" s="1350" t="s">
        <v>335</v>
      </c>
      <c r="C108" s="1339" t="s">
        <v>1460</v>
      </c>
      <c r="D108" s="800"/>
      <c r="E108" s="1339">
        <v>44.45</v>
      </c>
      <c r="F108" s="1339">
        <v>7.62</v>
      </c>
      <c r="G108" s="669" t="str">
        <f t="shared" si="1"/>
        <v>SA-213 TP347H SB 44.45-7.62</v>
      </c>
      <c r="H108" s="2397">
        <v>38000</v>
      </c>
      <c r="I108" s="2397"/>
      <c r="J108" s="2394" t="s">
        <v>1582</v>
      </c>
      <c r="K108" s="2394" t="s">
        <v>1595</v>
      </c>
      <c r="L108" s="2394">
        <v>90</v>
      </c>
      <c r="M108" s="2395">
        <v>42914</v>
      </c>
      <c r="N108" s="2394">
        <v>7</v>
      </c>
      <c r="O108" s="2394" t="s">
        <v>1597</v>
      </c>
      <c r="P108" s="2393"/>
    </row>
    <row r="109" spans="1:16" ht="15.95" customHeight="1">
      <c r="A109" s="669"/>
      <c r="B109" s="1350" t="s">
        <v>335</v>
      </c>
      <c r="C109" s="1339" t="s">
        <v>1460</v>
      </c>
      <c r="D109" s="800"/>
      <c r="E109" s="1339">
        <v>48.3</v>
      </c>
      <c r="F109" s="1339">
        <v>3.81</v>
      </c>
      <c r="G109" s="669" t="str">
        <f t="shared" si="1"/>
        <v>SA-213 TP347H SB 48.3-3.81</v>
      </c>
      <c r="H109" s="2397">
        <v>38000</v>
      </c>
      <c r="I109" s="2397"/>
      <c r="J109" s="2394" t="s">
        <v>1582</v>
      </c>
      <c r="K109" s="2394" t="s">
        <v>1595</v>
      </c>
      <c r="L109" s="2394">
        <v>90</v>
      </c>
      <c r="M109" s="2395">
        <v>42914</v>
      </c>
      <c r="N109" s="2394">
        <v>7</v>
      </c>
      <c r="O109" s="2394" t="s">
        <v>1597</v>
      </c>
      <c r="P109" s="2393"/>
    </row>
    <row r="110" spans="1:16" ht="15.95" customHeight="1">
      <c r="A110" s="669"/>
      <c r="B110" s="1350" t="s">
        <v>335</v>
      </c>
      <c r="C110" s="1339" t="s">
        <v>1424</v>
      </c>
      <c r="D110" s="800"/>
      <c r="E110" s="1339">
        <v>31.8</v>
      </c>
      <c r="F110" s="1339">
        <v>6</v>
      </c>
      <c r="G110" s="669" t="str">
        <f t="shared" si="1"/>
        <v>SA-213M T12 31.8-6</v>
      </c>
      <c r="H110" s="2393">
        <f>9000*1.12</f>
        <v>10080.000000000002</v>
      </c>
      <c r="I110" s="2393"/>
      <c r="J110" s="2394" t="s">
        <v>1582</v>
      </c>
      <c r="K110" s="2394" t="s">
        <v>1594</v>
      </c>
      <c r="L110" s="2394">
        <v>90</v>
      </c>
      <c r="M110" s="2395">
        <v>42914</v>
      </c>
      <c r="N110" s="2394">
        <v>7</v>
      </c>
      <c r="O110" s="2394" t="s">
        <v>1597</v>
      </c>
      <c r="P110" s="2393"/>
    </row>
    <row r="111" spans="1:16" ht="15.95" customHeight="1">
      <c r="A111" s="669"/>
      <c r="B111" s="1350" t="s">
        <v>335</v>
      </c>
      <c r="C111" s="1339" t="s">
        <v>1424</v>
      </c>
      <c r="D111" s="800"/>
      <c r="E111" s="1339">
        <v>33.6</v>
      </c>
      <c r="F111" s="1339">
        <v>6</v>
      </c>
      <c r="G111" s="669" t="str">
        <f t="shared" si="1"/>
        <v>SA-213M T12 33.6-6</v>
      </c>
      <c r="H111" s="2393">
        <v>9000</v>
      </c>
      <c r="I111" s="2393"/>
      <c r="J111" s="2394" t="s">
        <v>1582</v>
      </c>
      <c r="K111" s="2394" t="s">
        <v>1594</v>
      </c>
      <c r="L111" s="2394">
        <v>90</v>
      </c>
      <c r="M111" s="2395">
        <v>42914</v>
      </c>
      <c r="N111" s="2394">
        <v>7</v>
      </c>
      <c r="O111" s="2394" t="s">
        <v>1597</v>
      </c>
      <c r="P111" s="2393"/>
    </row>
    <row r="112" spans="1:16" ht="15.95" customHeight="1">
      <c r="A112" s="669"/>
      <c r="B112" s="1350" t="s">
        <v>335</v>
      </c>
      <c r="C112" s="1339" t="s">
        <v>1424</v>
      </c>
      <c r="D112" s="800"/>
      <c r="E112" s="1339">
        <v>38</v>
      </c>
      <c r="F112" s="1339">
        <v>7</v>
      </c>
      <c r="G112" s="669" t="str">
        <f t="shared" si="1"/>
        <v>SA-213M T12 38-7</v>
      </c>
      <c r="H112" s="2393">
        <v>9000</v>
      </c>
      <c r="I112" s="2393"/>
      <c r="J112" s="2394" t="s">
        <v>1582</v>
      </c>
      <c r="K112" s="2394" t="s">
        <v>1594</v>
      </c>
      <c r="L112" s="2394">
        <v>90</v>
      </c>
      <c r="M112" s="2395">
        <v>42914</v>
      </c>
      <c r="N112" s="2394">
        <v>7</v>
      </c>
      <c r="O112" s="2394" t="s">
        <v>1597</v>
      </c>
      <c r="P112" s="2393">
        <v>2000</v>
      </c>
    </row>
    <row r="113" spans="1:16" ht="15.95" customHeight="1">
      <c r="A113" s="669"/>
      <c r="B113" s="1350" t="s">
        <v>335</v>
      </c>
      <c r="C113" s="1339" t="s">
        <v>1424</v>
      </c>
      <c r="D113" s="800"/>
      <c r="E113" s="1339">
        <v>38.1</v>
      </c>
      <c r="F113" s="1339">
        <v>7.62</v>
      </c>
      <c r="G113" s="669" t="str">
        <f t="shared" si="1"/>
        <v>SA-213M T12 38.1-7.62</v>
      </c>
      <c r="H113" s="2393">
        <v>9000</v>
      </c>
      <c r="I113" s="2393"/>
      <c r="J113" s="2394" t="s">
        <v>1582</v>
      </c>
      <c r="K113" s="2394" t="s">
        <v>1594</v>
      </c>
      <c r="L113" s="2394">
        <v>90</v>
      </c>
      <c r="M113" s="2395">
        <v>42914</v>
      </c>
      <c r="N113" s="2394">
        <v>7</v>
      </c>
      <c r="O113" s="2394" t="s">
        <v>1597</v>
      </c>
      <c r="P113" s="2393"/>
    </row>
    <row r="114" spans="1:16" ht="15.95" customHeight="1">
      <c r="A114" s="669"/>
      <c r="B114" s="1350" t="s">
        <v>335</v>
      </c>
      <c r="C114" s="1339" t="s">
        <v>1424</v>
      </c>
      <c r="D114" s="800"/>
      <c r="E114" s="1339">
        <v>42.4</v>
      </c>
      <c r="F114" s="1339">
        <v>8</v>
      </c>
      <c r="G114" s="669" t="str">
        <f t="shared" si="1"/>
        <v>SA-213M T12 42.4-8</v>
      </c>
      <c r="H114" s="2393">
        <v>9000</v>
      </c>
      <c r="I114" s="2393"/>
      <c r="J114" s="2394" t="s">
        <v>1582</v>
      </c>
      <c r="K114" s="2394" t="s">
        <v>1594</v>
      </c>
      <c r="L114" s="2394">
        <v>90</v>
      </c>
      <c r="M114" s="2395">
        <v>42914</v>
      </c>
      <c r="N114" s="2394">
        <v>7</v>
      </c>
      <c r="O114" s="2394" t="s">
        <v>1597</v>
      </c>
      <c r="P114" s="2393"/>
    </row>
    <row r="115" spans="1:16" ht="15.95" customHeight="1">
      <c r="A115" s="669"/>
      <c r="B115" s="1350" t="s">
        <v>335</v>
      </c>
      <c r="C115" s="1339" t="s">
        <v>1424</v>
      </c>
      <c r="D115" s="800"/>
      <c r="E115" s="1339">
        <v>54</v>
      </c>
      <c r="F115" s="1339">
        <v>5.8</v>
      </c>
      <c r="G115" s="669" t="str">
        <f t="shared" si="1"/>
        <v>SA-213M T12 54-5.8</v>
      </c>
      <c r="H115" s="2393">
        <v>9000</v>
      </c>
      <c r="I115" s="2393"/>
      <c r="J115" s="2394" t="s">
        <v>1582</v>
      </c>
      <c r="K115" s="2394" t="s">
        <v>1594</v>
      </c>
      <c r="L115" s="2394">
        <v>90</v>
      </c>
      <c r="M115" s="2395">
        <v>42914</v>
      </c>
      <c r="N115" s="2394">
        <v>7</v>
      </c>
      <c r="O115" s="2394" t="s">
        <v>1597</v>
      </c>
      <c r="P115" s="2393">
        <v>2000</v>
      </c>
    </row>
    <row r="116" spans="1:16" ht="15.95" customHeight="1">
      <c r="A116" s="669"/>
      <c r="B116" s="1350" t="s">
        <v>335</v>
      </c>
      <c r="C116" s="1339" t="s">
        <v>1424</v>
      </c>
      <c r="D116" s="800"/>
      <c r="E116" s="1339">
        <v>57</v>
      </c>
      <c r="F116" s="1339">
        <v>10</v>
      </c>
      <c r="G116" s="669" t="str">
        <f t="shared" si="1"/>
        <v>SA-213M T12 57-10</v>
      </c>
      <c r="H116" s="2393">
        <f>9000*1.12</f>
        <v>10080.000000000002</v>
      </c>
      <c r="I116" s="2393"/>
      <c r="J116" s="2394" t="s">
        <v>1582</v>
      </c>
      <c r="K116" s="2394" t="s">
        <v>1594</v>
      </c>
      <c r="L116" s="2394">
        <v>90</v>
      </c>
      <c r="M116" s="2395">
        <v>42914</v>
      </c>
      <c r="N116" s="2394">
        <v>7</v>
      </c>
      <c r="O116" s="2394" t="s">
        <v>1597</v>
      </c>
      <c r="P116" s="2393">
        <v>2000</v>
      </c>
    </row>
    <row r="117" spans="1:16" ht="15.95" customHeight="1">
      <c r="A117" s="669"/>
      <c r="B117" s="1350" t="s">
        <v>335</v>
      </c>
      <c r="C117" s="1339" t="s">
        <v>1424</v>
      </c>
      <c r="D117" s="800"/>
      <c r="E117" s="1339">
        <v>60.3</v>
      </c>
      <c r="F117" s="1339">
        <v>12</v>
      </c>
      <c r="G117" s="669" t="str">
        <f t="shared" si="1"/>
        <v>SA-213M T12 60.3-12</v>
      </c>
      <c r="H117" s="2393">
        <f>9000*1.12</f>
        <v>10080.000000000002</v>
      </c>
      <c r="I117" s="2393"/>
      <c r="J117" s="2394" t="s">
        <v>1582</v>
      </c>
      <c r="K117" s="2394" t="s">
        <v>1594</v>
      </c>
      <c r="L117" s="2394">
        <v>90</v>
      </c>
      <c r="M117" s="2395">
        <v>42914</v>
      </c>
      <c r="N117" s="2394">
        <v>7</v>
      </c>
      <c r="O117" s="2394" t="s">
        <v>1597</v>
      </c>
      <c r="P117" s="2393"/>
    </row>
    <row r="118" spans="1:16" ht="15.95" customHeight="1">
      <c r="A118" s="669"/>
      <c r="B118" s="1350" t="s">
        <v>335</v>
      </c>
      <c r="C118" s="1339" t="s">
        <v>1424</v>
      </c>
      <c r="D118" s="800"/>
      <c r="E118" s="1339">
        <v>60.3</v>
      </c>
      <c r="F118" s="1339">
        <v>14.2</v>
      </c>
      <c r="G118" s="669" t="str">
        <f t="shared" si="1"/>
        <v>SA-213M T12 60.3-14.2</v>
      </c>
      <c r="H118" s="2393">
        <f>9000*1.12</f>
        <v>10080.000000000002</v>
      </c>
      <c r="I118" s="2393"/>
      <c r="J118" s="2394" t="s">
        <v>1582</v>
      </c>
      <c r="K118" s="2394" t="s">
        <v>1594</v>
      </c>
      <c r="L118" s="2394">
        <v>90</v>
      </c>
      <c r="M118" s="2395">
        <v>42914</v>
      </c>
      <c r="N118" s="2394">
        <v>7</v>
      </c>
      <c r="O118" s="2394" t="s">
        <v>1597</v>
      </c>
      <c r="P118" s="2393">
        <v>2000</v>
      </c>
    </row>
    <row r="119" spans="1:16" ht="15.95" customHeight="1">
      <c r="A119" s="669"/>
      <c r="B119" s="1350" t="s">
        <v>335</v>
      </c>
      <c r="C119" s="1339" t="s">
        <v>1424</v>
      </c>
      <c r="D119" s="800"/>
      <c r="E119" s="1339">
        <v>63.5</v>
      </c>
      <c r="F119" s="1339">
        <v>7.1</v>
      </c>
      <c r="G119" s="669" t="str">
        <f t="shared" si="1"/>
        <v>SA-213M T12 63.5-7.1</v>
      </c>
      <c r="H119" s="2393">
        <v>9000</v>
      </c>
      <c r="I119" s="2393"/>
      <c r="J119" s="2394" t="s">
        <v>1582</v>
      </c>
      <c r="K119" s="2394" t="s">
        <v>1594</v>
      </c>
      <c r="L119" s="2394">
        <v>90</v>
      </c>
      <c r="M119" s="2395">
        <v>42914</v>
      </c>
      <c r="N119" s="2394">
        <v>7</v>
      </c>
      <c r="O119" s="2394" t="s">
        <v>1597</v>
      </c>
      <c r="P119" s="2393"/>
    </row>
    <row r="120" spans="1:16" ht="15.95" customHeight="1">
      <c r="A120" s="669"/>
      <c r="B120" s="1350" t="s">
        <v>335</v>
      </c>
      <c r="C120" s="1339" t="s">
        <v>1424</v>
      </c>
      <c r="D120" s="800"/>
      <c r="E120" s="1339"/>
      <c r="F120" s="1339"/>
      <c r="G120" s="669" t="str">
        <f t="shared" si="1"/>
        <v>SA-213M T12 -</v>
      </c>
      <c r="H120" s="2393">
        <v>9000</v>
      </c>
      <c r="I120" s="2393"/>
      <c r="J120" s="2394" t="s">
        <v>1582</v>
      </c>
      <c r="K120" s="2394" t="s">
        <v>1594</v>
      </c>
      <c r="L120" s="2394">
        <v>90</v>
      </c>
      <c r="M120" s="2395">
        <v>42914</v>
      </c>
      <c r="N120" s="2394">
        <v>7</v>
      </c>
      <c r="O120" s="2394" t="s">
        <v>1597</v>
      </c>
      <c r="P120" s="2393">
        <v>2000</v>
      </c>
    </row>
    <row r="121" spans="1:16" ht="15.95" customHeight="1">
      <c r="A121" s="669"/>
      <c r="B121" s="1350" t="s">
        <v>335</v>
      </c>
      <c r="C121" s="1339" t="s">
        <v>1438</v>
      </c>
      <c r="D121" s="800"/>
      <c r="E121" s="1339">
        <v>42.4</v>
      </c>
      <c r="F121" s="1339">
        <v>7.6</v>
      </c>
      <c r="G121" s="669" t="str">
        <f t="shared" si="1"/>
        <v>SA-213M T22 42.4-7.6</v>
      </c>
      <c r="H121" s="2397">
        <v>11200</v>
      </c>
      <c r="I121" s="2397"/>
      <c r="J121" s="2394" t="s">
        <v>1582</v>
      </c>
      <c r="K121" s="2394" t="s">
        <v>1594</v>
      </c>
      <c r="L121" s="2394">
        <v>90</v>
      </c>
      <c r="M121" s="2395">
        <v>42914</v>
      </c>
      <c r="N121" s="2394">
        <v>7</v>
      </c>
      <c r="O121" s="2394" t="s">
        <v>1597</v>
      </c>
      <c r="P121" s="2393">
        <v>2000</v>
      </c>
    </row>
    <row r="122" spans="1:16" ht="15.95" customHeight="1">
      <c r="A122" s="669"/>
      <c r="B122" s="1350" t="s">
        <v>335</v>
      </c>
      <c r="C122" s="1339" t="s">
        <v>1438</v>
      </c>
      <c r="D122" s="800"/>
      <c r="E122" s="1339">
        <v>42.4</v>
      </c>
      <c r="F122" s="1339">
        <v>8.64</v>
      </c>
      <c r="G122" s="669" t="str">
        <f t="shared" si="1"/>
        <v>SA-213M T22 42.4-8.64</v>
      </c>
      <c r="H122" s="2397">
        <v>11200</v>
      </c>
      <c r="I122" s="2397"/>
      <c r="J122" s="2394" t="s">
        <v>1582</v>
      </c>
      <c r="K122" s="2394" t="s">
        <v>1594</v>
      </c>
      <c r="L122" s="2394">
        <v>90</v>
      </c>
      <c r="M122" s="2395">
        <v>42914</v>
      </c>
      <c r="N122" s="2394">
        <v>7</v>
      </c>
      <c r="O122" s="2394" t="s">
        <v>1597</v>
      </c>
      <c r="P122" s="2393"/>
    </row>
    <row r="123" spans="1:16" ht="15.95" customHeight="1">
      <c r="A123" s="669"/>
      <c r="B123" s="1350" t="s">
        <v>335</v>
      </c>
      <c r="C123" s="1339" t="s">
        <v>1438</v>
      </c>
      <c r="D123" s="800"/>
      <c r="E123" s="1339">
        <v>48.3</v>
      </c>
      <c r="F123" s="1339">
        <v>3.81</v>
      </c>
      <c r="G123" s="669" t="str">
        <f t="shared" si="1"/>
        <v>SA-213M T22 48.3-3.81</v>
      </c>
      <c r="H123" s="2397">
        <v>11200</v>
      </c>
      <c r="I123" s="2397"/>
      <c r="J123" s="2394" t="s">
        <v>1582</v>
      </c>
      <c r="K123" s="2394" t="s">
        <v>1594</v>
      </c>
      <c r="L123" s="2394">
        <v>90</v>
      </c>
      <c r="M123" s="2395">
        <v>42914</v>
      </c>
      <c r="N123" s="2394">
        <v>7</v>
      </c>
      <c r="O123" s="2394" t="s">
        <v>1597</v>
      </c>
      <c r="P123" s="2393"/>
    </row>
    <row r="124" spans="1:16" ht="15.95" customHeight="1">
      <c r="A124" s="669"/>
      <c r="B124" s="1350" t="s">
        <v>335</v>
      </c>
      <c r="C124" s="1339" t="s">
        <v>1438</v>
      </c>
      <c r="D124" s="800"/>
      <c r="E124" s="1339">
        <v>48.3</v>
      </c>
      <c r="F124" s="1339">
        <v>4.57</v>
      </c>
      <c r="G124" s="669" t="str">
        <f t="shared" si="1"/>
        <v>SA-213M T22 48.3-4.57</v>
      </c>
      <c r="H124" s="2397">
        <v>11200</v>
      </c>
      <c r="I124" s="2397"/>
      <c r="J124" s="2394" t="s">
        <v>1582</v>
      </c>
      <c r="K124" s="2394" t="s">
        <v>1594</v>
      </c>
      <c r="L124" s="2394">
        <v>90</v>
      </c>
      <c r="M124" s="2395">
        <v>42914</v>
      </c>
      <c r="N124" s="2394">
        <v>7</v>
      </c>
      <c r="O124" s="2394" t="s">
        <v>1597</v>
      </c>
      <c r="P124" s="2393">
        <v>2000</v>
      </c>
    </row>
    <row r="125" spans="1:16" ht="15.95" customHeight="1">
      <c r="A125" s="669"/>
      <c r="B125" s="1350" t="s">
        <v>335</v>
      </c>
      <c r="C125" s="1339" t="s">
        <v>1438</v>
      </c>
      <c r="D125" s="800"/>
      <c r="E125" s="1339">
        <v>48.3</v>
      </c>
      <c r="F125" s="1339">
        <v>9</v>
      </c>
      <c r="G125" s="669" t="str">
        <f t="shared" si="1"/>
        <v>SA-213M T22 48.3-9</v>
      </c>
      <c r="H125" s="2397">
        <v>11200</v>
      </c>
      <c r="I125" s="2397"/>
      <c r="J125" s="2394" t="s">
        <v>1582</v>
      </c>
      <c r="K125" s="2394" t="s">
        <v>1594</v>
      </c>
      <c r="L125" s="2394">
        <v>90</v>
      </c>
      <c r="M125" s="2395">
        <v>42914</v>
      </c>
      <c r="N125" s="2394">
        <v>7</v>
      </c>
      <c r="O125" s="2394" t="s">
        <v>1597</v>
      </c>
      <c r="P125" s="2393">
        <v>2000</v>
      </c>
    </row>
    <row r="126" spans="1:16" ht="15.95" customHeight="1">
      <c r="A126" s="669"/>
      <c r="B126" s="1350" t="s">
        <v>335</v>
      </c>
      <c r="C126" s="1339" t="s">
        <v>1438</v>
      </c>
      <c r="D126" s="800"/>
      <c r="E126" s="1339">
        <v>54</v>
      </c>
      <c r="F126" s="1339">
        <v>9</v>
      </c>
      <c r="G126" s="669" t="str">
        <f t="shared" si="1"/>
        <v>SA-213M T22 54-9</v>
      </c>
      <c r="H126" s="2397">
        <v>11200</v>
      </c>
      <c r="I126" s="2397"/>
      <c r="J126" s="2394" t="s">
        <v>1582</v>
      </c>
      <c r="K126" s="2394" t="s">
        <v>1594</v>
      </c>
      <c r="L126" s="2394">
        <v>90</v>
      </c>
      <c r="M126" s="2395">
        <v>42914</v>
      </c>
      <c r="N126" s="2394">
        <v>7</v>
      </c>
      <c r="O126" s="2394" t="s">
        <v>1597</v>
      </c>
      <c r="P126" s="2393">
        <v>2000</v>
      </c>
    </row>
    <row r="127" spans="1:16" ht="15.95" customHeight="1">
      <c r="A127" s="669"/>
      <c r="B127" s="1350" t="s">
        <v>335</v>
      </c>
      <c r="C127" s="1339" t="s">
        <v>1438</v>
      </c>
      <c r="D127" s="800"/>
      <c r="E127" s="1339">
        <v>57</v>
      </c>
      <c r="F127" s="1339">
        <v>5</v>
      </c>
      <c r="G127" s="669" t="str">
        <f t="shared" si="1"/>
        <v>SA-213M T22 57-5</v>
      </c>
      <c r="H127" s="2397">
        <v>11200</v>
      </c>
      <c r="I127" s="2397"/>
      <c r="J127" s="2394" t="s">
        <v>1582</v>
      </c>
      <c r="K127" s="2394" t="s">
        <v>1594</v>
      </c>
      <c r="L127" s="2394">
        <v>90</v>
      </c>
      <c r="M127" s="2395">
        <v>42914</v>
      </c>
      <c r="N127" s="2394">
        <v>7</v>
      </c>
      <c r="O127" s="2394" t="s">
        <v>1597</v>
      </c>
      <c r="P127" s="2393"/>
    </row>
    <row r="128" spans="1:16" ht="15.95" customHeight="1">
      <c r="A128" s="669"/>
      <c r="B128" s="1350" t="s">
        <v>335</v>
      </c>
      <c r="C128" s="1339" t="s">
        <v>1438</v>
      </c>
      <c r="D128" s="800"/>
      <c r="E128" s="1339">
        <v>57</v>
      </c>
      <c r="F128" s="1339">
        <v>10</v>
      </c>
      <c r="G128" s="669" t="str">
        <f t="shared" si="1"/>
        <v>SA-213M T22 57-10</v>
      </c>
      <c r="H128" s="2397">
        <f>11200*1.12</f>
        <v>12544.000000000002</v>
      </c>
      <c r="I128" s="2397"/>
      <c r="J128" s="2394" t="s">
        <v>1582</v>
      </c>
      <c r="K128" s="2394" t="s">
        <v>1594</v>
      </c>
      <c r="L128" s="2394">
        <v>90</v>
      </c>
      <c r="M128" s="2395">
        <v>42914</v>
      </c>
      <c r="N128" s="2394">
        <v>7</v>
      </c>
      <c r="O128" s="2394" t="s">
        <v>1597</v>
      </c>
      <c r="P128" s="2393">
        <v>2000</v>
      </c>
    </row>
    <row r="129" spans="1:16" ht="15.95" customHeight="1">
      <c r="A129" s="669"/>
      <c r="B129" s="1350" t="s">
        <v>335</v>
      </c>
      <c r="C129" s="1339" t="s">
        <v>1438</v>
      </c>
      <c r="D129" s="800"/>
      <c r="E129" s="1339">
        <v>60.3</v>
      </c>
      <c r="F129" s="1339">
        <v>7</v>
      </c>
      <c r="G129" s="669" t="str">
        <f t="shared" si="1"/>
        <v>SA-213M T22 60.3-7</v>
      </c>
      <c r="H129" s="2397">
        <v>11200</v>
      </c>
      <c r="I129" s="2397"/>
      <c r="J129" s="2394" t="s">
        <v>1582</v>
      </c>
      <c r="K129" s="2394" t="s">
        <v>1594</v>
      </c>
      <c r="L129" s="2394">
        <v>90</v>
      </c>
      <c r="M129" s="2395">
        <v>42914</v>
      </c>
      <c r="N129" s="2394">
        <v>7</v>
      </c>
      <c r="O129" s="2394" t="s">
        <v>1597</v>
      </c>
      <c r="P129" s="2393">
        <v>2000</v>
      </c>
    </row>
    <row r="130" spans="1:16" ht="15.95" customHeight="1">
      <c r="A130" s="669"/>
      <c r="B130" s="1350" t="s">
        <v>335</v>
      </c>
      <c r="C130" s="1339" t="s">
        <v>1438</v>
      </c>
      <c r="D130" s="800"/>
      <c r="E130" s="1339">
        <v>60.3</v>
      </c>
      <c r="F130" s="1339">
        <v>12</v>
      </c>
      <c r="G130" s="669" t="str">
        <f t="shared" si="1"/>
        <v>SA-213M T22 60.3-12</v>
      </c>
      <c r="H130" s="2397">
        <f>11200*1.12</f>
        <v>12544.000000000002</v>
      </c>
      <c r="I130" s="2397"/>
      <c r="J130" s="2394" t="s">
        <v>1582</v>
      </c>
      <c r="K130" s="2394" t="s">
        <v>1594</v>
      </c>
      <c r="L130" s="2394">
        <v>90</v>
      </c>
      <c r="M130" s="2395">
        <v>42914</v>
      </c>
      <c r="N130" s="2394">
        <v>7</v>
      </c>
      <c r="O130" s="2394" t="s">
        <v>1597</v>
      </c>
      <c r="P130" s="2393"/>
    </row>
    <row r="131" spans="1:16" ht="15.95" customHeight="1">
      <c r="A131" s="669"/>
      <c r="B131" s="1350" t="s">
        <v>335</v>
      </c>
      <c r="C131" s="1339" t="s">
        <v>1438</v>
      </c>
      <c r="D131" s="800"/>
      <c r="E131" s="1339">
        <v>65</v>
      </c>
      <c r="F131" s="1339">
        <v>4.5</v>
      </c>
      <c r="G131" s="669" t="str">
        <f t="shared" si="1"/>
        <v>SA-213M T22 65-4.5</v>
      </c>
      <c r="H131" s="2397">
        <v>11200</v>
      </c>
      <c r="I131" s="2397"/>
      <c r="J131" s="2394" t="s">
        <v>1582</v>
      </c>
      <c r="K131" s="2394" t="s">
        <v>1594</v>
      </c>
      <c r="L131" s="2394">
        <v>90</v>
      </c>
      <c r="M131" s="2395">
        <v>42914</v>
      </c>
      <c r="N131" s="2394">
        <v>7</v>
      </c>
      <c r="O131" s="2394" t="s">
        <v>1597</v>
      </c>
      <c r="P131" s="2393">
        <v>2000</v>
      </c>
    </row>
    <row r="132" spans="1:16" ht="15.95" customHeight="1">
      <c r="A132" s="669"/>
      <c r="B132" s="1350" t="s">
        <v>335</v>
      </c>
      <c r="C132" s="1339" t="s">
        <v>1438</v>
      </c>
      <c r="D132" s="800"/>
      <c r="E132" s="1339">
        <v>89</v>
      </c>
      <c r="F132" s="1339">
        <v>15</v>
      </c>
      <c r="G132" s="669" t="str">
        <f t="shared" si="1"/>
        <v>SA-213M T22 89-15</v>
      </c>
      <c r="H132" s="2397">
        <v>11200</v>
      </c>
      <c r="I132" s="2397"/>
      <c r="J132" s="2394" t="s">
        <v>1582</v>
      </c>
      <c r="K132" s="2394" t="s">
        <v>1594</v>
      </c>
      <c r="L132" s="2394">
        <v>90</v>
      </c>
      <c r="M132" s="2395">
        <v>42914</v>
      </c>
      <c r="N132" s="2394">
        <v>7</v>
      </c>
      <c r="O132" s="2394" t="s">
        <v>1597</v>
      </c>
      <c r="P132" s="2393">
        <v>2000</v>
      </c>
    </row>
    <row r="133" spans="1:16" ht="15.95" customHeight="1">
      <c r="A133" s="669"/>
      <c r="B133" s="1350" t="s">
        <v>335</v>
      </c>
      <c r="C133" s="1339" t="s">
        <v>1438</v>
      </c>
      <c r="D133" s="800"/>
      <c r="E133" s="1339"/>
      <c r="F133" s="1339"/>
      <c r="G133" s="669" t="str">
        <f t="shared" si="1"/>
        <v>SA-213M T22 -</v>
      </c>
      <c r="H133" s="2397">
        <v>11200</v>
      </c>
      <c r="I133" s="2397"/>
      <c r="J133" s="2394" t="s">
        <v>1582</v>
      </c>
      <c r="K133" s="2394" t="s">
        <v>1594</v>
      </c>
      <c r="L133" s="2394">
        <v>90</v>
      </c>
      <c r="M133" s="2395">
        <v>42914</v>
      </c>
      <c r="N133" s="2394">
        <v>7</v>
      </c>
      <c r="O133" s="2394" t="s">
        <v>1597</v>
      </c>
      <c r="P133" s="2393">
        <v>2000</v>
      </c>
    </row>
    <row r="134" spans="1:16" ht="15.95" customHeight="1">
      <c r="A134" s="669"/>
      <c r="B134" s="1350" t="s">
        <v>335</v>
      </c>
      <c r="C134" s="1339" t="s">
        <v>1425</v>
      </c>
      <c r="D134" s="800"/>
      <c r="E134" s="1339">
        <v>33.6</v>
      </c>
      <c r="F134" s="1339">
        <v>6.5</v>
      </c>
      <c r="G134" s="669" t="str">
        <f t="shared" si="1"/>
        <v>SA-213M T23 33.6-6.5</v>
      </c>
      <c r="H134" s="2398">
        <v>3450</v>
      </c>
      <c r="I134" s="2398"/>
      <c r="J134" s="2399" t="s">
        <v>1592</v>
      </c>
      <c r="K134" s="2399" t="s">
        <v>1593</v>
      </c>
      <c r="L134" s="2399">
        <v>180</v>
      </c>
      <c r="M134" s="2395">
        <v>42914</v>
      </c>
      <c r="N134" s="2394">
        <v>7</v>
      </c>
      <c r="O134" s="2394" t="s">
        <v>1597</v>
      </c>
      <c r="P134" s="2393"/>
    </row>
    <row r="135" spans="1:16" ht="15.95" customHeight="1">
      <c r="A135" s="669"/>
      <c r="B135" s="1350" t="s">
        <v>335</v>
      </c>
      <c r="C135" s="1339" t="s">
        <v>1425</v>
      </c>
      <c r="D135" s="800"/>
      <c r="E135" s="1339">
        <v>38.1</v>
      </c>
      <c r="F135" s="1339">
        <v>7.62</v>
      </c>
      <c r="G135" s="669" t="str">
        <f t="shared" si="1"/>
        <v>SA-213M T23 38.1-7.62</v>
      </c>
      <c r="H135" s="2398">
        <v>3450</v>
      </c>
      <c r="I135" s="2398"/>
      <c r="J135" s="2399" t="s">
        <v>1592</v>
      </c>
      <c r="K135" s="2399" t="s">
        <v>1593</v>
      </c>
      <c r="L135" s="2399">
        <v>180</v>
      </c>
      <c r="M135" s="2395">
        <v>42914</v>
      </c>
      <c r="N135" s="2394">
        <v>7</v>
      </c>
      <c r="O135" s="2394" t="s">
        <v>1597</v>
      </c>
      <c r="P135" s="2393"/>
    </row>
    <row r="136" spans="1:16" ht="15.95" customHeight="1">
      <c r="A136" s="669"/>
      <c r="B136" s="1350" t="s">
        <v>335</v>
      </c>
      <c r="C136" s="1339" t="s">
        <v>1425</v>
      </c>
      <c r="D136" s="800"/>
      <c r="E136" s="1339">
        <v>42.4</v>
      </c>
      <c r="F136" s="1339">
        <v>6.5</v>
      </c>
      <c r="G136" s="669" t="str">
        <f t="shared" si="1"/>
        <v>SA-213M T23 42.4-6.5</v>
      </c>
      <c r="H136" s="2398">
        <v>3450</v>
      </c>
      <c r="I136" s="2398"/>
      <c r="J136" s="2399" t="s">
        <v>1592</v>
      </c>
      <c r="K136" s="2399" t="s">
        <v>1593</v>
      </c>
      <c r="L136" s="2399">
        <v>180</v>
      </c>
      <c r="M136" s="2395">
        <v>42914</v>
      </c>
      <c r="N136" s="2394">
        <v>7</v>
      </c>
      <c r="O136" s="2394" t="s">
        <v>1597</v>
      </c>
      <c r="P136" s="2393"/>
    </row>
    <row r="137" spans="1:16" ht="15.95" customHeight="1">
      <c r="A137" s="669"/>
      <c r="B137" s="1350" t="s">
        <v>335</v>
      </c>
      <c r="C137" s="1339" t="s">
        <v>1450</v>
      </c>
      <c r="D137" s="800"/>
      <c r="E137" s="1339">
        <v>33.4</v>
      </c>
      <c r="F137" s="1339">
        <v>4.5999999999999996</v>
      </c>
      <c r="G137" s="669" t="str">
        <f t="shared" si="1"/>
        <v>SA-213M T91 33.4-4.6</v>
      </c>
      <c r="H137" s="2393">
        <v>17500</v>
      </c>
      <c r="I137" s="2393"/>
      <c r="J137" s="2394" t="s">
        <v>1582</v>
      </c>
      <c r="K137" s="2394" t="s">
        <v>1594</v>
      </c>
      <c r="L137" s="2394">
        <v>90</v>
      </c>
      <c r="M137" s="2395">
        <v>42914</v>
      </c>
      <c r="N137" s="2394">
        <v>7</v>
      </c>
      <c r="O137" s="2394" t="s">
        <v>1597</v>
      </c>
      <c r="P137" s="2393">
        <v>2000</v>
      </c>
    </row>
    <row r="138" spans="1:16" ht="15.95" customHeight="1">
      <c r="A138" s="669"/>
      <c r="B138" s="1350" t="s">
        <v>335</v>
      </c>
      <c r="C138" s="1339" t="s">
        <v>1450</v>
      </c>
      <c r="D138" s="800"/>
      <c r="E138" s="1339">
        <v>33.4</v>
      </c>
      <c r="F138" s="1339">
        <v>6.3</v>
      </c>
      <c r="G138" s="669" t="str">
        <f t="shared" si="1"/>
        <v>SA-213M T91 33.4-6.3</v>
      </c>
      <c r="H138" s="2393">
        <v>17500</v>
      </c>
      <c r="I138" s="2393"/>
      <c r="J138" s="2394" t="s">
        <v>1582</v>
      </c>
      <c r="K138" s="2394" t="s">
        <v>1594</v>
      </c>
      <c r="L138" s="2394">
        <v>90</v>
      </c>
      <c r="M138" s="2395">
        <v>42914</v>
      </c>
      <c r="N138" s="2394">
        <v>7</v>
      </c>
      <c r="O138" s="2394" t="s">
        <v>1597</v>
      </c>
      <c r="P138" s="2393">
        <v>2000</v>
      </c>
    </row>
    <row r="139" spans="1:16" ht="15.95" customHeight="1">
      <c r="A139" s="669"/>
      <c r="B139" s="1350" t="s">
        <v>335</v>
      </c>
      <c r="C139" s="1339" t="s">
        <v>1450</v>
      </c>
      <c r="D139" s="800"/>
      <c r="E139" s="1339">
        <v>38.1</v>
      </c>
      <c r="F139" s="1339">
        <v>6.1</v>
      </c>
      <c r="G139" s="669" t="str">
        <f t="shared" ref="G139:G202" si="2">C139&amp;" "&amp;E139&amp;"-"&amp;F139</f>
        <v>SA-213M T91 38.1-6.1</v>
      </c>
      <c r="H139" s="2393">
        <v>17500</v>
      </c>
      <c r="I139" s="2393"/>
      <c r="J139" s="2394" t="s">
        <v>1582</v>
      </c>
      <c r="K139" s="2394" t="s">
        <v>1594</v>
      </c>
      <c r="L139" s="2394">
        <v>90</v>
      </c>
      <c r="M139" s="2395">
        <v>42914</v>
      </c>
      <c r="N139" s="2394">
        <v>7</v>
      </c>
      <c r="O139" s="2394" t="s">
        <v>1597</v>
      </c>
      <c r="P139" s="2393"/>
    </row>
    <row r="140" spans="1:16" ht="15.95" customHeight="1">
      <c r="A140" s="669"/>
      <c r="B140" s="1350" t="s">
        <v>335</v>
      </c>
      <c r="C140" s="1339" t="s">
        <v>1450</v>
      </c>
      <c r="D140" s="800"/>
      <c r="E140" s="1339">
        <v>38.1</v>
      </c>
      <c r="F140" s="1339">
        <v>6.35</v>
      </c>
      <c r="G140" s="669" t="str">
        <f t="shared" si="2"/>
        <v>SA-213M T91 38.1-6.35</v>
      </c>
      <c r="H140" s="2393">
        <v>17500</v>
      </c>
      <c r="I140" s="2393"/>
      <c r="J140" s="2394" t="s">
        <v>1582</v>
      </c>
      <c r="K140" s="2394" t="s">
        <v>1594</v>
      </c>
      <c r="L140" s="2394">
        <v>90</v>
      </c>
      <c r="M140" s="2395">
        <v>42914</v>
      </c>
      <c r="N140" s="2394">
        <v>7</v>
      </c>
      <c r="O140" s="2394" t="s">
        <v>1597</v>
      </c>
      <c r="P140" s="2393">
        <v>2000</v>
      </c>
    </row>
    <row r="141" spans="1:16" ht="15.95" customHeight="1">
      <c r="A141" s="669"/>
      <c r="B141" s="1350" t="s">
        <v>335</v>
      </c>
      <c r="C141" s="1339" t="s">
        <v>1450</v>
      </c>
      <c r="D141" s="800"/>
      <c r="E141" s="1339">
        <v>38.1</v>
      </c>
      <c r="F141" s="1339">
        <v>7.11</v>
      </c>
      <c r="G141" s="669" t="str">
        <f t="shared" si="2"/>
        <v>SA-213M T91 38.1-7.11</v>
      </c>
      <c r="H141" s="2393">
        <v>17500</v>
      </c>
      <c r="I141" s="2393"/>
      <c r="J141" s="2394" t="s">
        <v>1582</v>
      </c>
      <c r="K141" s="2394" t="s">
        <v>1594</v>
      </c>
      <c r="L141" s="2394">
        <v>90</v>
      </c>
      <c r="M141" s="2395">
        <v>42914</v>
      </c>
      <c r="N141" s="2394">
        <v>7</v>
      </c>
      <c r="O141" s="2394" t="s">
        <v>1597</v>
      </c>
      <c r="P141" s="2393"/>
    </row>
    <row r="142" spans="1:16" ht="15.95" customHeight="1">
      <c r="A142" s="669"/>
      <c r="B142" s="1350" t="s">
        <v>335</v>
      </c>
      <c r="C142" s="1339" t="s">
        <v>1450</v>
      </c>
      <c r="D142" s="800"/>
      <c r="E142" s="1339">
        <v>38.1</v>
      </c>
      <c r="F142" s="1339">
        <v>7.62</v>
      </c>
      <c r="G142" s="669" t="str">
        <f t="shared" si="2"/>
        <v>SA-213M T91 38.1-7.62</v>
      </c>
      <c r="H142" s="2393">
        <v>17500</v>
      </c>
      <c r="I142" s="2393"/>
      <c r="J142" s="2394" t="s">
        <v>1582</v>
      </c>
      <c r="K142" s="2394" t="s">
        <v>1594</v>
      </c>
      <c r="L142" s="2394">
        <v>90</v>
      </c>
      <c r="M142" s="2395">
        <v>42914</v>
      </c>
      <c r="N142" s="2394">
        <v>7</v>
      </c>
      <c r="O142" s="2394" t="s">
        <v>1597</v>
      </c>
      <c r="P142" s="2393">
        <v>2000</v>
      </c>
    </row>
    <row r="143" spans="1:16" ht="15.95" customHeight="1">
      <c r="A143" s="669"/>
      <c r="B143" s="1350" t="s">
        <v>335</v>
      </c>
      <c r="C143" s="1339" t="s">
        <v>1450</v>
      </c>
      <c r="D143" s="800"/>
      <c r="E143" s="1339">
        <v>44.45</v>
      </c>
      <c r="F143" s="1339">
        <v>6.5</v>
      </c>
      <c r="G143" s="669" t="str">
        <f t="shared" si="2"/>
        <v>SA-213M T91 44.45-6.5</v>
      </c>
      <c r="H143" s="2393">
        <v>17500</v>
      </c>
      <c r="I143" s="2393"/>
      <c r="J143" s="2394" t="s">
        <v>1582</v>
      </c>
      <c r="K143" s="2394" t="s">
        <v>1594</v>
      </c>
      <c r="L143" s="2394">
        <v>90</v>
      </c>
      <c r="M143" s="2395">
        <v>42914</v>
      </c>
      <c r="N143" s="2394">
        <v>7</v>
      </c>
      <c r="O143" s="2394" t="s">
        <v>1597</v>
      </c>
      <c r="P143" s="2393"/>
    </row>
    <row r="144" spans="1:16" ht="15.95" customHeight="1">
      <c r="A144" s="669"/>
      <c r="B144" s="1350" t="s">
        <v>335</v>
      </c>
      <c r="C144" s="1339" t="s">
        <v>1450</v>
      </c>
      <c r="D144" s="800"/>
      <c r="E144" s="1339">
        <v>44.45</v>
      </c>
      <c r="F144" s="1339">
        <v>7.11</v>
      </c>
      <c r="G144" s="669" t="str">
        <f t="shared" si="2"/>
        <v>SA-213M T91 44.45-7.11</v>
      </c>
      <c r="H144" s="2393">
        <v>17500</v>
      </c>
      <c r="I144" s="2393"/>
      <c r="J144" s="2394" t="s">
        <v>1582</v>
      </c>
      <c r="K144" s="2394" t="s">
        <v>1594</v>
      </c>
      <c r="L144" s="2394">
        <v>90</v>
      </c>
      <c r="M144" s="2395">
        <v>42914</v>
      </c>
      <c r="N144" s="2394">
        <v>7</v>
      </c>
      <c r="O144" s="2394" t="s">
        <v>1597</v>
      </c>
      <c r="P144" s="2393"/>
    </row>
    <row r="145" spans="1:16" ht="15.95" customHeight="1">
      <c r="A145" s="669"/>
      <c r="B145" s="1350" t="s">
        <v>335</v>
      </c>
      <c r="C145" s="1339" t="s">
        <v>1450</v>
      </c>
      <c r="D145" s="800"/>
      <c r="E145" s="1339">
        <v>44.45</v>
      </c>
      <c r="F145" s="1339">
        <v>7.62</v>
      </c>
      <c r="G145" s="669" t="str">
        <f t="shared" si="2"/>
        <v>SA-213M T91 44.45-7.62</v>
      </c>
      <c r="H145" s="2393">
        <v>17500</v>
      </c>
      <c r="I145" s="2393"/>
      <c r="J145" s="2394" t="s">
        <v>1582</v>
      </c>
      <c r="K145" s="2394" t="s">
        <v>1594</v>
      </c>
      <c r="L145" s="2394">
        <v>90</v>
      </c>
      <c r="M145" s="2395">
        <v>42914</v>
      </c>
      <c r="N145" s="2394">
        <v>7</v>
      </c>
      <c r="O145" s="2394" t="s">
        <v>1597</v>
      </c>
      <c r="P145" s="2393"/>
    </row>
    <row r="146" spans="1:16" ht="15.95" customHeight="1">
      <c r="A146" s="669"/>
      <c r="B146" s="1350" t="s">
        <v>335</v>
      </c>
      <c r="C146" s="1339" t="s">
        <v>1450</v>
      </c>
      <c r="D146" s="800"/>
      <c r="E146" s="1339">
        <v>44.5</v>
      </c>
      <c r="F146" s="1339">
        <v>7</v>
      </c>
      <c r="G146" s="669" t="str">
        <f t="shared" si="2"/>
        <v>SA-213M T91 44.5-7</v>
      </c>
      <c r="H146" s="2393">
        <v>17500</v>
      </c>
      <c r="I146" s="2393"/>
      <c r="J146" s="2394" t="s">
        <v>1582</v>
      </c>
      <c r="K146" s="2394" t="s">
        <v>1594</v>
      </c>
      <c r="L146" s="2394">
        <v>90</v>
      </c>
      <c r="M146" s="2395">
        <v>42914</v>
      </c>
      <c r="N146" s="2394">
        <v>7</v>
      </c>
      <c r="O146" s="2394" t="s">
        <v>1597</v>
      </c>
      <c r="P146" s="2393">
        <v>2000</v>
      </c>
    </row>
    <row r="147" spans="1:16" ht="15.95" customHeight="1">
      <c r="A147" s="669"/>
      <c r="B147" s="1350" t="s">
        <v>335</v>
      </c>
      <c r="C147" s="1339" t="s">
        <v>1450</v>
      </c>
      <c r="D147" s="800"/>
      <c r="E147" s="1339">
        <v>48.3</v>
      </c>
      <c r="F147" s="1339">
        <v>3.81</v>
      </c>
      <c r="G147" s="669" t="str">
        <f t="shared" si="2"/>
        <v>SA-213M T91 48.3-3.81</v>
      </c>
      <c r="H147" s="2393">
        <v>17500</v>
      </c>
      <c r="I147" s="2393"/>
      <c r="J147" s="2394" t="s">
        <v>1582</v>
      </c>
      <c r="K147" s="2394" t="s">
        <v>1594</v>
      </c>
      <c r="L147" s="2394">
        <v>90</v>
      </c>
      <c r="M147" s="2395">
        <v>42914</v>
      </c>
      <c r="N147" s="2394">
        <v>7</v>
      </c>
      <c r="O147" s="2394" t="s">
        <v>1597</v>
      </c>
      <c r="P147" s="2393"/>
    </row>
    <row r="148" spans="1:16" ht="15.95" customHeight="1">
      <c r="A148" s="669"/>
      <c r="B148" s="1350" t="s">
        <v>335</v>
      </c>
      <c r="C148" s="1339" t="s">
        <v>1450</v>
      </c>
      <c r="D148" s="800"/>
      <c r="E148" s="1339">
        <v>48.3</v>
      </c>
      <c r="F148" s="1339">
        <v>8</v>
      </c>
      <c r="G148" s="669" t="str">
        <f t="shared" si="2"/>
        <v>SA-213M T91 48.3-8</v>
      </c>
      <c r="H148" s="2393">
        <v>17500</v>
      </c>
      <c r="I148" s="2393"/>
      <c r="J148" s="2394" t="s">
        <v>1582</v>
      </c>
      <c r="K148" s="2394" t="s">
        <v>1594</v>
      </c>
      <c r="L148" s="2394">
        <v>90</v>
      </c>
      <c r="M148" s="2395">
        <v>42914</v>
      </c>
      <c r="N148" s="2394">
        <v>7</v>
      </c>
      <c r="O148" s="2394" t="s">
        <v>1597</v>
      </c>
      <c r="P148" s="2393">
        <v>2000</v>
      </c>
    </row>
    <row r="149" spans="1:16" ht="15.95" customHeight="1">
      <c r="A149" s="669"/>
      <c r="B149" s="1350" t="s">
        <v>335</v>
      </c>
      <c r="C149" s="1339" t="s">
        <v>1450</v>
      </c>
      <c r="D149" s="800"/>
      <c r="E149" s="1339">
        <v>48.3</v>
      </c>
      <c r="F149" s="1339">
        <v>9.14</v>
      </c>
      <c r="G149" s="669" t="str">
        <f t="shared" si="2"/>
        <v>SA-213M T91 48.3-9.14</v>
      </c>
      <c r="H149" s="2393">
        <f>17500*1.12</f>
        <v>19600.000000000004</v>
      </c>
      <c r="I149" s="2393"/>
      <c r="J149" s="2394" t="s">
        <v>1582</v>
      </c>
      <c r="K149" s="2394" t="s">
        <v>1594</v>
      </c>
      <c r="L149" s="2394">
        <v>90</v>
      </c>
      <c r="M149" s="2395">
        <v>42914</v>
      </c>
      <c r="N149" s="2394">
        <v>7</v>
      </c>
      <c r="O149" s="2394" t="s">
        <v>1597</v>
      </c>
      <c r="P149" s="2393"/>
    </row>
    <row r="150" spans="1:16" ht="15.95" customHeight="1">
      <c r="A150" s="669"/>
      <c r="B150" s="1350" t="s">
        <v>335</v>
      </c>
      <c r="C150" s="1339" t="s">
        <v>1450</v>
      </c>
      <c r="D150" s="800"/>
      <c r="E150" s="1339">
        <v>54</v>
      </c>
      <c r="F150" s="1339">
        <v>6</v>
      </c>
      <c r="G150" s="669" t="str">
        <f t="shared" si="2"/>
        <v>SA-213M T91 54-6</v>
      </c>
      <c r="H150" s="2393">
        <v>17500</v>
      </c>
      <c r="I150" s="2393"/>
      <c r="J150" s="2394" t="s">
        <v>1582</v>
      </c>
      <c r="K150" s="2394" t="s">
        <v>1594</v>
      </c>
      <c r="L150" s="2394">
        <v>90</v>
      </c>
      <c r="M150" s="2395">
        <v>42914</v>
      </c>
      <c r="N150" s="2394">
        <v>7</v>
      </c>
      <c r="O150" s="2394" t="s">
        <v>1597</v>
      </c>
      <c r="P150" s="2393">
        <v>2000</v>
      </c>
    </row>
    <row r="151" spans="1:16" ht="15.95" customHeight="1">
      <c r="A151" s="669"/>
      <c r="B151" s="1350" t="s">
        <v>335</v>
      </c>
      <c r="C151" s="1339" t="s">
        <v>1450</v>
      </c>
      <c r="D151" s="800"/>
      <c r="E151" s="1339">
        <v>57</v>
      </c>
      <c r="F151" s="1339">
        <v>11</v>
      </c>
      <c r="G151" s="669" t="str">
        <f t="shared" si="2"/>
        <v>SA-213M T91 57-11</v>
      </c>
      <c r="H151" s="2393">
        <f>17500*1.12</f>
        <v>19600.000000000004</v>
      </c>
      <c r="I151" s="2393"/>
      <c r="J151" s="2394" t="s">
        <v>1582</v>
      </c>
      <c r="K151" s="2394" t="s">
        <v>1594</v>
      </c>
      <c r="L151" s="2394">
        <v>90</v>
      </c>
      <c r="M151" s="2395">
        <v>42914</v>
      </c>
      <c r="N151" s="2394">
        <v>7</v>
      </c>
      <c r="O151" s="2394" t="s">
        <v>1597</v>
      </c>
      <c r="P151" s="2393">
        <v>2000</v>
      </c>
    </row>
    <row r="152" spans="1:16" ht="15.95" customHeight="1">
      <c r="A152" s="669"/>
      <c r="B152" s="1350" t="s">
        <v>335</v>
      </c>
      <c r="C152" s="1339" t="s">
        <v>1450</v>
      </c>
      <c r="D152" s="800"/>
      <c r="E152" s="1339">
        <v>57.2</v>
      </c>
      <c r="F152" s="1339">
        <v>9</v>
      </c>
      <c r="G152" s="669" t="str">
        <f t="shared" si="2"/>
        <v>SA-213M T91 57.2-9</v>
      </c>
      <c r="H152" s="2393">
        <v>17500</v>
      </c>
      <c r="I152" s="2393"/>
      <c r="J152" s="2394" t="s">
        <v>1582</v>
      </c>
      <c r="K152" s="2394" t="s">
        <v>1594</v>
      </c>
      <c r="L152" s="2394">
        <v>90</v>
      </c>
      <c r="M152" s="2395">
        <v>42914</v>
      </c>
      <c r="N152" s="2394">
        <v>7</v>
      </c>
      <c r="O152" s="2394" t="s">
        <v>1597</v>
      </c>
      <c r="P152" s="2393">
        <v>2000</v>
      </c>
    </row>
    <row r="153" spans="1:16" ht="15.95" customHeight="1">
      <c r="A153" s="669"/>
      <c r="B153" s="1350" t="s">
        <v>335</v>
      </c>
      <c r="C153" s="1339" t="s">
        <v>1450</v>
      </c>
      <c r="D153" s="800"/>
      <c r="E153" s="1339">
        <v>60.3</v>
      </c>
      <c r="F153" s="1339">
        <v>5</v>
      </c>
      <c r="G153" s="669" t="str">
        <f t="shared" si="2"/>
        <v>SA-213M T91 60.3-5</v>
      </c>
      <c r="H153" s="2393">
        <v>17500</v>
      </c>
      <c r="I153" s="2393"/>
      <c r="J153" s="2394" t="s">
        <v>1582</v>
      </c>
      <c r="K153" s="2394" t="s">
        <v>1594</v>
      </c>
      <c r="L153" s="2394">
        <v>90</v>
      </c>
      <c r="M153" s="2395">
        <v>42914</v>
      </c>
      <c r="N153" s="2394">
        <v>7</v>
      </c>
      <c r="O153" s="2394" t="s">
        <v>1597</v>
      </c>
      <c r="P153" s="2393">
        <v>2000</v>
      </c>
    </row>
    <row r="154" spans="1:16" ht="15.95" customHeight="1">
      <c r="A154" s="669"/>
      <c r="B154" s="1350" t="s">
        <v>335</v>
      </c>
      <c r="C154" s="1339" t="s">
        <v>1450</v>
      </c>
      <c r="D154" s="800"/>
      <c r="E154" s="1339">
        <v>60.3</v>
      </c>
      <c r="F154" s="1339">
        <v>7</v>
      </c>
      <c r="G154" s="669" t="str">
        <f t="shared" si="2"/>
        <v>SA-213M T91 60.3-7</v>
      </c>
      <c r="H154" s="2393">
        <v>17500</v>
      </c>
      <c r="I154" s="2393"/>
      <c r="J154" s="2394" t="s">
        <v>1582</v>
      </c>
      <c r="K154" s="2394" t="s">
        <v>1594</v>
      </c>
      <c r="L154" s="2394">
        <v>90</v>
      </c>
      <c r="M154" s="2395">
        <v>42914</v>
      </c>
      <c r="N154" s="2394">
        <v>7</v>
      </c>
      <c r="O154" s="2394" t="s">
        <v>1597</v>
      </c>
      <c r="P154" s="2393">
        <v>2000</v>
      </c>
    </row>
    <row r="155" spans="1:16" ht="15.95" customHeight="1">
      <c r="A155" s="669"/>
      <c r="B155" s="1350" t="s">
        <v>335</v>
      </c>
      <c r="C155" s="1339" t="s">
        <v>1450</v>
      </c>
      <c r="D155" s="800"/>
      <c r="E155" s="1339">
        <v>65</v>
      </c>
      <c r="F155" s="1339">
        <v>4.5</v>
      </c>
      <c r="G155" s="669" t="str">
        <f t="shared" si="2"/>
        <v>SA-213M T91 65-4.5</v>
      </c>
      <c r="H155" s="2393">
        <v>17500</v>
      </c>
      <c r="I155" s="2393"/>
      <c r="J155" s="2394" t="s">
        <v>1582</v>
      </c>
      <c r="K155" s="2394" t="s">
        <v>1594</v>
      </c>
      <c r="L155" s="2394">
        <v>90</v>
      </c>
      <c r="M155" s="2395">
        <v>42914</v>
      </c>
      <c r="N155" s="2394">
        <v>7</v>
      </c>
      <c r="O155" s="2394" t="s">
        <v>1597</v>
      </c>
      <c r="P155" s="2393">
        <v>2000</v>
      </c>
    </row>
    <row r="156" spans="1:16" ht="15.95" customHeight="1">
      <c r="A156" s="669"/>
      <c r="B156" s="1350" t="s">
        <v>335</v>
      </c>
      <c r="C156" s="1339" t="s">
        <v>1450</v>
      </c>
      <c r="D156" s="800"/>
      <c r="E156" s="1339">
        <v>73</v>
      </c>
      <c r="F156" s="1339">
        <v>14</v>
      </c>
      <c r="G156" s="669" t="str">
        <f t="shared" si="2"/>
        <v>SA-213M T91 73-14</v>
      </c>
      <c r="H156" s="2393">
        <v>17500</v>
      </c>
      <c r="I156" s="2393"/>
      <c r="J156" s="2394" t="s">
        <v>1582</v>
      </c>
      <c r="K156" s="2394" t="s">
        <v>1594</v>
      </c>
      <c r="L156" s="2394">
        <v>90</v>
      </c>
      <c r="M156" s="2395">
        <v>42914</v>
      </c>
      <c r="N156" s="2394">
        <v>7</v>
      </c>
      <c r="O156" s="2394" t="s">
        <v>1597</v>
      </c>
      <c r="P156" s="2393">
        <v>2000</v>
      </c>
    </row>
    <row r="157" spans="1:16" ht="15.95" customHeight="1">
      <c r="A157" s="669"/>
      <c r="B157" s="1350" t="s">
        <v>335</v>
      </c>
      <c r="C157" s="1339" t="s">
        <v>1451</v>
      </c>
      <c r="D157" s="800"/>
      <c r="E157" s="1339">
        <v>33.4</v>
      </c>
      <c r="F157" s="1339">
        <v>6.3</v>
      </c>
      <c r="G157" s="669" t="str">
        <f t="shared" si="2"/>
        <v>SA-213M T92 33.4-6.3</v>
      </c>
      <c r="H157" s="2396">
        <v>4500</v>
      </c>
      <c r="I157" s="2396"/>
      <c r="J157" s="2394" t="s">
        <v>1592</v>
      </c>
      <c r="K157" s="2394" t="s">
        <v>1593</v>
      </c>
      <c r="L157" s="2394">
        <v>180</v>
      </c>
      <c r="M157" s="2395">
        <v>42914</v>
      </c>
      <c r="N157" s="2394">
        <v>7</v>
      </c>
      <c r="O157" s="2394" t="s">
        <v>1597</v>
      </c>
      <c r="P157" s="2393">
        <v>3000</v>
      </c>
    </row>
    <row r="158" spans="1:16" ht="15.95" customHeight="1">
      <c r="A158" s="669"/>
      <c r="B158" s="1350" t="s">
        <v>335</v>
      </c>
      <c r="C158" s="1339" t="s">
        <v>1451</v>
      </c>
      <c r="D158" s="800"/>
      <c r="E158" s="1339">
        <v>38.1</v>
      </c>
      <c r="F158" s="1339">
        <v>7.11</v>
      </c>
      <c r="G158" s="669" t="str">
        <f t="shared" si="2"/>
        <v>SA-213M T92 38.1-7.11</v>
      </c>
      <c r="H158" s="2396">
        <v>4500</v>
      </c>
      <c r="I158" s="2396"/>
      <c r="J158" s="2394" t="s">
        <v>1592</v>
      </c>
      <c r="K158" s="2394" t="s">
        <v>1593</v>
      </c>
      <c r="L158" s="2394">
        <v>180</v>
      </c>
      <c r="M158" s="2395">
        <v>42914</v>
      </c>
      <c r="N158" s="2394">
        <v>7</v>
      </c>
      <c r="O158" s="2394" t="s">
        <v>1597</v>
      </c>
      <c r="P158" s="2393"/>
    </row>
    <row r="159" spans="1:16" ht="15.95" customHeight="1">
      <c r="A159" s="669"/>
      <c r="B159" s="1350" t="s">
        <v>335</v>
      </c>
      <c r="C159" s="1339" t="s">
        <v>1451</v>
      </c>
      <c r="D159" s="800"/>
      <c r="E159" s="1339">
        <v>38.1</v>
      </c>
      <c r="F159" s="1339">
        <v>7.62</v>
      </c>
      <c r="G159" s="669" t="str">
        <f t="shared" si="2"/>
        <v>SA-213M T92 38.1-7.62</v>
      </c>
      <c r="H159" s="2396">
        <v>4500</v>
      </c>
      <c r="I159" s="2396"/>
      <c r="J159" s="2394" t="s">
        <v>1592</v>
      </c>
      <c r="K159" s="2394" t="s">
        <v>1593</v>
      </c>
      <c r="L159" s="2394">
        <v>180</v>
      </c>
      <c r="M159" s="2395">
        <v>42914</v>
      </c>
      <c r="N159" s="2394">
        <v>7</v>
      </c>
      <c r="O159" s="2394" t="s">
        <v>1597</v>
      </c>
      <c r="P159" s="2393"/>
    </row>
    <row r="160" spans="1:16" ht="15.95" customHeight="1">
      <c r="A160" s="669"/>
      <c r="B160" s="1350" t="s">
        <v>335</v>
      </c>
      <c r="C160" s="1339" t="s">
        <v>1451</v>
      </c>
      <c r="D160" s="800"/>
      <c r="E160" s="1339">
        <v>44.45</v>
      </c>
      <c r="F160" s="1339">
        <v>7.62</v>
      </c>
      <c r="G160" s="669" t="str">
        <f t="shared" si="2"/>
        <v>SA-213M T92 44.45-7.62</v>
      </c>
      <c r="H160" s="2396">
        <v>4500</v>
      </c>
      <c r="I160" s="2396"/>
      <c r="J160" s="2394" t="s">
        <v>1592</v>
      </c>
      <c r="K160" s="2394" t="s">
        <v>1593</v>
      </c>
      <c r="L160" s="2394">
        <v>180</v>
      </c>
      <c r="M160" s="2395">
        <v>42914</v>
      </c>
      <c r="N160" s="2394">
        <v>7</v>
      </c>
      <c r="O160" s="2394" t="s">
        <v>1597</v>
      </c>
      <c r="P160" s="2393"/>
    </row>
    <row r="161" spans="1:17" ht="15.95" customHeight="1">
      <c r="A161" s="669"/>
      <c r="B161" s="1350" t="s">
        <v>335</v>
      </c>
      <c r="C161" s="1339" t="s">
        <v>1451</v>
      </c>
      <c r="D161" s="800"/>
      <c r="E161" s="1339">
        <v>44.45</v>
      </c>
      <c r="F161" s="1339">
        <v>9</v>
      </c>
      <c r="G161" s="669" t="str">
        <f t="shared" si="2"/>
        <v>SA-213M T92 44.45-9</v>
      </c>
      <c r="H161" s="2396">
        <v>4500</v>
      </c>
      <c r="I161" s="2396"/>
      <c r="J161" s="2394" t="s">
        <v>1592</v>
      </c>
      <c r="K161" s="2394" t="s">
        <v>1593</v>
      </c>
      <c r="L161" s="2394">
        <v>180</v>
      </c>
      <c r="M161" s="2395">
        <v>42914</v>
      </c>
      <c r="N161" s="2394">
        <v>7</v>
      </c>
      <c r="O161" s="2394" t="s">
        <v>1597</v>
      </c>
      <c r="P161" s="2393">
        <v>3000</v>
      </c>
    </row>
    <row r="162" spans="1:17" ht="15.95" customHeight="1">
      <c r="A162" s="669"/>
      <c r="B162" s="1350" t="s">
        <v>335</v>
      </c>
      <c r="C162" s="1339" t="s">
        <v>1451</v>
      </c>
      <c r="D162" s="800"/>
      <c r="E162" s="1339">
        <v>45</v>
      </c>
      <c r="F162" s="1339">
        <v>15</v>
      </c>
      <c r="G162" s="669" t="str">
        <f t="shared" si="2"/>
        <v>SA-213M T92 45-15</v>
      </c>
      <c r="H162" s="2396">
        <v>4500</v>
      </c>
      <c r="I162" s="2396"/>
      <c r="J162" s="2394" t="s">
        <v>1592</v>
      </c>
      <c r="K162" s="2394" t="s">
        <v>1593</v>
      </c>
      <c r="L162" s="2394">
        <v>180</v>
      </c>
      <c r="M162" s="2395">
        <v>42914</v>
      </c>
      <c r="N162" s="2394">
        <v>7</v>
      </c>
      <c r="O162" s="2394" t="s">
        <v>1597</v>
      </c>
      <c r="P162" s="2393">
        <v>3000</v>
      </c>
    </row>
    <row r="163" spans="1:17" ht="15.95" customHeight="1">
      <c r="A163" s="669"/>
      <c r="B163" s="1350" t="s">
        <v>335</v>
      </c>
      <c r="C163" s="1339" t="s">
        <v>1451</v>
      </c>
      <c r="D163" s="800"/>
      <c r="E163" s="1339">
        <v>48.3</v>
      </c>
      <c r="F163" s="1339">
        <v>3.81</v>
      </c>
      <c r="G163" s="669" t="str">
        <f t="shared" si="2"/>
        <v>SA-213M T92 48.3-3.81</v>
      </c>
      <c r="H163" s="2396">
        <v>4500</v>
      </c>
      <c r="I163" s="2396"/>
      <c r="J163" s="2394" t="s">
        <v>1592</v>
      </c>
      <c r="K163" s="2394" t="s">
        <v>1593</v>
      </c>
      <c r="L163" s="2394">
        <v>180</v>
      </c>
      <c r="M163" s="2395">
        <v>42914</v>
      </c>
      <c r="N163" s="2394">
        <v>7</v>
      </c>
      <c r="O163" s="2394" t="s">
        <v>1597</v>
      </c>
      <c r="P163" s="2393"/>
    </row>
    <row r="164" spans="1:17" ht="15.95" customHeight="1">
      <c r="A164" s="669"/>
      <c r="B164" s="1350" t="s">
        <v>335</v>
      </c>
      <c r="C164" s="1339" t="s">
        <v>1451</v>
      </c>
      <c r="D164" s="800"/>
      <c r="E164" s="1339">
        <v>48.3</v>
      </c>
      <c r="F164" s="1339">
        <v>5.59</v>
      </c>
      <c r="G164" s="669" t="str">
        <f t="shared" si="2"/>
        <v>SA-213M T92 48.3-5.59</v>
      </c>
      <c r="H164" s="2396">
        <v>4500</v>
      </c>
      <c r="I164" s="2396"/>
      <c r="J164" s="2394" t="s">
        <v>1592</v>
      </c>
      <c r="K164" s="2394" t="s">
        <v>1593</v>
      </c>
      <c r="L164" s="2394">
        <v>180</v>
      </c>
      <c r="M164" s="2395">
        <v>42914</v>
      </c>
      <c r="N164" s="2394">
        <v>7</v>
      </c>
      <c r="O164" s="2394" t="s">
        <v>1597</v>
      </c>
      <c r="P164" s="2393">
        <v>3000</v>
      </c>
    </row>
    <row r="165" spans="1:17" ht="15.95" customHeight="1">
      <c r="A165" s="669"/>
      <c r="B165" s="1350" t="s">
        <v>335</v>
      </c>
      <c r="C165" s="1339" t="s">
        <v>1451</v>
      </c>
      <c r="D165" s="800"/>
      <c r="E165" s="1339">
        <v>48.3</v>
      </c>
      <c r="F165" s="1339">
        <v>6</v>
      </c>
      <c r="G165" s="669" t="str">
        <f t="shared" si="2"/>
        <v>SA-213M T92 48.3-6</v>
      </c>
      <c r="H165" s="2396">
        <v>4500</v>
      </c>
      <c r="I165" s="2396"/>
      <c r="J165" s="2394" t="s">
        <v>1592</v>
      </c>
      <c r="K165" s="2394" t="s">
        <v>1593</v>
      </c>
      <c r="L165" s="2394">
        <v>180</v>
      </c>
      <c r="M165" s="2395">
        <v>42914</v>
      </c>
      <c r="N165" s="2394">
        <v>7</v>
      </c>
      <c r="O165" s="2394" t="s">
        <v>1597</v>
      </c>
      <c r="P165" s="2393">
        <v>3000</v>
      </c>
    </row>
    <row r="166" spans="1:17" ht="15.95" customHeight="1">
      <c r="A166" s="669"/>
      <c r="B166" s="1350" t="s">
        <v>335</v>
      </c>
      <c r="C166" s="1339" t="s">
        <v>1451</v>
      </c>
      <c r="D166" s="800"/>
      <c r="E166" s="1339">
        <v>48.3</v>
      </c>
      <c r="F166" s="1339">
        <v>10</v>
      </c>
      <c r="G166" s="669" t="str">
        <f t="shared" si="2"/>
        <v>SA-213M T92 48.3-10</v>
      </c>
      <c r="H166" s="2396">
        <v>4500</v>
      </c>
      <c r="I166" s="2396"/>
      <c r="J166" s="2394" t="s">
        <v>1592</v>
      </c>
      <c r="K166" s="2394" t="s">
        <v>1593</v>
      </c>
      <c r="L166" s="2394">
        <v>180</v>
      </c>
      <c r="M166" s="2395">
        <v>42914</v>
      </c>
      <c r="N166" s="2394">
        <v>7</v>
      </c>
      <c r="O166" s="2394" t="s">
        <v>1597</v>
      </c>
      <c r="P166" s="2393"/>
      <c r="Q166" s="630">
        <v>3000</v>
      </c>
    </row>
    <row r="167" spans="1:17" ht="15.95" customHeight="1">
      <c r="A167" s="669"/>
      <c r="B167" s="1350" t="s">
        <v>335</v>
      </c>
      <c r="C167" s="1339" t="s">
        <v>1451</v>
      </c>
      <c r="D167" s="800"/>
      <c r="E167" s="1339">
        <v>50</v>
      </c>
      <c r="F167" s="1339">
        <v>7.5</v>
      </c>
      <c r="G167" s="669" t="str">
        <f t="shared" si="2"/>
        <v>SA-213M T92 50-7.5</v>
      </c>
      <c r="H167" s="2396">
        <v>4500</v>
      </c>
      <c r="I167" s="2396"/>
      <c r="J167" s="2394" t="s">
        <v>1592</v>
      </c>
      <c r="K167" s="2394" t="s">
        <v>1593</v>
      </c>
      <c r="L167" s="2394">
        <v>180</v>
      </c>
      <c r="M167" s="2395">
        <v>42914</v>
      </c>
      <c r="N167" s="2394">
        <v>7</v>
      </c>
      <c r="O167" s="2394" t="s">
        <v>1597</v>
      </c>
      <c r="P167" s="2393">
        <v>3000</v>
      </c>
    </row>
    <row r="168" spans="1:17" ht="15.95" customHeight="1">
      <c r="A168" s="669"/>
      <c r="B168" s="1350" t="s">
        <v>335</v>
      </c>
      <c r="C168" s="1339" t="s">
        <v>1451</v>
      </c>
      <c r="D168" s="800"/>
      <c r="E168" s="1339">
        <v>50.8</v>
      </c>
      <c r="F168" s="1339">
        <v>9</v>
      </c>
      <c r="G168" s="669" t="str">
        <f t="shared" si="2"/>
        <v>SA-213M T92 50.8-9</v>
      </c>
      <c r="H168" s="2396">
        <v>4500</v>
      </c>
      <c r="I168" s="2396"/>
      <c r="J168" s="2394" t="s">
        <v>1592</v>
      </c>
      <c r="K168" s="2394" t="s">
        <v>1593</v>
      </c>
      <c r="L168" s="2394">
        <v>180</v>
      </c>
      <c r="M168" s="2395">
        <v>42914</v>
      </c>
      <c r="N168" s="2394">
        <v>7</v>
      </c>
      <c r="O168" s="2394" t="s">
        <v>1597</v>
      </c>
      <c r="P168" s="2393">
        <v>3000</v>
      </c>
    </row>
    <row r="169" spans="1:17" ht="15.95" customHeight="1">
      <c r="A169" s="669"/>
      <c r="B169" s="1350" t="s">
        <v>335</v>
      </c>
      <c r="C169" s="1339" t="s">
        <v>1451</v>
      </c>
      <c r="D169" s="800"/>
      <c r="E169" s="1339">
        <v>51</v>
      </c>
      <c r="F169" s="1339">
        <v>13</v>
      </c>
      <c r="G169" s="669" t="str">
        <f t="shared" si="2"/>
        <v>SA-213M T92 51-13</v>
      </c>
      <c r="H169" s="2396">
        <v>4500</v>
      </c>
      <c r="I169" s="2396"/>
      <c r="J169" s="2394" t="s">
        <v>1592</v>
      </c>
      <c r="K169" s="2394" t="s">
        <v>1593</v>
      </c>
      <c r="L169" s="2394">
        <v>180</v>
      </c>
      <c r="M169" s="2395">
        <v>42914</v>
      </c>
      <c r="N169" s="2394">
        <v>7</v>
      </c>
      <c r="O169" s="2394" t="s">
        <v>1597</v>
      </c>
      <c r="P169" s="2393">
        <v>3000</v>
      </c>
    </row>
    <row r="170" spans="1:17" ht="15.95" customHeight="1">
      <c r="A170" s="669"/>
      <c r="B170" s="1350" t="s">
        <v>335</v>
      </c>
      <c r="C170" s="1339" t="s">
        <v>1481</v>
      </c>
      <c r="D170" s="800"/>
      <c r="E170" s="1339">
        <v>26.7</v>
      </c>
      <c r="F170" s="1339">
        <v>4.8</v>
      </c>
      <c r="G170" s="669" t="str">
        <f t="shared" si="2"/>
        <v>SA-213TP304 26.7-4.8</v>
      </c>
      <c r="H170" s="2397">
        <v>33000</v>
      </c>
      <c r="I170" s="2397"/>
      <c r="J170" s="2394" t="s">
        <v>1582</v>
      </c>
      <c r="K170" s="2394" t="s">
        <v>1595</v>
      </c>
      <c r="L170" s="2394">
        <v>90</v>
      </c>
      <c r="M170" s="2395">
        <v>42914</v>
      </c>
      <c r="N170" s="2394">
        <v>7</v>
      </c>
      <c r="O170" s="2394" t="s">
        <v>1597</v>
      </c>
      <c r="P170" s="2393">
        <v>2000</v>
      </c>
    </row>
    <row r="171" spans="1:17" ht="15.95" customHeight="1">
      <c r="A171" s="669"/>
      <c r="B171" s="1350" t="s">
        <v>335</v>
      </c>
      <c r="C171" s="1339" t="s">
        <v>1481</v>
      </c>
      <c r="D171" s="800"/>
      <c r="E171" s="1339">
        <v>26.7</v>
      </c>
      <c r="F171" s="1339">
        <v>5.6</v>
      </c>
      <c r="G171" s="669" t="str">
        <f t="shared" si="2"/>
        <v>SA-213TP304 26.7-5.6</v>
      </c>
      <c r="H171" s="2397">
        <v>33000</v>
      </c>
      <c r="I171" s="2397"/>
      <c r="J171" s="2394" t="s">
        <v>1582</v>
      </c>
      <c r="K171" s="2394" t="s">
        <v>1595</v>
      </c>
      <c r="L171" s="2394">
        <v>90</v>
      </c>
      <c r="M171" s="2395">
        <v>42914</v>
      </c>
      <c r="N171" s="2394">
        <v>7</v>
      </c>
      <c r="O171" s="2394" t="s">
        <v>1597</v>
      </c>
      <c r="P171" s="2393"/>
    </row>
    <row r="172" spans="1:17" ht="15.95" customHeight="1">
      <c r="A172" s="669"/>
      <c r="B172" s="1350" t="s">
        <v>335</v>
      </c>
      <c r="C172" s="1339" t="s">
        <v>1481</v>
      </c>
      <c r="D172" s="800"/>
      <c r="E172" s="1339">
        <v>26.7</v>
      </c>
      <c r="F172" s="1339">
        <v>7.8</v>
      </c>
      <c r="G172" s="669" t="str">
        <f t="shared" si="2"/>
        <v>SA-213TP304 26.7-7.8</v>
      </c>
      <c r="H172" s="2397">
        <v>33000</v>
      </c>
      <c r="I172" s="2397"/>
      <c r="J172" s="2394" t="s">
        <v>1582</v>
      </c>
      <c r="K172" s="2394" t="s">
        <v>1595</v>
      </c>
      <c r="L172" s="2394">
        <v>90</v>
      </c>
      <c r="M172" s="2395">
        <v>42914</v>
      </c>
      <c r="N172" s="2394">
        <v>7</v>
      </c>
      <c r="O172" s="2394" t="s">
        <v>1597</v>
      </c>
      <c r="P172" s="2393">
        <v>2000</v>
      </c>
    </row>
    <row r="173" spans="1:17" ht="15.95" customHeight="1">
      <c r="A173" s="669"/>
      <c r="B173" s="1350" t="s">
        <v>335</v>
      </c>
      <c r="C173" s="1339" t="s">
        <v>1450</v>
      </c>
      <c r="D173" s="800"/>
      <c r="E173" s="1339">
        <v>48.3</v>
      </c>
      <c r="F173" s="1339">
        <v>12.5</v>
      </c>
      <c r="G173" s="669" t="str">
        <f t="shared" si="2"/>
        <v>SA-213M T91 48.3-12.5</v>
      </c>
      <c r="H173" s="2393">
        <f>17500*1.12</f>
        <v>19600.000000000004</v>
      </c>
      <c r="I173" s="2393"/>
      <c r="J173" s="2394" t="s">
        <v>1582</v>
      </c>
      <c r="K173" s="2394" t="s">
        <v>1594</v>
      </c>
      <c r="L173" s="2394">
        <v>90</v>
      </c>
      <c r="M173" s="2395">
        <v>42914</v>
      </c>
      <c r="N173" s="2394">
        <v>7</v>
      </c>
      <c r="O173" s="2394" t="s">
        <v>1597</v>
      </c>
      <c r="P173" s="2393">
        <v>2000</v>
      </c>
    </row>
    <row r="174" spans="1:17" ht="15.95" customHeight="1">
      <c r="A174" s="669"/>
      <c r="B174" s="1350" t="s">
        <v>335</v>
      </c>
      <c r="C174" s="1339" t="s">
        <v>1450</v>
      </c>
      <c r="D174" s="800"/>
      <c r="E174" s="1339">
        <v>57</v>
      </c>
      <c r="F174" s="1339">
        <v>11</v>
      </c>
      <c r="G174" s="669" t="str">
        <f t="shared" si="2"/>
        <v>SA-213M T91 57-11</v>
      </c>
      <c r="H174" s="2393">
        <f>17500*1.12</f>
        <v>19600.000000000004</v>
      </c>
      <c r="I174" s="2393"/>
      <c r="J174" s="2394" t="s">
        <v>1582</v>
      </c>
      <c r="K174" s="2394" t="s">
        <v>1594</v>
      </c>
      <c r="L174" s="2394">
        <v>90</v>
      </c>
      <c r="M174" s="2395">
        <v>42914</v>
      </c>
      <c r="N174" s="2394">
        <v>7</v>
      </c>
      <c r="O174" s="2394" t="s">
        <v>1597</v>
      </c>
      <c r="P174" s="2393">
        <v>2000</v>
      </c>
    </row>
    <row r="175" spans="1:17" ht="15.95" customHeight="1">
      <c r="A175" s="669"/>
      <c r="B175" s="1350" t="s">
        <v>335</v>
      </c>
      <c r="C175" s="1339" t="s">
        <v>1450</v>
      </c>
      <c r="D175" s="800"/>
      <c r="E175" s="1339">
        <v>76</v>
      </c>
      <c r="F175" s="1339">
        <v>12</v>
      </c>
      <c r="G175" s="669" t="str">
        <f t="shared" si="2"/>
        <v>SA-213M T91 76-12</v>
      </c>
      <c r="H175" s="2393">
        <v>17500</v>
      </c>
      <c r="I175" s="2393"/>
      <c r="J175" s="2394" t="s">
        <v>1582</v>
      </c>
      <c r="K175" s="2394" t="s">
        <v>1594</v>
      </c>
      <c r="L175" s="2394">
        <v>90</v>
      </c>
      <c r="M175" s="2395">
        <v>42914</v>
      </c>
      <c r="N175" s="2394">
        <v>7</v>
      </c>
      <c r="O175" s="2394" t="s">
        <v>1597</v>
      </c>
      <c r="P175" s="2393"/>
    </row>
    <row r="176" spans="1:17" ht="15.95" customHeight="1">
      <c r="A176" s="669"/>
      <c r="B176" s="1350" t="s">
        <v>335</v>
      </c>
      <c r="C176" s="1339" t="s">
        <v>1450</v>
      </c>
      <c r="D176" s="800"/>
      <c r="E176" s="1339">
        <v>76</v>
      </c>
      <c r="F176" s="1339">
        <v>14</v>
      </c>
      <c r="G176" s="669" t="str">
        <f t="shared" si="2"/>
        <v>SA-213M T91 76-14</v>
      </c>
      <c r="H176" s="2393">
        <v>17500</v>
      </c>
      <c r="I176" s="2393"/>
      <c r="J176" s="2394" t="s">
        <v>1582</v>
      </c>
      <c r="K176" s="2394" t="s">
        <v>1594</v>
      </c>
      <c r="L176" s="2394">
        <v>90</v>
      </c>
      <c r="M176" s="2395">
        <v>42914</v>
      </c>
      <c r="N176" s="2394">
        <v>7</v>
      </c>
      <c r="O176" s="2394" t="s">
        <v>1597</v>
      </c>
      <c r="P176" s="2393"/>
    </row>
    <row r="177" spans="1:16" ht="15.95" customHeight="1">
      <c r="A177" s="669"/>
      <c r="B177" s="1350" t="s">
        <v>335</v>
      </c>
      <c r="C177" s="1339" t="s">
        <v>1450</v>
      </c>
      <c r="D177" s="800"/>
      <c r="E177" s="1339">
        <v>89</v>
      </c>
      <c r="F177" s="1339">
        <v>16</v>
      </c>
      <c r="G177" s="669" t="str">
        <f t="shared" si="2"/>
        <v>SA-213M T91 89-16</v>
      </c>
      <c r="H177" s="2397">
        <f>17500*1.12</f>
        <v>19600.000000000004</v>
      </c>
      <c r="I177" s="2397"/>
      <c r="J177" s="2394" t="s">
        <v>1582</v>
      </c>
      <c r="K177" s="2394" t="s">
        <v>1594</v>
      </c>
      <c r="L177" s="2394">
        <v>90</v>
      </c>
      <c r="M177" s="2395">
        <v>42914</v>
      </c>
      <c r="N177" s="2394">
        <v>7</v>
      </c>
      <c r="O177" s="2394" t="s">
        <v>1597</v>
      </c>
      <c r="P177" s="2393"/>
    </row>
    <row r="178" spans="1:16" ht="15.95" customHeight="1">
      <c r="A178" s="669"/>
      <c r="B178" s="1350" t="s">
        <v>335</v>
      </c>
      <c r="C178" s="1339" t="s">
        <v>1451</v>
      </c>
      <c r="D178" s="800"/>
      <c r="E178" s="1339">
        <v>26.7</v>
      </c>
      <c r="F178" s="1339">
        <v>7.8</v>
      </c>
      <c r="G178" s="669" t="str">
        <f t="shared" si="2"/>
        <v>SA-213M T92 26.7-7.8</v>
      </c>
      <c r="H178" s="2396">
        <v>4500</v>
      </c>
      <c r="I178" s="2396"/>
      <c r="J178" s="2394" t="s">
        <v>1592</v>
      </c>
      <c r="K178" s="2394" t="s">
        <v>1593</v>
      </c>
      <c r="L178" s="2394">
        <v>180</v>
      </c>
      <c r="M178" s="2395">
        <v>42914</v>
      </c>
      <c r="N178" s="2394">
        <v>7</v>
      </c>
      <c r="O178" s="2394" t="s">
        <v>1597</v>
      </c>
      <c r="P178" s="2393">
        <v>3000</v>
      </c>
    </row>
    <row r="179" spans="1:16">
      <c r="A179" s="969"/>
      <c r="B179" s="969" t="s">
        <v>335</v>
      </c>
      <c r="C179" s="969" t="s">
        <v>1451</v>
      </c>
      <c r="D179" s="969"/>
      <c r="E179" s="970">
        <v>48.3</v>
      </c>
      <c r="F179" s="970">
        <v>10</v>
      </c>
      <c r="G179" s="669" t="str">
        <f t="shared" si="2"/>
        <v>SA-213M T92 48.3-10</v>
      </c>
      <c r="H179" s="2396">
        <v>4500</v>
      </c>
      <c r="I179" s="2396"/>
      <c r="J179" s="2394" t="s">
        <v>1592</v>
      </c>
      <c r="K179" s="2394" t="s">
        <v>1593</v>
      </c>
      <c r="L179" s="2394">
        <v>180</v>
      </c>
      <c r="M179" s="2395">
        <v>42914</v>
      </c>
      <c r="N179" s="2394">
        <v>7</v>
      </c>
      <c r="O179" s="2394" t="s">
        <v>1597</v>
      </c>
      <c r="P179" s="2393"/>
    </row>
    <row r="180" spans="1:16">
      <c r="A180" s="969"/>
      <c r="B180" s="969" t="s">
        <v>335</v>
      </c>
      <c r="C180" s="969" t="s">
        <v>1451</v>
      </c>
      <c r="D180" s="969"/>
      <c r="E180" s="970">
        <v>60</v>
      </c>
      <c r="F180" s="970">
        <v>8</v>
      </c>
      <c r="G180" s="669" t="str">
        <f t="shared" si="2"/>
        <v>SA-213M T92 60-8</v>
      </c>
      <c r="H180" s="2396">
        <v>4500</v>
      </c>
      <c r="I180" s="2396"/>
      <c r="J180" s="2394" t="s">
        <v>1592</v>
      </c>
      <c r="K180" s="2394" t="s">
        <v>1593</v>
      </c>
      <c r="L180" s="2394">
        <v>180</v>
      </c>
      <c r="M180" s="2395">
        <v>42914</v>
      </c>
      <c r="N180" s="2394">
        <v>7</v>
      </c>
      <c r="O180" s="2394" t="s">
        <v>1597</v>
      </c>
      <c r="P180" s="2393"/>
    </row>
    <row r="181" spans="1:16">
      <c r="A181" s="969"/>
      <c r="B181" s="969" t="s">
        <v>335</v>
      </c>
      <c r="C181" s="969" t="s">
        <v>1424</v>
      </c>
      <c r="D181" s="969"/>
      <c r="E181" s="970">
        <v>34</v>
      </c>
      <c r="F181" s="970">
        <v>6</v>
      </c>
      <c r="G181" s="669" t="str">
        <f t="shared" si="2"/>
        <v>SA-213M T12 34-6</v>
      </c>
      <c r="H181" s="2393">
        <v>9000</v>
      </c>
      <c r="I181" s="2393"/>
      <c r="J181" s="2394" t="s">
        <v>1582</v>
      </c>
      <c r="K181" s="2394" t="s">
        <v>1594</v>
      </c>
      <c r="L181" s="2394">
        <v>90</v>
      </c>
      <c r="M181" s="2395">
        <v>42914</v>
      </c>
      <c r="N181" s="2394">
        <v>7</v>
      </c>
      <c r="O181" s="2394" t="s">
        <v>1597</v>
      </c>
      <c r="P181" s="2393">
        <v>2000</v>
      </c>
    </row>
    <row r="182" spans="1:16">
      <c r="A182" s="969"/>
      <c r="B182" s="969" t="s">
        <v>335</v>
      </c>
      <c r="C182" s="969" t="s">
        <v>1424</v>
      </c>
      <c r="D182" s="969"/>
      <c r="E182" s="970">
        <v>34</v>
      </c>
      <c r="F182" s="970">
        <v>8</v>
      </c>
      <c r="G182" s="669" t="str">
        <f t="shared" si="2"/>
        <v>SA-213M T12 34-8</v>
      </c>
      <c r="H182" s="2393">
        <v>9000</v>
      </c>
      <c r="I182" s="2393"/>
      <c r="J182" s="2394" t="s">
        <v>1582</v>
      </c>
      <c r="K182" s="2394" t="s">
        <v>1594</v>
      </c>
      <c r="L182" s="2394">
        <v>90</v>
      </c>
      <c r="M182" s="2395">
        <v>42914</v>
      </c>
      <c r="N182" s="2394">
        <v>7</v>
      </c>
      <c r="O182" s="2394" t="s">
        <v>1597</v>
      </c>
      <c r="P182" s="2393"/>
    </row>
    <row r="183" spans="1:16">
      <c r="A183" s="969"/>
      <c r="B183" s="969" t="s">
        <v>335</v>
      </c>
      <c r="C183" s="969" t="s">
        <v>1424</v>
      </c>
      <c r="D183" s="969"/>
      <c r="E183" s="970">
        <v>42.4</v>
      </c>
      <c r="F183" s="970">
        <v>10</v>
      </c>
      <c r="G183" s="669" t="str">
        <f t="shared" si="2"/>
        <v>SA-213M T12 42.4-10</v>
      </c>
      <c r="H183" s="2393">
        <f>9000*1.12</f>
        <v>10080.000000000002</v>
      </c>
      <c r="I183" s="2393"/>
      <c r="J183" s="2394" t="s">
        <v>1582</v>
      </c>
      <c r="K183" s="2394" t="s">
        <v>1594</v>
      </c>
      <c r="L183" s="2394">
        <v>90</v>
      </c>
      <c r="M183" s="2395">
        <v>42914</v>
      </c>
      <c r="N183" s="2394">
        <v>7</v>
      </c>
      <c r="O183" s="2394" t="s">
        <v>1597</v>
      </c>
      <c r="P183" s="2393"/>
    </row>
    <row r="184" spans="1:16">
      <c r="A184" s="969"/>
      <c r="B184" s="969" t="s">
        <v>335</v>
      </c>
      <c r="C184" s="969" t="s">
        <v>1424</v>
      </c>
      <c r="D184" s="969"/>
      <c r="E184" s="970">
        <v>48.3</v>
      </c>
      <c r="F184" s="970">
        <v>12.5</v>
      </c>
      <c r="G184" s="669" t="str">
        <f t="shared" si="2"/>
        <v>SA-213M T12 48.3-12.5</v>
      </c>
      <c r="H184" s="2393">
        <f>9000*1.12</f>
        <v>10080.000000000002</v>
      </c>
      <c r="I184" s="2393"/>
      <c r="J184" s="2394" t="s">
        <v>1582</v>
      </c>
      <c r="K184" s="2394" t="s">
        <v>1594</v>
      </c>
      <c r="L184" s="2394">
        <v>90</v>
      </c>
      <c r="M184" s="2395">
        <v>42914</v>
      </c>
      <c r="N184" s="2394">
        <v>7</v>
      </c>
      <c r="O184" s="2394" t="s">
        <v>1597</v>
      </c>
      <c r="P184" s="2393"/>
    </row>
    <row r="185" spans="1:16">
      <c r="A185" s="969"/>
      <c r="B185" s="969" t="s">
        <v>335</v>
      </c>
      <c r="C185" s="969" t="s">
        <v>1424</v>
      </c>
      <c r="D185" s="969"/>
      <c r="E185" s="970">
        <v>57</v>
      </c>
      <c r="F185" s="970">
        <v>10</v>
      </c>
      <c r="G185" s="669" t="str">
        <f t="shared" si="2"/>
        <v>SA-213M T12 57-10</v>
      </c>
      <c r="H185" s="2393">
        <f>9000*1.12</f>
        <v>10080.000000000002</v>
      </c>
      <c r="I185" s="2393"/>
      <c r="J185" s="2394" t="s">
        <v>1582</v>
      </c>
      <c r="K185" s="2394" t="s">
        <v>1594</v>
      </c>
      <c r="L185" s="2394">
        <v>90</v>
      </c>
      <c r="M185" s="2395">
        <v>42914</v>
      </c>
      <c r="N185" s="2394">
        <v>7</v>
      </c>
      <c r="O185" s="2394" t="s">
        <v>1597</v>
      </c>
      <c r="P185" s="2393">
        <v>2000</v>
      </c>
    </row>
    <row r="186" spans="1:16">
      <c r="A186" s="969"/>
      <c r="B186" s="969" t="s">
        <v>335</v>
      </c>
      <c r="C186" s="969" t="s">
        <v>1424</v>
      </c>
      <c r="D186" s="969"/>
      <c r="E186" s="970">
        <v>76</v>
      </c>
      <c r="F186" s="970">
        <v>14</v>
      </c>
      <c r="G186" s="669" t="str">
        <f t="shared" si="2"/>
        <v>SA-213M T12 76-14</v>
      </c>
      <c r="H186" s="2393">
        <v>9000</v>
      </c>
      <c r="I186" s="2393"/>
      <c r="J186" s="2394" t="s">
        <v>1582</v>
      </c>
      <c r="K186" s="2394" t="s">
        <v>1594</v>
      </c>
      <c r="L186" s="2394">
        <v>90</v>
      </c>
      <c r="M186" s="2395">
        <v>42914</v>
      </c>
      <c r="N186" s="2394">
        <v>7</v>
      </c>
      <c r="O186" s="2394" t="s">
        <v>1597</v>
      </c>
      <c r="P186" s="2393"/>
    </row>
    <row r="187" spans="1:16">
      <c r="A187" s="969"/>
      <c r="B187" s="969" t="s">
        <v>335</v>
      </c>
      <c r="C187" s="969" t="s">
        <v>1424</v>
      </c>
      <c r="D187" s="969"/>
      <c r="E187" s="970">
        <v>89</v>
      </c>
      <c r="F187" s="970">
        <v>10</v>
      </c>
      <c r="G187" s="669" t="str">
        <f t="shared" si="2"/>
        <v>SA-213M T12 89-10</v>
      </c>
      <c r="H187" s="2393">
        <v>9000</v>
      </c>
      <c r="I187" s="2393"/>
      <c r="J187" s="2394" t="s">
        <v>1582</v>
      </c>
      <c r="K187" s="2394" t="s">
        <v>1594</v>
      </c>
      <c r="L187" s="2394">
        <v>90</v>
      </c>
      <c r="M187" s="2395">
        <v>42914</v>
      </c>
      <c r="N187" s="2394">
        <v>7</v>
      </c>
      <c r="O187" s="2394" t="s">
        <v>1597</v>
      </c>
      <c r="P187" s="2393"/>
    </row>
    <row r="188" spans="1:16">
      <c r="A188" s="969"/>
      <c r="B188" s="969" t="s">
        <v>335</v>
      </c>
      <c r="C188" s="969" t="s">
        <v>1424</v>
      </c>
      <c r="D188" s="969"/>
      <c r="E188" s="970">
        <v>89</v>
      </c>
      <c r="F188" s="970">
        <v>16</v>
      </c>
      <c r="G188" s="669" t="str">
        <f t="shared" si="2"/>
        <v>SA-213M T12 89-16</v>
      </c>
      <c r="H188" s="2397">
        <f>9000*1.12</f>
        <v>10080.000000000002</v>
      </c>
      <c r="I188" s="2397"/>
      <c r="J188" s="2394" t="s">
        <v>1582</v>
      </c>
      <c r="K188" s="2394" t="s">
        <v>1594</v>
      </c>
      <c r="L188" s="2394">
        <v>90</v>
      </c>
      <c r="M188" s="2395">
        <v>42914</v>
      </c>
      <c r="N188" s="2394">
        <v>7</v>
      </c>
      <c r="O188" s="2394" t="s">
        <v>1597</v>
      </c>
      <c r="P188" s="2393"/>
    </row>
    <row r="189" spans="1:16">
      <c r="A189" s="2405"/>
      <c r="B189" s="1350" t="s">
        <v>1606</v>
      </c>
      <c r="C189" s="2405" t="s">
        <v>1545</v>
      </c>
      <c r="D189" s="2405"/>
      <c r="E189" s="2405">
        <v>100</v>
      </c>
      <c r="F189" s="2406" t="s">
        <v>1565</v>
      </c>
      <c r="G189" s="669" t="str">
        <f t="shared" si="2"/>
        <v>SA-106 B 100-S40</v>
      </c>
      <c r="H189" s="2408">
        <v>7500</v>
      </c>
      <c r="I189" s="2397"/>
      <c r="J189" s="2394" t="s">
        <v>1582</v>
      </c>
      <c r="K189" s="2394" t="s">
        <v>593</v>
      </c>
      <c r="L189" s="2394">
        <v>90</v>
      </c>
      <c r="M189" s="2395">
        <v>42914</v>
      </c>
      <c r="N189" s="2394">
        <v>7</v>
      </c>
      <c r="O189" s="2394" t="s">
        <v>1597</v>
      </c>
      <c r="P189" s="2407"/>
    </row>
    <row r="190" spans="1:16">
      <c r="A190" s="2405"/>
      <c r="B190" s="1350" t="s">
        <v>1606</v>
      </c>
      <c r="C190" s="2405" t="s">
        <v>1545</v>
      </c>
      <c r="D190" s="2405"/>
      <c r="E190" s="2405">
        <v>150</v>
      </c>
      <c r="F190" s="2406">
        <v>160</v>
      </c>
      <c r="G190" s="669" t="str">
        <f t="shared" si="2"/>
        <v>SA-106 B 150-160</v>
      </c>
      <c r="H190" s="2408">
        <v>7500</v>
      </c>
      <c r="I190" s="2397"/>
      <c r="J190" s="2394" t="s">
        <v>1582</v>
      </c>
      <c r="K190" s="2394" t="s">
        <v>593</v>
      </c>
      <c r="L190" s="2394">
        <v>90</v>
      </c>
      <c r="M190" s="2395">
        <v>42914</v>
      </c>
      <c r="N190" s="2394">
        <v>7</v>
      </c>
      <c r="O190" s="2394" t="s">
        <v>1597</v>
      </c>
      <c r="P190" s="2407"/>
    </row>
    <row r="191" spans="1:16">
      <c r="A191" s="2405"/>
      <c r="B191" s="1350" t="s">
        <v>1606</v>
      </c>
      <c r="C191" s="2405" t="s">
        <v>1545</v>
      </c>
      <c r="D191" s="2405"/>
      <c r="E191" s="2405">
        <v>150</v>
      </c>
      <c r="F191" s="2406" t="s">
        <v>1565</v>
      </c>
      <c r="G191" s="669" t="str">
        <f t="shared" si="2"/>
        <v>SA-106 B 150-S40</v>
      </c>
      <c r="H191" s="2408">
        <v>7500</v>
      </c>
      <c r="I191" s="2397"/>
      <c r="J191" s="2394" t="s">
        <v>1582</v>
      </c>
      <c r="K191" s="2394" t="s">
        <v>593</v>
      </c>
      <c r="L191" s="2394">
        <v>90</v>
      </c>
      <c r="M191" s="2395">
        <v>42914</v>
      </c>
      <c r="N191" s="2394">
        <v>7</v>
      </c>
      <c r="O191" s="2394" t="s">
        <v>1597</v>
      </c>
      <c r="P191" s="2407"/>
    </row>
    <row r="192" spans="1:16">
      <c r="A192" s="2405"/>
      <c r="B192" s="1350" t="s">
        <v>1606</v>
      </c>
      <c r="C192" s="2405" t="s">
        <v>1545</v>
      </c>
      <c r="D192" s="2405"/>
      <c r="E192" s="2405">
        <v>150</v>
      </c>
      <c r="F192" s="2406" t="s">
        <v>1546</v>
      </c>
      <c r="G192" s="669" t="str">
        <f t="shared" si="2"/>
        <v>SA-106 B 150-STD</v>
      </c>
      <c r="H192" s="2408">
        <v>7500</v>
      </c>
      <c r="I192" s="2397"/>
      <c r="J192" s="2394" t="s">
        <v>1582</v>
      </c>
      <c r="K192" s="2394" t="s">
        <v>593</v>
      </c>
      <c r="L192" s="2394">
        <v>90</v>
      </c>
      <c r="M192" s="2395">
        <v>42914</v>
      </c>
      <c r="N192" s="2394">
        <v>7</v>
      </c>
      <c r="O192" s="2394" t="s">
        <v>1597</v>
      </c>
      <c r="P192" s="2407"/>
    </row>
    <row r="193" spans="1:16">
      <c r="A193" s="2405"/>
      <c r="B193" s="1350" t="s">
        <v>1606</v>
      </c>
      <c r="C193" s="2405" t="s">
        <v>1545</v>
      </c>
      <c r="D193" s="2405"/>
      <c r="E193" s="2405">
        <v>200</v>
      </c>
      <c r="F193" s="2406" t="s">
        <v>1565</v>
      </c>
      <c r="G193" s="669" t="str">
        <f t="shared" si="2"/>
        <v>SA-106 B 200-S40</v>
      </c>
      <c r="H193" s="2408">
        <v>7500</v>
      </c>
      <c r="I193" s="2397"/>
      <c r="J193" s="2394" t="s">
        <v>1582</v>
      </c>
      <c r="K193" s="2394" t="s">
        <v>593</v>
      </c>
      <c r="L193" s="2394">
        <v>90</v>
      </c>
      <c r="M193" s="2395">
        <v>42914</v>
      </c>
      <c r="N193" s="2394">
        <v>7</v>
      </c>
      <c r="O193" s="2394" t="s">
        <v>1597</v>
      </c>
      <c r="P193" s="2407"/>
    </row>
    <row r="194" spans="1:16">
      <c r="A194" s="2405"/>
      <c r="B194" s="1350" t="s">
        <v>1606</v>
      </c>
      <c r="C194" s="2405" t="s">
        <v>1545</v>
      </c>
      <c r="D194" s="2405"/>
      <c r="E194" s="2405">
        <v>250</v>
      </c>
      <c r="F194" s="2406" t="s">
        <v>1565</v>
      </c>
      <c r="G194" s="669" t="str">
        <f t="shared" si="2"/>
        <v>SA-106 B 250-S40</v>
      </c>
      <c r="H194" s="2408">
        <v>7500</v>
      </c>
      <c r="I194" s="2397"/>
      <c r="J194" s="2394" t="s">
        <v>1582</v>
      </c>
      <c r="K194" s="2394" t="s">
        <v>593</v>
      </c>
      <c r="L194" s="2394">
        <v>90</v>
      </c>
      <c r="M194" s="2395">
        <v>42914</v>
      </c>
      <c r="N194" s="2394">
        <v>7</v>
      </c>
      <c r="O194" s="2394" t="s">
        <v>1597</v>
      </c>
      <c r="P194" s="2407"/>
    </row>
    <row r="195" spans="1:16">
      <c r="A195" s="2405"/>
      <c r="B195" s="1350" t="s">
        <v>1606</v>
      </c>
      <c r="C195" s="2405" t="s">
        <v>1545</v>
      </c>
      <c r="D195" s="2405"/>
      <c r="E195" s="2405">
        <v>300</v>
      </c>
      <c r="F195" s="2406" t="s">
        <v>1546</v>
      </c>
      <c r="G195" s="669" t="str">
        <f t="shared" si="2"/>
        <v>SA-106 B 300-STD</v>
      </c>
      <c r="H195" s="2408">
        <v>7500</v>
      </c>
      <c r="I195" s="2397"/>
      <c r="J195" s="2394" t="s">
        <v>1582</v>
      </c>
      <c r="K195" s="2394" t="s">
        <v>593</v>
      </c>
      <c r="L195" s="2394">
        <v>90</v>
      </c>
      <c r="M195" s="2395">
        <v>42914</v>
      </c>
      <c r="N195" s="2394">
        <v>7</v>
      </c>
      <c r="O195" s="2394" t="s">
        <v>1597</v>
      </c>
      <c r="P195" s="2407"/>
    </row>
    <row r="196" spans="1:16">
      <c r="A196" s="2405"/>
      <c r="B196" s="1350" t="s">
        <v>1606</v>
      </c>
      <c r="C196" s="2405" t="s">
        <v>1545</v>
      </c>
      <c r="D196" s="2405"/>
      <c r="E196" s="2405">
        <v>350</v>
      </c>
      <c r="F196" s="2406" t="s">
        <v>1546</v>
      </c>
      <c r="G196" s="669" t="str">
        <f t="shared" si="2"/>
        <v>SA-106 B 350-STD</v>
      </c>
      <c r="H196" s="2408">
        <v>7500</v>
      </c>
      <c r="I196" s="2397"/>
      <c r="J196" s="2394" t="s">
        <v>1582</v>
      </c>
      <c r="K196" s="2394" t="s">
        <v>593</v>
      </c>
      <c r="L196" s="2394">
        <v>90</v>
      </c>
      <c r="M196" s="2395">
        <v>42914</v>
      </c>
      <c r="N196" s="2394">
        <v>7</v>
      </c>
      <c r="O196" s="2394" t="s">
        <v>1597</v>
      </c>
      <c r="P196" s="2407"/>
    </row>
    <row r="197" spans="1:16">
      <c r="A197" s="2405"/>
      <c r="B197" s="1350" t="s">
        <v>1606</v>
      </c>
      <c r="C197" s="2405" t="s">
        <v>1545</v>
      </c>
      <c r="D197" s="2405"/>
      <c r="E197" s="2405">
        <v>400</v>
      </c>
      <c r="F197" s="2406" t="s">
        <v>1546</v>
      </c>
      <c r="G197" s="669" t="str">
        <f t="shared" si="2"/>
        <v>SA-106 B 400-STD</v>
      </c>
      <c r="H197" s="2408">
        <v>7500</v>
      </c>
      <c r="I197" s="2397"/>
      <c r="J197" s="2394" t="s">
        <v>1582</v>
      </c>
      <c r="K197" s="2394" t="s">
        <v>593</v>
      </c>
      <c r="L197" s="2394">
        <v>90</v>
      </c>
      <c r="M197" s="2395">
        <v>42914</v>
      </c>
      <c r="N197" s="2394">
        <v>7</v>
      </c>
      <c r="O197" s="2394" t="s">
        <v>1597</v>
      </c>
      <c r="P197" s="2407"/>
    </row>
    <row r="198" spans="1:16">
      <c r="A198" s="2405"/>
      <c r="B198" s="1350" t="s">
        <v>1606</v>
      </c>
      <c r="C198" s="2405" t="s">
        <v>1545</v>
      </c>
      <c r="D198" s="2405"/>
      <c r="E198" s="2405">
        <v>500</v>
      </c>
      <c r="F198" s="2406" t="s">
        <v>1546</v>
      </c>
      <c r="G198" s="669" t="str">
        <f t="shared" si="2"/>
        <v>SA-106 B 500-STD</v>
      </c>
      <c r="H198" s="2408">
        <v>7500</v>
      </c>
      <c r="I198" s="2397"/>
      <c r="J198" s="2394" t="s">
        <v>1582</v>
      </c>
      <c r="K198" s="2394" t="s">
        <v>593</v>
      </c>
      <c r="L198" s="2394">
        <v>90</v>
      </c>
      <c r="M198" s="2395">
        <v>42914</v>
      </c>
      <c r="N198" s="2394">
        <v>7</v>
      </c>
      <c r="O198" s="2394" t="s">
        <v>1597</v>
      </c>
      <c r="P198" s="2407"/>
    </row>
    <row r="199" spans="1:16">
      <c r="A199" s="2405"/>
      <c r="B199" s="1350" t="s">
        <v>1606</v>
      </c>
      <c r="C199" s="2405" t="s">
        <v>1545</v>
      </c>
      <c r="D199" s="2405"/>
      <c r="E199" s="2405">
        <v>600</v>
      </c>
      <c r="F199" s="2406" t="s">
        <v>1546</v>
      </c>
      <c r="G199" s="669" t="str">
        <f t="shared" si="2"/>
        <v>SA-106 B 600-STD</v>
      </c>
      <c r="H199" s="2408">
        <v>7500</v>
      </c>
      <c r="I199" s="2397"/>
      <c r="J199" s="2394" t="s">
        <v>1582</v>
      </c>
      <c r="K199" s="2394" t="s">
        <v>593</v>
      </c>
      <c r="L199" s="2394">
        <v>90</v>
      </c>
      <c r="M199" s="2395">
        <v>42914</v>
      </c>
      <c r="N199" s="2394">
        <v>7</v>
      </c>
      <c r="O199" s="2394" t="s">
        <v>1597</v>
      </c>
      <c r="P199" s="2407"/>
    </row>
    <row r="200" spans="1:16">
      <c r="A200" s="2405"/>
      <c r="B200" s="1350" t="s">
        <v>1606</v>
      </c>
      <c r="C200" s="2405" t="s">
        <v>1577</v>
      </c>
      <c r="D200" s="2405"/>
      <c r="E200" s="2405">
        <v>150</v>
      </c>
      <c r="F200" s="2406" t="s">
        <v>1546</v>
      </c>
      <c r="G200" s="669" t="str">
        <f t="shared" si="2"/>
        <v>SA-53,BLACK 150-STD</v>
      </c>
      <c r="H200" s="2408">
        <v>7500</v>
      </c>
      <c r="I200" s="2397"/>
      <c r="J200" s="2394" t="s">
        <v>1582</v>
      </c>
      <c r="K200" s="2394" t="s">
        <v>593</v>
      </c>
      <c r="L200" s="2394">
        <v>90</v>
      </c>
      <c r="M200" s="2395">
        <v>42914</v>
      </c>
      <c r="N200" s="2394">
        <v>7</v>
      </c>
      <c r="O200" s="2394" t="s">
        <v>1597</v>
      </c>
      <c r="P200" s="2407"/>
    </row>
    <row r="201" spans="1:16">
      <c r="A201" s="2405"/>
      <c r="B201" s="1350" t="s">
        <v>1606</v>
      </c>
      <c r="C201" s="2405" t="s">
        <v>1577</v>
      </c>
      <c r="D201" s="2405"/>
      <c r="E201" s="2405">
        <v>200</v>
      </c>
      <c r="F201" s="2406" t="s">
        <v>1546</v>
      </c>
      <c r="G201" s="669" t="str">
        <f t="shared" si="2"/>
        <v>SA-53,BLACK 200-STD</v>
      </c>
      <c r="H201" s="2408">
        <v>7500</v>
      </c>
      <c r="I201" s="2397"/>
      <c r="J201" s="2394" t="s">
        <v>1582</v>
      </c>
      <c r="K201" s="2394" t="s">
        <v>593</v>
      </c>
      <c r="L201" s="2394">
        <v>90</v>
      </c>
      <c r="M201" s="2395">
        <v>42914</v>
      </c>
      <c r="N201" s="2394">
        <v>7</v>
      </c>
      <c r="O201" s="2394" t="s">
        <v>1597</v>
      </c>
      <c r="P201" s="2407"/>
    </row>
    <row r="202" spans="1:16">
      <c r="A202" s="2405"/>
      <c r="B202" s="1350" t="s">
        <v>1606</v>
      </c>
      <c r="C202" s="2405" t="s">
        <v>1577</v>
      </c>
      <c r="D202" s="2405"/>
      <c r="E202" s="2405">
        <v>250</v>
      </c>
      <c r="F202" s="2406" t="s">
        <v>1546</v>
      </c>
      <c r="G202" s="669" t="str">
        <f t="shared" si="2"/>
        <v>SA-53,BLACK 250-STD</v>
      </c>
      <c r="H202" s="2408">
        <v>7500</v>
      </c>
      <c r="I202" s="2397"/>
      <c r="J202" s="2394" t="s">
        <v>1582</v>
      </c>
      <c r="K202" s="2394" t="s">
        <v>593</v>
      </c>
      <c r="L202" s="2394">
        <v>90</v>
      </c>
      <c r="M202" s="2395">
        <v>42914</v>
      </c>
      <c r="N202" s="2394">
        <v>7</v>
      </c>
      <c r="O202" s="2394" t="s">
        <v>1597</v>
      </c>
      <c r="P202" s="2407"/>
    </row>
    <row r="203" spans="1:16">
      <c r="A203" s="2405"/>
      <c r="B203" s="1350" t="s">
        <v>1606</v>
      </c>
      <c r="C203" s="2405" t="s">
        <v>1577</v>
      </c>
      <c r="D203" s="2405"/>
      <c r="E203" s="2405">
        <v>350</v>
      </c>
      <c r="F203" s="2406" t="s">
        <v>1546</v>
      </c>
      <c r="G203" s="669" t="str">
        <f t="shared" ref="G203:G240" si="3">C203&amp;" "&amp;E203&amp;"-"&amp;F203</f>
        <v>SA-53,BLACK 350-STD</v>
      </c>
      <c r="H203" s="2408">
        <v>7500</v>
      </c>
      <c r="I203" s="2397"/>
      <c r="J203" s="2394" t="s">
        <v>1582</v>
      </c>
      <c r="K203" s="2394" t="s">
        <v>593</v>
      </c>
      <c r="L203" s="2394">
        <v>90</v>
      </c>
      <c r="M203" s="2395">
        <v>42914</v>
      </c>
      <c r="N203" s="2394">
        <v>7</v>
      </c>
      <c r="O203" s="2394" t="s">
        <v>1597</v>
      </c>
      <c r="P203" s="2407"/>
    </row>
    <row r="204" spans="1:16">
      <c r="A204" s="2405"/>
      <c r="B204" s="1350" t="s">
        <v>1606</v>
      </c>
      <c r="C204" s="2405" t="s">
        <v>1548</v>
      </c>
      <c r="D204" s="2405"/>
      <c r="E204" s="2405">
        <v>100</v>
      </c>
      <c r="F204" s="2406" t="s">
        <v>1565</v>
      </c>
      <c r="G204" s="669" t="str">
        <f t="shared" si="3"/>
        <v>SA-53,GALVANISED 100-S40</v>
      </c>
      <c r="H204" s="2408">
        <v>7500</v>
      </c>
      <c r="I204" s="2397"/>
      <c r="J204" s="2394" t="s">
        <v>1582</v>
      </c>
      <c r="K204" s="2394" t="s">
        <v>593</v>
      </c>
      <c r="L204" s="2394">
        <v>90</v>
      </c>
      <c r="M204" s="2395">
        <v>42914</v>
      </c>
      <c r="N204" s="2394">
        <v>7</v>
      </c>
      <c r="O204" s="2394" t="s">
        <v>1597</v>
      </c>
      <c r="P204" s="2407"/>
    </row>
    <row r="205" spans="1:16">
      <c r="A205" s="2405"/>
      <c r="B205" s="1350" t="s">
        <v>1606</v>
      </c>
      <c r="C205" s="2405" t="s">
        <v>1548</v>
      </c>
      <c r="D205" s="2405"/>
      <c r="E205" s="2405">
        <v>150</v>
      </c>
      <c r="F205" s="2406" t="s">
        <v>1546</v>
      </c>
      <c r="G205" s="669" t="str">
        <f t="shared" si="3"/>
        <v>SA-53,GALVANISED 150-STD</v>
      </c>
      <c r="H205" s="2408">
        <v>7500</v>
      </c>
      <c r="I205" s="2397"/>
      <c r="J205" s="2394" t="s">
        <v>1582</v>
      </c>
      <c r="K205" s="2394" t="s">
        <v>593</v>
      </c>
      <c r="L205" s="2394">
        <v>90</v>
      </c>
      <c r="M205" s="2395">
        <v>42914</v>
      </c>
      <c r="N205" s="2394">
        <v>7</v>
      </c>
      <c r="O205" s="2394" t="s">
        <v>1597</v>
      </c>
      <c r="P205" s="2407"/>
    </row>
    <row r="206" spans="1:16">
      <c r="A206" s="2405"/>
      <c r="B206" s="969" t="s">
        <v>335</v>
      </c>
      <c r="C206" s="2405" t="s">
        <v>1545</v>
      </c>
      <c r="D206" s="2405"/>
      <c r="E206" s="2405">
        <v>20</v>
      </c>
      <c r="F206" s="2406" t="s">
        <v>1565</v>
      </c>
      <c r="G206" s="669" t="str">
        <f t="shared" si="3"/>
        <v>SA-106 B 20-S40</v>
      </c>
      <c r="H206" s="2408">
        <v>7500</v>
      </c>
      <c r="I206" s="2397"/>
      <c r="J206" s="2394" t="s">
        <v>1582</v>
      </c>
      <c r="K206" s="2394" t="s">
        <v>593</v>
      </c>
      <c r="L206" s="2394">
        <v>90</v>
      </c>
      <c r="M206" s="2395">
        <v>42914</v>
      </c>
      <c r="N206" s="2394">
        <v>7</v>
      </c>
      <c r="O206" s="2394" t="s">
        <v>1597</v>
      </c>
      <c r="P206" s="2407"/>
    </row>
    <row r="207" spans="1:16">
      <c r="A207" s="2405"/>
      <c r="B207" s="969" t="s">
        <v>335</v>
      </c>
      <c r="C207" s="2405" t="s">
        <v>1545</v>
      </c>
      <c r="D207" s="2405"/>
      <c r="E207" s="2405">
        <v>20</v>
      </c>
      <c r="F207" s="2406" t="s">
        <v>1564</v>
      </c>
      <c r="G207" s="669" t="str">
        <f t="shared" si="3"/>
        <v>SA-106 B 20-S80</v>
      </c>
      <c r="H207" s="2408">
        <v>7500</v>
      </c>
      <c r="I207" s="2397"/>
      <c r="J207" s="2394" t="s">
        <v>1582</v>
      </c>
      <c r="K207" s="2394" t="s">
        <v>1589</v>
      </c>
      <c r="L207" s="2394">
        <v>90</v>
      </c>
      <c r="M207" s="2395">
        <v>42914</v>
      </c>
      <c r="N207" s="2394">
        <v>7</v>
      </c>
      <c r="O207" s="2394" t="s">
        <v>1597</v>
      </c>
      <c r="P207" s="2407"/>
    </row>
    <row r="208" spans="1:16">
      <c r="A208" s="2405"/>
      <c r="B208" s="969" t="s">
        <v>335</v>
      </c>
      <c r="C208" s="2405" t="s">
        <v>1545</v>
      </c>
      <c r="D208" s="2405"/>
      <c r="E208" s="2405">
        <v>25</v>
      </c>
      <c r="F208" s="2406" t="s">
        <v>1565</v>
      </c>
      <c r="G208" s="669" t="str">
        <f t="shared" si="3"/>
        <v>SA-106 B 25-S40</v>
      </c>
      <c r="H208" s="2408">
        <v>7500</v>
      </c>
      <c r="I208" s="2397"/>
      <c r="J208" s="2394" t="s">
        <v>1582</v>
      </c>
      <c r="K208" s="2394" t="s">
        <v>1589</v>
      </c>
      <c r="L208" s="2394">
        <v>90</v>
      </c>
      <c r="M208" s="2395">
        <v>42914</v>
      </c>
      <c r="N208" s="2394">
        <v>7</v>
      </c>
      <c r="O208" s="2394" t="s">
        <v>1597</v>
      </c>
      <c r="P208" s="2407"/>
    </row>
    <row r="209" spans="1:16">
      <c r="A209" s="2405"/>
      <c r="B209" s="969" t="s">
        <v>335</v>
      </c>
      <c r="C209" s="2405" t="s">
        <v>1545</v>
      </c>
      <c r="D209" s="2405"/>
      <c r="E209" s="2405">
        <v>25</v>
      </c>
      <c r="F209" s="2406" t="s">
        <v>1564</v>
      </c>
      <c r="G209" s="669" t="str">
        <f t="shared" si="3"/>
        <v>SA-106 B 25-S80</v>
      </c>
      <c r="H209" s="2408">
        <v>7500</v>
      </c>
      <c r="I209" s="2397"/>
      <c r="J209" s="2394" t="s">
        <v>1582</v>
      </c>
      <c r="K209" s="2394" t="s">
        <v>593</v>
      </c>
      <c r="L209" s="2394">
        <v>90</v>
      </c>
      <c r="M209" s="2395">
        <v>42914</v>
      </c>
      <c r="N209" s="2394">
        <v>7</v>
      </c>
      <c r="O209" s="2394" t="s">
        <v>1597</v>
      </c>
      <c r="P209" s="2407"/>
    </row>
    <row r="210" spans="1:16">
      <c r="A210" s="2405"/>
      <c r="B210" s="969" t="s">
        <v>335</v>
      </c>
      <c r="C210" s="2405" t="s">
        <v>1545</v>
      </c>
      <c r="D210" s="2405"/>
      <c r="E210" s="2405">
        <v>40</v>
      </c>
      <c r="F210" s="2406" t="s">
        <v>1564</v>
      </c>
      <c r="G210" s="669" t="str">
        <f t="shared" si="3"/>
        <v>SA-106 B 40-S80</v>
      </c>
      <c r="H210" s="2408">
        <v>7500</v>
      </c>
      <c r="I210" s="2397"/>
      <c r="J210" s="2394" t="s">
        <v>1582</v>
      </c>
      <c r="K210" s="2394" t="s">
        <v>593</v>
      </c>
      <c r="L210" s="2394">
        <v>90</v>
      </c>
      <c r="M210" s="2395">
        <v>42914</v>
      </c>
      <c r="N210" s="2394">
        <v>7</v>
      </c>
      <c r="O210" s="2394" t="s">
        <v>1597</v>
      </c>
      <c r="P210" s="2407"/>
    </row>
    <row r="211" spans="1:16">
      <c r="A211" s="2405"/>
      <c r="B211" s="969" t="s">
        <v>335</v>
      </c>
      <c r="C211" s="2405" t="s">
        <v>1545</v>
      </c>
      <c r="D211" s="2405"/>
      <c r="E211" s="2405">
        <v>50</v>
      </c>
      <c r="F211" s="2406" t="s">
        <v>1565</v>
      </c>
      <c r="G211" s="669" t="str">
        <f t="shared" si="3"/>
        <v>SA-106 B 50-S40</v>
      </c>
      <c r="H211" s="2408">
        <v>7500</v>
      </c>
      <c r="I211" s="2397"/>
      <c r="J211" s="2394" t="s">
        <v>1582</v>
      </c>
      <c r="K211" s="2394" t="s">
        <v>593</v>
      </c>
      <c r="L211" s="2394">
        <v>90</v>
      </c>
      <c r="M211" s="2395">
        <v>42914</v>
      </c>
      <c r="N211" s="2394">
        <v>7</v>
      </c>
      <c r="O211" s="2394" t="s">
        <v>1597</v>
      </c>
      <c r="P211" s="2407"/>
    </row>
    <row r="212" spans="1:16">
      <c r="A212" s="2405"/>
      <c r="B212" s="969" t="s">
        <v>335</v>
      </c>
      <c r="C212" s="2405" t="s">
        <v>1545</v>
      </c>
      <c r="D212" s="2405"/>
      <c r="E212" s="2405">
        <v>50</v>
      </c>
      <c r="F212" s="2406" t="s">
        <v>1564</v>
      </c>
      <c r="G212" s="669" t="str">
        <f t="shared" si="3"/>
        <v>SA-106 B 50-S80</v>
      </c>
      <c r="H212" s="2408">
        <v>7500</v>
      </c>
      <c r="I212" s="2397"/>
      <c r="J212" s="2394" t="s">
        <v>1582</v>
      </c>
      <c r="K212" s="2394" t="s">
        <v>593</v>
      </c>
      <c r="L212" s="2394">
        <v>90</v>
      </c>
      <c r="M212" s="2395">
        <v>42914</v>
      </c>
      <c r="N212" s="2394">
        <v>7</v>
      </c>
      <c r="O212" s="2394" t="s">
        <v>1597</v>
      </c>
      <c r="P212" s="2407"/>
    </row>
    <row r="213" spans="1:16">
      <c r="A213" s="2405"/>
      <c r="B213" s="969" t="s">
        <v>335</v>
      </c>
      <c r="C213" s="2405" t="s">
        <v>1545</v>
      </c>
      <c r="D213" s="2405"/>
      <c r="E213" s="2405">
        <v>65</v>
      </c>
      <c r="F213" s="2406" t="s">
        <v>1565</v>
      </c>
      <c r="G213" s="669" t="str">
        <f t="shared" si="3"/>
        <v>SA-106 B 65-S40</v>
      </c>
      <c r="H213" s="2408">
        <v>7500</v>
      </c>
      <c r="I213" s="2397"/>
      <c r="J213" s="2394" t="s">
        <v>1582</v>
      </c>
      <c r="K213" s="2394" t="s">
        <v>593</v>
      </c>
      <c r="L213" s="2394">
        <v>90</v>
      </c>
      <c r="M213" s="2395">
        <v>42914</v>
      </c>
      <c r="N213" s="2394">
        <v>7</v>
      </c>
      <c r="O213" s="2394" t="s">
        <v>1597</v>
      </c>
      <c r="P213" s="2407"/>
    </row>
    <row r="214" spans="1:16">
      <c r="A214" s="2405"/>
      <c r="B214" s="969" t="s">
        <v>335</v>
      </c>
      <c r="C214" s="2405" t="s">
        <v>1545</v>
      </c>
      <c r="D214" s="2405"/>
      <c r="E214" s="2405">
        <v>80</v>
      </c>
      <c r="F214" s="2406" t="s">
        <v>1565</v>
      </c>
      <c r="G214" s="669" t="str">
        <f t="shared" si="3"/>
        <v>SA-106 B 80-S40</v>
      </c>
      <c r="H214" s="2408">
        <v>7500</v>
      </c>
      <c r="I214" s="2397"/>
      <c r="J214" s="2394" t="s">
        <v>1582</v>
      </c>
      <c r="K214" s="2394" t="s">
        <v>593</v>
      </c>
      <c r="L214" s="2394">
        <v>90</v>
      </c>
      <c r="M214" s="2395">
        <v>42914</v>
      </c>
      <c r="N214" s="2394">
        <v>7</v>
      </c>
      <c r="O214" s="2394" t="s">
        <v>1597</v>
      </c>
      <c r="P214" s="2407"/>
    </row>
    <row r="215" spans="1:16">
      <c r="A215" s="2405"/>
      <c r="B215" s="969" t="s">
        <v>335</v>
      </c>
      <c r="C215" s="2405" t="s">
        <v>718</v>
      </c>
      <c r="D215" s="2405"/>
      <c r="E215" s="2405">
        <v>20</v>
      </c>
      <c r="F215" s="2406">
        <v>80</v>
      </c>
      <c r="G215" s="669" t="str">
        <f t="shared" si="3"/>
        <v>SA-335 P91 20-80</v>
      </c>
      <c r="H215" s="2408">
        <v>22000</v>
      </c>
      <c r="I215" s="2397"/>
      <c r="J215" s="2394" t="s">
        <v>1582</v>
      </c>
      <c r="K215" s="2394" t="s">
        <v>147</v>
      </c>
      <c r="L215" s="2394">
        <v>90</v>
      </c>
      <c r="M215" s="2395">
        <v>42914</v>
      </c>
      <c r="N215" s="2394">
        <v>7</v>
      </c>
      <c r="O215" s="2394" t="s">
        <v>1597</v>
      </c>
      <c r="P215" s="2407"/>
    </row>
    <row r="216" spans="1:16">
      <c r="A216" s="2405"/>
      <c r="B216" s="969" t="s">
        <v>335</v>
      </c>
      <c r="C216" s="2405" t="s">
        <v>718</v>
      </c>
      <c r="D216" s="2405"/>
      <c r="E216" s="2405">
        <v>25</v>
      </c>
      <c r="F216" s="2406">
        <v>80</v>
      </c>
      <c r="G216" s="669" t="str">
        <f t="shared" si="3"/>
        <v>SA-335 P91 25-80</v>
      </c>
      <c r="H216" s="2408">
        <v>22000</v>
      </c>
      <c r="I216" s="2397"/>
      <c r="J216" s="2394" t="s">
        <v>1582</v>
      </c>
      <c r="K216" s="2394" t="s">
        <v>147</v>
      </c>
      <c r="L216" s="2394">
        <v>90</v>
      </c>
      <c r="M216" s="2395">
        <v>42914</v>
      </c>
      <c r="N216" s="2394">
        <v>7</v>
      </c>
      <c r="O216" s="2394" t="s">
        <v>1597</v>
      </c>
      <c r="P216" s="2407"/>
    </row>
    <row r="217" spans="1:16">
      <c r="A217" s="2405"/>
      <c r="B217" s="969" t="s">
        <v>335</v>
      </c>
      <c r="C217" s="2405" t="s">
        <v>718</v>
      </c>
      <c r="D217" s="2405"/>
      <c r="E217" s="2405">
        <v>25</v>
      </c>
      <c r="F217" s="2406" t="s">
        <v>1537</v>
      </c>
      <c r="G217" s="669" t="str">
        <f t="shared" si="3"/>
        <v>SA-335 P91 25-XXS</v>
      </c>
      <c r="H217" s="2408">
        <v>22000</v>
      </c>
      <c r="I217" s="2397"/>
      <c r="J217" s="2394" t="s">
        <v>1582</v>
      </c>
      <c r="K217" s="2394" t="s">
        <v>147</v>
      </c>
      <c r="L217" s="2394">
        <v>90</v>
      </c>
      <c r="M217" s="2395">
        <v>42914</v>
      </c>
      <c r="N217" s="2394">
        <v>7</v>
      </c>
      <c r="O217" s="2394" t="s">
        <v>1597</v>
      </c>
      <c r="P217" s="2407"/>
    </row>
    <row r="218" spans="1:16">
      <c r="A218" s="2405"/>
      <c r="B218" s="969" t="s">
        <v>335</v>
      </c>
      <c r="C218" s="2405" t="s">
        <v>718</v>
      </c>
      <c r="D218" s="2405"/>
      <c r="E218" s="2405">
        <v>50</v>
      </c>
      <c r="F218" s="2406" t="s">
        <v>1537</v>
      </c>
      <c r="G218" s="669" t="str">
        <f t="shared" si="3"/>
        <v>SA-335 P91 50-XXS</v>
      </c>
      <c r="H218" s="2408">
        <v>22000</v>
      </c>
      <c r="I218" s="2397"/>
      <c r="J218" s="2394" t="s">
        <v>1582</v>
      </c>
      <c r="K218" s="2394" t="s">
        <v>147</v>
      </c>
      <c r="L218" s="2394">
        <v>90</v>
      </c>
      <c r="M218" s="2395">
        <v>42914</v>
      </c>
      <c r="N218" s="2394">
        <v>7</v>
      </c>
      <c r="O218" s="2394" t="s">
        <v>1597</v>
      </c>
      <c r="P218" s="2407"/>
    </row>
    <row r="219" spans="1:16">
      <c r="A219" s="2405"/>
      <c r="B219" s="969" t="s">
        <v>335</v>
      </c>
      <c r="C219" s="2405" t="s">
        <v>1577</v>
      </c>
      <c r="D219" s="2405"/>
      <c r="E219" s="2405">
        <v>20</v>
      </c>
      <c r="F219" s="2406" t="s">
        <v>1564</v>
      </c>
      <c r="G219" s="669" t="str">
        <f t="shared" si="3"/>
        <v>SA-53,BLACK 20-S80</v>
      </c>
      <c r="H219" s="2408">
        <v>7500</v>
      </c>
      <c r="I219" s="2397"/>
      <c r="J219" s="2394" t="s">
        <v>1582</v>
      </c>
      <c r="K219" s="2394" t="s">
        <v>593</v>
      </c>
      <c r="L219" s="2394">
        <v>90</v>
      </c>
      <c r="M219" s="2395">
        <v>42914</v>
      </c>
      <c r="N219" s="2394">
        <v>7</v>
      </c>
      <c r="O219" s="2394" t="s">
        <v>1597</v>
      </c>
      <c r="P219" s="2407"/>
    </row>
    <row r="220" spans="1:16">
      <c r="A220" s="2405"/>
      <c r="B220" s="969" t="s">
        <v>335</v>
      </c>
      <c r="C220" s="2405" t="s">
        <v>1577</v>
      </c>
      <c r="D220" s="2405"/>
      <c r="E220" s="2405">
        <v>25</v>
      </c>
      <c r="F220" s="2406" t="s">
        <v>1564</v>
      </c>
      <c r="G220" s="669" t="str">
        <f t="shared" si="3"/>
        <v>SA-53,BLACK 25-S80</v>
      </c>
      <c r="H220" s="2408">
        <v>7500</v>
      </c>
      <c r="I220" s="2397"/>
      <c r="J220" s="2394" t="s">
        <v>1582</v>
      </c>
      <c r="K220" s="2394" t="s">
        <v>593</v>
      </c>
      <c r="L220" s="2394">
        <v>90</v>
      </c>
      <c r="M220" s="2395">
        <v>42914</v>
      </c>
      <c r="N220" s="2394">
        <v>7</v>
      </c>
      <c r="O220" s="2394" t="s">
        <v>1597</v>
      </c>
      <c r="P220" s="2407"/>
    </row>
    <row r="221" spans="1:16">
      <c r="A221" s="2405"/>
      <c r="B221" s="969" t="s">
        <v>335</v>
      </c>
      <c r="C221" s="2405" t="s">
        <v>1577</v>
      </c>
      <c r="D221" s="2405"/>
      <c r="E221" s="2405">
        <v>40</v>
      </c>
      <c r="F221" s="2406" t="s">
        <v>1564</v>
      </c>
      <c r="G221" s="669" t="str">
        <f t="shared" si="3"/>
        <v>SA-53,BLACK 40-S80</v>
      </c>
      <c r="H221" s="2408">
        <v>7500</v>
      </c>
      <c r="I221" s="2397"/>
      <c r="J221" s="2394" t="s">
        <v>1582</v>
      </c>
      <c r="K221" s="2394" t="s">
        <v>593</v>
      </c>
      <c r="L221" s="2394">
        <v>90</v>
      </c>
      <c r="M221" s="2395">
        <v>42914</v>
      </c>
      <c r="N221" s="2394">
        <v>7</v>
      </c>
      <c r="O221" s="2394" t="s">
        <v>1597</v>
      </c>
      <c r="P221" s="2407"/>
    </row>
    <row r="222" spans="1:16">
      <c r="A222" s="2405"/>
      <c r="B222" s="969" t="s">
        <v>335</v>
      </c>
      <c r="C222" s="2405" t="s">
        <v>1548</v>
      </c>
      <c r="D222" s="2405"/>
      <c r="E222" s="2405">
        <v>15</v>
      </c>
      <c r="F222" s="2406" t="s">
        <v>1564</v>
      </c>
      <c r="G222" s="669" t="str">
        <f t="shared" si="3"/>
        <v>SA-53,GALVANISED 15-S80</v>
      </c>
      <c r="H222" s="2408">
        <v>7500</v>
      </c>
      <c r="I222" s="2397"/>
      <c r="J222" s="2394" t="s">
        <v>1582</v>
      </c>
      <c r="K222" s="2394" t="s">
        <v>593</v>
      </c>
      <c r="L222" s="2394">
        <v>90</v>
      </c>
      <c r="M222" s="2395">
        <v>42914</v>
      </c>
      <c r="N222" s="2394">
        <v>7</v>
      </c>
      <c r="O222" s="2394" t="s">
        <v>1597</v>
      </c>
      <c r="P222" s="2407"/>
    </row>
    <row r="223" spans="1:16">
      <c r="A223" s="2405"/>
      <c r="B223" s="969" t="s">
        <v>335</v>
      </c>
      <c r="C223" s="2405" t="s">
        <v>1548</v>
      </c>
      <c r="D223" s="2405"/>
      <c r="E223" s="2405">
        <v>20</v>
      </c>
      <c r="F223" s="2406" t="s">
        <v>1564</v>
      </c>
      <c r="G223" s="669" t="str">
        <f t="shared" si="3"/>
        <v>SA-53,GALVANISED 20-S80</v>
      </c>
      <c r="H223" s="2408">
        <v>7500</v>
      </c>
      <c r="I223" s="2397"/>
      <c r="J223" s="2394" t="s">
        <v>1582</v>
      </c>
      <c r="K223" s="2394" t="s">
        <v>593</v>
      </c>
      <c r="L223" s="2394">
        <v>90</v>
      </c>
      <c r="M223" s="2395">
        <v>42914</v>
      </c>
      <c r="N223" s="2394">
        <v>7</v>
      </c>
      <c r="O223" s="2394" t="s">
        <v>1597</v>
      </c>
      <c r="P223" s="2407"/>
    </row>
    <row r="224" spans="1:16">
      <c r="A224" s="2405"/>
      <c r="B224" s="969" t="s">
        <v>335</v>
      </c>
      <c r="C224" s="2405" t="s">
        <v>1548</v>
      </c>
      <c r="D224" s="2405"/>
      <c r="E224" s="2405">
        <v>25</v>
      </c>
      <c r="F224" s="2406" t="s">
        <v>1564</v>
      </c>
      <c r="G224" s="669" t="str">
        <f t="shared" si="3"/>
        <v>SA-53,GALVANISED 25-S80</v>
      </c>
      <c r="H224" s="2408">
        <v>7500</v>
      </c>
      <c r="I224" s="2397"/>
      <c r="J224" s="2394" t="s">
        <v>1582</v>
      </c>
      <c r="K224" s="2394" t="s">
        <v>593</v>
      </c>
      <c r="L224" s="2394">
        <v>90</v>
      </c>
      <c r="M224" s="2395">
        <v>42914</v>
      </c>
      <c r="N224" s="2394">
        <v>7</v>
      </c>
      <c r="O224" s="2394" t="s">
        <v>1597</v>
      </c>
      <c r="P224" s="2407"/>
    </row>
    <row r="225" spans="1:16">
      <c r="A225" s="2405"/>
      <c r="B225" s="969" t="s">
        <v>335</v>
      </c>
      <c r="C225" s="2405" t="s">
        <v>1548</v>
      </c>
      <c r="D225" s="2405"/>
      <c r="E225" s="2405">
        <v>25</v>
      </c>
      <c r="F225" s="2406" t="s">
        <v>1573</v>
      </c>
      <c r="G225" s="669" t="str">
        <f t="shared" si="3"/>
        <v>SA-53,GALVANISED 25-XS</v>
      </c>
      <c r="H225" s="2408">
        <v>7500</v>
      </c>
      <c r="I225" s="2397"/>
      <c r="J225" s="2394" t="s">
        <v>1582</v>
      </c>
      <c r="K225" s="2394" t="s">
        <v>1589</v>
      </c>
      <c r="L225" s="2394">
        <v>90</v>
      </c>
      <c r="M225" s="2395">
        <v>42914</v>
      </c>
      <c r="N225" s="2394">
        <v>7</v>
      </c>
      <c r="O225" s="2394" t="s">
        <v>1597</v>
      </c>
      <c r="P225" s="2407"/>
    </row>
    <row r="226" spans="1:16">
      <c r="A226" s="2405"/>
      <c r="B226" s="969" t="s">
        <v>335</v>
      </c>
      <c r="C226" s="2405" t="s">
        <v>1548</v>
      </c>
      <c r="D226" s="2405"/>
      <c r="E226" s="2405">
        <v>25</v>
      </c>
      <c r="F226" s="2406" t="s">
        <v>1537</v>
      </c>
      <c r="G226" s="669" t="str">
        <f t="shared" si="3"/>
        <v>SA-53,GALVANISED 25-XXS</v>
      </c>
      <c r="H226" s="2408">
        <v>7500</v>
      </c>
      <c r="I226" s="2397"/>
      <c r="J226" s="2394" t="s">
        <v>1582</v>
      </c>
      <c r="K226" s="2394" t="s">
        <v>1589</v>
      </c>
      <c r="L226" s="2394">
        <v>90</v>
      </c>
      <c r="M226" s="2395">
        <v>42914</v>
      </c>
      <c r="N226" s="2394">
        <v>7</v>
      </c>
      <c r="O226" s="2394" t="s">
        <v>1597</v>
      </c>
      <c r="P226" s="2407"/>
    </row>
    <row r="227" spans="1:16">
      <c r="A227" s="2405"/>
      <c r="B227" s="969" t="s">
        <v>335</v>
      </c>
      <c r="C227" s="2405" t="s">
        <v>1548</v>
      </c>
      <c r="D227" s="2405"/>
      <c r="E227" s="2405">
        <v>40</v>
      </c>
      <c r="F227" s="2406" t="s">
        <v>1564</v>
      </c>
      <c r="G227" s="669" t="str">
        <f t="shared" si="3"/>
        <v>SA-53,GALVANISED 40-S80</v>
      </c>
      <c r="H227" s="2408">
        <v>7500</v>
      </c>
      <c r="I227" s="2397"/>
      <c r="J227" s="2394" t="s">
        <v>1582</v>
      </c>
      <c r="K227" s="2394" t="s">
        <v>1589</v>
      </c>
      <c r="L227" s="2394">
        <v>90</v>
      </c>
      <c r="M227" s="2395">
        <v>42914</v>
      </c>
      <c r="N227" s="2394">
        <v>7</v>
      </c>
      <c r="O227" s="2394" t="s">
        <v>1597</v>
      </c>
      <c r="P227" s="2407"/>
    </row>
    <row r="228" spans="1:16">
      <c r="A228" s="2405"/>
      <c r="B228" s="969" t="s">
        <v>335</v>
      </c>
      <c r="C228" s="2405" t="s">
        <v>1548</v>
      </c>
      <c r="D228" s="2405"/>
      <c r="E228" s="2405">
        <v>50</v>
      </c>
      <c r="F228" s="2406" t="s">
        <v>1564</v>
      </c>
      <c r="G228" s="669" t="str">
        <f t="shared" si="3"/>
        <v>SA-53,GALVANISED 50-S80</v>
      </c>
      <c r="H228" s="2408">
        <v>7500</v>
      </c>
      <c r="I228" s="2397"/>
      <c r="J228" s="2394" t="s">
        <v>1582</v>
      </c>
      <c r="K228" s="2394" t="s">
        <v>1589</v>
      </c>
      <c r="L228" s="2394">
        <v>90</v>
      </c>
      <c r="M228" s="2395">
        <v>42914</v>
      </c>
      <c r="N228" s="2394">
        <v>7</v>
      </c>
      <c r="O228" s="2394" t="s">
        <v>1597</v>
      </c>
      <c r="P228" s="2407"/>
    </row>
    <row r="229" spans="1:16">
      <c r="A229" s="2405"/>
      <c r="B229" s="969" t="s">
        <v>335</v>
      </c>
      <c r="C229" s="2405" t="s">
        <v>1548</v>
      </c>
      <c r="D229" s="2405"/>
      <c r="E229" s="2405">
        <v>50</v>
      </c>
      <c r="F229" s="2406" t="s">
        <v>1573</v>
      </c>
      <c r="G229" s="669" t="str">
        <f t="shared" si="3"/>
        <v>SA-53,GALVANISED 50-XS</v>
      </c>
      <c r="H229" s="2408">
        <v>7500</v>
      </c>
      <c r="I229" s="2397"/>
      <c r="J229" s="2394" t="s">
        <v>1582</v>
      </c>
      <c r="K229" s="2394" t="s">
        <v>1589</v>
      </c>
      <c r="L229" s="2394">
        <v>90</v>
      </c>
      <c r="M229" s="2395">
        <v>42914</v>
      </c>
      <c r="N229" s="2394">
        <v>7</v>
      </c>
      <c r="O229" s="2394" t="s">
        <v>1597</v>
      </c>
      <c r="P229" s="2407"/>
    </row>
    <row r="230" spans="1:16">
      <c r="A230" s="2405"/>
      <c r="B230" s="969" t="s">
        <v>335</v>
      </c>
      <c r="C230" s="2405" t="s">
        <v>1548</v>
      </c>
      <c r="D230" s="2405"/>
      <c r="E230" s="2405">
        <v>50</v>
      </c>
      <c r="F230" s="2406" t="s">
        <v>1537</v>
      </c>
      <c r="G230" s="669" t="str">
        <f t="shared" si="3"/>
        <v>SA-53,GALVANISED 50-XXS</v>
      </c>
      <c r="H230" s="2408">
        <v>7500</v>
      </c>
      <c r="I230" s="2397"/>
      <c r="J230" s="2394" t="s">
        <v>1582</v>
      </c>
      <c r="K230" s="2394" t="s">
        <v>593</v>
      </c>
      <c r="L230" s="2394">
        <v>90</v>
      </c>
      <c r="M230" s="2395">
        <v>42914</v>
      </c>
      <c r="N230" s="2394">
        <v>7</v>
      </c>
      <c r="O230" s="2394" t="s">
        <v>1597</v>
      </c>
      <c r="P230" s="2407"/>
    </row>
    <row r="231" spans="1:16">
      <c r="A231" s="2405"/>
      <c r="B231" s="969" t="s">
        <v>335</v>
      </c>
      <c r="C231" s="2405" t="s">
        <v>1548</v>
      </c>
      <c r="D231" s="2405"/>
      <c r="E231" s="2405">
        <v>65</v>
      </c>
      <c r="F231" s="2406" t="s">
        <v>1565</v>
      </c>
      <c r="G231" s="669" t="str">
        <f t="shared" si="3"/>
        <v>SA-53,GALVANISED 65-S40</v>
      </c>
      <c r="H231" s="2408">
        <v>7500</v>
      </c>
      <c r="I231" s="2397"/>
      <c r="J231" s="2394" t="s">
        <v>1582</v>
      </c>
      <c r="K231" s="2394" t="s">
        <v>593</v>
      </c>
      <c r="L231" s="2394">
        <v>90</v>
      </c>
      <c r="M231" s="2395">
        <v>42914</v>
      </c>
      <c r="N231" s="2394">
        <v>7</v>
      </c>
      <c r="O231" s="2394" t="s">
        <v>1597</v>
      </c>
      <c r="P231" s="2407"/>
    </row>
    <row r="232" spans="1:16">
      <c r="A232" s="2405"/>
      <c r="B232" s="969" t="s">
        <v>335</v>
      </c>
      <c r="C232" s="2405" t="s">
        <v>1548</v>
      </c>
      <c r="D232" s="2405"/>
      <c r="E232" s="2405">
        <v>80</v>
      </c>
      <c r="F232" s="2406" t="s">
        <v>1565</v>
      </c>
      <c r="G232" s="669" t="str">
        <f t="shared" si="3"/>
        <v>SA-53,GALVANISED 80-S40</v>
      </c>
      <c r="H232" s="2408">
        <v>7500</v>
      </c>
      <c r="I232" s="2397"/>
      <c r="J232" s="2394" t="s">
        <v>1582</v>
      </c>
      <c r="K232" s="2394" t="s">
        <v>593</v>
      </c>
      <c r="L232" s="2394">
        <v>90</v>
      </c>
      <c r="M232" s="2395">
        <v>42914</v>
      </c>
      <c r="N232" s="2394">
        <v>7</v>
      </c>
      <c r="O232" s="2394" t="s">
        <v>1597</v>
      </c>
      <c r="P232" s="2407"/>
    </row>
    <row r="233" spans="1:16">
      <c r="A233" s="2405"/>
      <c r="B233" s="969" t="s">
        <v>335</v>
      </c>
      <c r="C233" s="2405" t="s">
        <v>259</v>
      </c>
      <c r="D233" s="2405"/>
      <c r="E233" s="2405">
        <v>20</v>
      </c>
      <c r="F233" s="2406">
        <v>80</v>
      </c>
      <c r="G233" s="669" t="str">
        <f t="shared" si="3"/>
        <v>SA-106C 20-80</v>
      </c>
      <c r="H233" s="2408">
        <v>7500</v>
      </c>
      <c r="I233" s="2397"/>
      <c r="J233" s="2394" t="s">
        <v>1582</v>
      </c>
      <c r="K233" s="2394" t="s">
        <v>593</v>
      </c>
      <c r="L233" s="2394">
        <v>90</v>
      </c>
      <c r="M233" s="2395">
        <v>42914</v>
      </c>
      <c r="N233" s="2394">
        <v>7</v>
      </c>
      <c r="O233" s="2394" t="s">
        <v>1597</v>
      </c>
      <c r="P233" s="2407"/>
    </row>
    <row r="234" spans="1:16">
      <c r="A234" s="2405"/>
      <c r="B234" s="969" t="s">
        <v>335</v>
      </c>
      <c r="C234" s="2405" t="s">
        <v>259</v>
      </c>
      <c r="D234" s="2405"/>
      <c r="E234" s="2405">
        <v>25</v>
      </c>
      <c r="F234" s="2406">
        <v>80</v>
      </c>
      <c r="G234" s="669" t="str">
        <f t="shared" si="3"/>
        <v>SA-106C 25-80</v>
      </c>
      <c r="H234" s="2408">
        <v>7500</v>
      </c>
      <c r="I234" s="2397"/>
      <c r="J234" s="2394" t="s">
        <v>1582</v>
      </c>
      <c r="K234" s="2394" t="s">
        <v>593</v>
      </c>
      <c r="L234" s="2394">
        <v>90</v>
      </c>
      <c r="M234" s="2395">
        <v>42914</v>
      </c>
      <c r="N234" s="2394">
        <v>7</v>
      </c>
      <c r="O234" s="2394" t="s">
        <v>1597</v>
      </c>
      <c r="P234" s="2407"/>
    </row>
    <row r="235" spans="1:16">
      <c r="A235" s="2405"/>
      <c r="B235" s="969" t="s">
        <v>335</v>
      </c>
      <c r="C235" s="2405" t="s">
        <v>259</v>
      </c>
      <c r="D235" s="2405"/>
      <c r="E235" s="2405">
        <v>25</v>
      </c>
      <c r="F235" s="2406" t="s">
        <v>1537</v>
      </c>
      <c r="G235" s="669" t="str">
        <f t="shared" si="3"/>
        <v>SA-106C 25-XXS</v>
      </c>
      <c r="H235" s="2408">
        <v>7500</v>
      </c>
      <c r="I235" s="2397"/>
      <c r="J235" s="2394" t="s">
        <v>1582</v>
      </c>
      <c r="K235" s="2394" t="s">
        <v>593</v>
      </c>
      <c r="L235" s="2394">
        <v>90</v>
      </c>
      <c r="M235" s="2395">
        <v>42914</v>
      </c>
      <c r="N235" s="2394">
        <v>7</v>
      </c>
      <c r="O235" s="2394" t="s">
        <v>1597</v>
      </c>
      <c r="P235" s="2407"/>
    </row>
    <row r="236" spans="1:16">
      <c r="A236" s="2405"/>
      <c r="B236" s="969" t="s">
        <v>335</v>
      </c>
      <c r="C236" s="2405" t="s">
        <v>259</v>
      </c>
      <c r="D236" s="2405"/>
      <c r="E236" s="2405">
        <v>40</v>
      </c>
      <c r="F236" s="2406" t="s">
        <v>1537</v>
      </c>
      <c r="G236" s="669" t="str">
        <f t="shared" si="3"/>
        <v>SA-106C 40-XXS</v>
      </c>
      <c r="H236" s="2408">
        <v>7500</v>
      </c>
      <c r="I236" s="2397"/>
      <c r="J236" s="2394" t="s">
        <v>1582</v>
      </c>
      <c r="K236" s="2394" t="s">
        <v>593</v>
      </c>
      <c r="L236" s="2394">
        <v>90</v>
      </c>
      <c r="M236" s="2395">
        <v>42914</v>
      </c>
      <c r="N236" s="2394">
        <v>7</v>
      </c>
      <c r="O236" s="2394" t="s">
        <v>1597</v>
      </c>
      <c r="P236" s="2407"/>
    </row>
    <row r="237" spans="1:16">
      <c r="A237" s="2405"/>
      <c r="B237" s="969" t="s">
        <v>335</v>
      </c>
      <c r="C237" s="2405" t="s">
        <v>259</v>
      </c>
      <c r="D237" s="2405"/>
      <c r="E237" s="2405">
        <v>50</v>
      </c>
      <c r="F237" s="2406" t="s">
        <v>1537</v>
      </c>
      <c r="G237" s="669" t="str">
        <f t="shared" si="3"/>
        <v>SA-106C 50-XXS</v>
      </c>
      <c r="H237" s="2408">
        <v>7500</v>
      </c>
      <c r="I237" s="2397"/>
      <c r="J237" s="2394" t="s">
        <v>1582</v>
      </c>
      <c r="K237" s="2394" t="s">
        <v>593</v>
      </c>
      <c r="L237" s="2394">
        <v>90</v>
      </c>
      <c r="M237" s="2395">
        <v>42914</v>
      </c>
      <c r="N237" s="2394">
        <v>7</v>
      </c>
      <c r="O237" s="2394" t="s">
        <v>1597</v>
      </c>
      <c r="P237" s="2407"/>
    </row>
    <row r="238" spans="1:16">
      <c r="A238" s="2405"/>
      <c r="B238" s="969" t="s">
        <v>335</v>
      </c>
      <c r="C238" s="2405" t="s">
        <v>1433</v>
      </c>
      <c r="D238" s="2405"/>
      <c r="E238" s="2405">
        <v>20</v>
      </c>
      <c r="F238" s="2406">
        <v>80</v>
      </c>
      <c r="G238" s="669" t="str">
        <f t="shared" si="3"/>
        <v>SA-335M P12 20-80</v>
      </c>
      <c r="H238" s="2408">
        <v>9400</v>
      </c>
      <c r="I238" s="2397"/>
      <c r="J238" s="2394" t="s">
        <v>1582</v>
      </c>
      <c r="K238" s="2394" t="s">
        <v>593</v>
      </c>
      <c r="L238" s="2394">
        <v>90</v>
      </c>
      <c r="M238" s="2395">
        <v>42914</v>
      </c>
      <c r="N238" s="2394">
        <v>7</v>
      </c>
      <c r="O238" s="2394" t="s">
        <v>1597</v>
      </c>
      <c r="P238" s="2407"/>
    </row>
    <row r="239" spans="1:16">
      <c r="A239" s="2405"/>
      <c r="B239" s="969" t="s">
        <v>335</v>
      </c>
      <c r="C239" s="2405" t="s">
        <v>1433</v>
      </c>
      <c r="D239" s="2405"/>
      <c r="E239" s="2405">
        <v>25</v>
      </c>
      <c r="F239" s="2406">
        <v>80</v>
      </c>
      <c r="G239" s="669" t="str">
        <f t="shared" si="3"/>
        <v>SA-335M P12 25-80</v>
      </c>
      <c r="H239" s="2408">
        <v>9400</v>
      </c>
      <c r="I239" s="2397"/>
      <c r="J239" s="2394" t="s">
        <v>1582</v>
      </c>
      <c r="K239" s="2394" t="s">
        <v>593</v>
      </c>
      <c r="L239" s="2394">
        <v>90</v>
      </c>
      <c r="M239" s="2395">
        <v>42914</v>
      </c>
      <c r="N239" s="2394">
        <v>7</v>
      </c>
      <c r="O239" s="2394" t="s">
        <v>1597</v>
      </c>
      <c r="P239" s="2407"/>
    </row>
    <row r="240" spans="1:16">
      <c r="A240" s="2405"/>
      <c r="B240" s="969" t="s">
        <v>335</v>
      </c>
      <c r="C240" s="2405" t="s">
        <v>1433</v>
      </c>
      <c r="D240" s="2405"/>
      <c r="E240" s="2405">
        <v>25</v>
      </c>
      <c r="F240" s="2406" t="s">
        <v>1537</v>
      </c>
      <c r="G240" s="669" t="str">
        <f t="shared" si="3"/>
        <v>SA-335M P12 25-XXS</v>
      </c>
      <c r="H240" s="2408">
        <v>9400</v>
      </c>
      <c r="I240" s="2397"/>
      <c r="J240" s="2394" t="s">
        <v>1582</v>
      </c>
      <c r="K240" s="2394" t="s">
        <v>593</v>
      </c>
      <c r="L240" s="2394">
        <v>90</v>
      </c>
      <c r="M240" s="2395">
        <v>42914</v>
      </c>
      <c r="N240" s="2394">
        <v>7</v>
      </c>
      <c r="O240" s="2394" t="s">
        <v>1597</v>
      </c>
      <c r="P240" s="2407"/>
    </row>
    <row r="241" spans="1:16">
      <c r="A241" s="2405"/>
      <c r="B241" s="1350"/>
      <c r="C241" s="2405"/>
      <c r="D241" s="2405"/>
      <c r="E241" s="2405"/>
      <c r="F241" s="2406"/>
      <c r="G241" s="669"/>
      <c r="H241" s="2408"/>
      <c r="I241" s="2397"/>
      <c r="J241" s="2394"/>
      <c r="K241" s="2394"/>
      <c r="L241" s="2394"/>
      <c r="M241" s="2395"/>
      <c r="N241" s="2394"/>
      <c r="O241" s="2394"/>
      <c r="P241" s="2407"/>
    </row>
    <row r="242" spans="1:16">
      <c r="A242" s="2405"/>
      <c r="B242" s="1350"/>
      <c r="C242" s="2405"/>
      <c r="D242" s="2405"/>
      <c r="E242" s="2405"/>
      <c r="F242" s="2406"/>
      <c r="G242" s="669"/>
      <c r="H242" s="2408"/>
      <c r="I242" s="2397"/>
      <c r="J242" s="2394"/>
      <c r="K242" s="2394"/>
      <c r="L242" s="2394"/>
      <c r="M242" s="2395"/>
      <c r="N242" s="2394"/>
      <c r="O242" s="2394"/>
      <c r="P242" s="2407"/>
    </row>
    <row r="243" spans="1:16">
      <c r="A243" s="2405"/>
      <c r="B243" s="1350"/>
      <c r="C243" s="2405"/>
      <c r="D243" s="2405"/>
      <c r="E243" s="2405"/>
      <c r="F243" s="2406"/>
      <c r="G243" s="669"/>
      <c r="H243" s="2408"/>
      <c r="I243" s="2397"/>
      <c r="J243" s="2394"/>
      <c r="K243" s="2394"/>
      <c r="L243" s="2394"/>
      <c r="M243" s="2395"/>
      <c r="N243" s="2394"/>
      <c r="O243" s="2394"/>
      <c r="P243" s="2407"/>
    </row>
    <row r="244" spans="1:16">
      <c r="A244" s="2405"/>
      <c r="B244" s="1350"/>
      <c r="C244" s="2405"/>
      <c r="D244" s="2405"/>
      <c r="E244" s="2405"/>
      <c r="F244" s="2406"/>
      <c r="G244" s="669"/>
      <c r="H244" s="2408"/>
      <c r="I244" s="2397"/>
      <c r="J244" s="2394"/>
      <c r="K244" s="2394"/>
      <c r="L244" s="2394"/>
      <c r="M244" s="2395"/>
      <c r="N244" s="2394"/>
      <c r="O244" s="2394"/>
      <c r="P244" s="2407"/>
    </row>
    <row r="245" spans="1:16">
      <c r="A245" s="969"/>
      <c r="B245" s="969"/>
      <c r="C245" s="969"/>
      <c r="D245" s="969"/>
      <c r="E245" s="970"/>
      <c r="F245" s="970"/>
      <c r="G245" s="969"/>
      <c r="H245" s="969"/>
      <c r="I245" s="1081"/>
      <c r="J245" s="971"/>
      <c r="K245" s="969"/>
      <c r="L245" s="1482"/>
      <c r="M245" s="969"/>
      <c r="N245" s="1482"/>
      <c r="O245" s="969"/>
    </row>
    <row r="246" spans="1:16">
      <c r="A246" s="969"/>
      <c r="B246" s="969"/>
      <c r="C246" s="969"/>
      <c r="D246" s="969"/>
      <c r="E246" s="970"/>
      <c r="F246" s="970"/>
      <c r="G246" s="969"/>
      <c r="H246" s="969"/>
      <c r="I246" s="1081"/>
      <c r="J246" s="971"/>
      <c r="K246" s="969"/>
      <c r="L246" s="1482"/>
      <c r="M246" s="969"/>
      <c r="N246" s="1482"/>
      <c r="O246" s="969"/>
    </row>
    <row r="247" spans="1:16">
      <c r="A247" s="969"/>
      <c r="B247" s="969"/>
      <c r="C247" s="969"/>
      <c r="D247" s="969"/>
      <c r="E247" s="970"/>
      <c r="F247" s="970"/>
      <c r="G247" s="969"/>
      <c r="H247" s="969"/>
      <c r="I247" s="1081"/>
      <c r="J247" s="971"/>
      <c r="K247" s="969"/>
      <c r="L247" s="1482"/>
      <c r="M247" s="969"/>
      <c r="N247" s="1482"/>
      <c r="O247" s="969"/>
    </row>
    <row r="248" spans="1:16">
      <c r="A248" s="969"/>
      <c r="B248" s="969"/>
      <c r="C248" s="969"/>
      <c r="D248" s="969"/>
      <c r="E248" s="970"/>
      <c r="F248" s="970"/>
      <c r="G248" s="969"/>
      <c r="H248" s="969"/>
      <c r="I248" s="1081"/>
      <c r="J248" s="971"/>
      <c r="K248" s="969"/>
      <c r="L248" s="1482"/>
      <c r="M248" s="969"/>
      <c r="N248" s="1482"/>
      <c r="O248" s="969"/>
    </row>
    <row r="249" spans="1:16">
      <c r="A249" s="969"/>
      <c r="B249" s="969"/>
      <c r="C249" s="969"/>
      <c r="D249" s="969"/>
      <c r="E249" s="970"/>
      <c r="F249" s="970"/>
      <c r="G249" s="969"/>
      <c r="H249" s="969"/>
      <c r="I249" s="1081"/>
      <c r="J249" s="971"/>
      <c r="K249" s="969"/>
      <c r="L249" s="1482"/>
      <c r="M249" s="969"/>
      <c r="N249" s="1482"/>
      <c r="O249" s="969"/>
    </row>
    <row r="250" spans="1:16">
      <c r="A250" s="969"/>
      <c r="B250" s="969"/>
      <c r="C250" s="969"/>
      <c r="D250" s="969"/>
      <c r="E250" s="970"/>
      <c r="F250" s="970"/>
      <c r="G250" s="969"/>
      <c r="H250" s="969"/>
      <c r="I250" s="1081"/>
      <c r="J250" s="971"/>
      <c r="K250" s="969"/>
      <c r="L250" s="1482"/>
      <c r="M250" s="969"/>
      <c r="N250" s="1482"/>
      <c r="O250" s="969"/>
    </row>
    <row r="251" spans="1:16">
      <c r="A251" s="969"/>
      <c r="B251" s="969"/>
      <c r="C251" s="969"/>
      <c r="D251" s="969"/>
      <c r="E251" s="970"/>
      <c r="F251" s="970"/>
      <c r="G251" s="969"/>
      <c r="H251" s="969"/>
      <c r="I251" s="1081"/>
      <c r="J251" s="971"/>
      <c r="K251" s="969"/>
      <c r="L251" s="1482"/>
      <c r="M251" s="969"/>
      <c r="N251" s="1482"/>
      <c r="O251" s="969"/>
    </row>
    <row r="252" spans="1:16">
      <c r="A252" s="969"/>
      <c r="B252" s="969"/>
      <c r="C252" s="969"/>
      <c r="D252" s="969"/>
      <c r="E252" s="970"/>
      <c r="F252" s="970"/>
      <c r="G252" s="969"/>
      <c r="H252" s="969"/>
      <c r="I252" s="1081"/>
      <c r="J252" s="971"/>
      <c r="K252" s="969"/>
      <c r="L252" s="1482"/>
      <c r="M252" s="969"/>
      <c r="N252" s="1482"/>
      <c r="O252" s="969"/>
    </row>
    <row r="253" spans="1:16">
      <c r="A253" s="969"/>
      <c r="B253" s="969"/>
      <c r="C253" s="969"/>
      <c r="D253" s="969"/>
      <c r="E253" s="970"/>
      <c r="F253" s="970"/>
      <c r="G253" s="969"/>
      <c r="H253" s="969"/>
      <c r="I253" s="1081"/>
      <c r="J253" s="971"/>
      <c r="K253" s="969"/>
      <c r="L253" s="1482"/>
      <c r="M253" s="969"/>
      <c r="N253" s="1482"/>
      <c r="O253" s="969"/>
    </row>
    <row r="254" spans="1:16">
      <c r="A254" s="969"/>
      <c r="B254" s="969"/>
      <c r="C254" s="969"/>
      <c r="D254" s="969"/>
      <c r="E254" s="970"/>
      <c r="F254" s="970"/>
      <c r="G254" s="969"/>
      <c r="H254" s="969"/>
      <c r="I254" s="1081"/>
      <c r="J254" s="971"/>
      <c r="K254" s="969"/>
      <c r="L254" s="1482"/>
      <c r="M254" s="969"/>
      <c r="N254" s="1482"/>
      <c r="O254" s="969"/>
    </row>
    <row r="255" spans="1:16">
      <c r="A255" s="969"/>
      <c r="B255" s="969"/>
      <c r="C255" s="969"/>
      <c r="D255" s="969"/>
      <c r="E255" s="970"/>
      <c r="F255" s="970"/>
      <c r="G255" s="969"/>
      <c r="H255" s="969"/>
      <c r="I255" s="1081"/>
      <c r="J255" s="971"/>
      <c r="K255" s="969"/>
      <c r="L255" s="1482"/>
      <c r="M255" s="969"/>
      <c r="N255" s="1482"/>
      <c r="O255" s="969"/>
    </row>
    <row r="256" spans="1:16">
      <c r="A256" s="969"/>
      <c r="B256" s="969"/>
      <c r="C256" s="969"/>
      <c r="D256" s="969"/>
      <c r="E256" s="970"/>
      <c r="F256" s="970"/>
      <c r="G256" s="969"/>
      <c r="H256" s="969"/>
      <c r="I256" s="1081"/>
      <c r="J256" s="971"/>
      <c r="K256" s="969"/>
      <c r="L256" s="1482"/>
      <c r="M256" s="969"/>
      <c r="N256" s="1482"/>
      <c r="O256" s="969"/>
    </row>
    <row r="257" spans="1:15">
      <c r="A257" s="969"/>
      <c r="B257" s="969"/>
      <c r="C257" s="969"/>
      <c r="D257" s="969"/>
      <c r="E257" s="970"/>
      <c r="F257" s="970"/>
      <c r="G257" s="969"/>
      <c r="H257" s="969"/>
      <c r="I257" s="1081"/>
      <c r="J257" s="971"/>
      <c r="K257" s="969"/>
      <c r="L257" s="1482"/>
      <c r="M257" s="969"/>
      <c r="N257" s="1482"/>
      <c r="O257" s="969"/>
    </row>
    <row r="258" spans="1:15">
      <c r="A258" s="969"/>
      <c r="B258" s="969"/>
      <c r="C258" s="969"/>
      <c r="D258" s="969"/>
      <c r="E258" s="970"/>
      <c r="F258" s="970"/>
      <c r="G258" s="969"/>
      <c r="H258" s="969"/>
      <c r="I258" s="1081"/>
      <c r="J258" s="971"/>
      <c r="K258" s="969"/>
      <c r="L258" s="1482"/>
      <c r="M258" s="969"/>
      <c r="N258" s="1482"/>
      <c r="O258" s="969"/>
    </row>
    <row r="259" spans="1:15">
      <c r="A259" s="969"/>
      <c r="B259" s="969"/>
      <c r="C259" s="969"/>
      <c r="D259" s="969"/>
      <c r="E259" s="970"/>
      <c r="F259" s="970"/>
      <c r="G259" s="969"/>
      <c r="H259" s="969"/>
      <c r="I259" s="1081"/>
      <c r="J259" s="971"/>
      <c r="K259" s="969"/>
      <c r="L259" s="1482"/>
      <c r="M259" s="969"/>
      <c r="N259" s="1482"/>
      <c r="O259" s="969"/>
    </row>
    <row r="260" spans="1:15">
      <c r="A260" s="969"/>
      <c r="B260" s="969"/>
      <c r="C260" s="969"/>
      <c r="D260" s="969"/>
      <c r="E260" s="970"/>
      <c r="F260" s="970"/>
      <c r="G260" s="969"/>
      <c r="H260" s="969"/>
      <c r="I260" s="1081"/>
      <c r="J260" s="971"/>
      <c r="K260" s="969"/>
      <c r="L260" s="1482"/>
      <c r="M260" s="969"/>
      <c r="N260" s="1482"/>
      <c r="O260" s="969"/>
    </row>
    <row r="261" spans="1:15">
      <c r="A261" s="969"/>
      <c r="B261" s="969"/>
      <c r="C261" s="969"/>
      <c r="D261" s="969"/>
      <c r="E261" s="970"/>
      <c r="F261" s="970"/>
      <c r="G261" s="969"/>
      <c r="H261" s="969"/>
      <c r="I261" s="1081"/>
      <c r="J261" s="971"/>
      <c r="K261" s="969"/>
      <c r="L261" s="1482"/>
      <c r="M261" s="969"/>
      <c r="N261" s="1482"/>
      <c r="O261" s="969"/>
    </row>
    <row r="262" spans="1:15">
      <c r="A262" s="969"/>
      <c r="B262" s="969"/>
      <c r="C262" s="969"/>
      <c r="D262" s="969"/>
      <c r="E262" s="970"/>
      <c r="F262" s="970"/>
      <c r="G262" s="969"/>
      <c r="H262" s="969"/>
      <c r="I262" s="1081"/>
      <c r="J262" s="971"/>
      <c r="K262" s="969"/>
      <c r="L262" s="1482"/>
      <c r="M262" s="969"/>
      <c r="N262" s="1482"/>
      <c r="O262" s="969"/>
    </row>
    <row r="263" spans="1:15">
      <c r="A263" s="969"/>
      <c r="B263" s="969"/>
      <c r="C263" s="969"/>
      <c r="D263" s="969"/>
      <c r="E263" s="970"/>
      <c r="F263" s="970"/>
      <c r="G263" s="969"/>
      <c r="H263" s="969"/>
      <c r="I263" s="1081"/>
      <c r="J263" s="971"/>
      <c r="K263" s="969"/>
      <c r="L263" s="1482"/>
      <c r="M263" s="969"/>
      <c r="N263" s="1482"/>
      <c r="O263" s="969"/>
    </row>
    <row r="264" spans="1:15">
      <c r="A264" s="969"/>
      <c r="B264" s="969"/>
      <c r="C264" s="969"/>
      <c r="D264" s="969"/>
      <c r="E264" s="970"/>
      <c r="F264" s="970"/>
      <c r="G264" s="969"/>
      <c r="H264" s="969"/>
      <c r="I264" s="1081"/>
      <c r="J264" s="971"/>
      <c r="K264" s="969"/>
      <c r="L264" s="1482"/>
      <c r="M264" s="969"/>
      <c r="N264" s="1482"/>
      <c r="O264" s="969"/>
    </row>
    <row r="265" spans="1:15">
      <c r="A265" s="969"/>
      <c r="B265" s="969"/>
      <c r="C265" s="969"/>
      <c r="D265" s="969"/>
      <c r="E265" s="970"/>
      <c r="F265" s="970"/>
      <c r="G265" s="969"/>
      <c r="H265" s="969"/>
      <c r="I265" s="1081"/>
      <c r="J265" s="971"/>
      <c r="K265" s="969"/>
      <c r="L265" s="1482"/>
      <c r="M265" s="969"/>
      <c r="N265" s="1482"/>
      <c r="O265" s="969"/>
    </row>
    <row r="266" spans="1:15">
      <c r="A266" s="969"/>
      <c r="B266" s="969"/>
      <c r="C266" s="969"/>
      <c r="D266" s="969"/>
      <c r="E266" s="970"/>
      <c r="F266" s="970"/>
      <c r="G266" s="969"/>
      <c r="H266" s="969"/>
      <c r="I266" s="1081"/>
      <c r="J266" s="971"/>
      <c r="K266" s="969"/>
      <c r="L266" s="1482"/>
      <c r="M266" s="969"/>
      <c r="N266" s="1482"/>
      <c r="O266" s="969"/>
    </row>
  </sheetData>
  <autoFilter ref="A9:Q244" xr:uid="{00000000-0009-0000-0000-000015000000}"/>
  <mergeCells count="5">
    <mergeCell ref="A8:A9"/>
    <mergeCell ref="H8:O8"/>
    <mergeCell ref="B8:B9"/>
    <mergeCell ref="C8:C9"/>
    <mergeCell ref="D8:F8"/>
  </mergeCells>
  <phoneticPr fontId="125" type="noConversion"/>
  <conditionalFormatting sqref="C21:C25 C27:C45">
    <cfRule type="expression" dxfId="1" priority="1" stopIfTrue="1">
      <formula>IF($B21=0,1,0)</formula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/>
  <dimension ref="A3:N234"/>
  <sheetViews>
    <sheetView showGridLines="0" zoomScale="90" zoomScaleNormal="90" workbookViewId="0">
      <pane ySplit="7" topLeftCell="A8" activePane="bottomLeft" state="frozen"/>
      <selection pane="bottomLeft" activeCell="F232" sqref="F232"/>
    </sheetView>
  </sheetViews>
  <sheetFormatPr defaultRowHeight="12.75"/>
  <cols>
    <col min="1" max="1" width="10.42578125" style="653" customWidth="1"/>
    <col min="2" max="2" width="22.5703125" style="653" customWidth="1"/>
    <col min="3" max="3" width="24.42578125" style="662" customWidth="1"/>
    <col min="4" max="4" width="11.7109375" style="662" customWidth="1"/>
    <col min="5" max="5" width="12.7109375" style="663" customWidth="1"/>
    <col min="6" max="6" width="38.7109375" style="653" customWidth="1"/>
    <col min="7" max="7" width="13.28515625" style="928" bestFit="1" customWidth="1"/>
    <col min="8" max="8" width="13.28515625" style="928" customWidth="1"/>
    <col min="9" max="9" width="9.140625" style="653"/>
    <col min="10" max="10" width="10" style="653" bestFit="1" customWidth="1"/>
    <col min="11" max="11" width="9" style="928" bestFit="1" customWidth="1"/>
    <col min="12" max="12" width="13.42578125" style="654" customWidth="1"/>
    <col min="13" max="13" width="9.42578125" style="655" customWidth="1"/>
    <col min="14" max="14" width="10" style="653" customWidth="1"/>
    <col min="15" max="16384" width="9.140625" style="653"/>
  </cols>
  <sheetData>
    <row r="3" spans="1:14">
      <c r="A3" s="2738"/>
      <c r="B3" s="2738"/>
      <c r="C3" s="2739"/>
      <c r="D3" s="651"/>
      <c r="E3" s="652"/>
    </row>
    <row r="4" spans="1:14">
      <c r="C4" s="656"/>
      <c r="D4" s="656"/>
      <c r="E4" s="652"/>
    </row>
    <row r="5" spans="1:14">
      <c r="A5" s="657"/>
      <c r="B5" s="657"/>
      <c r="C5" s="658"/>
      <c r="D5" s="658"/>
      <c r="E5" s="659"/>
    </row>
    <row r="6" spans="1:14" s="660" customFormat="1">
      <c r="A6" s="2740" t="s">
        <v>314</v>
      </c>
      <c r="B6" s="2742" t="s">
        <v>63</v>
      </c>
      <c r="C6" s="2744" t="s">
        <v>315</v>
      </c>
      <c r="D6" s="2745"/>
      <c r="E6" s="2746" t="s">
        <v>338</v>
      </c>
      <c r="F6" s="634"/>
      <c r="G6" s="2736" t="s">
        <v>339</v>
      </c>
      <c r="H6" s="2737"/>
      <c r="I6" s="2736"/>
      <c r="J6" s="2736"/>
      <c r="K6" s="2736"/>
      <c r="L6" s="2736"/>
      <c r="M6" s="2736"/>
      <c r="N6" s="2736"/>
    </row>
    <row r="7" spans="1:14" s="660" customFormat="1" ht="24">
      <c r="A7" s="2741"/>
      <c r="B7" s="2743"/>
      <c r="C7" s="635" t="s">
        <v>340</v>
      </c>
      <c r="D7" s="633" t="s">
        <v>341</v>
      </c>
      <c r="E7" s="2747"/>
      <c r="F7" s="636" t="s">
        <v>312</v>
      </c>
      <c r="G7" s="1083" t="s">
        <v>460</v>
      </c>
      <c r="H7" s="1082" t="s">
        <v>442</v>
      </c>
      <c r="I7" s="1083" t="s">
        <v>461</v>
      </c>
      <c r="J7" s="1084" t="s">
        <v>462</v>
      </c>
      <c r="K7" s="1084" t="s">
        <v>463</v>
      </c>
      <c r="L7" s="1084" t="s">
        <v>464</v>
      </c>
      <c r="M7" s="1084" t="s">
        <v>465</v>
      </c>
      <c r="N7" s="1084" t="s">
        <v>466</v>
      </c>
    </row>
    <row r="8" spans="1:14">
      <c r="A8" s="1344" t="s">
        <v>1599</v>
      </c>
      <c r="B8" s="1339" t="s">
        <v>1235</v>
      </c>
      <c r="C8" s="1344" t="s">
        <v>1483</v>
      </c>
      <c r="D8" s="1345"/>
      <c r="E8" s="821"/>
      <c r="F8" s="661" t="str">
        <f>B8&amp;C8&amp;D8</f>
        <v>Q235B50x50x5</v>
      </c>
      <c r="G8" s="1346">
        <v>5265</v>
      </c>
      <c r="H8" s="1346"/>
      <c r="I8" s="1347" t="s">
        <v>181</v>
      </c>
      <c r="J8" s="1347"/>
      <c r="K8" s="1347">
        <v>90</v>
      </c>
      <c r="L8" s="1348">
        <v>42914</v>
      </c>
      <c r="M8" s="1347">
        <v>7</v>
      </c>
      <c r="N8" s="1347" t="s">
        <v>127</v>
      </c>
    </row>
    <row r="9" spans="1:14">
      <c r="A9" s="1344" t="s">
        <v>1599</v>
      </c>
      <c r="B9" s="1344" t="s">
        <v>1235</v>
      </c>
      <c r="C9" s="1344" t="s">
        <v>1480</v>
      </c>
      <c r="D9" s="1345"/>
      <c r="E9" s="821"/>
      <c r="F9" s="661" t="str">
        <f t="shared" ref="F9:F12" si="0">B9&amp;C9&amp;D9</f>
        <v>Q235B6x100x1245</v>
      </c>
      <c r="G9" s="1346">
        <v>5265</v>
      </c>
      <c r="H9" s="1346"/>
      <c r="I9" s="1347" t="s">
        <v>181</v>
      </c>
      <c r="J9" s="1347"/>
      <c r="K9" s="1347">
        <v>90</v>
      </c>
      <c r="L9" s="1348">
        <v>42914</v>
      </c>
      <c r="M9" s="1347">
        <v>7</v>
      </c>
      <c r="N9" s="1347" t="s">
        <v>127</v>
      </c>
    </row>
    <row r="10" spans="1:14" s="973" customFormat="1">
      <c r="A10" s="1344" t="s">
        <v>1599</v>
      </c>
      <c r="B10" s="1339" t="s">
        <v>1235</v>
      </c>
      <c r="C10" s="1344" t="s">
        <v>1530</v>
      </c>
      <c r="D10" s="1345"/>
      <c r="E10" s="821"/>
      <c r="F10" s="972" t="str">
        <f>B10&amp;C10&amp;D10</f>
        <v>Q235B75x75x8</v>
      </c>
      <c r="G10" s="1346">
        <v>5265</v>
      </c>
      <c r="H10" s="1346"/>
      <c r="I10" s="1347" t="s">
        <v>181</v>
      </c>
      <c r="J10" s="1347"/>
      <c r="K10" s="1347">
        <v>90</v>
      </c>
      <c r="L10" s="1348">
        <v>42914</v>
      </c>
      <c r="M10" s="1347">
        <v>7</v>
      </c>
      <c r="N10" s="1347" t="s">
        <v>127</v>
      </c>
    </row>
    <row r="11" spans="1:14" s="655" customFormat="1">
      <c r="A11" s="1344" t="s">
        <v>1599</v>
      </c>
      <c r="B11" s="1339" t="s">
        <v>1235</v>
      </c>
      <c r="C11" s="1345"/>
      <c r="D11" s="1345" t="s">
        <v>1435</v>
      </c>
      <c r="E11" s="821"/>
      <c r="F11" s="661" t="str">
        <f>B11&amp;C11&amp;D11</f>
        <v xml:space="preserve">Q235B∠140X90X8 </v>
      </c>
      <c r="G11" s="1346">
        <v>5265</v>
      </c>
      <c r="H11" s="1346"/>
      <c r="I11" s="1347" t="s">
        <v>181</v>
      </c>
      <c r="J11" s="1347"/>
      <c r="K11" s="1347">
        <v>90</v>
      </c>
      <c r="L11" s="1348">
        <v>42914</v>
      </c>
      <c r="M11" s="1347">
        <v>7</v>
      </c>
      <c r="N11" s="1347" t="s">
        <v>127</v>
      </c>
    </row>
    <row r="12" spans="1:14" s="655" customFormat="1">
      <c r="A12" s="1344" t="s">
        <v>1599</v>
      </c>
      <c r="B12" s="1339" t="s">
        <v>1235</v>
      </c>
      <c r="C12" s="1345"/>
      <c r="D12" s="1345" t="s">
        <v>1443</v>
      </c>
      <c r="E12" s="821"/>
      <c r="F12" s="661" t="str">
        <f t="shared" si="0"/>
        <v xml:space="preserve">Q235BL140X90X8 </v>
      </c>
      <c r="G12" s="1346">
        <v>5265</v>
      </c>
      <c r="H12" s="1346"/>
      <c r="I12" s="1347" t="s">
        <v>181</v>
      </c>
      <c r="J12" s="1347"/>
      <c r="K12" s="1347">
        <v>90</v>
      </c>
      <c r="L12" s="1348">
        <v>42914</v>
      </c>
      <c r="M12" s="1347">
        <v>7</v>
      </c>
      <c r="N12" s="1347" t="s">
        <v>127</v>
      </c>
    </row>
    <row r="13" spans="1:14" s="973" customFormat="1">
      <c r="A13" s="1344" t="s">
        <v>1600</v>
      </c>
      <c r="B13" s="1339" t="s">
        <v>1235</v>
      </c>
      <c r="C13" s="1345"/>
      <c r="D13" s="1344" t="s">
        <v>1476</v>
      </c>
      <c r="E13" s="821"/>
      <c r="F13" s="972" t="str">
        <f>B13&amp;C13&amp;D13</f>
        <v>Q235BNo20a</v>
      </c>
      <c r="G13" s="1346">
        <v>5265</v>
      </c>
      <c r="H13" s="1346"/>
      <c r="I13" s="1347" t="s">
        <v>181</v>
      </c>
      <c r="J13" s="1347"/>
      <c r="K13" s="1347">
        <v>90</v>
      </c>
      <c r="L13" s="1348">
        <v>42914</v>
      </c>
      <c r="M13" s="1347">
        <v>7</v>
      </c>
      <c r="N13" s="1347" t="s">
        <v>127</v>
      </c>
    </row>
    <row r="14" spans="1:14" s="973" customFormat="1">
      <c r="A14" s="1344" t="s">
        <v>1600</v>
      </c>
      <c r="B14" s="1339" t="s">
        <v>1235</v>
      </c>
      <c r="C14" s="1344"/>
      <c r="D14" s="1344" t="s">
        <v>1478</v>
      </c>
      <c r="E14" s="821"/>
      <c r="F14" s="972" t="str">
        <f>B14&amp;C14&amp;D14</f>
        <v>Q235BNo30a</v>
      </c>
      <c r="G14" s="1346">
        <v>5265</v>
      </c>
      <c r="H14" s="1346"/>
      <c r="I14" s="1347" t="s">
        <v>181</v>
      </c>
      <c r="J14" s="1347"/>
      <c r="K14" s="1347">
        <v>90</v>
      </c>
      <c r="L14" s="1348">
        <v>42914</v>
      </c>
      <c r="M14" s="1347">
        <v>7</v>
      </c>
      <c r="N14" s="1347" t="s">
        <v>127</v>
      </c>
    </row>
    <row r="15" spans="1:14" s="973" customFormat="1">
      <c r="A15" s="1344" t="s">
        <v>1393</v>
      </c>
      <c r="B15" s="1339" t="s">
        <v>1235</v>
      </c>
      <c r="C15" s="1345" t="s">
        <v>1484</v>
      </c>
      <c r="D15" s="1344"/>
      <c r="E15" s="821"/>
      <c r="F15" s="972" t="str">
        <f>B15&amp;C15&amp;D15</f>
        <v>Q235B[10</v>
      </c>
      <c r="G15" s="1346">
        <v>5265</v>
      </c>
      <c r="H15" s="1346"/>
      <c r="I15" s="1347" t="s">
        <v>181</v>
      </c>
      <c r="J15" s="1347"/>
      <c r="K15" s="1347">
        <v>90</v>
      </c>
      <c r="L15" s="1348">
        <v>42914</v>
      </c>
      <c r="M15" s="1347">
        <v>7</v>
      </c>
      <c r="N15" s="1347" t="s">
        <v>127</v>
      </c>
    </row>
    <row r="16" spans="1:14" s="655" customFormat="1">
      <c r="A16" s="1344" t="s">
        <v>1393</v>
      </c>
      <c r="B16" s="1339" t="s">
        <v>1235</v>
      </c>
      <c r="C16" s="1345"/>
      <c r="D16" s="1345" t="s">
        <v>1426</v>
      </c>
      <c r="E16" s="821"/>
      <c r="F16" s="972" t="str">
        <f t="shared" ref="F16:F79" si="1">B16&amp;C16&amp;D16</f>
        <v>Q235B[8</v>
      </c>
      <c r="G16" s="1346">
        <v>5265</v>
      </c>
      <c r="H16" s="1346"/>
      <c r="I16" s="1347" t="s">
        <v>181</v>
      </c>
      <c r="J16" s="1347"/>
      <c r="K16" s="1347">
        <v>90</v>
      </c>
      <c r="L16" s="1348">
        <v>42914</v>
      </c>
      <c r="M16" s="1347">
        <v>7</v>
      </c>
      <c r="N16" s="1347" t="s">
        <v>127</v>
      </c>
    </row>
    <row r="17" spans="1:14" s="655" customFormat="1">
      <c r="A17" s="1344" t="s">
        <v>1393</v>
      </c>
      <c r="B17" s="1339" t="s">
        <v>1235</v>
      </c>
      <c r="C17" s="1345"/>
      <c r="D17" s="1345" t="s">
        <v>1476</v>
      </c>
      <c r="E17" s="821"/>
      <c r="F17" s="972" t="str">
        <f t="shared" si="1"/>
        <v>Q235BNo20a</v>
      </c>
      <c r="G17" s="1346">
        <v>5265</v>
      </c>
      <c r="H17" s="1346"/>
      <c r="I17" s="1347" t="s">
        <v>181</v>
      </c>
      <c r="J17" s="1347"/>
      <c r="K17" s="1347">
        <v>90</v>
      </c>
      <c r="L17" s="1348">
        <v>42914</v>
      </c>
      <c r="M17" s="1347">
        <v>7</v>
      </c>
      <c r="N17" s="1347" t="s">
        <v>127</v>
      </c>
    </row>
    <row r="18" spans="1:14" s="655" customFormat="1">
      <c r="A18" s="1344" t="s">
        <v>1393</v>
      </c>
      <c r="B18" s="1339" t="s">
        <v>1235</v>
      </c>
      <c r="C18" s="1345"/>
      <c r="D18" s="1345" t="s">
        <v>1477</v>
      </c>
      <c r="E18" s="821"/>
      <c r="F18" s="972" t="str">
        <f t="shared" si="1"/>
        <v>Q235BNo25a</v>
      </c>
      <c r="G18" s="1346">
        <v>5265</v>
      </c>
      <c r="H18" s="1346"/>
      <c r="I18" s="1347" t="s">
        <v>181</v>
      </c>
      <c r="J18" s="1347"/>
      <c r="K18" s="1347">
        <v>90</v>
      </c>
      <c r="L18" s="1348">
        <v>42914</v>
      </c>
      <c r="M18" s="1347">
        <v>7</v>
      </c>
      <c r="N18" s="1347" t="s">
        <v>127</v>
      </c>
    </row>
    <row r="19" spans="1:14" s="655" customFormat="1">
      <c r="A19" s="1344" t="s">
        <v>1393</v>
      </c>
      <c r="B19" s="1339" t="s">
        <v>1235</v>
      </c>
      <c r="C19" s="1345"/>
      <c r="D19" s="1345" t="s">
        <v>1478</v>
      </c>
      <c r="E19" s="821"/>
      <c r="F19" s="972" t="str">
        <f t="shared" si="1"/>
        <v>Q235BNo30a</v>
      </c>
      <c r="G19" s="1346">
        <v>5265</v>
      </c>
      <c r="H19" s="1346"/>
      <c r="I19" s="1347" t="s">
        <v>181</v>
      </c>
      <c r="J19" s="1347"/>
      <c r="K19" s="1347">
        <v>90</v>
      </c>
      <c r="L19" s="1348">
        <v>42914</v>
      </c>
      <c r="M19" s="1347">
        <v>7</v>
      </c>
      <c r="N19" s="1347" t="s">
        <v>127</v>
      </c>
    </row>
    <row r="20" spans="1:14" s="655" customFormat="1">
      <c r="A20" s="1344" t="s">
        <v>336</v>
      </c>
      <c r="B20" s="1339" t="s">
        <v>590</v>
      </c>
      <c r="C20" s="1345">
        <v>5.6</v>
      </c>
      <c r="D20" s="1345">
        <v>8</v>
      </c>
      <c r="E20" s="821"/>
      <c r="F20" s="972" t="str">
        <f t="shared" si="1"/>
        <v>SA-387M Gr12CL25.68</v>
      </c>
      <c r="G20" s="1346">
        <v>9800</v>
      </c>
      <c r="H20" s="1346"/>
      <c r="I20" s="1347" t="s">
        <v>181</v>
      </c>
      <c r="J20" s="1347"/>
      <c r="K20" s="1347">
        <v>90</v>
      </c>
      <c r="L20" s="1348">
        <v>42914</v>
      </c>
      <c r="M20" s="1347">
        <v>7</v>
      </c>
      <c r="N20" s="1347" t="s">
        <v>127</v>
      </c>
    </row>
    <row r="21" spans="1:14" s="655" customFormat="1">
      <c r="A21" s="1344" t="s">
        <v>336</v>
      </c>
      <c r="B21" s="1339" t="s">
        <v>590</v>
      </c>
      <c r="C21" s="1345">
        <v>7</v>
      </c>
      <c r="D21" s="1345">
        <v>8</v>
      </c>
      <c r="E21" s="821"/>
      <c r="F21" s="972" t="str">
        <f t="shared" si="1"/>
        <v>SA-387M Gr12CL278</v>
      </c>
      <c r="G21" s="1346">
        <v>9800</v>
      </c>
      <c r="H21" s="1346"/>
      <c r="I21" s="1347" t="s">
        <v>181</v>
      </c>
      <c r="J21" s="1347"/>
      <c r="K21" s="1347">
        <v>90</v>
      </c>
      <c r="L21" s="1348">
        <v>42914</v>
      </c>
      <c r="M21" s="1347">
        <v>7</v>
      </c>
      <c r="N21" s="1347" t="s">
        <v>127</v>
      </c>
    </row>
    <row r="22" spans="1:14" s="655" customFormat="1">
      <c r="A22" s="1344" t="s">
        <v>336</v>
      </c>
      <c r="B22" s="1339" t="s">
        <v>590</v>
      </c>
      <c r="C22" s="1345">
        <v>7.05</v>
      </c>
      <c r="D22" s="1345">
        <v>8</v>
      </c>
      <c r="E22" s="821"/>
      <c r="F22" s="972" t="str">
        <f t="shared" si="1"/>
        <v>SA-387M Gr12CL27.058</v>
      </c>
      <c r="G22" s="1346">
        <v>9800</v>
      </c>
      <c r="H22" s="1346"/>
      <c r="I22" s="1347" t="s">
        <v>181</v>
      </c>
      <c r="J22" s="1347"/>
      <c r="K22" s="1347">
        <v>90</v>
      </c>
      <c r="L22" s="1348">
        <v>42914</v>
      </c>
      <c r="M22" s="1347">
        <v>7</v>
      </c>
      <c r="N22" s="1347" t="s">
        <v>127</v>
      </c>
    </row>
    <row r="23" spans="1:14" s="655" customFormat="1">
      <c r="A23" s="1344" t="s">
        <v>336</v>
      </c>
      <c r="B23" s="1339" t="s">
        <v>590</v>
      </c>
      <c r="C23" s="1345">
        <v>10.9</v>
      </c>
      <c r="D23" s="1345">
        <v>8</v>
      </c>
      <c r="E23" s="821"/>
      <c r="F23" s="972" t="str">
        <f t="shared" si="1"/>
        <v>SA-387M Gr12CL210.98</v>
      </c>
      <c r="G23" s="1346">
        <v>9800</v>
      </c>
      <c r="H23" s="1346"/>
      <c r="I23" s="1347" t="s">
        <v>181</v>
      </c>
      <c r="J23" s="1347"/>
      <c r="K23" s="1347">
        <v>90</v>
      </c>
      <c r="L23" s="1348">
        <v>42914</v>
      </c>
      <c r="M23" s="1347">
        <v>7</v>
      </c>
      <c r="N23" s="1347" t="s">
        <v>127</v>
      </c>
    </row>
    <row r="24" spans="1:14" s="655" customFormat="1">
      <c r="A24" s="1344" t="s">
        <v>336</v>
      </c>
      <c r="B24" s="1339" t="s">
        <v>590</v>
      </c>
      <c r="C24" s="1345">
        <v>12.55</v>
      </c>
      <c r="D24" s="1345">
        <v>8</v>
      </c>
      <c r="E24" s="821"/>
      <c r="F24" s="972" t="str">
        <f t="shared" si="1"/>
        <v>SA-387M Gr12CL212.558</v>
      </c>
      <c r="G24" s="1346">
        <v>9800</v>
      </c>
      <c r="H24" s="1346"/>
      <c r="I24" s="1347" t="s">
        <v>181</v>
      </c>
      <c r="J24" s="1347"/>
      <c r="K24" s="1347">
        <v>90</v>
      </c>
      <c r="L24" s="1348">
        <v>42914</v>
      </c>
      <c r="M24" s="1347">
        <v>7</v>
      </c>
      <c r="N24" s="1347" t="s">
        <v>127</v>
      </c>
    </row>
    <row r="25" spans="1:14" s="655" customFormat="1">
      <c r="A25" s="1344" t="s">
        <v>336</v>
      </c>
      <c r="B25" s="1339" t="s">
        <v>590</v>
      </c>
      <c r="C25" s="1345">
        <v>14.1</v>
      </c>
      <c r="D25" s="1345">
        <v>8</v>
      </c>
      <c r="E25" s="821"/>
      <c r="F25" s="972" t="str">
        <f t="shared" si="1"/>
        <v>SA-387M Gr12CL214.18</v>
      </c>
      <c r="G25" s="1346">
        <v>9800</v>
      </c>
      <c r="H25" s="1346"/>
      <c r="I25" s="1347" t="s">
        <v>181</v>
      </c>
      <c r="J25" s="1347"/>
      <c r="K25" s="1347">
        <v>90</v>
      </c>
      <c r="L25" s="1348">
        <v>42914</v>
      </c>
      <c r="M25" s="1347">
        <v>7</v>
      </c>
      <c r="N25" s="1347" t="s">
        <v>127</v>
      </c>
    </row>
    <row r="26" spans="1:14" s="655" customFormat="1">
      <c r="A26" s="1344" t="s">
        <v>336</v>
      </c>
      <c r="B26" s="1339" t="s">
        <v>590</v>
      </c>
      <c r="C26" s="1345">
        <v>16.399999999999999</v>
      </c>
      <c r="D26" s="1345">
        <v>8</v>
      </c>
      <c r="E26" s="821"/>
      <c r="F26" s="972" t="str">
        <f t="shared" si="1"/>
        <v>SA-387M Gr12CL216.48</v>
      </c>
      <c r="G26" s="1346">
        <v>9800</v>
      </c>
      <c r="H26" s="1346"/>
      <c r="I26" s="1347" t="s">
        <v>181</v>
      </c>
      <c r="J26" s="1347"/>
      <c r="K26" s="1347">
        <v>90</v>
      </c>
      <c r="L26" s="1348">
        <v>42914</v>
      </c>
      <c r="M26" s="1347">
        <v>7</v>
      </c>
      <c r="N26" s="1347" t="s">
        <v>127</v>
      </c>
    </row>
    <row r="27" spans="1:14" s="655" customFormat="1">
      <c r="A27" s="1344" t="s">
        <v>336</v>
      </c>
      <c r="B27" s="1339" t="s">
        <v>590</v>
      </c>
      <c r="C27" s="1345">
        <v>17.100000000000001</v>
      </c>
      <c r="D27" s="1345">
        <v>8</v>
      </c>
      <c r="E27" s="821"/>
      <c r="F27" s="972" t="str">
        <f t="shared" si="1"/>
        <v>SA-387M Gr12CL217.18</v>
      </c>
      <c r="G27" s="1346">
        <v>9800</v>
      </c>
      <c r="H27" s="1346"/>
      <c r="I27" s="1347" t="s">
        <v>181</v>
      </c>
      <c r="J27" s="1347"/>
      <c r="K27" s="1347">
        <v>90</v>
      </c>
      <c r="L27" s="1348">
        <v>42914</v>
      </c>
      <c r="M27" s="1347">
        <v>7</v>
      </c>
      <c r="N27" s="1347" t="s">
        <v>127</v>
      </c>
    </row>
    <row r="28" spans="1:14" s="655" customFormat="1">
      <c r="A28" s="1344" t="s">
        <v>336</v>
      </c>
      <c r="B28" s="1339" t="s">
        <v>590</v>
      </c>
      <c r="C28" s="1345">
        <v>18.899999999999999</v>
      </c>
      <c r="D28" s="1345">
        <v>8</v>
      </c>
      <c r="E28" s="821"/>
      <c r="F28" s="972" t="str">
        <f t="shared" si="1"/>
        <v>SA-387M Gr12CL218.98</v>
      </c>
      <c r="G28" s="1346">
        <v>9800</v>
      </c>
      <c r="H28" s="1346"/>
      <c r="I28" s="1347" t="s">
        <v>181</v>
      </c>
      <c r="J28" s="1347"/>
      <c r="K28" s="1347">
        <v>90</v>
      </c>
      <c r="L28" s="1348">
        <v>42914</v>
      </c>
      <c r="M28" s="1347">
        <v>7</v>
      </c>
      <c r="N28" s="1347" t="s">
        <v>127</v>
      </c>
    </row>
    <row r="29" spans="1:14" s="655" customFormat="1">
      <c r="A29" s="1344" t="s">
        <v>336</v>
      </c>
      <c r="B29" s="1339" t="s">
        <v>590</v>
      </c>
      <c r="C29" s="1345">
        <v>20.100000000000001</v>
      </c>
      <c r="D29" s="1345">
        <v>8</v>
      </c>
      <c r="E29" s="821"/>
      <c r="F29" s="972" t="str">
        <f t="shared" si="1"/>
        <v>SA-387M Gr12CL220.18</v>
      </c>
      <c r="G29" s="1346">
        <v>9800</v>
      </c>
      <c r="H29" s="1346"/>
      <c r="I29" s="1347" t="s">
        <v>181</v>
      </c>
      <c r="J29" s="1347"/>
      <c r="K29" s="1347">
        <v>90</v>
      </c>
      <c r="L29" s="1348">
        <v>42914</v>
      </c>
      <c r="M29" s="1347">
        <v>7</v>
      </c>
      <c r="N29" s="1347" t="s">
        <v>127</v>
      </c>
    </row>
    <row r="30" spans="1:14" s="655" customFormat="1">
      <c r="A30" s="1344" t="s">
        <v>336</v>
      </c>
      <c r="B30" s="1339" t="s">
        <v>590</v>
      </c>
      <c r="C30" s="1345">
        <v>20.2</v>
      </c>
      <c r="D30" s="1345">
        <v>8</v>
      </c>
      <c r="E30" s="821"/>
      <c r="F30" s="972" t="str">
        <f t="shared" si="1"/>
        <v>SA-387M Gr12CL220.28</v>
      </c>
      <c r="G30" s="1346">
        <v>9800</v>
      </c>
      <c r="H30" s="1346"/>
      <c r="I30" s="1347" t="s">
        <v>181</v>
      </c>
      <c r="J30" s="1347"/>
      <c r="K30" s="1347">
        <v>90</v>
      </c>
      <c r="L30" s="1348">
        <v>42914</v>
      </c>
      <c r="M30" s="1347">
        <v>7</v>
      </c>
      <c r="N30" s="1347" t="s">
        <v>127</v>
      </c>
    </row>
    <row r="31" spans="1:14" s="655" customFormat="1">
      <c r="A31" s="1344" t="s">
        <v>336</v>
      </c>
      <c r="B31" s="1339" t="s">
        <v>590</v>
      </c>
      <c r="C31" s="1345">
        <v>22.2</v>
      </c>
      <c r="D31" s="1345">
        <v>8</v>
      </c>
      <c r="E31" s="821"/>
      <c r="F31" s="972" t="str">
        <f t="shared" si="1"/>
        <v>SA-387M Gr12CL222.28</v>
      </c>
      <c r="G31" s="1346">
        <v>9800</v>
      </c>
      <c r="H31" s="1346"/>
      <c r="I31" s="1347" t="s">
        <v>181</v>
      </c>
      <c r="J31" s="1347"/>
      <c r="K31" s="1347">
        <v>90</v>
      </c>
      <c r="L31" s="1348">
        <v>42914</v>
      </c>
      <c r="M31" s="1347">
        <v>7</v>
      </c>
      <c r="N31" s="1347" t="s">
        <v>127</v>
      </c>
    </row>
    <row r="32" spans="1:14" s="655" customFormat="1">
      <c r="A32" s="1344" t="s">
        <v>336</v>
      </c>
      <c r="B32" s="1339" t="s">
        <v>590</v>
      </c>
      <c r="C32" s="1345">
        <v>23.4</v>
      </c>
      <c r="D32" s="1345">
        <v>8</v>
      </c>
      <c r="E32" s="821"/>
      <c r="F32" s="972" t="str">
        <f t="shared" si="1"/>
        <v>SA-387M Gr12CL223.48</v>
      </c>
      <c r="G32" s="1346">
        <v>9800</v>
      </c>
      <c r="H32" s="1346"/>
      <c r="I32" s="1347" t="s">
        <v>181</v>
      </c>
      <c r="J32" s="1347"/>
      <c r="K32" s="1347">
        <v>90</v>
      </c>
      <c r="L32" s="1348">
        <v>42914</v>
      </c>
      <c r="M32" s="1347">
        <v>7</v>
      </c>
      <c r="N32" s="1347" t="s">
        <v>127</v>
      </c>
    </row>
    <row r="33" spans="1:14" s="655" customFormat="1">
      <c r="A33" s="1344" t="s">
        <v>336</v>
      </c>
      <c r="B33" s="1339" t="s">
        <v>590</v>
      </c>
      <c r="C33" s="1345">
        <v>25.1</v>
      </c>
      <c r="D33" s="1345">
        <v>8</v>
      </c>
      <c r="E33" s="821"/>
      <c r="F33" s="972" t="str">
        <f t="shared" si="1"/>
        <v>SA-387M Gr12CL225.18</v>
      </c>
      <c r="G33" s="1346">
        <v>9800</v>
      </c>
      <c r="H33" s="1346"/>
      <c r="I33" s="1347" t="s">
        <v>181</v>
      </c>
      <c r="J33" s="1347"/>
      <c r="K33" s="1347">
        <v>90</v>
      </c>
      <c r="L33" s="1348">
        <v>42914</v>
      </c>
      <c r="M33" s="1347">
        <v>7</v>
      </c>
      <c r="N33" s="1347" t="s">
        <v>127</v>
      </c>
    </row>
    <row r="34" spans="1:14" s="655" customFormat="1">
      <c r="A34" s="1344" t="s">
        <v>336</v>
      </c>
      <c r="B34" s="1339" t="s">
        <v>590</v>
      </c>
      <c r="C34" s="1345">
        <v>28.25</v>
      </c>
      <c r="D34" s="1345">
        <v>8</v>
      </c>
      <c r="E34" s="821"/>
      <c r="F34" s="972" t="str">
        <f t="shared" si="1"/>
        <v>SA-387M Gr12CL228.258</v>
      </c>
      <c r="G34" s="1346">
        <v>9800</v>
      </c>
      <c r="H34" s="1346"/>
      <c r="I34" s="1347" t="s">
        <v>181</v>
      </c>
      <c r="J34" s="1347"/>
      <c r="K34" s="1347">
        <v>90</v>
      </c>
      <c r="L34" s="1348">
        <v>42914</v>
      </c>
      <c r="M34" s="1347">
        <v>7</v>
      </c>
      <c r="N34" s="1347" t="s">
        <v>127</v>
      </c>
    </row>
    <row r="35" spans="1:14" s="655" customFormat="1">
      <c r="A35" s="1344" t="s">
        <v>336</v>
      </c>
      <c r="B35" s="1339" t="s">
        <v>590</v>
      </c>
      <c r="C35" s="1345">
        <v>30</v>
      </c>
      <c r="D35" s="1345">
        <v>8</v>
      </c>
      <c r="E35" s="821"/>
      <c r="F35" s="972" t="str">
        <f t="shared" si="1"/>
        <v>SA-387M Gr12CL2308</v>
      </c>
      <c r="G35" s="1346">
        <v>9800</v>
      </c>
      <c r="H35" s="1346"/>
      <c r="I35" s="1347" t="s">
        <v>181</v>
      </c>
      <c r="J35" s="1347"/>
      <c r="K35" s="1347">
        <v>90</v>
      </c>
      <c r="L35" s="1348">
        <v>42914</v>
      </c>
      <c r="M35" s="1347">
        <v>7</v>
      </c>
      <c r="N35" s="1347" t="s">
        <v>127</v>
      </c>
    </row>
    <row r="36" spans="1:14" s="655" customFormat="1">
      <c r="A36" s="1344" t="s">
        <v>336</v>
      </c>
      <c r="B36" s="1339" t="s">
        <v>590</v>
      </c>
      <c r="C36" s="1345">
        <v>35.1</v>
      </c>
      <c r="D36" s="1345">
        <v>8</v>
      </c>
      <c r="E36" s="821"/>
      <c r="F36" s="972" t="str">
        <f t="shared" si="1"/>
        <v>SA-387M Gr12CL235.18</v>
      </c>
      <c r="G36" s="1346">
        <v>9800</v>
      </c>
      <c r="H36" s="1346"/>
      <c r="I36" s="1347" t="s">
        <v>181</v>
      </c>
      <c r="J36" s="1347"/>
      <c r="K36" s="1347">
        <v>90</v>
      </c>
      <c r="L36" s="1348">
        <v>42914</v>
      </c>
      <c r="M36" s="1347">
        <v>7</v>
      </c>
      <c r="N36" s="1347" t="s">
        <v>127</v>
      </c>
    </row>
    <row r="37" spans="1:14" s="655" customFormat="1">
      <c r="A37" s="1344" t="s">
        <v>336</v>
      </c>
      <c r="B37" s="1339" t="s">
        <v>590</v>
      </c>
      <c r="C37" s="1345">
        <v>38.799999999999997</v>
      </c>
      <c r="D37" s="1345">
        <v>8</v>
      </c>
      <c r="E37" s="821"/>
      <c r="F37" s="972" t="str">
        <f t="shared" si="1"/>
        <v>SA-387M Gr12CL238.88</v>
      </c>
      <c r="G37" s="1346">
        <v>9800</v>
      </c>
      <c r="H37" s="1346"/>
      <c r="I37" s="1347" t="s">
        <v>181</v>
      </c>
      <c r="J37" s="1347"/>
      <c r="K37" s="1347">
        <v>90</v>
      </c>
      <c r="L37" s="1348">
        <v>42914</v>
      </c>
      <c r="M37" s="1347">
        <v>7</v>
      </c>
      <c r="N37" s="1347" t="s">
        <v>127</v>
      </c>
    </row>
    <row r="38" spans="1:14" s="655" customFormat="1">
      <c r="A38" s="1344" t="s">
        <v>336</v>
      </c>
      <c r="B38" s="1339" t="s">
        <v>590</v>
      </c>
      <c r="C38" s="1345">
        <v>60</v>
      </c>
      <c r="D38" s="1345">
        <v>8</v>
      </c>
      <c r="E38" s="821"/>
      <c r="F38" s="972" t="str">
        <f t="shared" si="1"/>
        <v>SA-387M Gr12CL2608</v>
      </c>
      <c r="G38" s="1346">
        <v>9800</v>
      </c>
      <c r="H38" s="1346"/>
      <c r="I38" s="1347" t="s">
        <v>181</v>
      </c>
      <c r="J38" s="1347"/>
      <c r="K38" s="1347">
        <v>90</v>
      </c>
      <c r="L38" s="1348">
        <v>42914</v>
      </c>
      <c r="M38" s="1347">
        <v>7</v>
      </c>
      <c r="N38" s="1347" t="s">
        <v>127</v>
      </c>
    </row>
    <row r="39" spans="1:14" s="655" customFormat="1">
      <c r="A39" s="1344" t="s">
        <v>336</v>
      </c>
      <c r="B39" s="1344" t="s">
        <v>590</v>
      </c>
      <c r="C39" s="1345">
        <v>65.099999999999994</v>
      </c>
      <c r="D39" s="1345">
        <v>8</v>
      </c>
      <c r="E39" s="821"/>
      <c r="F39" s="972" t="str">
        <f t="shared" si="1"/>
        <v>SA-387M Gr12CL265.18</v>
      </c>
      <c r="G39" s="1346">
        <v>9800</v>
      </c>
      <c r="H39" s="1346"/>
      <c r="I39" s="1347" t="s">
        <v>181</v>
      </c>
      <c r="J39" s="1347"/>
      <c r="K39" s="1347">
        <v>90</v>
      </c>
      <c r="L39" s="1348">
        <v>42914</v>
      </c>
      <c r="M39" s="1347">
        <v>7</v>
      </c>
      <c r="N39" s="1347" t="s">
        <v>127</v>
      </c>
    </row>
    <row r="40" spans="1:14" s="655" customFormat="1">
      <c r="A40" s="1344" t="s">
        <v>336</v>
      </c>
      <c r="B40" s="1344" t="s">
        <v>590</v>
      </c>
      <c r="C40" s="1345">
        <v>77.599999999999994</v>
      </c>
      <c r="D40" s="1345">
        <v>8</v>
      </c>
      <c r="E40" s="821"/>
      <c r="F40" s="972" t="str">
        <f t="shared" si="1"/>
        <v>SA-387M Gr12CL277.68</v>
      </c>
      <c r="G40" s="1346">
        <v>9800</v>
      </c>
      <c r="H40" s="1346"/>
      <c r="I40" s="1347" t="s">
        <v>181</v>
      </c>
      <c r="J40" s="1347"/>
      <c r="K40" s="1347">
        <v>90</v>
      </c>
      <c r="L40" s="1348">
        <v>42914</v>
      </c>
      <c r="M40" s="1347">
        <v>7</v>
      </c>
      <c r="N40" s="1347" t="s">
        <v>127</v>
      </c>
    </row>
    <row r="41" spans="1:14" s="655" customFormat="1">
      <c r="A41" s="1344" t="s">
        <v>336</v>
      </c>
      <c r="B41" s="1344" t="s">
        <v>590</v>
      </c>
      <c r="C41" s="1345">
        <v>141.25</v>
      </c>
      <c r="D41" s="1345">
        <v>8</v>
      </c>
      <c r="E41" s="821"/>
      <c r="F41" s="972" t="str">
        <f t="shared" si="1"/>
        <v>SA-387M Gr12CL2141.258</v>
      </c>
      <c r="G41" s="1346">
        <v>9800</v>
      </c>
      <c r="H41" s="1346"/>
      <c r="I41" s="1347" t="s">
        <v>181</v>
      </c>
      <c r="J41" s="1347"/>
      <c r="K41" s="1347">
        <v>90</v>
      </c>
      <c r="L41" s="1348">
        <v>42914</v>
      </c>
      <c r="M41" s="1347">
        <v>7</v>
      </c>
      <c r="N41" s="1347" t="s">
        <v>127</v>
      </c>
    </row>
    <row r="42" spans="1:14" s="655" customFormat="1">
      <c r="A42" s="1344" t="s">
        <v>336</v>
      </c>
      <c r="B42" s="1344" t="s">
        <v>590</v>
      </c>
      <c r="C42" s="1345">
        <v>166.5</v>
      </c>
      <c r="D42" s="1345">
        <v>8</v>
      </c>
      <c r="E42" s="821"/>
      <c r="F42" s="972" t="str">
        <f t="shared" si="1"/>
        <v>SA-387M Gr12CL2166.58</v>
      </c>
      <c r="G42" s="1346">
        <v>9800</v>
      </c>
      <c r="H42" s="1346"/>
      <c r="I42" s="1347" t="s">
        <v>181</v>
      </c>
      <c r="J42" s="1347"/>
      <c r="K42" s="1347">
        <v>90</v>
      </c>
      <c r="L42" s="1348">
        <v>42914</v>
      </c>
      <c r="M42" s="1347">
        <v>7</v>
      </c>
      <c r="N42" s="1347" t="s">
        <v>127</v>
      </c>
    </row>
    <row r="43" spans="1:14" s="655" customFormat="1">
      <c r="A43" s="1344" t="s">
        <v>336</v>
      </c>
      <c r="B43" s="1344" t="s">
        <v>590</v>
      </c>
      <c r="C43" s="1345">
        <v>176.5</v>
      </c>
      <c r="D43" s="1345">
        <v>8</v>
      </c>
      <c r="E43" s="821"/>
      <c r="F43" s="972" t="str">
        <f t="shared" si="1"/>
        <v>SA-387M Gr12CL2176.58</v>
      </c>
      <c r="G43" s="1346">
        <v>9800</v>
      </c>
      <c r="H43" s="1346"/>
      <c r="I43" s="1347" t="s">
        <v>181</v>
      </c>
      <c r="J43" s="1347"/>
      <c r="K43" s="1347">
        <v>90</v>
      </c>
      <c r="L43" s="1348">
        <v>42914</v>
      </c>
      <c r="M43" s="1347">
        <v>7</v>
      </c>
      <c r="N43" s="1347" t="s">
        <v>127</v>
      </c>
    </row>
    <row r="44" spans="1:14" s="655" customFormat="1">
      <c r="A44" s="1344" t="s">
        <v>336</v>
      </c>
      <c r="B44" s="1344" t="s">
        <v>1432</v>
      </c>
      <c r="C44" s="1345">
        <v>9.35</v>
      </c>
      <c r="D44" s="1345">
        <v>8</v>
      </c>
      <c r="E44" s="821"/>
      <c r="F44" s="972" t="str">
        <f t="shared" si="1"/>
        <v>SA-387M Gr239.358</v>
      </c>
      <c r="G44" s="1346">
        <v>9000</v>
      </c>
      <c r="H44" s="1346"/>
      <c r="I44" s="1347" t="s">
        <v>179</v>
      </c>
      <c r="J44" s="1347"/>
      <c r="K44" s="1347">
        <v>180</v>
      </c>
      <c r="L44" s="1348">
        <v>42914</v>
      </c>
      <c r="M44" s="1347">
        <v>7</v>
      </c>
      <c r="N44" s="1347" t="s">
        <v>127</v>
      </c>
    </row>
    <row r="45" spans="1:14" s="655" customFormat="1">
      <c r="A45" s="1344" t="s">
        <v>336</v>
      </c>
      <c r="B45" s="1344" t="s">
        <v>1432</v>
      </c>
      <c r="C45" s="1345">
        <v>10.1</v>
      </c>
      <c r="D45" s="1345">
        <v>8</v>
      </c>
      <c r="E45" s="821"/>
      <c r="F45" s="972" t="str">
        <f t="shared" si="1"/>
        <v>SA-387M Gr2310.18</v>
      </c>
      <c r="G45" s="1346">
        <v>9000</v>
      </c>
      <c r="H45" s="1346"/>
      <c r="I45" s="1347" t="s">
        <v>179</v>
      </c>
      <c r="J45" s="1347"/>
      <c r="K45" s="1347">
        <v>180</v>
      </c>
      <c r="L45" s="1348">
        <v>42914</v>
      </c>
      <c r="M45" s="1347">
        <v>7</v>
      </c>
      <c r="N45" s="1347" t="s">
        <v>127</v>
      </c>
    </row>
    <row r="46" spans="1:14" s="655" customFormat="1">
      <c r="A46" s="1344" t="s">
        <v>336</v>
      </c>
      <c r="B46" s="1344" t="s">
        <v>1432</v>
      </c>
      <c r="C46" s="1345">
        <v>11.02</v>
      </c>
      <c r="D46" s="1345">
        <v>8</v>
      </c>
      <c r="E46" s="821"/>
      <c r="F46" s="972" t="str">
        <f t="shared" si="1"/>
        <v>SA-387M Gr2311.028</v>
      </c>
      <c r="G46" s="1346">
        <v>9000</v>
      </c>
      <c r="H46" s="1346"/>
      <c r="I46" s="1347" t="s">
        <v>179</v>
      </c>
      <c r="J46" s="1347"/>
      <c r="K46" s="1347">
        <v>180</v>
      </c>
      <c r="L46" s="1348">
        <v>42914</v>
      </c>
      <c r="M46" s="1347">
        <v>7</v>
      </c>
      <c r="N46" s="1347" t="s">
        <v>127</v>
      </c>
    </row>
    <row r="47" spans="1:14" s="655" customFormat="1">
      <c r="A47" s="1344" t="s">
        <v>336</v>
      </c>
      <c r="B47" s="1344" t="s">
        <v>1432</v>
      </c>
      <c r="C47" s="1345">
        <v>14.1</v>
      </c>
      <c r="D47" s="1345">
        <v>8</v>
      </c>
      <c r="E47" s="821"/>
      <c r="F47" s="972" t="str">
        <f t="shared" si="1"/>
        <v>SA-387M Gr2314.18</v>
      </c>
      <c r="G47" s="1346">
        <v>9000</v>
      </c>
      <c r="H47" s="1346"/>
      <c r="I47" s="1347" t="s">
        <v>179</v>
      </c>
      <c r="J47" s="1347"/>
      <c r="K47" s="1347">
        <v>180</v>
      </c>
      <c r="L47" s="1348">
        <v>42914</v>
      </c>
      <c r="M47" s="1347">
        <v>7</v>
      </c>
      <c r="N47" s="1347" t="s">
        <v>127</v>
      </c>
    </row>
    <row r="48" spans="1:14" s="655" customFormat="1">
      <c r="A48" s="1344" t="s">
        <v>336</v>
      </c>
      <c r="B48" s="1344" t="s">
        <v>1432</v>
      </c>
      <c r="C48" s="1345">
        <v>18.62</v>
      </c>
      <c r="D48" s="1345">
        <v>8</v>
      </c>
      <c r="E48" s="821"/>
      <c r="F48" s="972" t="str">
        <f t="shared" si="1"/>
        <v>SA-387M Gr2318.628</v>
      </c>
      <c r="G48" s="1346">
        <v>9000</v>
      </c>
      <c r="H48" s="1346"/>
      <c r="I48" s="1347" t="s">
        <v>179</v>
      </c>
      <c r="J48" s="1347"/>
      <c r="K48" s="1347">
        <v>180</v>
      </c>
      <c r="L48" s="1348">
        <v>42914</v>
      </c>
      <c r="M48" s="1347">
        <v>7</v>
      </c>
      <c r="N48" s="1347" t="s">
        <v>127</v>
      </c>
    </row>
    <row r="49" spans="1:14" s="655" customFormat="1">
      <c r="A49" s="1344" t="s">
        <v>336</v>
      </c>
      <c r="B49" s="1344" t="s">
        <v>1432</v>
      </c>
      <c r="C49" s="1345">
        <v>18.78</v>
      </c>
      <c r="D49" s="1345">
        <v>8</v>
      </c>
      <c r="E49" s="821"/>
      <c r="F49" s="972" t="str">
        <f t="shared" si="1"/>
        <v>SA-387M Gr2318.788</v>
      </c>
      <c r="G49" s="1346">
        <v>9000</v>
      </c>
      <c r="H49" s="1346"/>
      <c r="I49" s="1347" t="s">
        <v>179</v>
      </c>
      <c r="J49" s="1347"/>
      <c r="K49" s="1347">
        <v>180</v>
      </c>
      <c r="L49" s="1348">
        <v>42914</v>
      </c>
      <c r="M49" s="1347">
        <v>7</v>
      </c>
      <c r="N49" s="1347" t="s">
        <v>127</v>
      </c>
    </row>
    <row r="50" spans="1:14" s="655" customFormat="1">
      <c r="A50" s="1344" t="s">
        <v>336</v>
      </c>
      <c r="B50" s="1344" t="s">
        <v>1432</v>
      </c>
      <c r="C50" s="1345">
        <v>18.899999999999999</v>
      </c>
      <c r="D50" s="1345">
        <v>8</v>
      </c>
      <c r="E50" s="821"/>
      <c r="F50" s="972" t="str">
        <f t="shared" si="1"/>
        <v>SA-387M Gr2318.98</v>
      </c>
      <c r="G50" s="1346">
        <v>9000</v>
      </c>
      <c r="H50" s="1346"/>
      <c r="I50" s="1347" t="s">
        <v>179</v>
      </c>
      <c r="J50" s="1347"/>
      <c r="K50" s="1347">
        <v>180</v>
      </c>
      <c r="L50" s="1348">
        <v>42914</v>
      </c>
      <c r="M50" s="1347">
        <v>7</v>
      </c>
      <c r="N50" s="1347" t="s">
        <v>127</v>
      </c>
    </row>
    <row r="51" spans="1:14" s="655" customFormat="1">
      <c r="A51" s="1344" t="s">
        <v>336</v>
      </c>
      <c r="B51" s="1344" t="s">
        <v>1432</v>
      </c>
      <c r="C51" s="1345">
        <v>26.4</v>
      </c>
      <c r="D51" s="1345">
        <v>8</v>
      </c>
      <c r="E51" s="1085"/>
      <c r="F51" s="972" t="str">
        <f t="shared" si="1"/>
        <v>SA-387M Gr2326.48</v>
      </c>
      <c r="G51" s="1346">
        <v>9000</v>
      </c>
      <c r="H51" s="1346"/>
      <c r="I51" s="1347" t="s">
        <v>179</v>
      </c>
      <c r="J51" s="1347"/>
      <c r="K51" s="1347">
        <v>180</v>
      </c>
      <c r="L51" s="1348">
        <v>42914</v>
      </c>
      <c r="M51" s="1347">
        <v>7</v>
      </c>
      <c r="N51" s="1347" t="s">
        <v>127</v>
      </c>
    </row>
    <row r="52" spans="1:14" s="655" customFormat="1">
      <c r="A52" s="1344" t="s">
        <v>336</v>
      </c>
      <c r="B52" s="1339" t="s">
        <v>1432</v>
      </c>
      <c r="C52" s="1345">
        <v>28.2</v>
      </c>
      <c r="D52" s="1345">
        <v>8</v>
      </c>
      <c r="E52" s="1085"/>
      <c r="F52" s="972" t="str">
        <f t="shared" si="1"/>
        <v>SA-387M Gr2328.28</v>
      </c>
      <c r="G52" s="1346">
        <v>9000</v>
      </c>
      <c r="H52" s="1346"/>
      <c r="I52" s="1347" t="s">
        <v>179</v>
      </c>
      <c r="J52" s="1347"/>
      <c r="K52" s="1347">
        <v>180</v>
      </c>
      <c r="L52" s="1348">
        <v>42914</v>
      </c>
      <c r="M52" s="1347">
        <v>7</v>
      </c>
      <c r="N52" s="1347" t="s">
        <v>127</v>
      </c>
    </row>
    <row r="53" spans="1:14" s="655" customFormat="1">
      <c r="A53" s="1344" t="s">
        <v>336</v>
      </c>
      <c r="B53" s="1339" t="s">
        <v>1432</v>
      </c>
      <c r="C53" s="1345">
        <v>33.799999999999997</v>
      </c>
      <c r="D53" s="1345">
        <v>8</v>
      </c>
      <c r="E53" s="1085"/>
      <c r="F53" s="972" t="str">
        <f t="shared" si="1"/>
        <v>SA-387M Gr2333.88</v>
      </c>
      <c r="G53" s="1346">
        <v>9000</v>
      </c>
      <c r="H53" s="1346"/>
      <c r="I53" s="1347" t="s">
        <v>179</v>
      </c>
      <c r="J53" s="1347"/>
      <c r="K53" s="1347">
        <v>180</v>
      </c>
      <c r="L53" s="1348">
        <v>42914</v>
      </c>
      <c r="M53" s="1347">
        <v>7</v>
      </c>
      <c r="N53" s="1347" t="s">
        <v>127</v>
      </c>
    </row>
    <row r="54" spans="1:14" s="655" customFormat="1">
      <c r="A54" s="1344" t="s">
        <v>336</v>
      </c>
      <c r="B54" s="1339" t="s">
        <v>1432</v>
      </c>
      <c r="C54" s="1345">
        <v>38.799999999999997</v>
      </c>
      <c r="D54" s="1345">
        <v>8</v>
      </c>
      <c r="E54" s="1085"/>
      <c r="F54" s="972" t="str">
        <f t="shared" si="1"/>
        <v>SA-387M Gr2338.88</v>
      </c>
      <c r="G54" s="1346">
        <v>9000</v>
      </c>
      <c r="H54" s="1346"/>
      <c r="I54" s="1347" t="s">
        <v>179</v>
      </c>
      <c r="J54" s="1347"/>
      <c r="K54" s="1347">
        <v>180</v>
      </c>
      <c r="L54" s="1348">
        <v>42914</v>
      </c>
      <c r="M54" s="1347">
        <v>7</v>
      </c>
      <c r="N54" s="1347" t="s">
        <v>127</v>
      </c>
    </row>
    <row r="55" spans="1:14" s="655" customFormat="1">
      <c r="A55" s="1344" t="s">
        <v>336</v>
      </c>
      <c r="B55" s="1339" t="s">
        <v>1432</v>
      </c>
      <c r="C55" s="1345">
        <v>51.8</v>
      </c>
      <c r="D55" s="1345">
        <v>8</v>
      </c>
      <c r="E55" s="1085"/>
      <c r="F55" s="972" t="str">
        <f t="shared" si="1"/>
        <v>SA-387M Gr2351.88</v>
      </c>
      <c r="G55" s="1346">
        <v>9000</v>
      </c>
      <c r="H55" s="1346"/>
      <c r="I55" s="1347" t="s">
        <v>179</v>
      </c>
      <c r="J55" s="1347"/>
      <c r="K55" s="1347">
        <v>180</v>
      </c>
      <c r="L55" s="1348">
        <v>42914</v>
      </c>
      <c r="M55" s="1347">
        <v>7</v>
      </c>
      <c r="N55" s="1347" t="s">
        <v>127</v>
      </c>
    </row>
    <row r="56" spans="1:14" s="655" customFormat="1">
      <c r="A56" s="1344" t="s">
        <v>336</v>
      </c>
      <c r="B56" s="1339" t="s">
        <v>1432</v>
      </c>
      <c r="C56" s="1345">
        <v>52</v>
      </c>
      <c r="D56" s="1345">
        <v>8</v>
      </c>
      <c r="E56" s="1085"/>
      <c r="F56" s="972" t="str">
        <f t="shared" si="1"/>
        <v>SA-387M Gr23528</v>
      </c>
      <c r="G56" s="1346">
        <v>9000</v>
      </c>
      <c r="H56" s="1346"/>
      <c r="I56" s="1347" t="s">
        <v>179</v>
      </c>
      <c r="J56" s="1347"/>
      <c r="K56" s="1347">
        <v>180</v>
      </c>
      <c r="L56" s="1348">
        <v>42914</v>
      </c>
      <c r="M56" s="1347">
        <v>7</v>
      </c>
      <c r="N56" s="1347" t="s">
        <v>127</v>
      </c>
    </row>
    <row r="57" spans="1:14" s="655" customFormat="1">
      <c r="A57" s="1344" t="s">
        <v>336</v>
      </c>
      <c r="B57" s="1344" t="s">
        <v>1432</v>
      </c>
      <c r="C57" s="1345">
        <v>77.599999999999994</v>
      </c>
      <c r="D57" s="1345">
        <v>8</v>
      </c>
      <c r="E57" s="1085"/>
      <c r="F57" s="972" t="str">
        <f t="shared" si="1"/>
        <v>SA-387M Gr2377.68</v>
      </c>
      <c r="G57" s="1346">
        <v>9000</v>
      </c>
      <c r="H57" s="1346"/>
      <c r="I57" s="1347" t="s">
        <v>179</v>
      </c>
      <c r="J57" s="1347"/>
      <c r="K57" s="1347">
        <v>180</v>
      </c>
      <c r="L57" s="1348">
        <v>42914</v>
      </c>
      <c r="M57" s="1347">
        <v>7</v>
      </c>
      <c r="N57" s="1347" t="s">
        <v>127</v>
      </c>
    </row>
    <row r="58" spans="1:14" s="655" customFormat="1">
      <c r="A58" s="1344" t="s">
        <v>336</v>
      </c>
      <c r="B58" s="1344" t="s">
        <v>1432</v>
      </c>
      <c r="C58" s="1345"/>
      <c r="D58" s="1345">
        <v>8</v>
      </c>
      <c r="E58" s="1085"/>
      <c r="F58" s="972" t="str">
        <f t="shared" si="1"/>
        <v>SA-387M Gr238</v>
      </c>
      <c r="G58" s="1346">
        <v>9000</v>
      </c>
      <c r="H58" s="1346"/>
      <c r="I58" s="1347" t="s">
        <v>179</v>
      </c>
      <c r="J58" s="1347"/>
      <c r="K58" s="1347">
        <v>180</v>
      </c>
      <c r="L58" s="1348">
        <v>42914</v>
      </c>
      <c r="M58" s="1347">
        <v>7</v>
      </c>
      <c r="N58" s="1347" t="s">
        <v>127</v>
      </c>
    </row>
    <row r="59" spans="1:14" s="655" customFormat="1" ht="24">
      <c r="A59" s="1344" t="s">
        <v>1394</v>
      </c>
      <c r="B59" s="1344" t="s">
        <v>1235</v>
      </c>
      <c r="C59" s="1345"/>
      <c r="D59" s="1345" t="s">
        <v>1479</v>
      </c>
      <c r="E59" s="1085"/>
      <c r="F59" s="972" t="str">
        <f t="shared" si="1"/>
        <v>Q235BHN700×300×13×24</v>
      </c>
      <c r="G59" s="1346">
        <v>5265</v>
      </c>
      <c r="H59" s="1346"/>
      <c r="I59" s="1347" t="s">
        <v>181</v>
      </c>
      <c r="J59" s="1347"/>
      <c r="K59" s="1347">
        <v>90</v>
      </c>
      <c r="L59" s="1348">
        <v>42914</v>
      </c>
      <c r="M59" s="1347">
        <v>7</v>
      </c>
      <c r="N59" s="1347" t="s">
        <v>127</v>
      </c>
    </row>
    <row r="60" spans="1:14" s="655" customFormat="1" ht="24">
      <c r="A60" s="1344" t="s">
        <v>1394</v>
      </c>
      <c r="B60" s="1344" t="s">
        <v>712</v>
      </c>
      <c r="C60" s="1345"/>
      <c r="D60" s="1345" t="s">
        <v>1444</v>
      </c>
      <c r="E60" s="1085"/>
      <c r="F60" s="972" t="str">
        <f t="shared" si="1"/>
        <v xml:space="preserve">Q345BHW200X200X8X12 </v>
      </c>
      <c r="G60" s="1346">
        <v>5265</v>
      </c>
      <c r="H60" s="1346"/>
      <c r="I60" s="1347" t="s">
        <v>181</v>
      </c>
      <c r="J60" s="1347"/>
      <c r="K60" s="1347">
        <v>90</v>
      </c>
      <c r="L60" s="1348">
        <v>42914</v>
      </c>
      <c r="M60" s="1347">
        <v>7</v>
      </c>
      <c r="N60" s="1347" t="s">
        <v>127</v>
      </c>
    </row>
    <row r="61" spans="1:14" s="655" customFormat="1">
      <c r="A61" s="1344" t="s">
        <v>79</v>
      </c>
      <c r="B61" s="1344">
        <v>45</v>
      </c>
      <c r="C61" s="1345"/>
      <c r="D61" s="1345"/>
      <c r="E61" s="1085"/>
      <c r="F61" s="972" t="str">
        <f t="shared" si="1"/>
        <v>45</v>
      </c>
      <c r="G61" s="1346">
        <v>5265</v>
      </c>
      <c r="H61" s="1346"/>
      <c r="I61" s="1347" t="s">
        <v>181</v>
      </c>
      <c r="J61" s="1347"/>
      <c r="K61" s="1347">
        <v>90</v>
      </c>
      <c r="L61" s="1348">
        <v>42914</v>
      </c>
      <c r="M61" s="1347">
        <v>7</v>
      </c>
      <c r="N61" s="1347" t="s">
        <v>127</v>
      </c>
    </row>
    <row r="62" spans="1:14" s="655" customFormat="1">
      <c r="A62" s="1344" t="s">
        <v>79</v>
      </c>
      <c r="B62" s="1344" t="s">
        <v>710</v>
      </c>
      <c r="C62" s="1345">
        <v>30</v>
      </c>
      <c r="D62" s="1345">
        <v>6</v>
      </c>
      <c r="E62" s="1085"/>
      <c r="F62" s="972" t="str">
        <f t="shared" si="1"/>
        <v>06Cr19Ni9306</v>
      </c>
      <c r="G62" s="1346">
        <v>19305</v>
      </c>
      <c r="H62" s="1346"/>
      <c r="I62" s="1347" t="s">
        <v>181</v>
      </c>
      <c r="J62" s="1347"/>
      <c r="K62" s="1347">
        <v>90</v>
      </c>
      <c r="L62" s="1348">
        <v>42914</v>
      </c>
      <c r="M62" s="1347">
        <v>7</v>
      </c>
      <c r="N62" s="1347" t="s">
        <v>127</v>
      </c>
    </row>
    <row r="63" spans="1:14" s="655" customFormat="1">
      <c r="A63" s="1344" t="s">
        <v>79</v>
      </c>
      <c r="B63" s="1344" t="s">
        <v>710</v>
      </c>
      <c r="C63" s="1345">
        <v>33</v>
      </c>
      <c r="D63" s="1345">
        <v>6</v>
      </c>
      <c r="E63" s="1085"/>
      <c r="F63" s="972" t="str">
        <f t="shared" si="1"/>
        <v>06Cr19Ni9336</v>
      </c>
      <c r="G63" s="1346">
        <v>19305</v>
      </c>
      <c r="H63" s="1346"/>
      <c r="I63" s="1347" t="s">
        <v>181</v>
      </c>
      <c r="J63" s="1347"/>
      <c r="K63" s="1347">
        <v>90</v>
      </c>
      <c r="L63" s="1348">
        <v>42914</v>
      </c>
      <c r="M63" s="1347">
        <v>7</v>
      </c>
      <c r="N63" s="1347" t="s">
        <v>127</v>
      </c>
    </row>
    <row r="64" spans="1:14" s="655" customFormat="1">
      <c r="A64" s="1344" t="s">
        <v>79</v>
      </c>
      <c r="B64" s="1344" t="s">
        <v>710</v>
      </c>
      <c r="C64" s="1345">
        <v>40</v>
      </c>
      <c r="D64" s="1345">
        <v>6</v>
      </c>
      <c r="E64" s="1085"/>
      <c r="F64" s="972" t="str">
        <f t="shared" si="1"/>
        <v>06Cr19Ni9406</v>
      </c>
      <c r="G64" s="1346">
        <v>19305</v>
      </c>
      <c r="H64" s="1346"/>
      <c r="I64" s="1347" t="s">
        <v>181</v>
      </c>
      <c r="J64" s="1347"/>
      <c r="K64" s="1347">
        <v>90</v>
      </c>
      <c r="L64" s="1348">
        <v>42914</v>
      </c>
      <c r="M64" s="1347">
        <v>7</v>
      </c>
      <c r="N64" s="1347" t="s">
        <v>127</v>
      </c>
    </row>
    <row r="65" spans="1:14" s="655" customFormat="1">
      <c r="A65" s="1344" t="s">
        <v>79</v>
      </c>
      <c r="B65" s="1344" t="s">
        <v>710</v>
      </c>
      <c r="C65" s="1345">
        <v>45</v>
      </c>
      <c r="D65" s="1345">
        <v>6</v>
      </c>
      <c r="E65" s="1085"/>
      <c r="F65" s="972" t="str">
        <f t="shared" si="1"/>
        <v>06Cr19Ni9456</v>
      </c>
      <c r="G65" s="1346">
        <v>19305</v>
      </c>
      <c r="H65" s="1346"/>
      <c r="I65" s="1347" t="s">
        <v>181</v>
      </c>
      <c r="J65" s="1347"/>
      <c r="K65" s="1347">
        <v>90</v>
      </c>
      <c r="L65" s="1348">
        <v>42914</v>
      </c>
      <c r="M65" s="1347">
        <v>7</v>
      </c>
      <c r="N65" s="1347" t="s">
        <v>127</v>
      </c>
    </row>
    <row r="66" spans="1:14" s="655" customFormat="1">
      <c r="A66" s="1344" t="s">
        <v>79</v>
      </c>
      <c r="B66" s="1344" t="s">
        <v>710</v>
      </c>
      <c r="C66" s="1345">
        <v>50</v>
      </c>
      <c r="D66" s="1345">
        <v>6</v>
      </c>
      <c r="E66" s="1085"/>
      <c r="F66" s="972" t="str">
        <f t="shared" si="1"/>
        <v>06Cr19Ni9506</v>
      </c>
      <c r="G66" s="1346">
        <v>19305</v>
      </c>
      <c r="H66" s="1346"/>
      <c r="I66" s="1347" t="s">
        <v>181</v>
      </c>
      <c r="J66" s="1347"/>
      <c r="K66" s="1347">
        <v>90</v>
      </c>
      <c r="L66" s="1348">
        <v>42914</v>
      </c>
      <c r="M66" s="1347">
        <v>7</v>
      </c>
      <c r="N66" s="1347" t="s">
        <v>127</v>
      </c>
    </row>
    <row r="67" spans="1:14" s="655" customFormat="1">
      <c r="A67" s="1344" t="s">
        <v>79</v>
      </c>
      <c r="B67" s="1344" t="s">
        <v>710</v>
      </c>
      <c r="C67" s="1345">
        <v>76</v>
      </c>
      <c r="D67" s="1345">
        <v>6</v>
      </c>
      <c r="E67" s="1085"/>
      <c r="F67" s="972" t="str">
        <f t="shared" si="1"/>
        <v>06Cr19Ni9766</v>
      </c>
      <c r="G67" s="1346">
        <v>19305</v>
      </c>
      <c r="H67" s="1346"/>
      <c r="I67" s="1347" t="s">
        <v>181</v>
      </c>
      <c r="J67" s="1347"/>
      <c r="K67" s="1347">
        <v>90</v>
      </c>
      <c r="L67" s="1348">
        <v>42914</v>
      </c>
      <c r="M67" s="1347">
        <v>7</v>
      </c>
      <c r="N67" s="1347" t="s">
        <v>127</v>
      </c>
    </row>
    <row r="68" spans="1:14" s="655" customFormat="1">
      <c r="A68" s="1344" t="s">
        <v>79</v>
      </c>
      <c r="B68" s="1344" t="s">
        <v>710</v>
      </c>
      <c r="C68" s="1345">
        <v>80</v>
      </c>
      <c r="D68" s="1345">
        <v>6</v>
      </c>
      <c r="E68" s="1085"/>
      <c r="F68" s="972" t="str">
        <f t="shared" si="1"/>
        <v>06Cr19Ni9806</v>
      </c>
      <c r="G68" s="1346">
        <v>19305</v>
      </c>
      <c r="H68" s="1346"/>
      <c r="I68" s="1347" t="s">
        <v>181</v>
      </c>
      <c r="J68" s="1347"/>
      <c r="K68" s="1347">
        <v>90</v>
      </c>
      <c r="L68" s="1348">
        <v>42914</v>
      </c>
      <c r="M68" s="1347">
        <v>7</v>
      </c>
      <c r="N68" s="1347" t="s">
        <v>127</v>
      </c>
    </row>
    <row r="69" spans="1:14" s="655" customFormat="1">
      <c r="A69" s="1344" t="s">
        <v>79</v>
      </c>
      <c r="B69" s="1344" t="s">
        <v>710</v>
      </c>
      <c r="C69" s="1345">
        <v>97</v>
      </c>
      <c r="D69" s="1345">
        <v>6</v>
      </c>
      <c r="E69" s="1085"/>
      <c r="F69" s="972" t="str">
        <f t="shared" si="1"/>
        <v>06Cr19Ni9976</v>
      </c>
      <c r="G69" s="1346">
        <v>19305</v>
      </c>
      <c r="H69" s="1346"/>
      <c r="I69" s="1347" t="s">
        <v>181</v>
      </c>
      <c r="J69" s="1347"/>
      <c r="K69" s="1347">
        <v>90</v>
      </c>
      <c r="L69" s="1348">
        <v>42914</v>
      </c>
      <c r="M69" s="1347">
        <v>7</v>
      </c>
      <c r="N69" s="1347" t="s">
        <v>127</v>
      </c>
    </row>
    <row r="70" spans="1:14" s="655" customFormat="1">
      <c r="A70" s="1344" t="s">
        <v>79</v>
      </c>
      <c r="B70" s="1344" t="s">
        <v>710</v>
      </c>
      <c r="C70" s="1345">
        <v>1500</v>
      </c>
      <c r="D70" s="1345">
        <v>6</v>
      </c>
      <c r="E70" s="1085"/>
      <c r="F70" s="972" t="str">
        <f t="shared" si="1"/>
        <v>06Cr19Ni915006</v>
      </c>
      <c r="G70" s="1346">
        <v>19305</v>
      </c>
      <c r="H70" s="1346"/>
      <c r="I70" s="1347" t="s">
        <v>181</v>
      </c>
      <c r="J70" s="1347"/>
      <c r="K70" s="1347">
        <v>90</v>
      </c>
      <c r="L70" s="1348">
        <v>42914</v>
      </c>
      <c r="M70" s="1347">
        <v>7</v>
      </c>
      <c r="N70" s="1347" t="s">
        <v>127</v>
      </c>
    </row>
    <row r="71" spans="1:14" s="655" customFormat="1">
      <c r="A71" s="1344" t="s">
        <v>79</v>
      </c>
      <c r="B71" s="1344" t="s">
        <v>710</v>
      </c>
      <c r="C71" s="1345"/>
      <c r="D71" s="1345">
        <v>6</v>
      </c>
      <c r="E71" s="1085"/>
      <c r="F71" s="972" t="str">
        <f t="shared" si="1"/>
        <v>06Cr19Ni96</v>
      </c>
      <c r="G71" s="1346">
        <v>19305</v>
      </c>
      <c r="H71" s="1346"/>
      <c r="I71" s="1347" t="s">
        <v>181</v>
      </c>
      <c r="J71" s="1347"/>
      <c r="K71" s="1347">
        <v>90</v>
      </c>
      <c r="L71" s="1348">
        <v>42914</v>
      </c>
      <c r="M71" s="1347">
        <v>7</v>
      </c>
      <c r="N71" s="1347" t="s">
        <v>127</v>
      </c>
    </row>
    <row r="72" spans="1:14" s="655" customFormat="1">
      <c r="A72" s="1344" t="s">
        <v>79</v>
      </c>
      <c r="B72" s="1344" t="s">
        <v>713</v>
      </c>
      <c r="C72" s="1345">
        <v>37</v>
      </c>
      <c r="D72" s="1345">
        <v>6</v>
      </c>
      <c r="E72" s="1085"/>
      <c r="F72" s="972" t="str">
        <f t="shared" si="1"/>
        <v>06Cr23Ni13376</v>
      </c>
      <c r="G72" s="1346">
        <v>29250</v>
      </c>
      <c r="H72" s="1346"/>
      <c r="I72" s="1347" t="s">
        <v>181</v>
      </c>
      <c r="J72" s="1347"/>
      <c r="K72" s="1347">
        <v>90</v>
      </c>
      <c r="L72" s="1348">
        <v>42914</v>
      </c>
      <c r="M72" s="1347">
        <v>7</v>
      </c>
      <c r="N72" s="1347" t="s">
        <v>127</v>
      </c>
    </row>
    <row r="73" spans="1:14" s="655" customFormat="1">
      <c r="A73" s="1344" t="s">
        <v>79</v>
      </c>
      <c r="B73" s="1344" t="s">
        <v>713</v>
      </c>
      <c r="C73" s="1345">
        <v>50</v>
      </c>
      <c r="D73" s="1345">
        <v>6</v>
      </c>
      <c r="E73" s="1085"/>
      <c r="F73" s="972" t="str">
        <f t="shared" si="1"/>
        <v>06Cr23Ni13506</v>
      </c>
      <c r="G73" s="1346">
        <v>29250</v>
      </c>
      <c r="H73" s="1346"/>
      <c r="I73" s="1347" t="s">
        <v>181</v>
      </c>
      <c r="J73" s="1347"/>
      <c r="K73" s="1347">
        <v>90</v>
      </c>
      <c r="L73" s="1348">
        <v>42914</v>
      </c>
      <c r="M73" s="1347">
        <v>7</v>
      </c>
      <c r="N73" s="1347" t="s">
        <v>127</v>
      </c>
    </row>
    <row r="74" spans="1:14" s="655" customFormat="1">
      <c r="A74" s="1344" t="s">
        <v>79</v>
      </c>
      <c r="B74" s="1344" t="s">
        <v>713</v>
      </c>
      <c r="C74" s="1345">
        <v>100</v>
      </c>
      <c r="D74" s="1345">
        <v>6</v>
      </c>
      <c r="E74" s="821"/>
      <c r="F74" s="972" t="str">
        <f t="shared" si="1"/>
        <v>06Cr23Ni131006</v>
      </c>
      <c r="G74" s="1346">
        <v>29250</v>
      </c>
      <c r="H74" s="1346"/>
      <c r="I74" s="1347" t="s">
        <v>181</v>
      </c>
      <c r="J74" s="1347"/>
      <c r="K74" s="1347">
        <v>90</v>
      </c>
      <c r="L74" s="1348">
        <v>42914</v>
      </c>
      <c r="M74" s="1347">
        <v>7</v>
      </c>
      <c r="N74" s="1347" t="s">
        <v>127</v>
      </c>
    </row>
    <row r="75" spans="1:14" s="655" customFormat="1">
      <c r="A75" s="1344" t="s">
        <v>79</v>
      </c>
      <c r="B75" s="1344" t="s">
        <v>713</v>
      </c>
      <c r="C75" s="1345"/>
      <c r="D75" s="1345">
        <v>6</v>
      </c>
      <c r="E75" s="821"/>
      <c r="F75" s="972" t="str">
        <f t="shared" si="1"/>
        <v>06Cr23Ni136</v>
      </c>
      <c r="G75" s="1346">
        <v>29250</v>
      </c>
      <c r="H75" s="1346"/>
      <c r="I75" s="1347" t="s">
        <v>181</v>
      </c>
      <c r="J75" s="1347"/>
      <c r="K75" s="1347">
        <v>90</v>
      </c>
      <c r="L75" s="1348">
        <v>42914</v>
      </c>
      <c r="M75" s="1347">
        <v>7</v>
      </c>
      <c r="N75" s="1347" t="s">
        <v>127</v>
      </c>
    </row>
    <row r="76" spans="1:14" s="655" customFormat="1">
      <c r="A76" s="1344" t="s">
        <v>79</v>
      </c>
      <c r="B76" s="1344" t="s">
        <v>717</v>
      </c>
      <c r="C76" s="1345">
        <v>15</v>
      </c>
      <c r="D76" s="1345">
        <v>3</v>
      </c>
      <c r="E76" s="821"/>
      <c r="F76" s="972" t="str">
        <f t="shared" si="1"/>
        <v>10Cr17153</v>
      </c>
      <c r="G76" s="1346">
        <v>7025</v>
      </c>
      <c r="H76" s="1346"/>
      <c r="I76" s="1347" t="s">
        <v>181</v>
      </c>
      <c r="J76" s="1347"/>
      <c r="K76" s="1347">
        <v>90</v>
      </c>
      <c r="L76" s="1348">
        <v>42914</v>
      </c>
      <c r="M76" s="1347">
        <v>7</v>
      </c>
      <c r="N76" s="1347" t="s">
        <v>127</v>
      </c>
    </row>
    <row r="77" spans="1:14" s="655" customFormat="1">
      <c r="A77" s="1344" t="s">
        <v>79</v>
      </c>
      <c r="B77" s="1344" t="s">
        <v>717</v>
      </c>
      <c r="C77" s="1345">
        <v>15</v>
      </c>
      <c r="D77" s="1345">
        <v>6</v>
      </c>
      <c r="E77" s="821"/>
      <c r="F77" s="972" t="str">
        <f t="shared" si="1"/>
        <v>10Cr17156</v>
      </c>
      <c r="G77" s="1346">
        <v>7025</v>
      </c>
      <c r="H77" s="1346"/>
      <c r="I77" s="1347" t="s">
        <v>181</v>
      </c>
      <c r="J77" s="1347"/>
      <c r="K77" s="1347">
        <v>90</v>
      </c>
      <c r="L77" s="1348">
        <v>42914</v>
      </c>
      <c r="M77" s="1347">
        <v>7</v>
      </c>
      <c r="N77" s="1347" t="s">
        <v>127</v>
      </c>
    </row>
    <row r="78" spans="1:14" s="655" customFormat="1">
      <c r="A78" s="1344" t="s">
        <v>79</v>
      </c>
      <c r="B78" s="1344" t="s">
        <v>717</v>
      </c>
      <c r="C78" s="1345">
        <v>25</v>
      </c>
      <c r="D78" s="1345">
        <v>6</v>
      </c>
      <c r="E78" s="821"/>
      <c r="F78" s="972" t="str">
        <f t="shared" si="1"/>
        <v>10Cr17256</v>
      </c>
      <c r="G78" s="1346">
        <v>7025</v>
      </c>
      <c r="H78" s="1346"/>
      <c r="I78" s="1347" t="s">
        <v>181</v>
      </c>
      <c r="J78" s="1347"/>
      <c r="K78" s="1347">
        <v>90</v>
      </c>
      <c r="L78" s="1348">
        <v>42914</v>
      </c>
      <c r="M78" s="1347">
        <v>7</v>
      </c>
      <c r="N78" s="1347" t="s">
        <v>127</v>
      </c>
    </row>
    <row r="79" spans="1:14" s="655" customFormat="1">
      <c r="A79" s="1344" t="s">
        <v>79</v>
      </c>
      <c r="B79" s="1344" t="s">
        <v>717</v>
      </c>
      <c r="C79" s="1345">
        <v>40</v>
      </c>
      <c r="D79" s="1345">
        <v>3</v>
      </c>
      <c r="E79" s="821"/>
      <c r="F79" s="972" t="str">
        <f t="shared" si="1"/>
        <v>10Cr17403</v>
      </c>
      <c r="G79" s="1346">
        <v>7025</v>
      </c>
      <c r="H79" s="1346"/>
      <c r="I79" s="1347" t="s">
        <v>181</v>
      </c>
      <c r="J79" s="1347"/>
      <c r="K79" s="1347">
        <v>90</v>
      </c>
      <c r="L79" s="1348">
        <v>42914</v>
      </c>
      <c r="M79" s="1347">
        <v>7</v>
      </c>
      <c r="N79" s="1347" t="s">
        <v>127</v>
      </c>
    </row>
    <row r="80" spans="1:14" s="655" customFormat="1">
      <c r="A80" s="1344" t="s">
        <v>79</v>
      </c>
      <c r="B80" s="1344" t="s">
        <v>717</v>
      </c>
      <c r="C80" s="1345">
        <v>50</v>
      </c>
      <c r="D80" s="1345">
        <v>6</v>
      </c>
      <c r="E80" s="821"/>
      <c r="F80" s="972" t="str">
        <f t="shared" ref="F80:F143" si="2">B80&amp;C80&amp;D80</f>
        <v>10Cr17506</v>
      </c>
      <c r="G80" s="1346">
        <v>7025</v>
      </c>
      <c r="H80" s="1346"/>
      <c r="I80" s="1347" t="s">
        <v>181</v>
      </c>
      <c r="J80" s="1347"/>
      <c r="K80" s="1347">
        <v>90</v>
      </c>
      <c r="L80" s="1348">
        <v>42914</v>
      </c>
      <c r="M80" s="1347">
        <v>7</v>
      </c>
      <c r="N80" s="1347" t="s">
        <v>127</v>
      </c>
    </row>
    <row r="81" spans="1:14" s="655" customFormat="1">
      <c r="A81" s="1344" t="s">
        <v>79</v>
      </c>
      <c r="B81" s="1344" t="s">
        <v>717</v>
      </c>
      <c r="C81" s="1345">
        <v>60</v>
      </c>
      <c r="D81" s="1345">
        <v>3</v>
      </c>
      <c r="E81" s="821"/>
      <c r="F81" s="972" t="str">
        <f t="shared" si="2"/>
        <v>10Cr17603</v>
      </c>
      <c r="G81" s="1346">
        <v>7025</v>
      </c>
      <c r="H81" s="1346"/>
      <c r="I81" s="1347" t="s">
        <v>181</v>
      </c>
      <c r="J81" s="1347"/>
      <c r="K81" s="1347">
        <v>90</v>
      </c>
      <c r="L81" s="1348">
        <v>42914</v>
      </c>
      <c r="M81" s="1347">
        <v>7</v>
      </c>
      <c r="N81" s="1347" t="s">
        <v>127</v>
      </c>
    </row>
    <row r="82" spans="1:14" s="655" customFormat="1">
      <c r="A82" s="1344" t="s">
        <v>79</v>
      </c>
      <c r="B82" s="1344" t="s">
        <v>717</v>
      </c>
      <c r="C82" s="1345">
        <v>80</v>
      </c>
      <c r="D82" s="1345">
        <v>3</v>
      </c>
      <c r="E82" s="821"/>
      <c r="F82" s="972" t="str">
        <f t="shared" si="2"/>
        <v>10Cr17803</v>
      </c>
      <c r="G82" s="1346">
        <v>7025</v>
      </c>
      <c r="H82" s="1346"/>
      <c r="I82" s="1347" t="s">
        <v>181</v>
      </c>
      <c r="J82" s="1347"/>
      <c r="K82" s="1347">
        <v>90</v>
      </c>
      <c r="L82" s="1348">
        <v>42914</v>
      </c>
      <c r="M82" s="1347">
        <v>7</v>
      </c>
      <c r="N82" s="1347" t="s">
        <v>127</v>
      </c>
    </row>
    <row r="83" spans="1:14" s="655" customFormat="1">
      <c r="A83" s="1344" t="s">
        <v>79</v>
      </c>
      <c r="B83" s="1344" t="s">
        <v>717</v>
      </c>
      <c r="C83" s="1345">
        <v>80</v>
      </c>
      <c r="D83" s="1345">
        <v>6</v>
      </c>
      <c r="E83" s="821"/>
      <c r="F83" s="972" t="str">
        <f t="shared" si="2"/>
        <v>10Cr17806</v>
      </c>
      <c r="G83" s="1346">
        <v>7025</v>
      </c>
      <c r="H83" s="1346"/>
      <c r="I83" s="1347" t="s">
        <v>181</v>
      </c>
      <c r="J83" s="1347"/>
      <c r="K83" s="1347">
        <v>90</v>
      </c>
      <c r="L83" s="1348">
        <v>42914</v>
      </c>
      <c r="M83" s="1347">
        <v>7</v>
      </c>
      <c r="N83" s="1347" t="s">
        <v>127</v>
      </c>
    </row>
    <row r="84" spans="1:14" s="655" customFormat="1">
      <c r="A84" s="1344" t="s">
        <v>79</v>
      </c>
      <c r="B84" s="1344" t="s">
        <v>717</v>
      </c>
      <c r="C84" s="1345">
        <v>90</v>
      </c>
      <c r="D84" s="1345">
        <v>6</v>
      </c>
      <c r="E84" s="821"/>
      <c r="F84" s="972" t="str">
        <f t="shared" si="2"/>
        <v>10Cr17906</v>
      </c>
      <c r="G84" s="1346">
        <v>7025</v>
      </c>
      <c r="H84" s="1346"/>
      <c r="I84" s="1347" t="s">
        <v>181</v>
      </c>
      <c r="J84" s="1347"/>
      <c r="K84" s="1347">
        <v>90</v>
      </c>
      <c r="L84" s="1348">
        <v>42914</v>
      </c>
      <c r="M84" s="1347">
        <v>7</v>
      </c>
      <c r="N84" s="1347" t="s">
        <v>127</v>
      </c>
    </row>
    <row r="85" spans="1:14" s="655" customFormat="1">
      <c r="A85" s="1344" t="s">
        <v>79</v>
      </c>
      <c r="B85" s="1344" t="s">
        <v>717</v>
      </c>
      <c r="C85" s="1345">
        <v>1100</v>
      </c>
      <c r="D85" s="1345">
        <v>3</v>
      </c>
      <c r="E85" s="821"/>
      <c r="F85" s="972" t="str">
        <f t="shared" si="2"/>
        <v>10Cr1711003</v>
      </c>
      <c r="G85" s="1346">
        <v>7025</v>
      </c>
      <c r="H85" s="1346"/>
      <c r="I85" s="1347" t="s">
        <v>181</v>
      </c>
      <c r="J85" s="1347"/>
      <c r="K85" s="1347">
        <v>90</v>
      </c>
      <c r="L85" s="1348">
        <v>42914</v>
      </c>
      <c r="M85" s="1347">
        <v>7</v>
      </c>
      <c r="N85" s="1347" t="s">
        <v>127</v>
      </c>
    </row>
    <row r="86" spans="1:14" s="655" customFormat="1">
      <c r="A86" s="1344" t="s">
        <v>79</v>
      </c>
      <c r="B86" s="1344" t="s">
        <v>717</v>
      </c>
      <c r="C86" s="1345">
        <v>2170</v>
      </c>
      <c r="D86" s="1345">
        <v>3</v>
      </c>
      <c r="E86" s="821"/>
      <c r="F86" s="972" t="str">
        <f t="shared" si="2"/>
        <v>10Cr1721703</v>
      </c>
      <c r="G86" s="1346">
        <v>7025</v>
      </c>
      <c r="H86" s="1346"/>
      <c r="I86" s="1347" t="s">
        <v>181</v>
      </c>
      <c r="J86" s="1347"/>
      <c r="K86" s="1347">
        <v>90</v>
      </c>
      <c r="L86" s="1348">
        <v>42914</v>
      </c>
      <c r="M86" s="1347">
        <v>7</v>
      </c>
      <c r="N86" s="1347" t="s">
        <v>127</v>
      </c>
    </row>
    <row r="87" spans="1:14" s="655" customFormat="1">
      <c r="A87" s="1344" t="s">
        <v>79</v>
      </c>
      <c r="B87" s="1344" t="s">
        <v>717</v>
      </c>
      <c r="C87" s="1345">
        <v>3800</v>
      </c>
      <c r="D87" s="1345">
        <v>3</v>
      </c>
      <c r="E87" s="821"/>
      <c r="F87" s="972" t="str">
        <f t="shared" si="2"/>
        <v>10Cr1738003</v>
      </c>
      <c r="G87" s="1346">
        <v>7025</v>
      </c>
      <c r="H87" s="1346"/>
      <c r="I87" s="1347" t="s">
        <v>181</v>
      </c>
      <c r="J87" s="1347"/>
      <c r="K87" s="1347">
        <v>90</v>
      </c>
      <c r="L87" s="1348">
        <v>42914</v>
      </c>
      <c r="M87" s="1347">
        <v>7</v>
      </c>
      <c r="N87" s="1347" t="s">
        <v>127</v>
      </c>
    </row>
    <row r="88" spans="1:14" s="655" customFormat="1">
      <c r="A88" s="1344" t="s">
        <v>79</v>
      </c>
      <c r="B88" s="1344" t="s">
        <v>717</v>
      </c>
      <c r="C88" s="1345">
        <v>3970</v>
      </c>
      <c r="D88" s="1345">
        <v>3</v>
      </c>
      <c r="E88" s="821"/>
      <c r="F88" s="972" t="str">
        <f t="shared" si="2"/>
        <v>10Cr1739703</v>
      </c>
      <c r="G88" s="1346">
        <v>7025</v>
      </c>
      <c r="H88" s="1346"/>
      <c r="I88" s="1347" t="s">
        <v>181</v>
      </c>
      <c r="J88" s="1347"/>
      <c r="K88" s="1347">
        <v>90</v>
      </c>
      <c r="L88" s="1348">
        <v>42914</v>
      </c>
      <c r="M88" s="1347">
        <v>7</v>
      </c>
      <c r="N88" s="1347" t="s">
        <v>127</v>
      </c>
    </row>
    <row r="89" spans="1:14" s="655" customFormat="1">
      <c r="A89" s="1344" t="s">
        <v>79</v>
      </c>
      <c r="B89" s="1344" t="s">
        <v>1523</v>
      </c>
      <c r="C89" s="1345" t="s">
        <v>1524</v>
      </c>
      <c r="D89" s="1345"/>
      <c r="E89" s="821"/>
      <c r="F89" s="972" t="str">
        <f t="shared" si="2"/>
        <v>12Cr1MoVδ8</v>
      </c>
      <c r="G89" s="1346">
        <v>7020</v>
      </c>
      <c r="H89" s="1346"/>
      <c r="I89" s="1347" t="s">
        <v>181</v>
      </c>
      <c r="J89" s="1347"/>
      <c r="K89" s="1347">
        <v>90</v>
      </c>
      <c r="L89" s="1348">
        <v>42914</v>
      </c>
      <c r="M89" s="1347">
        <v>7</v>
      </c>
      <c r="N89" s="1347" t="s">
        <v>127</v>
      </c>
    </row>
    <row r="90" spans="1:14" s="655" customFormat="1">
      <c r="A90" s="1344" t="s">
        <v>79</v>
      </c>
      <c r="B90" s="1344" t="s">
        <v>714</v>
      </c>
      <c r="C90" s="1345">
        <v>30</v>
      </c>
      <c r="D90" s="1345">
        <v>6</v>
      </c>
      <c r="E90" s="821"/>
      <c r="F90" s="972" t="str">
        <f t="shared" si="2"/>
        <v>N06601306</v>
      </c>
      <c r="G90" s="1346">
        <v>20000</v>
      </c>
      <c r="H90" s="1346"/>
      <c r="I90" s="1347" t="s">
        <v>257</v>
      </c>
      <c r="J90" s="1347"/>
      <c r="K90" s="1347">
        <v>180</v>
      </c>
      <c r="L90" s="1348">
        <v>42914</v>
      </c>
      <c r="M90" s="1347">
        <v>7</v>
      </c>
      <c r="N90" s="1347" t="s">
        <v>127</v>
      </c>
    </row>
    <row r="91" spans="1:14" s="655" customFormat="1">
      <c r="A91" s="1344" t="s">
        <v>79</v>
      </c>
      <c r="B91" s="1344" t="s">
        <v>714</v>
      </c>
      <c r="C91" s="1345">
        <v>40</v>
      </c>
      <c r="D91" s="1345">
        <v>6</v>
      </c>
      <c r="E91" s="821"/>
      <c r="F91" s="972" t="str">
        <f t="shared" si="2"/>
        <v>N06601406</v>
      </c>
      <c r="G91" s="1346">
        <v>20000</v>
      </c>
      <c r="H91" s="1346"/>
      <c r="I91" s="1347" t="s">
        <v>257</v>
      </c>
      <c r="J91" s="1347"/>
      <c r="K91" s="1347">
        <v>180</v>
      </c>
      <c r="L91" s="1348">
        <v>42914</v>
      </c>
      <c r="M91" s="1347">
        <v>7</v>
      </c>
      <c r="N91" s="1347" t="s">
        <v>127</v>
      </c>
    </row>
    <row r="92" spans="1:14" s="655" customFormat="1">
      <c r="A92" s="1344" t="s">
        <v>79</v>
      </c>
      <c r="B92" s="1344" t="s">
        <v>714</v>
      </c>
      <c r="C92" s="1345">
        <v>90</v>
      </c>
      <c r="D92" s="1345">
        <v>6</v>
      </c>
      <c r="E92" s="821"/>
      <c r="F92" s="972" t="str">
        <f t="shared" si="2"/>
        <v>N06601906</v>
      </c>
      <c r="G92" s="1346">
        <v>20000</v>
      </c>
      <c r="H92" s="1346"/>
      <c r="I92" s="1347" t="s">
        <v>257</v>
      </c>
      <c r="J92" s="1347"/>
      <c r="K92" s="1347">
        <v>180</v>
      </c>
      <c r="L92" s="1348">
        <v>42914</v>
      </c>
      <c r="M92" s="1347">
        <v>7</v>
      </c>
      <c r="N92" s="1347" t="s">
        <v>127</v>
      </c>
    </row>
    <row r="93" spans="1:14" s="655" customFormat="1">
      <c r="A93" s="1344" t="s">
        <v>79</v>
      </c>
      <c r="B93" s="1344" t="s">
        <v>714</v>
      </c>
      <c r="C93" s="1345">
        <v>150</v>
      </c>
      <c r="D93" s="1345">
        <v>6</v>
      </c>
      <c r="E93" s="821"/>
      <c r="F93" s="972" t="str">
        <f t="shared" si="2"/>
        <v>N066011506</v>
      </c>
      <c r="G93" s="1346">
        <v>20000</v>
      </c>
      <c r="H93" s="1346"/>
      <c r="I93" s="1347" t="s">
        <v>257</v>
      </c>
      <c r="J93" s="1347"/>
      <c r="K93" s="1347">
        <v>180</v>
      </c>
      <c r="L93" s="1348">
        <v>42914</v>
      </c>
      <c r="M93" s="1347">
        <v>7</v>
      </c>
      <c r="N93" s="1347" t="s">
        <v>127</v>
      </c>
    </row>
    <row r="94" spans="1:14" s="655" customFormat="1">
      <c r="A94" s="1344" t="s">
        <v>79</v>
      </c>
      <c r="B94" s="1344" t="s">
        <v>714</v>
      </c>
      <c r="C94" s="1345">
        <v>585</v>
      </c>
      <c r="D94" s="1345">
        <v>6</v>
      </c>
      <c r="E94" s="821"/>
      <c r="F94" s="972" t="str">
        <f t="shared" si="2"/>
        <v>N066015856</v>
      </c>
      <c r="G94" s="1346">
        <v>20000</v>
      </c>
      <c r="H94" s="1346"/>
      <c r="I94" s="1347" t="s">
        <v>257</v>
      </c>
      <c r="J94" s="1347"/>
      <c r="K94" s="1347">
        <v>180</v>
      </c>
      <c r="L94" s="1348">
        <v>42914</v>
      </c>
      <c r="M94" s="1347">
        <v>7</v>
      </c>
      <c r="N94" s="1347" t="s">
        <v>127</v>
      </c>
    </row>
    <row r="95" spans="1:14" s="655" customFormat="1">
      <c r="A95" s="1344" t="s">
        <v>79</v>
      </c>
      <c r="B95" s="1344" t="s">
        <v>714</v>
      </c>
      <c r="C95" s="1345">
        <v>1500</v>
      </c>
      <c r="D95" s="1345">
        <v>6</v>
      </c>
      <c r="E95" s="821"/>
      <c r="F95" s="972" t="str">
        <f t="shared" si="2"/>
        <v>N0660115006</v>
      </c>
      <c r="G95" s="1346">
        <v>20000</v>
      </c>
      <c r="H95" s="1346"/>
      <c r="I95" s="1347" t="s">
        <v>257</v>
      </c>
      <c r="J95" s="1347"/>
      <c r="K95" s="1347">
        <v>180</v>
      </c>
      <c r="L95" s="1348">
        <v>42914</v>
      </c>
      <c r="M95" s="1347">
        <v>7</v>
      </c>
      <c r="N95" s="1347" t="s">
        <v>127</v>
      </c>
    </row>
    <row r="96" spans="1:14" s="655" customFormat="1">
      <c r="A96" s="1344" t="s">
        <v>79</v>
      </c>
      <c r="B96" s="1344" t="s">
        <v>719</v>
      </c>
      <c r="C96" s="1345">
        <v>900</v>
      </c>
      <c r="D96" s="1345">
        <v>10</v>
      </c>
      <c r="E96" s="821"/>
      <c r="F96" s="972" t="str">
        <f t="shared" si="2"/>
        <v>Q235A90010</v>
      </c>
      <c r="G96" s="1346">
        <v>5265</v>
      </c>
      <c r="H96" s="1346"/>
      <c r="I96" s="1347" t="s">
        <v>181</v>
      </c>
      <c r="J96" s="1347"/>
      <c r="K96" s="1347">
        <v>90</v>
      </c>
      <c r="L96" s="1348">
        <v>42914</v>
      </c>
      <c r="M96" s="1347">
        <v>7</v>
      </c>
      <c r="N96" s="1347" t="s">
        <v>127</v>
      </c>
    </row>
    <row r="97" spans="1:14" s="655" customFormat="1">
      <c r="A97" s="1344" t="s">
        <v>79</v>
      </c>
      <c r="B97" s="1344" t="s">
        <v>719</v>
      </c>
      <c r="C97" s="1345">
        <v>1500</v>
      </c>
      <c r="D97" s="1345">
        <v>16</v>
      </c>
      <c r="E97" s="821"/>
      <c r="F97" s="972" t="str">
        <f t="shared" si="2"/>
        <v>Q235A150016</v>
      </c>
      <c r="G97" s="1346">
        <v>5265</v>
      </c>
      <c r="H97" s="1346"/>
      <c r="I97" s="1347" t="s">
        <v>181</v>
      </c>
      <c r="J97" s="1347"/>
      <c r="K97" s="1347">
        <v>90</v>
      </c>
      <c r="L97" s="1348">
        <v>42914</v>
      </c>
      <c r="M97" s="1347">
        <v>7</v>
      </c>
      <c r="N97" s="1347" t="s">
        <v>127</v>
      </c>
    </row>
    <row r="98" spans="1:14" s="655" customFormat="1">
      <c r="A98" s="1344" t="s">
        <v>79</v>
      </c>
      <c r="B98" s="1344" t="s">
        <v>719</v>
      </c>
      <c r="C98" s="1345"/>
      <c r="D98" s="1345"/>
      <c r="E98" s="821"/>
      <c r="F98" s="972" t="str">
        <f t="shared" si="2"/>
        <v>Q235A</v>
      </c>
      <c r="G98" s="1346">
        <v>5265</v>
      </c>
      <c r="H98" s="1346"/>
      <c r="I98" s="1347" t="s">
        <v>181</v>
      </c>
      <c r="J98" s="1347"/>
      <c r="K98" s="1347">
        <v>90</v>
      </c>
      <c r="L98" s="1348">
        <v>42914</v>
      </c>
      <c r="M98" s="1347">
        <v>7</v>
      </c>
      <c r="N98" s="1347" t="s">
        <v>127</v>
      </c>
    </row>
    <row r="99" spans="1:14" s="655" customFormat="1">
      <c r="A99" s="1344" t="s">
        <v>79</v>
      </c>
      <c r="B99" s="1344" t="s">
        <v>1235</v>
      </c>
      <c r="C99" s="1345">
        <v>30</v>
      </c>
      <c r="D99" s="1345">
        <v>6</v>
      </c>
      <c r="E99" s="821"/>
      <c r="F99" s="972" t="str">
        <f t="shared" si="2"/>
        <v>Q235B306</v>
      </c>
      <c r="G99" s="1346">
        <v>5265</v>
      </c>
      <c r="H99" s="1346"/>
      <c r="I99" s="1347" t="s">
        <v>181</v>
      </c>
      <c r="J99" s="1347"/>
      <c r="K99" s="1347">
        <v>90</v>
      </c>
      <c r="L99" s="1348">
        <v>42914</v>
      </c>
      <c r="M99" s="1347">
        <v>7</v>
      </c>
      <c r="N99" s="1347" t="s">
        <v>127</v>
      </c>
    </row>
    <row r="100" spans="1:14" s="655" customFormat="1">
      <c r="A100" s="1344" t="s">
        <v>79</v>
      </c>
      <c r="B100" s="1339" t="s">
        <v>1235</v>
      </c>
      <c r="C100" s="1345">
        <v>600</v>
      </c>
      <c r="D100" s="1345">
        <v>40</v>
      </c>
      <c r="E100" s="821"/>
      <c r="F100" s="972" t="str">
        <f t="shared" si="2"/>
        <v>Q235B60040</v>
      </c>
      <c r="G100" s="1346">
        <v>5265</v>
      </c>
      <c r="H100" s="1346"/>
      <c r="I100" s="1347" t="s">
        <v>181</v>
      </c>
      <c r="J100" s="1347"/>
      <c r="K100" s="1347">
        <v>90</v>
      </c>
      <c r="L100" s="1348">
        <v>42914</v>
      </c>
      <c r="M100" s="1347">
        <v>7</v>
      </c>
      <c r="N100" s="1347" t="s">
        <v>127</v>
      </c>
    </row>
    <row r="101" spans="1:14" s="655" customFormat="1">
      <c r="A101" s="1344" t="s">
        <v>79</v>
      </c>
      <c r="B101" s="1339" t="s">
        <v>1235</v>
      </c>
      <c r="C101" s="1345">
        <v>1000</v>
      </c>
      <c r="D101" s="1345">
        <v>8</v>
      </c>
      <c r="E101" s="821"/>
      <c r="F101" s="972" t="str">
        <f t="shared" si="2"/>
        <v>Q235B10008</v>
      </c>
      <c r="G101" s="1346">
        <v>5265</v>
      </c>
      <c r="H101" s="1346"/>
      <c r="I101" s="1347" t="s">
        <v>181</v>
      </c>
      <c r="J101" s="1347"/>
      <c r="K101" s="1347">
        <v>90</v>
      </c>
      <c r="L101" s="1348">
        <v>42914</v>
      </c>
      <c r="M101" s="1347">
        <v>7</v>
      </c>
      <c r="N101" s="1347" t="s">
        <v>127</v>
      </c>
    </row>
    <row r="102" spans="1:14" s="655" customFormat="1">
      <c r="A102" s="1344" t="s">
        <v>79</v>
      </c>
      <c r="B102" s="1339" t="s">
        <v>1235</v>
      </c>
      <c r="C102" s="1345">
        <v>1000</v>
      </c>
      <c r="D102" s="1345">
        <v>12</v>
      </c>
      <c r="E102" s="821"/>
      <c r="F102" s="972" t="str">
        <f t="shared" si="2"/>
        <v>Q235B100012</v>
      </c>
      <c r="G102" s="1346">
        <v>5265</v>
      </c>
      <c r="H102" s="1346"/>
      <c r="I102" s="1347" t="s">
        <v>181</v>
      </c>
      <c r="J102" s="1347"/>
      <c r="K102" s="1347">
        <v>90</v>
      </c>
      <c r="L102" s="1348">
        <v>42914</v>
      </c>
      <c r="M102" s="1347">
        <v>7</v>
      </c>
      <c r="N102" s="1347" t="s">
        <v>127</v>
      </c>
    </row>
    <row r="103" spans="1:14" s="655" customFormat="1">
      <c r="A103" s="1344" t="s">
        <v>79</v>
      </c>
      <c r="B103" s="1339" t="s">
        <v>1235</v>
      </c>
      <c r="C103" s="1345">
        <v>1000</v>
      </c>
      <c r="D103" s="1345">
        <v>20</v>
      </c>
      <c r="E103" s="821"/>
      <c r="F103" s="972" t="str">
        <f t="shared" si="2"/>
        <v>Q235B100020</v>
      </c>
      <c r="G103" s="1346">
        <v>5265</v>
      </c>
      <c r="H103" s="1346"/>
      <c r="I103" s="1347" t="s">
        <v>181</v>
      </c>
      <c r="J103" s="1347"/>
      <c r="K103" s="1347">
        <v>90</v>
      </c>
      <c r="L103" s="1348">
        <v>42914</v>
      </c>
      <c r="M103" s="1347">
        <v>7</v>
      </c>
      <c r="N103" s="1347" t="s">
        <v>127</v>
      </c>
    </row>
    <row r="104" spans="1:14" s="655" customFormat="1">
      <c r="A104" s="1344" t="s">
        <v>79</v>
      </c>
      <c r="B104" s="1339" t="s">
        <v>1235</v>
      </c>
      <c r="C104" s="1345"/>
      <c r="D104" s="1345">
        <v>6</v>
      </c>
      <c r="E104" s="821"/>
      <c r="F104" s="972" t="str">
        <f t="shared" si="2"/>
        <v>Q235B6</v>
      </c>
      <c r="G104" s="1346">
        <v>5265</v>
      </c>
      <c r="H104" s="1346"/>
      <c r="I104" s="1347" t="s">
        <v>181</v>
      </c>
      <c r="J104" s="1347"/>
      <c r="K104" s="1347">
        <v>90</v>
      </c>
      <c r="L104" s="1348">
        <v>42914</v>
      </c>
      <c r="M104" s="1347">
        <v>7</v>
      </c>
      <c r="N104" s="1347" t="s">
        <v>127</v>
      </c>
    </row>
    <row r="105" spans="1:14" s="655" customFormat="1">
      <c r="A105" s="1344" t="s">
        <v>79</v>
      </c>
      <c r="B105" s="1339" t="s">
        <v>1235</v>
      </c>
      <c r="C105" s="1345"/>
      <c r="D105" s="1345">
        <v>15</v>
      </c>
      <c r="E105" s="821"/>
      <c r="F105" s="972" t="str">
        <f t="shared" si="2"/>
        <v>Q235B15</v>
      </c>
      <c r="G105" s="1346">
        <v>5265</v>
      </c>
      <c r="H105" s="1346"/>
      <c r="I105" s="1347" t="s">
        <v>181</v>
      </c>
      <c r="J105" s="1347"/>
      <c r="K105" s="1347">
        <v>90</v>
      </c>
      <c r="L105" s="1348">
        <v>42914</v>
      </c>
      <c r="M105" s="1347">
        <v>7</v>
      </c>
      <c r="N105" s="1347" t="s">
        <v>127</v>
      </c>
    </row>
    <row r="106" spans="1:14" s="655" customFormat="1">
      <c r="A106" s="1344" t="s">
        <v>79</v>
      </c>
      <c r="B106" s="1339" t="s">
        <v>1235</v>
      </c>
      <c r="C106" s="1345"/>
      <c r="D106" s="1345">
        <v>17</v>
      </c>
      <c r="E106" s="821"/>
      <c r="F106" s="972" t="str">
        <f t="shared" si="2"/>
        <v>Q235B17</v>
      </c>
      <c r="G106" s="1346">
        <v>5265</v>
      </c>
      <c r="H106" s="1346"/>
      <c r="I106" s="1347" t="s">
        <v>181</v>
      </c>
      <c r="J106" s="1347"/>
      <c r="K106" s="1347">
        <v>90</v>
      </c>
      <c r="L106" s="1348">
        <v>42914</v>
      </c>
      <c r="M106" s="1347">
        <v>7</v>
      </c>
      <c r="N106" s="1347" t="s">
        <v>127</v>
      </c>
    </row>
    <row r="107" spans="1:14" s="655" customFormat="1">
      <c r="A107" s="1344" t="s">
        <v>79</v>
      </c>
      <c r="B107" s="1339" t="s">
        <v>1235</v>
      </c>
      <c r="C107" s="1345"/>
      <c r="D107" s="1345">
        <v>20</v>
      </c>
      <c r="E107" s="821"/>
      <c r="F107" s="972" t="str">
        <f t="shared" si="2"/>
        <v>Q235B20</v>
      </c>
      <c r="G107" s="1346">
        <v>5265</v>
      </c>
      <c r="H107" s="1346"/>
      <c r="I107" s="1347" t="s">
        <v>181</v>
      </c>
      <c r="J107" s="1347"/>
      <c r="K107" s="1347">
        <v>90</v>
      </c>
      <c r="L107" s="1348">
        <v>42914</v>
      </c>
      <c r="M107" s="1347">
        <v>7</v>
      </c>
      <c r="N107" s="1347" t="s">
        <v>127</v>
      </c>
    </row>
    <row r="108" spans="1:14" s="655" customFormat="1">
      <c r="A108" s="1344" t="s">
        <v>79</v>
      </c>
      <c r="B108" s="1339" t="s">
        <v>1235</v>
      </c>
      <c r="C108" s="1345"/>
      <c r="D108" s="1345">
        <v>25</v>
      </c>
      <c r="E108" s="821"/>
      <c r="F108" s="972" t="str">
        <f t="shared" si="2"/>
        <v>Q235B25</v>
      </c>
      <c r="G108" s="1346">
        <v>5265</v>
      </c>
      <c r="H108" s="1346"/>
      <c r="I108" s="1347" t="s">
        <v>181</v>
      </c>
      <c r="J108" s="1347"/>
      <c r="K108" s="1347">
        <v>90</v>
      </c>
      <c r="L108" s="1348">
        <v>42914</v>
      </c>
      <c r="M108" s="1347">
        <v>7</v>
      </c>
      <c r="N108" s="1347" t="s">
        <v>127</v>
      </c>
    </row>
    <row r="109" spans="1:14" s="655" customFormat="1">
      <c r="A109" s="1344" t="s">
        <v>79</v>
      </c>
      <c r="B109" s="1339" t="s">
        <v>712</v>
      </c>
      <c r="C109" s="1345">
        <v>60</v>
      </c>
      <c r="D109" s="1345">
        <v>10</v>
      </c>
      <c r="E109" s="821"/>
      <c r="F109" s="972" t="str">
        <f t="shared" si="2"/>
        <v>Q345B6010</v>
      </c>
      <c r="G109" s="1346">
        <v>5265</v>
      </c>
      <c r="H109" s="1346"/>
      <c r="I109" s="1347" t="s">
        <v>181</v>
      </c>
      <c r="J109" s="1347"/>
      <c r="K109" s="1347">
        <v>90</v>
      </c>
      <c r="L109" s="1348">
        <v>42914</v>
      </c>
      <c r="M109" s="1347">
        <v>7</v>
      </c>
      <c r="N109" s="1347" t="s">
        <v>127</v>
      </c>
    </row>
    <row r="110" spans="1:14" s="655" customFormat="1">
      <c r="A110" s="1344" t="s">
        <v>79</v>
      </c>
      <c r="B110" s="1339" t="s">
        <v>712</v>
      </c>
      <c r="C110" s="1345">
        <v>90</v>
      </c>
      <c r="D110" s="1345">
        <v>20</v>
      </c>
      <c r="E110" s="821"/>
      <c r="F110" s="972" t="str">
        <f t="shared" si="2"/>
        <v>Q345B9020</v>
      </c>
      <c r="G110" s="1346">
        <v>5265</v>
      </c>
      <c r="H110" s="1346"/>
      <c r="I110" s="1347" t="s">
        <v>181</v>
      </c>
      <c r="J110" s="1347"/>
      <c r="K110" s="1347">
        <v>90</v>
      </c>
      <c r="L110" s="1348">
        <v>42914</v>
      </c>
      <c r="M110" s="1347">
        <v>7</v>
      </c>
      <c r="N110" s="1347" t="s">
        <v>127</v>
      </c>
    </row>
    <row r="111" spans="1:14" s="655" customFormat="1">
      <c r="A111" s="1344" t="s">
        <v>79</v>
      </c>
      <c r="B111" s="1339" t="s">
        <v>712</v>
      </c>
      <c r="C111" s="1345">
        <v>140</v>
      </c>
      <c r="D111" s="1345">
        <v>10</v>
      </c>
      <c r="E111" s="821"/>
      <c r="F111" s="972" t="str">
        <f t="shared" si="2"/>
        <v>Q345B14010</v>
      </c>
      <c r="G111" s="1346">
        <v>5265</v>
      </c>
      <c r="H111" s="1346"/>
      <c r="I111" s="1347" t="s">
        <v>181</v>
      </c>
      <c r="J111" s="1347"/>
      <c r="K111" s="1347">
        <v>90</v>
      </c>
      <c r="L111" s="1348">
        <v>42914</v>
      </c>
      <c r="M111" s="1347">
        <v>7</v>
      </c>
      <c r="N111" s="1347" t="s">
        <v>127</v>
      </c>
    </row>
    <row r="112" spans="1:14" s="655" customFormat="1">
      <c r="A112" s="1344" t="s">
        <v>79</v>
      </c>
      <c r="B112" s="1344" t="s">
        <v>712</v>
      </c>
      <c r="C112" s="1345">
        <v>140</v>
      </c>
      <c r="D112" s="1345">
        <v>40</v>
      </c>
      <c r="E112" s="821"/>
      <c r="F112" s="972" t="str">
        <f t="shared" si="2"/>
        <v>Q345B14040</v>
      </c>
      <c r="G112" s="1346">
        <v>5265</v>
      </c>
      <c r="H112" s="1346"/>
      <c r="I112" s="1347" t="s">
        <v>181</v>
      </c>
      <c r="J112" s="1347"/>
      <c r="K112" s="1347">
        <v>90</v>
      </c>
      <c r="L112" s="1348">
        <v>42914</v>
      </c>
      <c r="M112" s="1347">
        <v>7</v>
      </c>
      <c r="N112" s="1347" t="s">
        <v>127</v>
      </c>
    </row>
    <row r="113" spans="1:14" s="655" customFormat="1">
      <c r="A113" s="1344" t="s">
        <v>79</v>
      </c>
      <c r="B113" s="1344" t="s">
        <v>712</v>
      </c>
      <c r="C113" s="1345">
        <v>150</v>
      </c>
      <c r="D113" s="1345">
        <v>10</v>
      </c>
      <c r="E113" s="821"/>
      <c r="F113" s="972" t="str">
        <f t="shared" si="2"/>
        <v>Q345B15010</v>
      </c>
      <c r="G113" s="1346">
        <v>5265</v>
      </c>
      <c r="H113" s="1346"/>
      <c r="I113" s="1347" t="s">
        <v>181</v>
      </c>
      <c r="J113" s="1347"/>
      <c r="K113" s="1347">
        <v>90</v>
      </c>
      <c r="L113" s="1348">
        <v>42914</v>
      </c>
      <c r="M113" s="1347">
        <v>7</v>
      </c>
      <c r="N113" s="1347" t="s">
        <v>127</v>
      </c>
    </row>
    <row r="114" spans="1:14" s="655" customFormat="1">
      <c r="A114" s="1344" t="s">
        <v>79</v>
      </c>
      <c r="B114" s="1344" t="s">
        <v>712</v>
      </c>
      <c r="C114" s="1345">
        <v>270</v>
      </c>
      <c r="D114" s="1345">
        <v>10</v>
      </c>
      <c r="E114" s="821"/>
      <c r="F114" s="972" t="str">
        <f t="shared" si="2"/>
        <v>Q345B27010</v>
      </c>
      <c r="G114" s="1346">
        <v>5265</v>
      </c>
      <c r="H114" s="1346"/>
      <c r="I114" s="1347" t="s">
        <v>181</v>
      </c>
      <c r="J114" s="1347"/>
      <c r="K114" s="1347">
        <v>90</v>
      </c>
      <c r="L114" s="1348">
        <v>42914</v>
      </c>
      <c r="M114" s="1347">
        <v>7</v>
      </c>
      <c r="N114" s="1347" t="s">
        <v>127</v>
      </c>
    </row>
    <row r="115" spans="1:14" s="655" customFormat="1">
      <c r="A115" s="1344" t="s">
        <v>79</v>
      </c>
      <c r="B115" s="1339" t="s">
        <v>712</v>
      </c>
      <c r="C115" s="1345">
        <v>320</v>
      </c>
      <c r="D115" s="1345">
        <v>10</v>
      </c>
      <c r="E115" s="821"/>
      <c r="F115" s="972" t="str">
        <f t="shared" si="2"/>
        <v>Q345B32010</v>
      </c>
      <c r="G115" s="1346">
        <v>5265</v>
      </c>
      <c r="H115" s="1346"/>
      <c r="I115" s="1347" t="s">
        <v>181</v>
      </c>
      <c r="J115" s="1347"/>
      <c r="K115" s="1347">
        <v>90</v>
      </c>
      <c r="L115" s="1348">
        <v>42914</v>
      </c>
      <c r="M115" s="1347">
        <v>7</v>
      </c>
      <c r="N115" s="1347" t="s">
        <v>127</v>
      </c>
    </row>
    <row r="116" spans="1:14" s="655" customFormat="1">
      <c r="A116" s="1344" t="s">
        <v>79</v>
      </c>
      <c r="B116" s="1339" t="s">
        <v>712</v>
      </c>
      <c r="C116" s="1345"/>
      <c r="D116" s="1345">
        <v>10</v>
      </c>
      <c r="E116" s="821"/>
      <c r="F116" s="972" t="str">
        <f t="shared" si="2"/>
        <v>Q345B10</v>
      </c>
      <c r="G116" s="1346">
        <v>5265</v>
      </c>
      <c r="H116" s="1346"/>
      <c r="I116" s="1347" t="s">
        <v>181</v>
      </c>
      <c r="J116" s="1347"/>
      <c r="K116" s="1347">
        <v>90</v>
      </c>
      <c r="L116" s="1348">
        <v>42914</v>
      </c>
      <c r="M116" s="1347">
        <v>7</v>
      </c>
      <c r="N116" s="1347" t="s">
        <v>127</v>
      </c>
    </row>
    <row r="117" spans="1:14" s="655" customFormat="1">
      <c r="A117" s="1344" t="s">
        <v>79</v>
      </c>
      <c r="B117" s="1339" t="s">
        <v>712</v>
      </c>
      <c r="C117" s="1345"/>
      <c r="D117" s="1345">
        <v>12</v>
      </c>
      <c r="E117" s="821"/>
      <c r="F117" s="972" t="str">
        <f t="shared" si="2"/>
        <v>Q345B12</v>
      </c>
      <c r="G117" s="1346">
        <v>5265</v>
      </c>
      <c r="H117" s="1346"/>
      <c r="I117" s="1347" t="s">
        <v>181</v>
      </c>
      <c r="J117" s="1347"/>
      <c r="K117" s="1347">
        <v>90</v>
      </c>
      <c r="L117" s="1348">
        <v>42914</v>
      </c>
      <c r="M117" s="1347">
        <v>7</v>
      </c>
      <c r="N117" s="1347" t="s">
        <v>127</v>
      </c>
    </row>
    <row r="118" spans="1:14" s="655" customFormat="1">
      <c r="A118" s="1344" t="s">
        <v>79</v>
      </c>
      <c r="B118" s="1339" t="s">
        <v>712</v>
      </c>
      <c r="C118" s="1345"/>
      <c r="D118" s="1345">
        <v>15</v>
      </c>
      <c r="E118" s="821"/>
      <c r="F118" s="972" t="str">
        <f t="shared" si="2"/>
        <v>Q345B15</v>
      </c>
      <c r="G118" s="1346">
        <v>5265</v>
      </c>
      <c r="H118" s="1346"/>
      <c r="I118" s="1347" t="s">
        <v>181</v>
      </c>
      <c r="J118" s="1347"/>
      <c r="K118" s="1347">
        <v>90</v>
      </c>
      <c r="L118" s="1348">
        <v>42914</v>
      </c>
      <c r="M118" s="1347">
        <v>7</v>
      </c>
      <c r="N118" s="1347" t="s">
        <v>127</v>
      </c>
    </row>
    <row r="119" spans="1:14" s="655" customFormat="1">
      <c r="A119" s="1344" t="s">
        <v>79</v>
      </c>
      <c r="B119" s="1339" t="s">
        <v>712</v>
      </c>
      <c r="C119" s="1345"/>
      <c r="D119" s="1345">
        <v>20</v>
      </c>
      <c r="E119" s="821"/>
      <c r="F119" s="972" t="str">
        <f t="shared" si="2"/>
        <v>Q345B20</v>
      </c>
      <c r="G119" s="1346">
        <v>5265</v>
      </c>
      <c r="H119" s="1346"/>
      <c r="I119" s="1347" t="s">
        <v>181</v>
      </c>
      <c r="J119" s="1347"/>
      <c r="K119" s="1347">
        <v>90</v>
      </c>
      <c r="L119" s="1348">
        <v>42914</v>
      </c>
      <c r="M119" s="1347">
        <v>7</v>
      </c>
      <c r="N119" s="1347" t="s">
        <v>127</v>
      </c>
    </row>
    <row r="120" spans="1:14" s="655" customFormat="1">
      <c r="A120" s="1344" t="s">
        <v>79</v>
      </c>
      <c r="B120" s="1339" t="s">
        <v>712</v>
      </c>
      <c r="C120" s="1345"/>
      <c r="D120" s="1345">
        <v>25</v>
      </c>
      <c r="E120" s="821"/>
      <c r="F120" s="972" t="str">
        <f t="shared" si="2"/>
        <v>Q345B25</v>
      </c>
      <c r="G120" s="1346">
        <v>5265</v>
      </c>
      <c r="H120" s="1346"/>
      <c r="I120" s="1347" t="s">
        <v>181</v>
      </c>
      <c r="J120" s="1347"/>
      <c r="K120" s="1347">
        <v>90</v>
      </c>
      <c r="L120" s="1348">
        <v>42914</v>
      </c>
      <c r="M120" s="1347">
        <v>7</v>
      </c>
      <c r="N120" s="1347" t="s">
        <v>127</v>
      </c>
    </row>
    <row r="121" spans="1:14">
      <c r="A121" s="1344" t="s">
        <v>79</v>
      </c>
      <c r="B121" s="1339" t="s">
        <v>712</v>
      </c>
      <c r="C121" s="1345"/>
      <c r="D121" s="1345">
        <v>30</v>
      </c>
      <c r="E121" s="821"/>
      <c r="F121" s="972" t="str">
        <f t="shared" si="2"/>
        <v>Q345B30</v>
      </c>
      <c r="G121" s="1346">
        <v>5265</v>
      </c>
      <c r="H121" s="1346"/>
      <c r="I121" s="1347" t="s">
        <v>181</v>
      </c>
      <c r="J121" s="1347"/>
      <c r="K121" s="1347">
        <v>90</v>
      </c>
      <c r="L121" s="1348">
        <v>42914</v>
      </c>
      <c r="M121" s="1347">
        <v>7</v>
      </c>
      <c r="N121" s="1347" t="s">
        <v>127</v>
      </c>
    </row>
    <row r="122" spans="1:14">
      <c r="A122" s="1344" t="s">
        <v>79</v>
      </c>
      <c r="B122" s="1339" t="s">
        <v>712</v>
      </c>
      <c r="C122" s="1345"/>
      <c r="D122" s="1345"/>
      <c r="E122" s="821"/>
      <c r="F122" s="972" t="str">
        <f t="shared" si="2"/>
        <v>Q345B</v>
      </c>
      <c r="G122" s="1346">
        <v>5265</v>
      </c>
      <c r="H122" s="1346"/>
      <c r="I122" s="1347" t="s">
        <v>181</v>
      </c>
      <c r="J122" s="1347"/>
      <c r="K122" s="1347">
        <v>90</v>
      </c>
      <c r="L122" s="1348">
        <v>42914</v>
      </c>
      <c r="M122" s="1347">
        <v>7</v>
      </c>
      <c r="N122" s="1347" t="s">
        <v>127</v>
      </c>
    </row>
    <row r="123" spans="1:14">
      <c r="A123" s="1344" t="s">
        <v>79</v>
      </c>
      <c r="B123" s="1339" t="s">
        <v>720</v>
      </c>
      <c r="C123" s="1345">
        <v>600</v>
      </c>
      <c r="D123" s="1345">
        <v>20</v>
      </c>
      <c r="E123" s="821"/>
      <c r="F123" s="972" t="str">
        <f t="shared" si="2"/>
        <v>Q345R60020</v>
      </c>
      <c r="G123" s="1346">
        <v>5850</v>
      </c>
      <c r="H123" s="1346"/>
      <c r="I123" s="1347" t="s">
        <v>181</v>
      </c>
      <c r="J123" s="1347"/>
      <c r="K123" s="1347">
        <v>90</v>
      </c>
      <c r="L123" s="1348">
        <v>42914</v>
      </c>
      <c r="M123" s="1347">
        <v>7</v>
      </c>
      <c r="N123" s="1347" t="s">
        <v>127</v>
      </c>
    </row>
    <row r="124" spans="1:14" s="655" customFormat="1">
      <c r="A124" s="1344" t="s">
        <v>79</v>
      </c>
      <c r="B124" s="1339" t="s">
        <v>720</v>
      </c>
      <c r="C124" s="1345">
        <v>650</v>
      </c>
      <c r="D124" s="1345">
        <v>40</v>
      </c>
      <c r="E124" s="821"/>
      <c r="F124" s="972" t="str">
        <f t="shared" si="2"/>
        <v>Q345R65040</v>
      </c>
      <c r="G124" s="1346">
        <v>5850</v>
      </c>
      <c r="H124" s="1346"/>
      <c r="I124" s="1347" t="s">
        <v>181</v>
      </c>
      <c r="J124" s="1347"/>
      <c r="K124" s="1347">
        <v>90</v>
      </c>
      <c r="L124" s="1348">
        <v>42914</v>
      </c>
      <c r="M124" s="1347">
        <v>7</v>
      </c>
      <c r="N124" s="1347" t="s">
        <v>127</v>
      </c>
    </row>
    <row r="125" spans="1:14">
      <c r="A125" s="1344" t="s">
        <v>79</v>
      </c>
      <c r="B125" s="1339" t="s">
        <v>720</v>
      </c>
      <c r="C125" s="1345">
        <v>810</v>
      </c>
      <c r="D125" s="1345">
        <v>30</v>
      </c>
      <c r="E125" s="821"/>
      <c r="F125" s="972" t="str">
        <f t="shared" si="2"/>
        <v>Q345R81030</v>
      </c>
      <c r="G125" s="1346">
        <v>5850</v>
      </c>
      <c r="H125" s="1346"/>
      <c r="I125" s="1347" t="s">
        <v>181</v>
      </c>
      <c r="J125" s="1347"/>
      <c r="K125" s="1347">
        <v>90</v>
      </c>
      <c r="L125" s="1348">
        <v>42914</v>
      </c>
      <c r="M125" s="1347">
        <v>7</v>
      </c>
      <c r="N125" s="1347" t="s">
        <v>127</v>
      </c>
    </row>
    <row r="126" spans="1:14">
      <c r="A126" s="1344" t="s">
        <v>79</v>
      </c>
      <c r="B126" s="1339" t="s">
        <v>720</v>
      </c>
      <c r="C126" s="1345">
        <v>1200</v>
      </c>
      <c r="D126" s="1345">
        <v>20</v>
      </c>
      <c r="E126" s="821"/>
      <c r="F126" s="972" t="str">
        <f t="shared" si="2"/>
        <v>Q345R120020</v>
      </c>
      <c r="G126" s="1346">
        <v>5850</v>
      </c>
      <c r="H126" s="1346"/>
      <c r="I126" s="1347" t="s">
        <v>181</v>
      </c>
      <c r="J126" s="1347"/>
      <c r="K126" s="1347">
        <v>90</v>
      </c>
      <c r="L126" s="1348">
        <v>42914</v>
      </c>
      <c r="M126" s="1347">
        <v>7</v>
      </c>
      <c r="N126" s="1347" t="s">
        <v>127</v>
      </c>
    </row>
    <row r="127" spans="1:14" ht="15.95" customHeight="1">
      <c r="A127" s="1344" t="s">
        <v>79</v>
      </c>
      <c r="B127" s="1339" t="s">
        <v>720</v>
      </c>
      <c r="C127" s="1345">
        <v>1220</v>
      </c>
      <c r="D127" s="1345">
        <v>10</v>
      </c>
      <c r="E127" s="821"/>
      <c r="F127" s="972" t="str">
        <f t="shared" si="2"/>
        <v>Q345R122010</v>
      </c>
      <c r="G127" s="1346">
        <v>5850</v>
      </c>
      <c r="H127" s="1346"/>
      <c r="I127" s="1347" t="s">
        <v>181</v>
      </c>
      <c r="J127" s="1347"/>
      <c r="K127" s="1347">
        <v>90</v>
      </c>
      <c r="L127" s="1348">
        <v>42914</v>
      </c>
      <c r="M127" s="1347">
        <v>7</v>
      </c>
      <c r="N127" s="1347" t="s">
        <v>127</v>
      </c>
    </row>
    <row r="128" spans="1:14">
      <c r="A128" s="1344" t="s">
        <v>79</v>
      </c>
      <c r="B128" s="1339" t="s">
        <v>720</v>
      </c>
      <c r="C128" s="1345">
        <v>2000</v>
      </c>
      <c r="D128" s="1345">
        <v>20</v>
      </c>
      <c r="E128" s="821"/>
      <c r="F128" s="972" t="str">
        <f t="shared" si="2"/>
        <v>Q345R200020</v>
      </c>
      <c r="G128" s="1346">
        <v>5850</v>
      </c>
      <c r="H128" s="1346"/>
      <c r="I128" s="1347" t="s">
        <v>181</v>
      </c>
      <c r="J128" s="1347"/>
      <c r="K128" s="1347">
        <v>90</v>
      </c>
      <c r="L128" s="1348">
        <v>42914</v>
      </c>
      <c r="M128" s="1347">
        <v>7</v>
      </c>
      <c r="N128" s="1347" t="s">
        <v>127</v>
      </c>
    </row>
    <row r="129" spans="1:14">
      <c r="A129" s="1344" t="s">
        <v>79</v>
      </c>
      <c r="B129" s="1344" t="s">
        <v>720</v>
      </c>
      <c r="C129" s="1345">
        <v>3360</v>
      </c>
      <c r="D129" s="1345">
        <v>30</v>
      </c>
      <c r="E129" s="821"/>
      <c r="F129" s="972" t="str">
        <f t="shared" si="2"/>
        <v>Q345R336030</v>
      </c>
      <c r="G129" s="1346">
        <v>5850</v>
      </c>
      <c r="H129" s="1346"/>
      <c r="I129" s="1347" t="s">
        <v>181</v>
      </c>
      <c r="J129" s="1347"/>
      <c r="K129" s="1347">
        <v>90</v>
      </c>
      <c r="L129" s="1348">
        <v>42914</v>
      </c>
      <c r="M129" s="1347">
        <v>7</v>
      </c>
      <c r="N129" s="1347" t="s">
        <v>127</v>
      </c>
    </row>
    <row r="130" spans="1:14" s="655" customFormat="1">
      <c r="A130" s="1344" t="s">
        <v>79</v>
      </c>
      <c r="B130" s="1339" t="s">
        <v>720</v>
      </c>
      <c r="C130" s="1345"/>
      <c r="D130" s="1345">
        <v>20</v>
      </c>
      <c r="E130" s="821"/>
      <c r="F130" s="972" t="str">
        <f t="shared" si="2"/>
        <v>Q345R20</v>
      </c>
      <c r="G130" s="1346">
        <v>5850</v>
      </c>
      <c r="H130" s="1346"/>
      <c r="I130" s="1347" t="s">
        <v>181</v>
      </c>
      <c r="J130" s="1347"/>
      <c r="K130" s="1347">
        <v>90</v>
      </c>
      <c r="L130" s="1348">
        <v>42914</v>
      </c>
      <c r="M130" s="1347">
        <v>7</v>
      </c>
      <c r="N130" s="1347" t="s">
        <v>127</v>
      </c>
    </row>
    <row r="131" spans="1:14" s="655" customFormat="1">
      <c r="A131" s="1344" t="s">
        <v>79</v>
      </c>
      <c r="B131" s="1339" t="s">
        <v>709</v>
      </c>
      <c r="C131" s="1345">
        <v>3360</v>
      </c>
      <c r="D131" s="1345">
        <v>6</v>
      </c>
      <c r="E131" s="821"/>
      <c r="F131" s="972" t="str">
        <f t="shared" si="2"/>
        <v>SA-106M C33606</v>
      </c>
      <c r="G131" s="1346">
        <v>5850</v>
      </c>
      <c r="H131" s="1346"/>
      <c r="I131" s="1347" t="s">
        <v>181</v>
      </c>
      <c r="J131" s="1347"/>
      <c r="K131" s="1347">
        <v>90</v>
      </c>
      <c r="L131" s="1348">
        <v>42914</v>
      </c>
      <c r="M131" s="1347">
        <v>7</v>
      </c>
      <c r="N131" s="1347" t="s">
        <v>127</v>
      </c>
    </row>
    <row r="132" spans="1:14" s="655" customFormat="1">
      <c r="A132" s="1344" t="s">
        <v>79</v>
      </c>
      <c r="B132" s="1339" t="s">
        <v>715</v>
      </c>
      <c r="C132" s="1345"/>
      <c r="D132" s="1345">
        <v>6</v>
      </c>
      <c r="E132" s="821"/>
      <c r="F132" s="972" t="str">
        <f t="shared" si="2"/>
        <v>SA-240 3046</v>
      </c>
      <c r="G132" s="1346">
        <v>19305</v>
      </c>
      <c r="H132" s="1346"/>
      <c r="I132" s="1347" t="s">
        <v>181</v>
      </c>
      <c r="J132" s="1347"/>
      <c r="K132" s="1347">
        <v>90</v>
      </c>
      <c r="L132" s="1348">
        <v>42914</v>
      </c>
      <c r="M132" s="1347">
        <v>7</v>
      </c>
      <c r="N132" s="1347" t="s">
        <v>127</v>
      </c>
    </row>
    <row r="133" spans="1:14" s="655" customFormat="1">
      <c r="A133" s="1344" t="s">
        <v>79</v>
      </c>
      <c r="B133" s="1339" t="s">
        <v>715</v>
      </c>
      <c r="C133" s="1345"/>
      <c r="D133" s="1345">
        <v>8</v>
      </c>
      <c r="E133" s="821"/>
      <c r="F133" s="972" t="str">
        <f t="shared" si="2"/>
        <v>SA-240 3048</v>
      </c>
      <c r="G133" s="1346">
        <v>19305</v>
      </c>
      <c r="H133" s="1346"/>
      <c r="I133" s="1347" t="s">
        <v>181</v>
      </c>
      <c r="J133" s="1347"/>
      <c r="K133" s="1347">
        <v>90</v>
      </c>
      <c r="L133" s="1348">
        <v>42914</v>
      </c>
      <c r="M133" s="1347">
        <v>7</v>
      </c>
      <c r="N133" s="1347" t="s">
        <v>127</v>
      </c>
    </row>
    <row r="134" spans="1:14" s="655" customFormat="1">
      <c r="A134" s="1344" t="s">
        <v>79</v>
      </c>
      <c r="B134" s="1339" t="s">
        <v>590</v>
      </c>
      <c r="C134" s="1345">
        <v>8</v>
      </c>
      <c r="D134" s="1345">
        <v>6</v>
      </c>
      <c r="E134" s="821"/>
      <c r="F134" s="972" t="str">
        <f t="shared" si="2"/>
        <v>SA-387M Gr12CL286</v>
      </c>
      <c r="G134" s="1346">
        <v>7020</v>
      </c>
      <c r="H134" s="1346"/>
      <c r="I134" s="1347" t="s">
        <v>181</v>
      </c>
      <c r="J134" s="1347"/>
      <c r="K134" s="1347">
        <v>90</v>
      </c>
      <c r="L134" s="1348">
        <v>42914</v>
      </c>
      <c r="M134" s="1347">
        <v>7</v>
      </c>
      <c r="N134" s="1347" t="s">
        <v>127</v>
      </c>
    </row>
    <row r="135" spans="1:14" s="655" customFormat="1">
      <c r="A135" s="1344" t="s">
        <v>79</v>
      </c>
      <c r="B135" s="1339" t="s">
        <v>590</v>
      </c>
      <c r="C135" s="1345">
        <v>9</v>
      </c>
      <c r="D135" s="1345">
        <v>6</v>
      </c>
      <c r="E135" s="821"/>
      <c r="F135" s="972" t="str">
        <f t="shared" si="2"/>
        <v>SA-387M Gr12CL296</v>
      </c>
      <c r="G135" s="1346">
        <v>7020</v>
      </c>
      <c r="H135" s="1346"/>
      <c r="I135" s="1347" t="s">
        <v>181</v>
      </c>
      <c r="J135" s="1347"/>
      <c r="K135" s="1347">
        <v>90</v>
      </c>
      <c r="L135" s="1348">
        <v>42914</v>
      </c>
      <c r="M135" s="1347">
        <v>7</v>
      </c>
      <c r="N135" s="1347" t="s">
        <v>127</v>
      </c>
    </row>
    <row r="136" spans="1:14" s="655" customFormat="1">
      <c r="A136" s="1344" t="s">
        <v>79</v>
      </c>
      <c r="B136" s="1339" t="s">
        <v>590</v>
      </c>
      <c r="C136" s="1345">
        <v>11</v>
      </c>
      <c r="D136" s="1345">
        <v>6</v>
      </c>
      <c r="E136" s="821"/>
      <c r="F136" s="972" t="str">
        <f t="shared" si="2"/>
        <v>SA-387M Gr12CL2116</v>
      </c>
      <c r="G136" s="1346">
        <v>7020</v>
      </c>
      <c r="H136" s="1346"/>
      <c r="I136" s="1347" t="s">
        <v>181</v>
      </c>
      <c r="J136" s="1347"/>
      <c r="K136" s="1347">
        <v>90</v>
      </c>
      <c r="L136" s="1348">
        <v>42914</v>
      </c>
      <c r="M136" s="1347">
        <v>7</v>
      </c>
      <c r="N136" s="1347" t="s">
        <v>127</v>
      </c>
    </row>
    <row r="137" spans="1:14" s="655" customFormat="1">
      <c r="A137" s="1344" t="s">
        <v>79</v>
      </c>
      <c r="B137" s="1344" t="s">
        <v>590</v>
      </c>
      <c r="C137" s="1345">
        <v>11.1</v>
      </c>
      <c r="D137" s="1345">
        <v>6</v>
      </c>
      <c r="E137" s="821"/>
      <c r="F137" s="972" t="str">
        <f t="shared" si="2"/>
        <v>SA-387M Gr12CL211.16</v>
      </c>
      <c r="G137" s="1346">
        <v>7020</v>
      </c>
      <c r="H137" s="1346"/>
      <c r="I137" s="1347" t="s">
        <v>181</v>
      </c>
      <c r="J137" s="1347"/>
      <c r="K137" s="1347">
        <v>90</v>
      </c>
      <c r="L137" s="1348">
        <v>42914</v>
      </c>
      <c r="M137" s="1347">
        <v>7</v>
      </c>
      <c r="N137" s="1347" t="s">
        <v>127</v>
      </c>
    </row>
    <row r="138" spans="1:14" s="655" customFormat="1">
      <c r="A138" s="1344" t="s">
        <v>79</v>
      </c>
      <c r="B138" s="1344" t="s">
        <v>590</v>
      </c>
      <c r="C138" s="1345">
        <v>12.55</v>
      </c>
      <c r="D138" s="1345">
        <v>6</v>
      </c>
      <c r="E138" s="821"/>
      <c r="F138" s="972" t="str">
        <f t="shared" si="2"/>
        <v>SA-387M Gr12CL212.556</v>
      </c>
      <c r="G138" s="1346">
        <v>7020</v>
      </c>
      <c r="H138" s="1346"/>
      <c r="I138" s="1347" t="s">
        <v>181</v>
      </c>
      <c r="J138" s="1347"/>
      <c r="K138" s="1347">
        <v>90</v>
      </c>
      <c r="L138" s="1348">
        <v>42914</v>
      </c>
      <c r="M138" s="1347">
        <v>7</v>
      </c>
      <c r="N138" s="1347" t="s">
        <v>127</v>
      </c>
    </row>
    <row r="139" spans="1:14" s="655" customFormat="1">
      <c r="A139" s="1344" t="s">
        <v>79</v>
      </c>
      <c r="B139" s="1344" t="s">
        <v>590</v>
      </c>
      <c r="C139" s="1345">
        <v>12.8</v>
      </c>
      <c r="D139" s="1345">
        <v>6</v>
      </c>
      <c r="E139" s="821"/>
      <c r="F139" s="972" t="str">
        <f t="shared" si="2"/>
        <v>SA-387M Gr12CL212.86</v>
      </c>
      <c r="G139" s="1346">
        <v>7020</v>
      </c>
      <c r="H139" s="1346"/>
      <c r="I139" s="1347" t="s">
        <v>181</v>
      </c>
      <c r="J139" s="1347"/>
      <c r="K139" s="1347">
        <v>90</v>
      </c>
      <c r="L139" s="1348">
        <v>42914</v>
      </c>
      <c r="M139" s="1347">
        <v>7</v>
      </c>
      <c r="N139" s="1347" t="s">
        <v>127</v>
      </c>
    </row>
    <row r="140" spans="1:14" s="655" customFormat="1">
      <c r="A140" s="1344" t="s">
        <v>79</v>
      </c>
      <c r="B140" s="1339" t="s">
        <v>590</v>
      </c>
      <c r="C140" s="1345">
        <v>13</v>
      </c>
      <c r="D140" s="1345">
        <v>6</v>
      </c>
      <c r="E140" s="821"/>
      <c r="F140" s="972" t="str">
        <f t="shared" si="2"/>
        <v>SA-387M Gr12CL2136</v>
      </c>
      <c r="G140" s="1346">
        <v>7020</v>
      </c>
      <c r="H140" s="1346"/>
      <c r="I140" s="1347" t="s">
        <v>181</v>
      </c>
      <c r="J140" s="1347"/>
      <c r="K140" s="1347">
        <v>90</v>
      </c>
      <c r="L140" s="1348">
        <v>42914</v>
      </c>
      <c r="M140" s="1347">
        <v>7</v>
      </c>
      <c r="N140" s="1347" t="s">
        <v>127</v>
      </c>
    </row>
    <row r="141" spans="1:14" s="655" customFormat="1">
      <c r="A141" s="1344" t="s">
        <v>79</v>
      </c>
      <c r="B141" s="1339" t="s">
        <v>590</v>
      </c>
      <c r="C141" s="1345">
        <v>14.1</v>
      </c>
      <c r="D141" s="1345">
        <v>6</v>
      </c>
      <c r="E141" s="821"/>
      <c r="F141" s="972" t="str">
        <f t="shared" si="2"/>
        <v>SA-387M Gr12CL214.16</v>
      </c>
      <c r="G141" s="1346">
        <v>7020</v>
      </c>
      <c r="H141" s="1346"/>
      <c r="I141" s="1347" t="s">
        <v>181</v>
      </c>
      <c r="J141" s="1347"/>
      <c r="K141" s="1347">
        <v>90</v>
      </c>
      <c r="L141" s="1348">
        <v>42914</v>
      </c>
      <c r="M141" s="1347">
        <v>7</v>
      </c>
      <c r="N141" s="1347" t="s">
        <v>127</v>
      </c>
    </row>
    <row r="142" spans="1:14" s="655" customFormat="1">
      <c r="A142" s="1344" t="s">
        <v>79</v>
      </c>
      <c r="B142" s="1339" t="s">
        <v>590</v>
      </c>
      <c r="C142" s="1345">
        <v>16.399999999999999</v>
      </c>
      <c r="D142" s="1345">
        <v>6</v>
      </c>
      <c r="E142" s="821"/>
      <c r="F142" s="972" t="str">
        <f t="shared" si="2"/>
        <v>SA-387M Gr12CL216.46</v>
      </c>
      <c r="G142" s="1346">
        <v>7020</v>
      </c>
      <c r="H142" s="1346"/>
      <c r="I142" s="1347" t="s">
        <v>181</v>
      </c>
      <c r="J142" s="1347"/>
      <c r="K142" s="1347">
        <v>90</v>
      </c>
      <c r="L142" s="1348">
        <v>42914</v>
      </c>
      <c r="M142" s="1347">
        <v>7</v>
      </c>
      <c r="N142" s="1347" t="s">
        <v>127</v>
      </c>
    </row>
    <row r="143" spans="1:14" s="655" customFormat="1">
      <c r="A143" s="1344" t="s">
        <v>79</v>
      </c>
      <c r="B143" s="1339" t="s">
        <v>590</v>
      </c>
      <c r="C143" s="1345">
        <v>18</v>
      </c>
      <c r="D143" s="1345">
        <v>6</v>
      </c>
      <c r="E143" s="821"/>
      <c r="F143" s="972" t="str">
        <f t="shared" si="2"/>
        <v>SA-387M Gr12CL2186</v>
      </c>
      <c r="G143" s="1346">
        <v>7020</v>
      </c>
      <c r="H143" s="1346"/>
      <c r="I143" s="1347" t="s">
        <v>181</v>
      </c>
      <c r="J143" s="1347"/>
      <c r="K143" s="1347">
        <v>90</v>
      </c>
      <c r="L143" s="1348">
        <v>42914</v>
      </c>
      <c r="M143" s="1347">
        <v>7</v>
      </c>
      <c r="N143" s="1347" t="s">
        <v>127</v>
      </c>
    </row>
    <row r="144" spans="1:14" s="655" customFormat="1">
      <c r="A144" s="1344" t="s">
        <v>79</v>
      </c>
      <c r="B144" s="1339" t="s">
        <v>590</v>
      </c>
      <c r="C144" s="1345">
        <v>19.2</v>
      </c>
      <c r="D144" s="1345">
        <v>6</v>
      </c>
      <c r="E144" s="821"/>
      <c r="F144" s="972" t="str">
        <f t="shared" ref="F144:F207" si="3">B144&amp;C144&amp;D144</f>
        <v>SA-387M Gr12CL219.26</v>
      </c>
      <c r="G144" s="1346">
        <v>7020</v>
      </c>
      <c r="H144" s="1346"/>
      <c r="I144" s="1347" t="s">
        <v>181</v>
      </c>
      <c r="J144" s="1347"/>
      <c r="K144" s="1347">
        <v>90</v>
      </c>
      <c r="L144" s="1348">
        <v>42914</v>
      </c>
      <c r="M144" s="1347">
        <v>7</v>
      </c>
      <c r="N144" s="1347" t="s">
        <v>127</v>
      </c>
    </row>
    <row r="145" spans="1:14" s="655" customFormat="1">
      <c r="A145" s="1344" t="s">
        <v>79</v>
      </c>
      <c r="B145" s="1339" t="s">
        <v>590</v>
      </c>
      <c r="C145" s="1345">
        <v>20.100000000000001</v>
      </c>
      <c r="D145" s="1345">
        <v>6</v>
      </c>
      <c r="E145" s="821"/>
      <c r="F145" s="972" t="str">
        <f t="shared" si="3"/>
        <v>SA-387M Gr12CL220.16</v>
      </c>
      <c r="G145" s="1346">
        <v>7020</v>
      </c>
      <c r="H145" s="1346"/>
      <c r="I145" s="1347" t="s">
        <v>181</v>
      </c>
      <c r="J145" s="1347"/>
      <c r="K145" s="1347">
        <v>90</v>
      </c>
      <c r="L145" s="1348">
        <v>42914</v>
      </c>
      <c r="M145" s="1347">
        <v>7</v>
      </c>
      <c r="N145" s="1347" t="s">
        <v>127</v>
      </c>
    </row>
    <row r="146" spans="1:14" s="655" customFormat="1">
      <c r="A146" s="1344" t="s">
        <v>79</v>
      </c>
      <c r="B146" s="1339" t="s">
        <v>590</v>
      </c>
      <c r="C146" s="1345">
        <v>22.1</v>
      </c>
      <c r="D146" s="1345">
        <v>6</v>
      </c>
      <c r="E146" s="821"/>
      <c r="F146" s="972" t="str">
        <f t="shared" si="3"/>
        <v>SA-387M Gr12CL222.16</v>
      </c>
      <c r="G146" s="1346">
        <v>7020</v>
      </c>
      <c r="H146" s="1346"/>
      <c r="I146" s="1347" t="s">
        <v>181</v>
      </c>
      <c r="J146" s="1347"/>
      <c r="K146" s="1347">
        <v>90</v>
      </c>
      <c r="L146" s="1348">
        <v>42914</v>
      </c>
      <c r="M146" s="1347">
        <v>7</v>
      </c>
      <c r="N146" s="1347" t="s">
        <v>127</v>
      </c>
    </row>
    <row r="147" spans="1:14" s="655" customFormat="1">
      <c r="A147" s="1344" t="s">
        <v>79</v>
      </c>
      <c r="B147" s="1344" t="s">
        <v>590</v>
      </c>
      <c r="C147" s="1345">
        <v>25.1</v>
      </c>
      <c r="D147" s="1345">
        <v>6</v>
      </c>
      <c r="E147" s="821"/>
      <c r="F147" s="972" t="str">
        <f t="shared" si="3"/>
        <v>SA-387M Gr12CL225.16</v>
      </c>
      <c r="G147" s="1346">
        <v>7020</v>
      </c>
      <c r="H147" s="1346"/>
      <c r="I147" s="1347" t="s">
        <v>181</v>
      </c>
      <c r="J147" s="1347"/>
      <c r="K147" s="1347">
        <v>90</v>
      </c>
      <c r="L147" s="1348">
        <v>42914</v>
      </c>
      <c r="M147" s="1347">
        <v>7</v>
      </c>
      <c r="N147" s="1347" t="s">
        <v>127</v>
      </c>
    </row>
    <row r="148" spans="1:14" s="655" customFormat="1">
      <c r="A148" s="1344" t="s">
        <v>79</v>
      </c>
      <c r="B148" s="1339" t="s">
        <v>590</v>
      </c>
      <c r="C148" s="1345">
        <v>30</v>
      </c>
      <c r="D148" s="1345">
        <v>6</v>
      </c>
      <c r="E148" s="821"/>
      <c r="F148" s="972" t="str">
        <f t="shared" si="3"/>
        <v>SA-387M Gr12CL2306</v>
      </c>
      <c r="G148" s="1346">
        <v>7020</v>
      </c>
      <c r="H148" s="1346"/>
      <c r="I148" s="1347" t="s">
        <v>181</v>
      </c>
      <c r="J148" s="1347"/>
      <c r="K148" s="1347">
        <v>90</v>
      </c>
      <c r="L148" s="1348">
        <v>42914</v>
      </c>
      <c r="M148" s="1347">
        <v>7</v>
      </c>
      <c r="N148" s="1347" t="s">
        <v>127</v>
      </c>
    </row>
    <row r="149" spans="1:14" s="655" customFormat="1">
      <c r="A149" s="1344" t="s">
        <v>79</v>
      </c>
      <c r="B149" s="1339" t="s">
        <v>590</v>
      </c>
      <c r="C149" s="1345">
        <v>32</v>
      </c>
      <c r="D149" s="1345">
        <v>4</v>
      </c>
      <c r="E149" s="821"/>
      <c r="F149" s="972" t="str">
        <f t="shared" si="3"/>
        <v>SA-387M Gr12CL2324</v>
      </c>
      <c r="G149" s="1346">
        <v>7020</v>
      </c>
      <c r="H149" s="1346"/>
      <c r="I149" s="1347" t="s">
        <v>181</v>
      </c>
      <c r="J149" s="1347"/>
      <c r="K149" s="1347">
        <v>90</v>
      </c>
      <c r="L149" s="1348">
        <v>42914</v>
      </c>
      <c r="M149" s="1347">
        <v>7</v>
      </c>
      <c r="N149" s="1347" t="s">
        <v>127</v>
      </c>
    </row>
    <row r="150" spans="1:14" s="655" customFormat="1">
      <c r="A150" s="1344" t="s">
        <v>79</v>
      </c>
      <c r="B150" s="1339" t="s">
        <v>590</v>
      </c>
      <c r="C150" s="1345">
        <v>32</v>
      </c>
      <c r="D150" s="1345"/>
      <c r="E150" s="821"/>
      <c r="F150" s="972" t="str">
        <f t="shared" si="3"/>
        <v>SA-387M Gr12CL232</v>
      </c>
      <c r="G150" s="1346">
        <v>7020</v>
      </c>
      <c r="H150" s="1346"/>
      <c r="I150" s="1347" t="s">
        <v>181</v>
      </c>
      <c r="J150" s="1347"/>
      <c r="K150" s="1347">
        <v>90</v>
      </c>
      <c r="L150" s="1348">
        <v>42914</v>
      </c>
      <c r="M150" s="1347">
        <v>7</v>
      </c>
      <c r="N150" s="1347" t="s">
        <v>127</v>
      </c>
    </row>
    <row r="151" spans="1:14" s="655" customFormat="1">
      <c r="A151" s="1344" t="s">
        <v>79</v>
      </c>
      <c r="B151" s="1339" t="s">
        <v>590</v>
      </c>
      <c r="C151" s="1345">
        <v>33</v>
      </c>
      <c r="D151" s="1345">
        <v>6</v>
      </c>
      <c r="E151" s="821"/>
      <c r="F151" s="972" t="str">
        <f t="shared" si="3"/>
        <v>SA-387M Gr12CL2336</v>
      </c>
      <c r="G151" s="1346">
        <v>7020</v>
      </c>
      <c r="H151" s="1346"/>
      <c r="I151" s="1347" t="s">
        <v>181</v>
      </c>
      <c r="J151" s="1347"/>
      <c r="K151" s="1347">
        <v>90</v>
      </c>
      <c r="L151" s="1348">
        <v>42914</v>
      </c>
      <c r="M151" s="1347">
        <v>7</v>
      </c>
      <c r="N151" s="1347" t="s">
        <v>127</v>
      </c>
    </row>
    <row r="152" spans="1:14" s="655" customFormat="1">
      <c r="A152" s="1344" t="s">
        <v>79</v>
      </c>
      <c r="B152" s="1339" t="s">
        <v>590</v>
      </c>
      <c r="C152" s="1345">
        <v>34</v>
      </c>
      <c r="D152" s="1345">
        <v>4</v>
      </c>
      <c r="E152" s="821"/>
      <c r="F152" s="972" t="str">
        <f t="shared" si="3"/>
        <v>SA-387M Gr12CL2344</v>
      </c>
      <c r="G152" s="1346">
        <v>7020</v>
      </c>
      <c r="H152" s="1346"/>
      <c r="I152" s="1347" t="s">
        <v>181</v>
      </c>
      <c r="J152" s="1347"/>
      <c r="K152" s="1347">
        <v>90</v>
      </c>
      <c r="L152" s="1348">
        <v>42914</v>
      </c>
      <c r="M152" s="1347">
        <v>7</v>
      </c>
      <c r="N152" s="1347" t="s">
        <v>127</v>
      </c>
    </row>
    <row r="153" spans="1:14" s="655" customFormat="1">
      <c r="A153" s="1344" t="s">
        <v>79</v>
      </c>
      <c r="B153" s="1339" t="s">
        <v>590</v>
      </c>
      <c r="C153" s="1345">
        <v>34</v>
      </c>
      <c r="D153" s="1345">
        <v>6</v>
      </c>
      <c r="E153" s="821"/>
      <c r="F153" s="972" t="str">
        <f t="shared" si="3"/>
        <v>SA-387M Gr12CL2346</v>
      </c>
      <c r="G153" s="1346">
        <v>7020</v>
      </c>
      <c r="H153" s="1346"/>
      <c r="I153" s="1347" t="s">
        <v>181</v>
      </c>
      <c r="J153" s="1347"/>
      <c r="K153" s="1347">
        <v>90</v>
      </c>
      <c r="L153" s="1348">
        <v>42914</v>
      </c>
      <c r="M153" s="1347">
        <v>7</v>
      </c>
      <c r="N153" s="1347" t="s">
        <v>127</v>
      </c>
    </row>
    <row r="154" spans="1:14" s="655" customFormat="1">
      <c r="A154" s="1344" t="s">
        <v>79</v>
      </c>
      <c r="B154" s="1339" t="s">
        <v>590</v>
      </c>
      <c r="C154" s="1345">
        <v>35</v>
      </c>
      <c r="D154" s="1345">
        <v>4</v>
      </c>
      <c r="E154" s="821"/>
      <c r="F154" s="972" t="str">
        <f t="shared" si="3"/>
        <v>SA-387M Gr12CL2354</v>
      </c>
      <c r="G154" s="1346">
        <v>7020</v>
      </c>
      <c r="H154" s="1346"/>
      <c r="I154" s="1347" t="s">
        <v>181</v>
      </c>
      <c r="J154" s="1347"/>
      <c r="K154" s="1347">
        <v>90</v>
      </c>
      <c r="L154" s="1348">
        <v>42914</v>
      </c>
      <c r="M154" s="1347">
        <v>7</v>
      </c>
      <c r="N154" s="1347" t="s">
        <v>127</v>
      </c>
    </row>
    <row r="155" spans="1:14" s="655" customFormat="1">
      <c r="A155" s="1344" t="s">
        <v>79</v>
      </c>
      <c r="B155" s="1339" t="s">
        <v>590</v>
      </c>
      <c r="C155" s="1345">
        <v>37</v>
      </c>
      <c r="D155" s="1345">
        <v>4</v>
      </c>
      <c r="E155" s="821"/>
      <c r="F155" s="972" t="str">
        <f t="shared" si="3"/>
        <v>SA-387M Gr12CL2374</v>
      </c>
      <c r="G155" s="1346">
        <v>7020</v>
      </c>
      <c r="H155" s="1346"/>
      <c r="I155" s="1347" t="s">
        <v>181</v>
      </c>
      <c r="J155" s="1347"/>
      <c r="K155" s="1347">
        <v>90</v>
      </c>
      <c r="L155" s="1348">
        <v>42914</v>
      </c>
      <c r="M155" s="1347">
        <v>7</v>
      </c>
      <c r="N155" s="1347" t="s">
        <v>127</v>
      </c>
    </row>
    <row r="156" spans="1:14" s="655" customFormat="1">
      <c r="A156" s="1344" t="s">
        <v>79</v>
      </c>
      <c r="B156" s="1339" t="s">
        <v>590</v>
      </c>
      <c r="C156" s="1345">
        <v>45</v>
      </c>
      <c r="D156" s="1345">
        <v>4</v>
      </c>
      <c r="E156" s="821"/>
      <c r="F156" s="972" t="str">
        <f t="shared" si="3"/>
        <v>SA-387M Gr12CL2454</v>
      </c>
      <c r="G156" s="1346">
        <v>7020</v>
      </c>
      <c r="H156" s="1346"/>
      <c r="I156" s="1347" t="s">
        <v>181</v>
      </c>
      <c r="J156" s="1347"/>
      <c r="K156" s="1347">
        <v>90</v>
      </c>
      <c r="L156" s="1348">
        <v>42914</v>
      </c>
      <c r="M156" s="1347">
        <v>7</v>
      </c>
      <c r="N156" s="1347" t="s">
        <v>127</v>
      </c>
    </row>
    <row r="157" spans="1:14" s="655" customFormat="1">
      <c r="A157" s="1344" t="s">
        <v>79</v>
      </c>
      <c r="B157" s="1339" t="s">
        <v>590</v>
      </c>
      <c r="C157" s="1345">
        <v>49</v>
      </c>
      <c r="D157" s="1345">
        <v>6</v>
      </c>
      <c r="E157" s="821"/>
      <c r="F157" s="972" t="str">
        <f t="shared" si="3"/>
        <v>SA-387M Gr12CL2496</v>
      </c>
      <c r="G157" s="1346">
        <v>7020</v>
      </c>
      <c r="H157" s="1346"/>
      <c r="I157" s="1347" t="s">
        <v>181</v>
      </c>
      <c r="J157" s="1347"/>
      <c r="K157" s="1347">
        <v>90</v>
      </c>
      <c r="L157" s="1348">
        <v>42914</v>
      </c>
      <c r="M157" s="1347">
        <v>7</v>
      </c>
      <c r="N157" s="1347" t="s">
        <v>127</v>
      </c>
    </row>
    <row r="158" spans="1:14" s="655" customFormat="1">
      <c r="A158" s="1344" t="s">
        <v>79</v>
      </c>
      <c r="B158" s="1339" t="s">
        <v>590</v>
      </c>
      <c r="C158" s="1345">
        <v>50</v>
      </c>
      <c r="D158" s="1345">
        <v>4</v>
      </c>
      <c r="E158" s="821"/>
      <c r="F158" s="972" t="str">
        <f t="shared" si="3"/>
        <v>SA-387M Gr12CL2504</v>
      </c>
      <c r="G158" s="1346">
        <v>7020</v>
      </c>
      <c r="H158" s="1346"/>
      <c r="I158" s="1347" t="s">
        <v>181</v>
      </c>
      <c r="J158" s="1347"/>
      <c r="K158" s="1347">
        <v>90</v>
      </c>
      <c r="L158" s="1348">
        <v>42914</v>
      </c>
      <c r="M158" s="1347">
        <v>7</v>
      </c>
      <c r="N158" s="1347" t="s">
        <v>127</v>
      </c>
    </row>
    <row r="159" spans="1:14" s="655" customFormat="1">
      <c r="A159" s="1344" t="s">
        <v>79</v>
      </c>
      <c r="B159" s="1339" t="s">
        <v>590</v>
      </c>
      <c r="C159" s="1345">
        <v>50</v>
      </c>
      <c r="D159" s="1345">
        <v>6</v>
      </c>
      <c r="E159" s="821"/>
      <c r="F159" s="972" t="str">
        <f t="shared" si="3"/>
        <v>SA-387M Gr12CL2506</v>
      </c>
      <c r="G159" s="1346">
        <v>7020</v>
      </c>
      <c r="H159" s="1346"/>
      <c r="I159" s="1347" t="s">
        <v>181</v>
      </c>
      <c r="J159" s="1347"/>
      <c r="K159" s="1347">
        <v>90</v>
      </c>
      <c r="L159" s="1348">
        <v>42914</v>
      </c>
      <c r="M159" s="1347">
        <v>7</v>
      </c>
      <c r="N159" s="1347" t="s">
        <v>127</v>
      </c>
    </row>
    <row r="160" spans="1:14" s="655" customFormat="1">
      <c r="A160" s="1344" t="s">
        <v>79</v>
      </c>
      <c r="B160" s="1339" t="s">
        <v>590</v>
      </c>
      <c r="C160" s="1345">
        <v>50</v>
      </c>
      <c r="D160" s="1345">
        <v>15</v>
      </c>
      <c r="E160" s="821"/>
      <c r="F160" s="972" t="str">
        <f t="shared" si="3"/>
        <v>SA-387M Gr12CL25015</v>
      </c>
      <c r="G160" s="1346">
        <v>6669</v>
      </c>
      <c r="H160" s="1346"/>
      <c r="I160" s="1347" t="s">
        <v>181</v>
      </c>
      <c r="J160" s="1347"/>
      <c r="K160" s="1347">
        <v>90</v>
      </c>
      <c r="L160" s="1348">
        <v>42914</v>
      </c>
      <c r="M160" s="1347">
        <v>7</v>
      </c>
      <c r="N160" s="1347" t="s">
        <v>127</v>
      </c>
    </row>
    <row r="161" spans="1:14" s="655" customFormat="1">
      <c r="A161" s="1344" t="s">
        <v>79</v>
      </c>
      <c r="B161" s="1339" t="s">
        <v>590</v>
      </c>
      <c r="C161" s="1345">
        <v>52</v>
      </c>
      <c r="D161" s="1345">
        <v>6</v>
      </c>
      <c r="E161" s="821"/>
      <c r="F161" s="972" t="str">
        <f t="shared" si="3"/>
        <v>SA-387M Gr12CL2526</v>
      </c>
      <c r="G161" s="1346">
        <v>7020</v>
      </c>
      <c r="H161" s="1346"/>
      <c r="I161" s="1347" t="s">
        <v>181</v>
      </c>
      <c r="J161" s="1347"/>
      <c r="K161" s="1347">
        <v>90</v>
      </c>
      <c r="L161" s="1348">
        <v>42914</v>
      </c>
      <c r="M161" s="1347">
        <v>7</v>
      </c>
      <c r="N161" s="1347" t="s">
        <v>127</v>
      </c>
    </row>
    <row r="162" spans="1:14" s="655" customFormat="1">
      <c r="A162" s="1344" t="s">
        <v>79</v>
      </c>
      <c r="B162" s="1339" t="s">
        <v>590</v>
      </c>
      <c r="C162" s="1345">
        <v>55</v>
      </c>
      <c r="D162" s="1345">
        <v>10</v>
      </c>
      <c r="E162" s="821"/>
      <c r="F162" s="972" t="str">
        <f t="shared" si="3"/>
        <v>SA-387M Gr12CL25510</v>
      </c>
      <c r="G162" s="1346">
        <v>6669</v>
      </c>
      <c r="H162" s="1346"/>
      <c r="I162" s="1347" t="s">
        <v>181</v>
      </c>
      <c r="J162" s="1347"/>
      <c r="K162" s="1347">
        <v>90</v>
      </c>
      <c r="L162" s="1348">
        <v>42914</v>
      </c>
      <c r="M162" s="1347">
        <v>7</v>
      </c>
      <c r="N162" s="1347" t="s">
        <v>127</v>
      </c>
    </row>
    <row r="163" spans="1:14" s="655" customFormat="1">
      <c r="A163" s="1344" t="s">
        <v>79</v>
      </c>
      <c r="B163" s="1339" t="s">
        <v>590</v>
      </c>
      <c r="C163" s="1345">
        <v>55</v>
      </c>
      <c r="D163" s="1345">
        <v>15</v>
      </c>
      <c r="E163" s="821"/>
      <c r="F163" s="972" t="str">
        <f t="shared" si="3"/>
        <v>SA-387M Gr12CL25515</v>
      </c>
      <c r="G163" s="1346">
        <v>6669</v>
      </c>
      <c r="H163" s="1346"/>
      <c r="I163" s="1347" t="s">
        <v>181</v>
      </c>
      <c r="J163" s="1347"/>
      <c r="K163" s="1347">
        <v>90</v>
      </c>
      <c r="L163" s="1348">
        <v>42914</v>
      </c>
      <c r="M163" s="1347">
        <v>7</v>
      </c>
      <c r="N163" s="1347" t="s">
        <v>127</v>
      </c>
    </row>
    <row r="164" spans="1:14" s="655" customFormat="1">
      <c r="A164" s="1344" t="s">
        <v>79</v>
      </c>
      <c r="B164" s="1339" t="s">
        <v>590</v>
      </c>
      <c r="C164" s="1345">
        <v>60</v>
      </c>
      <c r="D164" s="1345">
        <v>15</v>
      </c>
      <c r="E164" s="821"/>
      <c r="F164" s="972" t="str">
        <f t="shared" si="3"/>
        <v>SA-387M Gr12CL26015</v>
      </c>
      <c r="G164" s="1346">
        <v>6669</v>
      </c>
      <c r="H164" s="1346"/>
      <c r="I164" s="1347" t="s">
        <v>181</v>
      </c>
      <c r="J164" s="1347"/>
      <c r="K164" s="1347">
        <v>90</v>
      </c>
      <c r="L164" s="1348">
        <v>42914</v>
      </c>
      <c r="M164" s="1347">
        <v>7</v>
      </c>
      <c r="N164" s="1347" t="s">
        <v>127</v>
      </c>
    </row>
    <row r="165" spans="1:14" s="655" customFormat="1">
      <c r="A165" s="1344" t="s">
        <v>79</v>
      </c>
      <c r="B165" s="1339" t="s">
        <v>590</v>
      </c>
      <c r="C165" s="1345">
        <v>74.599999999999994</v>
      </c>
      <c r="D165" s="1345">
        <v>6</v>
      </c>
      <c r="E165" s="821"/>
      <c r="F165" s="972" t="str">
        <f t="shared" si="3"/>
        <v>SA-387M Gr12CL274.66</v>
      </c>
      <c r="G165" s="1346">
        <v>7020</v>
      </c>
      <c r="H165" s="1346"/>
      <c r="I165" s="1347" t="s">
        <v>181</v>
      </c>
      <c r="J165" s="1347"/>
      <c r="K165" s="1347">
        <v>90</v>
      </c>
      <c r="L165" s="1348">
        <v>42914</v>
      </c>
      <c r="M165" s="1347">
        <v>7</v>
      </c>
      <c r="N165" s="1347" t="s">
        <v>127</v>
      </c>
    </row>
    <row r="166" spans="1:14" s="655" customFormat="1">
      <c r="A166" s="1344" t="s">
        <v>79</v>
      </c>
      <c r="B166" s="1339" t="s">
        <v>590</v>
      </c>
      <c r="C166" s="1345">
        <v>75</v>
      </c>
      <c r="D166" s="1345">
        <v>4</v>
      </c>
      <c r="E166" s="821"/>
      <c r="F166" s="972" t="str">
        <f t="shared" si="3"/>
        <v>SA-387M Gr12CL2754</v>
      </c>
      <c r="G166" s="1346">
        <v>7020</v>
      </c>
      <c r="H166" s="1346"/>
      <c r="I166" s="1347" t="s">
        <v>181</v>
      </c>
      <c r="J166" s="1347"/>
      <c r="K166" s="1347">
        <v>90</v>
      </c>
      <c r="L166" s="1348">
        <v>42914</v>
      </c>
      <c r="M166" s="1347">
        <v>7</v>
      </c>
      <c r="N166" s="1347" t="s">
        <v>127</v>
      </c>
    </row>
    <row r="167" spans="1:14" s="655" customFormat="1">
      <c r="A167" s="1344" t="s">
        <v>79</v>
      </c>
      <c r="B167" s="1339" t="s">
        <v>590</v>
      </c>
      <c r="C167" s="1345">
        <v>77</v>
      </c>
      <c r="D167" s="1345">
        <v>4</v>
      </c>
      <c r="E167" s="821"/>
      <c r="F167" s="972" t="str">
        <f t="shared" si="3"/>
        <v>SA-387M Gr12CL2774</v>
      </c>
      <c r="G167" s="1346">
        <v>7020</v>
      </c>
      <c r="H167" s="1346"/>
      <c r="I167" s="1347" t="s">
        <v>181</v>
      </c>
      <c r="J167" s="1347"/>
      <c r="K167" s="1347">
        <v>90</v>
      </c>
      <c r="L167" s="1348">
        <v>42914</v>
      </c>
      <c r="M167" s="1347">
        <v>7</v>
      </c>
      <c r="N167" s="1347" t="s">
        <v>127</v>
      </c>
    </row>
    <row r="168" spans="1:14" s="655" customFormat="1">
      <c r="A168" s="1344" t="s">
        <v>79</v>
      </c>
      <c r="B168" s="1339" t="s">
        <v>590</v>
      </c>
      <c r="C168" s="1345">
        <v>80</v>
      </c>
      <c r="D168" s="1345">
        <v>20</v>
      </c>
      <c r="E168" s="821"/>
      <c r="F168" s="972" t="str">
        <f t="shared" si="3"/>
        <v>SA-387M Gr12CL28020</v>
      </c>
      <c r="G168" s="1346">
        <v>6669</v>
      </c>
      <c r="H168" s="1346"/>
      <c r="I168" s="1347" t="s">
        <v>181</v>
      </c>
      <c r="J168" s="1347"/>
      <c r="K168" s="1347">
        <v>90</v>
      </c>
      <c r="L168" s="1348">
        <v>42914</v>
      </c>
      <c r="M168" s="1347">
        <v>7</v>
      </c>
      <c r="N168" s="1347" t="s">
        <v>127</v>
      </c>
    </row>
    <row r="169" spans="1:14" s="655" customFormat="1">
      <c r="A169" s="1344" t="s">
        <v>79</v>
      </c>
      <c r="B169" s="1339" t="s">
        <v>590</v>
      </c>
      <c r="C169" s="1345">
        <v>87</v>
      </c>
      <c r="D169" s="1345">
        <v>15</v>
      </c>
      <c r="E169" s="821"/>
      <c r="F169" s="972" t="str">
        <f t="shared" si="3"/>
        <v>SA-387M Gr12CL28715</v>
      </c>
      <c r="G169" s="1346">
        <v>6669</v>
      </c>
      <c r="H169" s="1346"/>
      <c r="I169" s="1347" t="s">
        <v>181</v>
      </c>
      <c r="J169" s="1347"/>
      <c r="K169" s="1347">
        <v>90</v>
      </c>
      <c r="L169" s="1348">
        <v>42914</v>
      </c>
      <c r="M169" s="1347">
        <v>7</v>
      </c>
      <c r="N169" s="1347" t="s">
        <v>127</v>
      </c>
    </row>
    <row r="170" spans="1:14" s="655" customFormat="1">
      <c r="A170" s="1344" t="s">
        <v>79</v>
      </c>
      <c r="B170" s="1339" t="s">
        <v>590</v>
      </c>
      <c r="C170" s="1345">
        <v>90</v>
      </c>
      <c r="D170" s="1345">
        <v>8</v>
      </c>
      <c r="E170" s="821"/>
      <c r="F170" s="972" t="str">
        <f t="shared" si="3"/>
        <v>SA-387M Gr12CL2908</v>
      </c>
      <c r="G170" s="1346">
        <v>6669</v>
      </c>
      <c r="H170" s="1346"/>
      <c r="I170" s="1347" t="s">
        <v>181</v>
      </c>
      <c r="J170" s="1347"/>
      <c r="K170" s="1347">
        <v>90</v>
      </c>
      <c r="L170" s="1348">
        <v>42914</v>
      </c>
      <c r="M170" s="1347">
        <v>7</v>
      </c>
      <c r="N170" s="1347" t="s">
        <v>127</v>
      </c>
    </row>
    <row r="171" spans="1:14" s="655" customFormat="1">
      <c r="A171" s="1344" t="s">
        <v>79</v>
      </c>
      <c r="B171" s="1339" t="s">
        <v>590</v>
      </c>
      <c r="C171" s="1345">
        <v>90</v>
      </c>
      <c r="D171" s="1345">
        <v>30</v>
      </c>
      <c r="E171" s="821"/>
      <c r="F171" s="972" t="str">
        <f t="shared" si="3"/>
        <v>SA-387M Gr12CL29030</v>
      </c>
      <c r="G171" s="1346">
        <v>6669</v>
      </c>
      <c r="H171" s="1346"/>
      <c r="I171" s="1347" t="s">
        <v>181</v>
      </c>
      <c r="J171" s="1347"/>
      <c r="K171" s="1347">
        <v>90</v>
      </c>
      <c r="L171" s="1348">
        <v>42914</v>
      </c>
      <c r="M171" s="1347">
        <v>7</v>
      </c>
      <c r="N171" s="1347" t="s">
        <v>127</v>
      </c>
    </row>
    <row r="172" spans="1:14" s="655" customFormat="1">
      <c r="A172" s="1344" t="s">
        <v>79</v>
      </c>
      <c r="B172" s="1339" t="s">
        <v>590</v>
      </c>
      <c r="C172" s="1345">
        <v>90</v>
      </c>
      <c r="D172" s="1345">
        <v>90</v>
      </c>
      <c r="E172" s="821"/>
      <c r="F172" s="972" t="str">
        <f t="shared" si="3"/>
        <v>SA-387M Gr12CL29090</v>
      </c>
      <c r="G172" s="1346">
        <v>6669</v>
      </c>
      <c r="H172" s="1346"/>
      <c r="I172" s="1347" t="s">
        <v>181</v>
      </c>
      <c r="J172" s="1347"/>
      <c r="K172" s="1347">
        <v>90</v>
      </c>
      <c r="L172" s="1348">
        <v>42914</v>
      </c>
      <c r="M172" s="1347">
        <v>7</v>
      </c>
      <c r="N172" s="1347" t="s">
        <v>127</v>
      </c>
    </row>
    <row r="173" spans="1:14" s="655" customFormat="1">
      <c r="A173" s="1344" t="s">
        <v>79</v>
      </c>
      <c r="B173" s="1339" t="s">
        <v>590</v>
      </c>
      <c r="C173" s="1345">
        <v>100</v>
      </c>
      <c r="D173" s="1345">
        <v>6</v>
      </c>
      <c r="E173" s="821"/>
      <c r="F173" s="972" t="str">
        <f t="shared" si="3"/>
        <v>SA-387M Gr12CL21006</v>
      </c>
      <c r="G173" s="1346">
        <v>7020</v>
      </c>
      <c r="H173" s="1346"/>
      <c r="I173" s="1347" t="s">
        <v>181</v>
      </c>
      <c r="J173" s="1347"/>
      <c r="K173" s="1347">
        <v>90</v>
      </c>
      <c r="L173" s="1348">
        <v>42914</v>
      </c>
      <c r="M173" s="1347">
        <v>7</v>
      </c>
      <c r="N173" s="1347" t="s">
        <v>127</v>
      </c>
    </row>
    <row r="174" spans="1:14" s="655" customFormat="1">
      <c r="A174" s="1344" t="s">
        <v>79</v>
      </c>
      <c r="B174" s="1339" t="s">
        <v>590</v>
      </c>
      <c r="C174" s="1345">
        <v>155</v>
      </c>
      <c r="D174" s="1345">
        <v>10</v>
      </c>
      <c r="E174" s="821"/>
      <c r="F174" s="972" t="str">
        <f t="shared" si="3"/>
        <v>SA-387M Gr12CL215510</v>
      </c>
      <c r="G174" s="1346">
        <v>6669</v>
      </c>
      <c r="H174" s="1346"/>
      <c r="I174" s="1347" t="s">
        <v>181</v>
      </c>
      <c r="J174" s="1347"/>
      <c r="K174" s="1347">
        <v>90</v>
      </c>
      <c r="L174" s="1348">
        <v>42914</v>
      </c>
      <c r="M174" s="1347">
        <v>7</v>
      </c>
      <c r="N174" s="1347" t="s">
        <v>127</v>
      </c>
    </row>
    <row r="175" spans="1:14" s="655" customFormat="1">
      <c r="A175" s="1344" t="s">
        <v>79</v>
      </c>
      <c r="B175" s="1339" t="s">
        <v>590</v>
      </c>
      <c r="C175" s="1345">
        <v>170</v>
      </c>
      <c r="D175" s="1345">
        <v>6</v>
      </c>
      <c r="E175" s="821"/>
      <c r="F175" s="972" t="str">
        <f t="shared" si="3"/>
        <v>SA-387M Gr12CL21706</v>
      </c>
      <c r="G175" s="1346">
        <v>7020</v>
      </c>
      <c r="H175" s="1346"/>
      <c r="I175" s="1347" t="s">
        <v>181</v>
      </c>
      <c r="J175" s="1347"/>
      <c r="K175" s="1347">
        <v>90</v>
      </c>
      <c r="L175" s="1348">
        <v>42914</v>
      </c>
      <c r="M175" s="1347">
        <v>7</v>
      </c>
      <c r="N175" s="1347" t="s">
        <v>127</v>
      </c>
    </row>
    <row r="176" spans="1:14" s="655" customFormat="1">
      <c r="A176" s="1344" t="s">
        <v>79</v>
      </c>
      <c r="B176" s="1344" t="s">
        <v>590</v>
      </c>
      <c r="C176" s="1345">
        <v>250</v>
      </c>
      <c r="D176" s="1345">
        <v>10</v>
      </c>
      <c r="E176" s="821"/>
      <c r="F176" s="972" t="str">
        <f t="shared" si="3"/>
        <v>SA-387M Gr12CL225010</v>
      </c>
      <c r="G176" s="1346">
        <v>6669</v>
      </c>
      <c r="H176" s="1346"/>
      <c r="I176" s="1347" t="s">
        <v>181</v>
      </c>
      <c r="J176" s="1347"/>
      <c r="K176" s="1347">
        <v>90</v>
      </c>
      <c r="L176" s="1348">
        <v>42914</v>
      </c>
      <c r="M176" s="1347">
        <v>7</v>
      </c>
      <c r="N176" s="1347" t="s">
        <v>127</v>
      </c>
    </row>
    <row r="177" spans="1:14" s="655" customFormat="1">
      <c r="A177" s="1344" t="s">
        <v>79</v>
      </c>
      <c r="B177" s="1344" t="s">
        <v>590</v>
      </c>
      <c r="C177" s="1345">
        <v>320</v>
      </c>
      <c r="D177" s="1345">
        <v>7</v>
      </c>
      <c r="E177" s="821"/>
      <c r="F177" s="972" t="str">
        <f t="shared" si="3"/>
        <v>SA-387M Gr12CL23207</v>
      </c>
      <c r="G177" s="1346">
        <v>6669</v>
      </c>
      <c r="H177" s="1346"/>
      <c r="I177" s="1347" t="s">
        <v>181</v>
      </c>
      <c r="J177" s="1347"/>
      <c r="K177" s="1347">
        <v>90</v>
      </c>
      <c r="L177" s="1348">
        <v>42914</v>
      </c>
      <c r="M177" s="1347">
        <v>7</v>
      </c>
      <c r="N177" s="1347" t="s">
        <v>127</v>
      </c>
    </row>
    <row r="178" spans="1:14" s="655" customFormat="1">
      <c r="A178" s="1344" t="s">
        <v>79</v>
      </c>
      <c r="B178" s="1344" t="s">
        <v>590</v>
      </c>
      <c r="C178" s="1345">
        <v>425</v>
      </c>
      <c r="D178" s="1345">
        <v>6</v>
      </c>
      <c r="E178" s="821"/>
      <c r="F178" s="972" t="str">
        <f t="shared" si="3"/>
        <v>SA-387M Gr12CL24256</v>
      </c>
      <c r="G178" s="1346">
        <v>7020</v>
      </c>
      <c r="H178" s="1346"/>
      <c r="I178" s="1347" t="s">
        <v>181</v>
      </c>
      <c r="J178" s="1347"/>
      <c r="K178" s="1347">
        <v>90</v>
      </c>
      <c r="L178" s="1348">
        <v>42914</v>
      </c>
      <c r="M178" s="1347">
        <v>7</v>
      </c>
      <c r="N178" s="1347" t="s">
        <v>127</v>
      </c>
    </row>
    <row r="179" spans="1:14" s="655" customFormat="1">
      <c r="A179" s="1344" t="s">
        <v>79</v>
      </c>
      <c r="B179" s="1344" t="s">
        <v>590</v>
      </c>
      <c r="C179" s="1345">
        <v>599.1</v>
      </c>
      <c r="D179" s="1345">
        <v>6</v>
      </c>
      <c r="E179" s="821"/>
      <c r="F179" s="972" t="str">
        <f t="shared" si="3"/>
        <v>SA-387M Gr12CL2599.16</v>
      </c>
      <c r="G179" s="1346">
        <v>7020</v>
      </c>
      <c r="H179" s="1346"/>
      <c r="I179" s="1347" t="s">
        <v>181</v>
      </c>
      <c r="J179" s="1347"/>
      <c r="K179" s="1347">
        <v>90</v>
      </c>
      <c r="L179" s="1348">
        <v>42914</v>
      </c>
      <c r="M179" s="1347">
        <v>7</v>
      </c>
      <c r="N179" s="1347" t="s">
        <v>127</v>
      </c>
    </row>
    <row r="180" spans="1:14" s="655" customFormat="1">
      <c r="A180" s="1344" t="s">
        <v>79</v>
      </c>
      <c r="B180" s="1339" t="s">
        <v>590</v>
      </c>
      <c r="C180" s="1345">
        <v>2000</v>
      </c>
      <c r="D180" s="1345">
        <v>6</v>
      </c>
      <c r="E180" s="821"/>
      <c r="F180" s="972" t="str">
        <f t="shared" si="3"/>
        <v>SA-387M Gr12CL220006</v>
      </c>
      <c r="G180" s="1346">
        <v>7020</v>
      </c>
      <c r="H180" s="1346"/>
      <c r="I180" s="1347" t="s">
        <v>181</v>
      </c>
      <c r="J180" s="1347"/>
      <c r="K180" s="1347">
        <v>90</v>
      </c>
      <c r="L180" s="1348">
        <v>42914</v>
      </c>
      <c r="M180" s="1347">
        <v>7</v>
      </c>
      <c r="N180" s="1347" t="s">
        <v>127</v>
      </c>
    </row>
    <row r="181" spans="1:14" s="655" customFormat="1">
      <c r="A181" s="1344" t="s">
        <v>79</v>
      </c>
      <c r="B181" s="1339" t="s">
        <v>590</v>
      </c>
      <c r="C181" s="1345"/>
      <c r="D181" s="1345">
        <v>6</v>
      </c>
      <c r="E181" s="821"/>
      <c r="F181" s="972" t="str">
        <f t="shared" si="3"/>
        <v>SA-387M Gr12CL26</v>
      </c>
      <c r="G181" s="1346">
        <v>7020</v>
      </c>
      <c r="H181" s="1346"/>
      <c r="I181" s="1347" t="s">
        <v>181</v>
      </c>
      <c r="J181" s="1347"/>
      <c r="K181" s="1347">
        <v>90</v>
      </c>
      <c r="L181" s="1348">
        <v>42914</v>
      </c>
      <c r="M181" s="1347">
        <v>7</v>
      </c>
      <c r="N181" s="1347" t="s">
        <v>127</v>
      </c>
    </row>
    <row r="182" spans="1:14" s="655" customFormat="1">
      <c r="A182" s="1344" t="s">
        <v>79</v>
      </c>
      <c r="B182" s="1339" t="s">
        <v>590</v>
      </c>
      <c r="C182" s="1345"/>
      <c r="D182" s="1345">
        <v>7.5</v>
      </c>
      <c r="E182" s="821"/>
      <c r="F182" s="972" t="str">
        <f t="shared" si="3"/>
        <v>SA-387M Gr12CL27.5</v>
      </c>
      <c r="G182" s="1346">
        <v>6669</v>
      </c>
      <c r="H182" s="1346"/>
      <c r="I182" s="1347" t="s">
        <v>181</v>
      </c>
      <c r="J182" s="1347"/>
      <c r="K182" s="1347">
        <v>90</v>
      </c>
      <c r="L182" s="1348">
        <v>42914</v>
      </c>
      <c r="M182" s="1347">
        <v>7</v>
      </c>
      <c r="N182" s="1347" t="s">
        <v>127</v>
      </c>
    </row>
    <row r="183" spans="1:14" s="655" customFormat="1">
      <c r="A183" s="1344" t="s">
        <v>79</v>
      </c>
      <c r="B183" s="1339" t="s">
        <v>590</v>
      </c>
      <c r="C183" s="1345"/>
      <c r="D183" s="1345">
        <v>8</v>
      </c>
      <c r="E183" s="821"/>
      <c r="F183" s="972" t="str">
        <f t="shared" si="3"/>
        <v>SA-387M Gr12CL28</v>
      </c>
      <c r="G183" s="1346">
        <v>6669</v>
      </c>
      <c r="H183" s="1346"/>
      <c r="I183" s="1347" t="s">
        <v>181</v>
      </c>
      <c r="J183" s="1347"/>
      <c r="K183" s="1347">
        <v>90</v>
      </c>
      <c r="L183" s="1348">
        <v>42914</v>
      </c>
      <c r="M183" s="1347">
        <v>7</v>
      </c>
      <c r="N183" s="1347" t="s">
        <v>127</v>
      </c>
    </row>
    <row r="184" spans="1:14" s="655" customFormat="1">
      <c r="A184" s="1344" t="s">
        <v>79</v>
      </c>
      <c r="B184" s="1339" t="s">
        <v>590</v>
      </c>
      <c r="C184" s="1345"/>
      <c r="D184" s="1345">
        <v>10</v>
      </c>
      <c r="E184" s="821"/>
      <c r="F184" s="972" t="str">
        <f t="shared" si="3"/>
        <v>SA-387M Gr12CL210</v>
      </c>
      <c r="G184" s="1346">
        <v>6669</v>
      </c>
      <c r="H184" s="1346"/>
      <c r="I184" s="1347" t="s">
        <v>181</v>
      </c>
      <c r="J184" s="1347"/>
      <c r="K184" s="1347">
        <v>90</v>
      </c>
      <c r="L184" s="1348">
        <v>42914</v>
      </c>
      <c r="M184" s="1347">
        <v>7</v>
      </c>
      <c r="N184" s="1347" t="s">
        <v>127</v>
      </c>
    </row>
    <row r="185" spans="1:14" s="655" customFormat="1">
      <c r="A185" s="1344" t="s">
        <v>79</v>
      </c>
      <c r="B185" s="1339" t="s">
        <v>590</v>
      </c>
      <c r="C185" s="1345"/>
      <c r="D185" s="1345">
        <v>12</v>
      </c>
      <c r="E185" s="821"/>
      <c r="F185" s="972" t="str">
        <f t="shared" si="3"/>
        <v>SA-387M Gr12CL212</v>
      </c>
      <c r="G185" s="1346">
        <v>6669</v>
      </c>
      <c r="H185" s="1346"/>
      <c r="I185" s="1347" t="s">
        <v>181</v>
      </c>
      <c r="J185" s="1347"/>
      <c r="K185" s="1347">
        <v>90</v>
      </c>
      <c r="L185" s="1348">
        <v>42914</v>
      </c>
      <c r="M185" s="1347">
        <v>7</v>
      </c>
      <c r="N185" s="1347" t="s">
        <v>127</v>
      </c>
    </row>
    <row r="186" spans="1:14" s="655" customFormat="1">
      <c r="A186" s="1344" t="s">
        <v>79</v>
      </c>
      <c r="B186" s="1339" t="s">
        <v>590</v>
      </c>
      <c r="C186" s="1345"/>
      <c r="D186" s="1345">
        <v>15</v>
      </c>
      <c r="E186" s="821"/>
      <c r="F186" s="972" t="str">
        <f t="shared" si="3"/>
        <v>SA-387M Gr12CL215</v>
      </c>
      <c r="G186" s="1346">
        <v>6669</v>
      </c>
      <c r="H186" s="1346"/>
      <c r="I186" s="1347" t="s">
        <v>181</v>
      </c>
      <c r="J186" s="1347"/>
      <c r="K186" s="1347">
        <v>90</v>
      </c>
      <c r="L186" s="1348">
        <v>42914</v>
      </c>
      <c r="M186" s="1347">
        <v>7</v>
      </c>
      <c r="N186" s="1347" t="s">
        <v>127</v>
      </c>
    </row>
    <row r="187" spans="1:14" s="655" customFormat="1">
      <c r="A187" s="1344" t="s">
        <v>79</v>
      </c>
      <c r="B187" s="1339" t="s">
        <v>590</v>
      </c>
      <c r="C187" s="1345"/>
      <c r="D187" s="1345">
        <v>16</v>
      </c>
      <c r="E187" s="821"/>
      <c r="F187" s="972" t="str">
        <f t="shared" si="3"/>
        <v>SA-387M Gr12CL216</v>
      </c>
      <c r="G187" s="1346">
        <v>6669</v>
      </c>
      <c r="H187" s="1346"/>
      <c r="I187" s="1347" t="s">
        <v>181</v>
      </c>
      <c r="J187" s="1347"/>
      <c r="K187" s="1347">
        <v>90</v>
      </c>
      <c r="L187" s="1348">
        <v>42914</v>
      </c>
      <c r="M187" s="1347">
        <v>7</v>
      </c>
      <c r="N187" s="1347" t="s">
        <v>127</v>
      </c>
    </row>
    <row r="188" spans="1:14" s="655" customFormat="1">
      <c r="A188" s="1344" t="s">
        <v>79</v>
      </c>
      <c r="B188" s="1339" t="s">
        <v>590</v>
      </c>
      <c r="C188" s="1345"/>
      <c r="D188" s="1345">
        <v>18</v>
      </c>
      <c r="E188" s="821"/>
      <c r="F188" s="972" t="str">
        <f t="shared" si="3"/>
        <v>SA-387M Gr12CL218</v>
      </c>
      <c r="G188" s="1346">
        <v>6669</v>
      </c>
      <c r="H188" s="1346"/>
      <c r="I188" s="1347" t="s">
        <v>181</v>
      </c>
      <c r="J188" s="1347"/>
      <c r="K188" s="1347">
        <v>90</v>
      </c>
      <c r="L188" s="1348">
        <v>42914</v>
      </c>
      <c r="M188" s="1347">
        <v>7</v>
      </c>
      <c r="N188" s="1347" t="s">
        <v>127</v>
      </c>
    </row>
    <row r="189" spans="1:14" s="655" customFormat="1">
      <c r="A189" s="1344" t="s">
        <v>79</v>
      </c>
      <c r="B189" s="1339" t="s">
        <v>590</v>
      </c>
      <c r="C189" s="1345"/>
      <c r="D189" s="1345">
        <v>20</v>
      </c>
      <c r="E189" s="821"/>
      <c r="F189" s="972" t="str">
        <f t="shared" si="3"/>
        <v>SA-387M Gr12CL220</v>
      </c>
      <c r="G189" s="1346">
        <v>6669</v>
      </c>
      <c r="H189" s="1346"/>
      <c r="I189" s="1347" t="s">
        <v>181</v>
      </c>
      <c r="J189" s="1347"/>
      <c r="K189" s="1347">
        <v>90</v>
      </c>
      <c r="L189" s="1348">
        <v>42914</v>
      </c>
      <c r="M189" s="1347">
        <v>7</v>
      </c>
      <c r="N189" s="1347" t="s">
        <v>127</v>
      </c>
    </row>
    <row r="190" spans="1:14" s="655" customFormat="1">
      <c r="A190" s="1344" t="s">
        <v>79</v>
      </c>
      <c r="B190" s="1339" t="s">
        <v>590</v>
      </c>
      <c r="C190" s="1345"/>
      <c r="D190" s="1345">
        <v>25</v>
      </c>
      <c r="E190" s="821"/>
      <c r="F190" s="972" t="str">
        <f t="shared" si="3"/>
        <v>SA-387M Gr12CL225</v>
      </c>
      <c r="G190" s="1346">
        <v>6669</v>
      </c>
      <c r="H190" s="1346"/>
      <c r="I190" s="1347" t="s">
        <v>181</v>
      </c>
      <c r="J190" s="1347"/>
      <c r="K190" s="1347">
        <v>90</v>
      </c>
      <c r="L190" s="1348">
        <v>42914</v>
      </c>
      <c r="M190" s="1347">
        <v>7</v>
      </c>
      <c r="N190" s="1347" t="s">
        <v>127</v>
      </c>
    </row>
    <row r="191" spans="1:14" s="655" customFormat="1">
      <c r="A191" s="1344" t="s">
        <v>79</v>
      </c>
      <c r="B191" s="1339" t="s">
        <v>590</v>
      </c>
      <c r="C191" s="1345"/>
      <c r="D191" s="1345">
        <v>40</v>
      </c>
      <c r="E191" s="821"/>
      <c r="F191" s="972" t="str">
        <f t="shared" si="3"/>
        <v>SA-387M Gr12CL240</v>
      </c>
      <c r="G191" s="1346">
        <v>6669</v>
      </c>
      <c r="H191" s="1346"/>
      <c r="I191" s="1347" t="s">
        <v>181</v>
      </c>
      <c r="J191" s="1347"/>
      <c r="K191" s="1347">
        <v>90</v>
      </c>
      <c r="L191" s="1348">
        <v>42914</v>
      </c>
      <c r="M191" s="1347">
        <v>7</v>
      </c>
      <c r="N191" s="1347" t="s">
        <v>127</v>
      </c>
    </row>
    <row r="192" spans="1:14" s="655" customFormat="1">
      <c r="A192" s="1344" t="s">
        <v>79</v>
      </c>
      <c r="B192" s="1339" t="s">
        <v>590</v>
      </c>
      <c r="C192" s="1345"/>
      <c r="D192" s="1345">
        <v>70</v>
      </c>
      <c r="E192" s="821"/>
      <c r="F192" s="972" t="str">
        <f t="shared" si="3"/>
        <v>SA-387M Gr12CL270</v>
      </c>
      <c r="G192" s="1346">
        <v>6669</v>
      </c>
      <c r="H192" s="1346"/>
      <c r="I192" s="1347" t="s">
        <v>181</v>
      </c>
      <c r="J192" s="1347"/>
      <c r="K192" s="1347">
        <v>90</v>
      </c>
      <c r="L192" s="1348">
        <v>42914</v>
      </c>
      <c r="M192" s="1347">
        <v>7</v>
      </c>
      <c r="N192" s="1347" t="s">
        <v>127</v>
      </c>
    </row>
    <row r="193" spans="1:14" s="655" customFormat="1">
      <c r="A193" s="1344" t="s">
        <v>79</v>
      </c>
      <c r="B193" s="1339" t="s">
        <v>590</v>
      </c>
      <c r="C193" s="1345"/>
      <c r="D193" s="1345"/>
      <c r="E193" s="821"/>
      <c r="F193" s="972" t="str">
        <f t="shared" si="3"/>
        <v>SA-387M Gr12CL2</v>
      </c>
      <c r="G193" s="1346">
        <v>6669</v>
      </c>
      <c r="H193" s="1346"/>
      <c r="I193" s="1347" t="s">
        <v>181</v>
      </c>
      <c r="J193" s="1347"/>
      <c r="K193" s="1347">
        <v>90</v>
      </c>
      <c r="L193" s="1348">
        <v>42914</v>
      </c>
      <c r="M193" s="1347">
        <v>7</v>
      </c>
      <c r="N193" s="1347" t="s">
        <v>127</v>
      </c>
    </row>
    <row r="194" spans="1:14" s="655" customFormat="1">
      <c r="A194" s="1344" t="s">
        <v>79</v>
      </c>
      <c r="B194" s="1339" t="s">
        <v>589</v>
      </c>
      <c r="C194" s="1345">
        <v>60</v>
      </c>
      <c r="D194" s="1345">
        <v>10</v>
      </c>
      <c r="E194" s="821"/>
      <c r="F194" s="972" t="str">
        <f t="shared" si="3"/>
        <v>SA-387M Gr22CL26010</v>
      </c>
      <c r="G194" s="1346">
        <v>6669</v>
      </c>
      <c r="H194" s="1346"/>
      <c r="I194" s="1347" t="s">
        <v>181</v>
      </c>
      <c r="J194" s="1347"/>
      <c r="K194" s="1347">
        <v>90</v>
      </c>
      <c r="L194" s="1348">
        <v>42914</v>
      </c>
      <c r="M194" s="1347">
        <v>7</v>
      </c>
      <c r="N194" s="1347" t="s">
        <v>127</v>
      </c>
    </row>
    <row r="195" spans="1:14" s="655" customFormat="1">
      <c r="A195" s="1344" t="s">
        <v>79</v>
      </c>
      <c r="B195" s="1339" t="s">
        <v>589</v>
      </c>
      <c r="C195" s="1345">
        <v>60</v>
      </c>
      <c r="D195" s="1345">
        <v>15</v>
      </c>
      <c r="E195" s="821"/>
      <c r="F195" s="972" t="str">
        <f t="shared" si="3"/>
        <v>SA-387M Gr22CL26015</v>
      </c>
      <c r="G195" s="1346">
        <v>6669</v>
      </c>
      <c r="H195" s="1346"/>
      <c r="I195" s="1347" t="s">
        <v>181</v>
      </c>
      <c r="J195" s="1347"/>
      <c r="K195" s="1347">
        <v>90</v>
      </c>
      <c r="L195" s="1348">
        <v>42914</v>
      </c>
      <c r="M195" s="1347">
        <v>7</v>
      </c>
      <c r="N195" s="1347" t="s">
        <v>127</v>
      </c>
    </row>
    <row r="196" spans="1:14" s="655" customFormat="1">
      <c r="A196" s="1344" t="s">
        <v>79</v>
      </c>
      <c r="B196" s="1339" t="s">
        <v>589</v>
      </c>
      <c r="C196" s="1345">
        <v>70</v>
      </c>
      <c r="D196" s="1345">
        <v>10</v>
      </c>
      <c r="E196" s="821"/>
      <c r="F196" s="972" t="str">
        <f t="shared" si="3"/>
        <v>SA-387M Gr22CL27010</v>
      </c>
      <c r="G196" s="1346">
        <v>6669</v>
      </c>
      <c r="H196" s="1346"/>
      <c r="I196" s="1347" t="s">
        <v>181</v>
      </c>
      <c r="J196" s="1347"/>
      <c r="K196" s="1347">
        <v>90</v>
      </c>
      <c r="L196" s="1348">
        <v>42914</v>
      </c>
      <c r="M196" s="1347">
        <v>7</v>
      </c>
      <c r="N196" s="1347" t="s">
        <v>127</v>
      </c>
    </row>
    <row r="197" spans="1:14" s="655" customFormat="1">
      <c r="A197" s="1344" t="s">
        <v>79</v>
      </c>
      <c r="B197" s="1339" t="s">
        <v>589</v>
      </c>
      <c r="C197" s="1345">
        <v>110</v>
      </c>
      <c r="D197" s="1345">
        <v>40</v>
      </c>
      <c r="E197" s="821"/>
      <c r="F197" s="972" t="str">
        <f t="shared" si="3"/>
        <v>SA-387M Gr22CL211040</v>
      </c>
      <c r="G197" s="1346">
        <v>6669</v>
      </c>
      <c r="H197" s="1346"/>
      <c r="I197" s="1347" t="s">
        <v>181</v>
      </c>
      <c r="J197" s="1347"/>
      <c r="K197" s="1347">
        <v>90</v>
      </c>
      <c r="L197" s="1348">
        <v>42914</v>
      </c>
      <c r="M197" s="1347">
        <v>7</v>
      </c>
      <c r="N197" s="1347" t="s">
        <v>127</v>
      </c>
    </row>
    <row r="198" spans="1:14" s="655" customFormat="1">
      <c r="A198" s="1344" t="s">
        <v>79</v>
      </c>
      <c r="B198" s="1339" t="s">
        <v>589</v>
      </c>
      <c r="C198" s="1345">
        <v>160</v>
      </c>
      <c r="D198" s="1345"/>
      <c r="E198" s="821"/>
      <c r="F198" s="972" t="str">
        <f t="shared" si="3"/>
        <v>SA-387M Gr22CL2160</v>
      </c>
      <c r="G198" s="1346">
        <v>6669</v>
      </c>
      <c r="H198" s="1346"/>
      <c r="I198" s="1347" t="s">
        <v>181</v>
      </c>
      <c r="J198" s="1347"/>
      <c r="K198" s="1347">
        <v>90</v>
      </c>
      <c r="L198" s="1348">
        <v>42914</v>
      </c>
      <c r="M198" s="1347">
        <v>7</v>
      </c>
      <c r="N198" s="1347" t="s">
        <v>127</v>
      </c>
    </row>
    <row r="199" spans="1:14" s="655" customFormat="1">
      <c r="A199" s="1344" t="s">
        <v>79</v>
      </c>
      <c r="B199" s="1339" t="s">
        <v>589</v>
      </c>
      <c r="C199" s="1345"/>
      <c r="D199" s="1345">
        <v>15</v>
      </c>
      <c r="E199" s="821"/>
      <c r="F199" s="972" t="str">
        <f t="shared" si="3"/>
        <v>SA-387M Gr22CL215</v>
      </c>
      <c r="G199" s="1346">
        <v>6669</v>
      </c>
      <c r="H199" s="1346"/>
      <c r="I199" s="1347" t="s">
        <v>181</v>
      </c>
      <c r="J199" s="1347"/>
      <c r="K199" s="1347">
        <v>90</v>
      </c>
      <c r="L199" s="1348">
        <v>42914</v>
      </c>
      <c r="M199" s="1347">
        <v>7</v>
      </c>
      <c r="N199" s="1347" t="s">
        <v>127</v>
      </c>
    </row>
    <row r="200" spans="1:14" s="655" customFormat="1">
      <c r="A200" s="1344" t="s">
        <v>79</v>
      </c>
      <c r="B200" s="1339" t="s">
        <v>589</v>
      </c>
      <c r="C200" s="1345"/>
      <c r="D200" s="1345"/>
      <c r="E200" s="821"/>
      <c r="F200" s="972" t="str">
        <f t="shared" si="3"/>
        <v>SA-387M Gr22CL2</v>
      </c>
      <c r="G200" s="1346">
        <v>6669</v>
      </c>
      <c r="H200" s="1346"/>
      <c r="I200" s="1347" t="s">
        <v>181</v>
      </c>
      <c r="J200" s="1347"/>
      <c r="K200" s="1347">
        <v>90</v>
      </c>
      <c r="L200" s="1348">
        <v>42914</v>
      </c>
      <c r="M200" s="1347">
        <v>7</v>
      </c>
      <c r="N200" s="1347" t="s">
        <v>127</v>
      </c>
    </row>
    <row r="201" spans="1:14" s="655" customFormat="1">
      <c r="A201" s="1344" t="s">
        <v>79</v>
      </c>
      <c r="B201" s="1339" t="s">
        <v>1432</v>
      </c>
      <c r="C201" s="1345">
        <v>12.5</v>
      </c>
      <c r="D201" s="1345">
        <v>6</v>
      </c>
      <c r="E201" s="821"/>
      <c r="F201" s="972" t="str">
        <f t="shared" si="3"/>
        <v>SA-387M Gr2312.56</v>
      </c>
      <c r="G201" s="1346">
        <v>6000</v>
      </c>
      <c r="H201" s="1346"/>
      <c r="I201" s="1347" t="s">
        <v>179</v>
      </c>
      <c r="J201" s="1347"/>
      <c r="K201" s="1347">
        <v>180</v>
      </c>
      <c r="L201" s="1348">
        <v>42914</v>
      </c>
      <c r="M201" s="1347">
        <v>7</v>
      </c>
      <c r="N201" s="1347" t="s">
        <v>127</v>
      </c>
    </row>
    <row r="202" spans="1:14" s="655" customFormat="1">
      <c r="A202" s="1344" t="s">
        <v>79</v>
      </c>
      <c r="B202" s="1339" t="s">
        <v>1432</v>
      </c>
      <c r="C202" s="1345">
        <v>12.55</v>
      </c>
      <c r="D202" s="1345">
        <v>6</v>
      </c>
      <c r="E202" s="821"/>
      <c r="F202" s="972" t="str">
        <f t="shared" si="3"/>
        <v>SA-387M Gr2312.556</v>
      </c>
      <c r="G202" s="1346">
        <v>6000</v>
      </c>
      <c r="H202" s="1346"/>
      <c r="I202" s="1347" t="s">
        <v>179</v>
      </c>
      <c r="J202" s="1347"/>
      <c r="K202" s="1347">
        <v>180</v>
      </c>
      <c r="L202" s="1348">
        <v>42914</v>
      </c>
      <c r="M202" s="1347">
        <v>7</v>
      </c>
      <c r="N202" s="1347" t="s">
        <v>127</v>
      </c>
    </row>
    <row r="203" spans="1:14" s="655" customFormat="1">
      <c r="A203" s="1344" t="s">
        <v>79</v>
      </c>
      <c r="B203" s="1339" t="s">
        <v>1432</v>
      </c>
      <c r="C203" s="1345">
        <v>22</v>
      </c>
      <c r="D203" s="1345">
        <v>6</v>
      </c>
      <c r="E203" s="821"/>
      <c r="F203" s="972" t="str">
        <f t="shared" si="3"/>
        <v>SA-387M Gr23226</v>
      </c>
      <c r="G203" s="1346">
        <v>6000</v>
      </c>
      <c r="H203" s="1346"/>
      <c r="I203" s="1347" t="s">
        <v>179</v>
      </c>
      <c r="J203" s="1347"/>
      <c r="K203" s="1347">
        <v>180</v>
      </c>
      <c r="L203" s="1348">
        <v>42914</v>
      </c>
      <c r="M203" s="1347">
        <v>7</v>
      </c>
      <c r="N203" s="1347" t="s">
        <v>127</v>
      </c>
    </row>
    <row r="204" spans="1:14" s="655" customFormat="1">
      <c r="A204" s="1344" t="s">
        <v>79</v>
      </c>
      <c r="B204" s="1339" t="s">
        <v>1432</v>
      </c>
      <c r="C204" s="1345">
        <v>22.1</v>
      </c>
      <c r="D204" s="1345">
        <v>6</v>
      </c>
      <c r="E204" s="821"/>
      <c r="F204" s="972" t="str">
        <f t="shared" si="3"/>
        <v>SA-387M Gr2322.16</v>
      </c>
      <c r="G204" s="1346">
        <v>6000</v>
      </c>
      <c r="H204" s="1346"/>
      <c r="I204" s="1347" t="s">
        <v>179</v>
      </c>
      <c r="J204" s="1347"/>
      <c r="K204" s="1347">
        <v>180</v>
      </c>
      <c r="L204" s="1348">
        <v>42914</v>
      </c>
      <c r="M204" s="1347">
        <v>7</v>
      </c>
      <c r="N204" s="1347" t="s">
        <v>127</v>
      </c>
    </row>
    <row r="205" spans="1:14" s="655" customFormat="1">
      <c r="A205" s="1344" t="s">
        <v>79</v>
      </c>
      <c r="B205" s="1339" t="s">
        <v>1432</v>
      </c>
      <c r="C205" s="1345">
        <v>34</v>
      </c>
      <c r="D205" s="1345">
        <v>6</v>
      </c>
      <c r="E205" s="821"/>
      <c r="F205" s="972" t="str">
        <f t="shared" si="3"/>
        <v>SA-387M Gr23346</v>
      </c>
      <c r="G205" s="1346">
        <v>6000</v>
      </c>
      <c r="H205" s="1346"/>
      <c r="I205" s="1347" t="s">
        <v>179</v>
      </c>
      <c r="J205" s="1347"/>
      <c r="K205" s="1347">
        <v>180</v>
      </c>
      <c r="L205" s="1348">
        <v>42914</v>
      </c>
      <c r="M205" s="1347">
        <v>7</v>
      </c>
      <c r="N205" s="1347" t="s">
        <v>127</v>
      </c>
    </row>
    <row r="206" spans="1:14" s="655" customFormat="1">
      <c r="A206" s="1344" t="s">
        <v>79</v>
      </c>
      <c r="B206" s="1339" t="s">
        <v>1432</v>
      </c>
      <c r="C206" s="1345">
        <v>48.7</v>
      </c>
      <c r="D206" s="1345">
        <v>6</v>
      </c>
      <c r="E206" s="821"/>
      <c r="F206" s="972" t="str">
        <f t="shared" si="3"/>
        <v>SA-387M Gr2348.76</v>
      </c>
      <c r="G206" s="1346">
        <v>6000</v>
      </c>
      <c r="H206" s="1346"/>
      <c r="I206" s="1347" t="s">
        <v>179</v>
      </c>
      <c r="J206" s="1347"/>
      <c r="K206" s="1347">
        <v>180</v>
      </c>
      <c r="L206" s="1348">
        <v>42914</v>
      </c>
      <c r="M206" s="1347">
        <v>7</v>
      </c>
      <c r="N206" s="1347" t="s">
        <v>127</v>
      </c>
    </row>
    <row r="207" spans="1:14" s="655" customFormat="1">
      <c r="A207" s="1344" t="s">
        <v>79</v>
      </c>
      <c r="B207" s="1339" t="s">
        <v>1432</v>
      </c>
      <c r="C207" s="1345">
        <v>50</v>
      </c>
      <c r="D207" s="1345">
        <v>6</v>
      </c>
      <c r="E207" s="821"/>
      <c r="F207" s="972" t="str">
        <f t="shared" si="3"/>
        <v>SA-387M Gr23506</v>
      </c>
      <c r="G207" s="1346">
        <v>6000</v>
      </c>
      <c r="H207" s="1346"/>
      <c r="I207" s="1347" t="s">
        <v>179</v>
      </c>
      <c r="J207" s="1347"/>
      <c r="K207" s="1347">
        <v>180</v>
      </c>
      <c r="L207" s="1348">
        <v>42914</v>
      </c>
      <c r="M207" s="1347">
        <v>7</v>
      </c>
      <c r="N207" s="1347" t="s">
        <v>127</v>
      </c>
    </row>
    <row r="208" spans="1:14" s="655" customFormat="1">
      <c r="A208" s="1344" t="s">
        <v>79</v>
      </c>
      <c r="B208" s="1339" t="s">
        <v>1432</v>
      </c>
      <c r="C208" s="1345">
        <v>74.599999999999994</v>
      </c>
      <c r="D208" s="1345">
        <v>6</v>
      </c>
      <c r="E208" s="821"/>
      <c r="F208" s="972" t="str">
        <f t="shared" ref="F208:F233" si="4">B208&amp;C208&amp;D208</f>
        <v>SA-387M Gr2374.66</v>
      </c>
      <c r="G208" s="1346">
        <v>6000</v>
      </c>
      <c r="H208" s="1346"/>
      <c r="I208" s="1347" t="s">
        <v>179</v>
      </c>
      <c r="J208" s="1347"/>
      <c r="K208" s="1347">
        <v>180</v>
      </c>
      <c r="L208" s="1348">
        <v>42914</v>
      </c>
      <c r="M208" s="1347">
        <v>7</v>
      </c>
      <c r="N208" s="1347" t="s">
        <v>127</v>
      </c>
    </row>
    <row r="209" spans="1:14" s="655" customFormat="1">
      <c r="A209" s="1344" t="s">
        <v>79</v>
      </c>
      <c r="B209" s="1339" t="s">
        <v>1432</v>
      </c>
      <c r="C209" s="1345">
        <v>77.599999999999994</v>
      </c>
      <c r="D209" s="1345">
        <v>6</v>
      </c>
      <c r="E209" s="821"/>
      <c r="F209" s="972" t="str">
        <f t="shared" si="4"/>
        <v>SA-387M Gr2377.66</v>
      </c>
      <c r="G209" s="1346">
        <v>6000</v>
      </c>
      <c r="H209" s="1346"/>
      <c r="I209" s="1347" t="s">
        <v>179</v>
      </c>
      <c r="J209" s="1347"/>
      <c r="K209" s="1347">
        <v>180</v>
      </c>
      <c r="L209" s="1348">
        <v>42914</v>
      </c>
      <c r="M209" s="1347">
        <v>7</v>
      </c>
      <c r="N209" s="1347" t="s">
        <v>127</v>
      </c>
    </row>
    <row r="210" spans="1:14" s="655" customFormat="1">
      <c r="A210" s="1344" t="s">
        <v>79</v>
      </c>
      <c r="B210" s="1339" t="s">
        <v>1432</v>
      </c>
      <c r="C210" s="1345"/>
      <c r="D210" s="1345">
        <v>6</v>
      </c>
      <c r="E210" s="821"/>
      <c r="F210" s="972" t="str">
        <f t="shared" si="4"/>
        <v>SA-387M Gr236</v>
      </c>
      <c r="G210" s="1346">
        <v>6000</v>
      </c>
      <c r="H210" s="1346"/>
      <c r="I210" s="1347" t="s">
        <v>179</v>
      </c>
      <c r="J210" s="1347"/>
      <c r="K210" s="1347">
        <v>180</v>
      </c>
      <c r="L210" s="1348">
        <v>42914</v>
      </c>
      <c r="M210" s="1347">
        <v>7</v>
      </c>
      <c r="N210" s="1347" t="s">
        <v>127</v>
      </c>
    </row>
    <row r="211" spans="1:14" s="655" customFormat="1">
      <c r="A211" s="1344" t="s">
        <v>79</v>
      </c>
      <c r="B211" s="1339" t="s">
        <v>1432</v>
      </c>
      <c r="C211" s="1345"/>
      <c r="D211" s="1345">
        <v>10</v>
      </c>
      <c r="E211" s="821"/>
      <c r="F211" s="972" t="str">
        <f t="shared" si="4"/>
        <v>SA-387M Gr2310</v>
      </c>
      <c r="G211" s="1346">
        <v>6000</v>
      </c>
      <c r="H211" s="1346"/>
      <c r="I211" s="1347" t="s">
        <v>179</v>
      </c>
      <c r="J211" s="1347"/>
      <c r="K211" s="1347">
        <v>180</v>
      </c>
      <c r="L211" s="1348">
        <v>42914</v>
      </c>
      <c r="M211" s="1347">
        <v>7</v>
      </c>
      <c r="N211" s="1347" t="s">
        <v>127</v>
      </c>
    </row>
    <row r="212" spans="1:14" s="655" customFormat="1">
      <c r="A212" s="1344" t="s">
        <v>79</v>
      </c>
      <c r="B212" s="1339" t="s">
        <v>1432</v>
      </c>
      <c r="C212" s="1345"/>
      <c r="D212" s="1345">
        <v>15</v>
      </c>
      <c r="E212" s="821"/>
      <c r="F212" s="972" t="str">
        <f t="shared" si="4"/>
        <v>SA-387M Gr2315</v>
      </c>
      <c r="G212" s="1346">
        <v>6000</v>
      </c>
      <c r="H212" s="1346"/>
      <c r="I212" s="1347" t="s">
        <v>179</v>
      </c>
      <c r="J212" s="1347"/>
      <c r="K212" s="1347">
        <v>180</v>
      </c>
      <c r="L212" s="1348">
        <v>42914</v>
      </c>
      <c r="M212" s="1347">
        <v>7</v>
      </c>
      <c r="N212" s="1347" t="s">
        <v>127</v>
      </c>
    </row>
    <row r="213" spans="1:14" s="655" customFormat="1">
      <c r="A213" s="1344" t="s">
        <v>79</v>
      </c>
      <c r="B213" s="1339" t="s">
        <v>1432</v>
      </c>
      <c r="C213" s="1345"/>
      <c r="D213" s="1345">
        <v>20</v>
      </c>
      <c r="E213" s="821"/>
      <c r="F213" s="972" t="str">
        <f t="shared" si="4"/>
        <v>SA-387M Gr2320</v>
      </c>
      <c r="G213" s="1346">
        <v>6000</v>
      </c>
      <c r="H213" s="1346"/>
      <c r="I213" s="1347" t="s">
        <v>179</v>
      </c>
      <c r="J213" s="1347"/>
      <c r="K213" s="1347">
        <v>180</v>
      </c>
      <c r="L213" s="1348">
        <v>42914</v>
      </c>
      <c r="M213" s="1347">
        <v>7</v>
      </c>
      <c r="N213" s="1347" t="s">
        <v>127</v>
      </c>
    </row>
    <row r="214" spans="1:14" s="655" customFormat="1">
      <c r="A214" s="1344" t="s">
        <v>79</v>
      </c>
      <c r="B214" s="1339" t="s">
        <v>1598</v>
      </c>
      <c r="C214" s="1345"/>
      <c r="D214" s="1345">
        <v>10</v>
      </c>
      <c r="E214" s="821"/>
      <c r="F214" s="972" t="str">
        <f t="shared" si="4"/>
        <v>SA-516M GR7010</v>
      </c>
      <c r="G214" s="1346">
        <v>5265</v>
      </c>
      <c r="H214" s="1346"/>
      <c r="I214" s="1347" t="s">
        <v>181</v>
      </c>
      <c r="J214" s="1347"/>
      <c r="K214" s="1347">
        <v>90</v>
      </c>
      <c r="L214" s="1348">
        <v>42914</v>
      </c>
      <c r="M214" s="1347">
        <v>7</v>
      </c>
      <c r="N214" s="1347" t="s">
        <v>127</v>
      </c>
    </row>
    <row r="215" spans="1:14" s="655" customFormat="1">
      <c r="A215" s="1344" t="s">
        <v>135</v>
      </c>
      <c r="B215" s="1339">
        <v>20</v>
      </c>
      <c r="C215" s="1345"/>
      <c r="D215" s="1345"/>
      <c r="E215" s="821"/>
      <c r="F215" s="972" t="str">
        <f t="shared" si="4"/>
        <v>20</v>
      </c>
      <c r="G215" s="1346">
        <v>5000</v>
      </c>
      <c r="H215" s="1346"/>
      <c r="I215" s="1347" t="s">
        <v>181</v>
      </c>
      <c r="J215" s="1347"/>
      <c r="K215" s="1347">
        <v>90</v>
      </c>
      <c r="L215" s="1348">
        <v>42914</v>
      </c>
      <c r="M215" s="1347">
        <v>7</v>
      </c>
      <c r="N215" s="1347" t="s">
        <v>127</v>
      </c>
    </row>
    <row r="216" spans="1:14" s="655" customFormat="1">
      <c r="A216" s="1344" t="s">
        <v>135</v>
      </c>
      <c r="B216" s="1339" t="s">
        <v>711</v>
      </c>
      <c r="C216" s="1345">
        <v>64</v>
      </c>
      <c r="D216" s="1345"/>
      <c r="E216" s="821"/>
      <c r="F216" s="972" t="str">
        <f t="shared" si="4"/>
        <v>35CrMo64</v>
      </c>
      <c r="G216" s="1346">
        <v>11700</v>
      </c>
      <c r="H216" s="1346"/>
      <c r="I216" s="1347" t="s">
        <v>181</v>
      </c>
      <c r="J216" s="1347"/>
      <c r="K216" s="1347">
        <v>90</v>
      </c>
      <c r="L216" s="1348">
        <v>42914</v>
      </c>
      <c r="M216" s="1347">
        <v>7</v>
      </c>
      <c r="N216" s="1347" t="s">
        <v>127</v>
      </c>
    </row>
    <row r="217" spans="1:14" s="655" customFormat="1">
      <c r="A217" s="1344" t="s">
        <v>135</v>
      </c>
      <c r="B217" s="1339" t="s">
        <v>711</v>
      </c>
      <c r="C217" s="1345"/>
      <c r="D217" s="1345" t="s">
        <v>1422</v>
      </c>
      <c r="E217" s="821"/>
      <c r="F217" s="972" t="str">
        <f t="shared" si="4"/>
        <v>35CrMoM42</v>
      </c>
      <c r="G217" s="1346">
        <v>11700</v>
      </c>
      <c r="H217" s="1346"/>
      <c r="I217" s="1347" t="s">
        <v>181</v>
      </c>
      <c r="J217" s="1347"/>
      <c r="K217" s="1347">
        <v>90</v>
      </c>
      <c r="L217" s="1348">
        <v>42914</v>
      </c>
      <c r="M217" s="1347">
        <v>7</v>
      </c>
      <c r="N217" s="1347" t="s">
        <v>127</v>
      </c>
    </row>
    <row r="218" spans="1:14" s="655" customFormat="1">
      <c r="A218" s="1344" t="s">
        <v>135</v>
      </c>
      <c r="B218" s="1339" t="s">
        <v>590</v>
      </c>
      <c r="C218" s="1345">
        <v>3.5</v>
      </c>
      <c r="D218" s="1345"/>
      <c r="E218" s="821"/>
      <c r="F218" s="972" t="str">
        <f t="shared" si="4"/>
        <v>SA-387M Gr12CL23.5</v>
      </c>
      <c r="G218" s="1346">
        <v>11700</v>
      </c>
      <c r="H218" s="1346"/>
      <c r="I218" s="1347" t="s">
        <v>181</v>
      </c>
      <c r="J218" s="1347"/>
      <c r="K218" s="1347">
        <v>90</v>
      </c>
      <c r="L218" s="1348">
        <v>42914</v>
      </c>
      <c r="M218" s="1347">
        <v>7</v>
      </c>
      <c r="N218" s="1347" t="s">
        <v>127</v>
      </c>
    </row>
    <row r="219" spans="1:14" s="655" customFormat="1">
      <c r="A219" s="1344" t="s">
        <v>135</v>
      </c>
      <c r="B219" s="1339" t="s">
        <v>590</v>
      </c>
      <c r="C219" s="1345">
        <v>38</v>
      </c>
      <c r="D219" s="1345"/>
      <c r="E219" s="821"/>
      <c r="F219" s="972" t="str">
        <f t="shared" si="4"/>
        <v>SA-387M Gr12CL238</v>
      </c>
      <c r="G219" s="1346">
        <v>11700</v>
      </c>
      <c r="H219" s="1346"/>
      <c r="I219" s="1347" t="s">
        <v>181</v>
      </c>
      <c r="J219" s="1347"/>
      <c r="K219" s="1347">
        <v>90</v>
      </c>
      <c r="L219" s="1348">
        <v>42914</v>
      </c>
      <c r="M219" s="1347">
        <v>7</v>
      </c>
      <c r="N219" s="1347" t="s">
        <v>127</v>
      </c>
    </row>
    <row r="220" spans="1:14" s="655" customFormat="1">
      <c r="A220" s="1344" t="s">
        <v>135</v>
      </c>
      <c r="B220" s="1339" t="s">
        <v>590</v>
      </c>
      <c r="C220" s="1345">
        <v>60</v>
      </c>
      <c r="D220" s="1345"/>
      <c r="E220" s="821"/>
      <c r="F220" s="972" t="str">
        <f t="shared" si="4"/>
        <v>SA-387M Gr12CL260</v>
      </c>
      <c r="G220" s="1346">
        <v>11700</v>
      </c>
      <c r="H220" s="1346"/>
      <c r="I220" s="1347" t="s">
        <v>181</v>
      </c>
      <c r="J220" s="1347"/>
      <c r="K220" s="1347">
        <v>90</v>
      </c>
      <c r="L220" s="1348">
        <v>42914</v>
      </c>
      <c r="M220" s="1347">
        <v>7</v>
      </c>
      <c r="N220" s="1347" t="s">
        <v>127</v>
      </c>
    </row>
    <row r="221" spans="1:14" s="655" customFormat="1">
      <c r="A221" s="1344" t="s">
        <v>135</v>
      </c>
      <c r="B221" s="1339" t="s">
        <v>1432</v>
      </c>
      <c r="C221" s="1345">
        <v>3.5</v>
      </c>
      <c r="D221" s="1345"/>
      <c r="E221" s="821"/>
      <c r="F221" s="972" t="str">
        <f t="shared" si="4"/>
        <v>SA-387M Gr233.5</v>
      </c>
      <c r="G221" s="1346">
        <v>9000</v>
      </c>
      <c r="H221" s="1346"/>
      <c r="I221" s="1347" t="s">
        <v>179</v>
      </c>
      <c r="J221" s="1347"/>
      <c r="K221" s="1347">
        <v>180</v>
      </c>
      <c r="L221" s="1348">
        <v>42914</v>
      </c>
      <c r="M221" s="1347">
        <v>7</v>
      </c>
      <c r="N221" s="1347" t="s">
        <v>127</v>
      </c>
    </row>
    <row r="222" spans="1:14" s="655" customFormat="1">
      <c r="A222" s="1344" t="s">
        <v>79</v>
      </c>
      <c r="B222" s="1339" t="s">
        <v>1580</v>
      </c>
      <c r="C222" s="1345">
        <v>2500</v>
      </c>
      <c r="D222" s="1345">
        <v>22</v>
      </c>
      <c r="E222" s="821"/>
      <c r="F222" s="972" t="str">
        <f t="shared" si="4"/>
        <v>A 516 GR.70250022</v>
      </c>
      <c r="G222" s="1346">
        <v>5265</v>
      </c>
      <c r="H222" s="1346"/>
      <c r="I222" s="1347" t="s">
        <v>181</v>
      </c>
      <c r="J222" s="1347"/>
      <c r="K222" s="1347">
        <v>90</v>
      </c>
      <c r="L222" s="1348">
        <v>42914</v>
      </c>
      <c r="M222" s="1347">
        <v>7</v>
      </c>
      <c r="N222" s="1347" t="s">
        <v>127</v>
      </c>
    </row>
    <row r="223" spans="1:14" s="655" customFormat="1">
      <c r="A223" s="1344" t="s">
        <v>79</v>
      </c>
      <c r="B223" s="1339" t="s">
        <v>1553</v>
      </c>
      <c r="C223" s="1345">
        <v>1800</v>
      </c>
      <c r="D223" s="1345"/>
      <c r="E223" s="821"/>
      <c r="F223" s="972" t="str">
        <f t="shared" si="4"/>
        <v>ASTM-A516-G701800</v>
      </c>
      <c r="G223" s="1346">
        <v>5265</v>
      </c>
      <c r="H223" s="1346"/>
      <c r="I223" s="1347" t="s">
        <v>181</v>
      </c>
      <c r="J223" s="1347"/>
      <c r="K223" s="1347">
        <v>90</v>
      </c>
      <c r="L223" s="1348">
        <v>42914</v>
      </c>
      <c r="M223" s="1347">
        <v>7</v>
      </c>
      <c r="N223" s="1347" t="s">
        <v>127</v>
      </c>
    </row>
    <row r="224" spans="1:14" s="655" customFormat="1">
      <c r="A224" s="1344" t="s">
        <v>79</v>
      </c>
      <c r="B224" s="1339" t="s">
        <v>1579</v>
      </c>
      <c r="C224" s="1345">
        <v>1725</v>
      </c>
      <c r="D224" s="1345">
        <v>12</v>
      </c>
      <c r="E224" s="821"/>
      <c r="F224" s="972" t="str">
        <f t="shared" si="4"/>
        <v>SA 516 GR.70172512</v>
      </c>
      <c r="G224" s="1346">
        <v>5265</v>
      </c>
      <c r="H224" s="1346"/>
      <c r="I224" s="1347" t="s">
        <v>181</v>
      </c>
      <c r="J224" s="1347"/>
      <c r="K224" s="1347">
        <v>90</v>
      </c>
      <c r="L224" s="1348">
        <v>42914</v>
      </c>
      <c r="M224" s="1347">
        <v>7</v>
      </c>
      <c r="N224" s="1347" t="s">
        <v>127</v>
      </c>
    </row>
    <row r="225" spans="1:14" s="655" customFormat="1">
      <c r="A225" s="1344" t="s">
        <v>79</v>
      </c>
      <c r="B225" s="1339" t="s">
        <v>1579</v>
      </c>
      <c r="C225" s="1345">
        <v>2432</v>
      </c>
      <c r="D225" s="1345">
        <v>16</v>
      </c>
      <c r="E225" s="821"/>
      <c r="F225" s="972" t="str">
        <f t="shared" si="4"/>
        <v>SA 516 GR.70243216</v>
      </c>
      <c r="G225" s="1346">
        <v>5265</v>
      </c>
      <c r="H225" s="1346"/>
      <c r="I225" s="1347" t="s">
        <v>181</v>
      </c>
      <c r="J225" s="1347"/>
      <c r="K225" s="1347">
        <v>90</v>
      </c>
      <c r="L225" s="1348">
        <v>42914</v>
      </c>
      <c r="M225" s="1347">
        <v>7</v>
      </c>
      <c r="N225" s="1347" t="s">
        <v>127</v>
      </c>
    </row>
    <row r="226" spans="1:14" s="655" customFormat="1">
      <c r="A226" s="1344" t="s">
        <v>79</v>
      </c>
      <c r="B226" s="1339" t="s">
        <v>1579</v>
      </c>
      <c r="C226" s="1345">
        <v>2743</v>
      </c>
      <c r="D226" s="1345">
        <v>20</v>
      </c>
      <c r="E226" s="821"/>
      <c r="F226" s="972" t="str">
        <f t="shared" si="4"/>
        <v>SA 516 GR.70274320</v>
      </c>
      <c r="G226" s="1346">
        <v>5265</v>
      </c>
      <c r="H226" s="1346"/>
      <c r="I226" s="1347" t="s">
        <v>181</v>
      </c>
      <c r="J226" s="1347"/>
      <c r="K226" s="1347">
        <v>90</v>
      </c>
      <c r="L226" s="1348">
        <v>42914</v>
      </c>
      <c r="M226" s="1347">
        <v>7</v>
      </c>
      <c r="N226" s="1347" t="s">
        <v>127</v>
      </c>
    </row>
    <row r="227" spans="1:14" s="655" customFormat="1">
      <c r="A227" s="1344" t="s">
        <v>79</v>
      </c>
      <c r="B227" s="1339" t="s">
        <v>1578</v>
      </c>
      <c r="C227" s="1345">
        <v>3438</v>
      </c>
      <c r="D227" s="1345">
        <v>22</v>
      </c>
      <c r="E227" s="821"/>
      <c r="F227" s="972" t="str">
        <f t="shared" si="4"/>
        <v>SA 516 GR.70 &amp; SA 387 Gr.12 Cl.2343822</v>
      </c>
      <c r="G227" s="1346">
        <v>5265</v>
      </c>
      <c r="H227" s="1346"/>
      <c r="I227" s="1347" t="s">
        <v>181</v>
      </c>
      <c r="J227" s="1347"/>
      <c r="K227" s="1347">
        <v>90</v>
      </c>
      <c r="L227" s="1348">
        <v>42914</v>
      </c>
      <c r="M227" s="1347">
        <v>7</v>
      </c>
      <c r="N227" s="1347" t="s">
        <v>127</v>
      </c>
    </row>
    <row r="228" spans="1:14" s="655" customFormat="1">
      <c r="A228" s="1344"/>
      <c r="B228" s="1339"/>
      <c r="C228" s="1345"/>
      <c r="D228" s="1345"/>
      <c r="E228" s="821"/>
      <c r="F228" s="972" t="str">
        <f t="shared" si="4"/>
        <v/>
      </c>
      <c r="G228" s="1346"/>
      <c r="H228" s="1346"/>
      <c r="I228" s="1347"/>
      <c r="J228" s="1347"/>
      <c r="K228" s="1347"/>
      <c r="L228" s="1348"/>
      <c r="M228" s="1347"/>
      <c r="N228" s="1347"/>
    </row>
    <row r="229" spans="1:14" s="655" customFormat="1">
      <c r="A229" s="1344"/>
      <c r="B229" s="1339"/>
      <c r="C229" s="1345"/>
      <c r="D229" s="1345"/>
      <c r="E229" s="821"/>
      <c r="F229" s="972" t="str">
        <f t="shared" si="4"/>
        <v/>
      </c>
      <c r="G229" s="1346"/>
      <c r="H229" s="1346"/>
      <c r="I229" s="1347"/>
      <c r="J229" s="1347"/>
      <c r="K229" s="1347"/>
      <c r="L229" s="1348"/>
      <c r="M229" s="1347"/>
      <c r="N229" s="1347"/>
    </row>
    <row r="230" spans="1:14" s="655" customFormat="1">
      <c r="A230" s="1344"/>
      <c r="B230" s="1339"/>
      <c r="C230" s="1345"/>
      <c r="D230" s="1345"/>
      <c r="E230" s="821"/>
      <c r="F230" s="972" t="str">
        <f t="shared" si="4"/>
        <v/>
      </c>
      <c r="G230" s="1346"/>
      <c r="H230" s="1346"/>
      <c r="I230" s="1347"/>
      <c r="J230" s="1347"/>
      <c r="K230" s="1347"/>
      <c r="L230" s="1348"/>
      <c r="M230" s="1347"/>
      <c r="N230" s="1347"/>
    </row>
    <row r="231" spans="1:14" s="655" customFormat="1">
      <c r="A231" s="1344"/>
      <c r="B231" s="1339"/>
      <c r="C231" s="1345"/>
      <c r="D231" s="1345"/>
      <c r="E231" s="821"/>
      <c r="F231" s="972" t="str">
        <f t="shared" si="4"/>
        <v/>
      </c>
      <c r="G231" s="1346"/>
      <c r="H231" s="1346"/>
      <c r="I231" s="1347"/>
      <c r="J231" s="1347"/>
      <c r="K231" s="1347"/>
      <c r="L231" s="1348"/>
      <c r="M231" s="1347"/>
      <c r="N231" s="1347"/>
    </row>
    <row r="232" spans="1:14" s="655" customFormat="1">
      <c r="A232" s="1344"/>
      <c r="B232" s="1339"/>
      <c r="C232" s="1345"/>
      <c r="D232" s="1345"/>
      <c r="E232" s="821"/>
      <c r="F232" s="972" t="str">
        <f t="shared" si="4"/>
        <v/>
      </c>
      <c r="G232" s="1346"/>
      <c r="H232" s="1346"/>
      <c r="I232" s="1347"/>
      <c r="J232" s="1347"/>
      <c r="K232" s="1347"/>
      <c r="L232" s="1348"/>
      <c r="M232" s="1347"/>
      <c r="N232" s="1347"/>
    </row>
    <row r="233" spans="1:14" s="655" customFormat="1">
      <c r="A233" s="1344"/>
      <c r="B233" s="1339"/>
      <c r="C233" s="1345"/>
      <c r="D233" s="1345"/>
      <c r="E233" s="821"/>
      <c r="F233" s="972" t="str">
        <f t="shared" si="4"/>
        <v/>
      </c>
      <c r="G233" s="1346"/>
      <c r="H233" s="1346"/>
      <c r="I233" s="1347"/>
      <c r="J233" s="1347"/>
      <c r="K233" s="1347"/>
      <c r="L233" s="1348"/>
      <c r="M233" s="1347"/>
      <c r="N233" s="1347"/>
    </row>
    <row r="234" spans="1:14" s="655" customFormat="1">
      <c r="A234" s="1344"/>
      <c r="B234" s="1339"/>
      <c r="C234" s="1345"/>
      <c r="D234" s="1345"/>
      <c r="E234" s="821"/>
      <c r="F234" s="661"/>
      <c r="G234" s="1346"/>
      <c r="H234" s="1346"/>
      <c r="I234" s="1347"/>
      <c r="J234" s="1347"/>
      <c r="K234" s="1347"/>
      <c r="L234" s="1348"/>
      <c r="M234" s="1347"/>
      <c r="N234" s="1347"/>
    </row>
  </sheetData>
  <autoFilter ref="A7:N233" xr:uid="{00000000-0009-0000-0000-000016000000}"/>
  <mergeCells count="6">
    <mergeCell ref="G6:N6"/>
    <mergeCell ref="A3:C3"/>
    <mergeCell ref="A6:A7"/>
    <mergeCell ref="B6:B7"/>
    <mergeCell ref="C6:D6"/>
    <mergeCell ref="E6:E7"/>
  </mergeCells>
  <phoneticPr fontId="125" type="noConversion"/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/>
  <dimension ref="A2:N644"/>
  <sheetViews>
    <sheetView topLeftCell="C3" zoomScale="90" zoomScaleNormal="90" workbookViewId="0">
      <selection activeCell="F401" sqref="F401"/>
    </sheetView>
  </sheetViews>
  <sheetFormatPr defaultRowHeight="12.75"/>
  <cols>
    <col min="1" max="1" width="30.28515625" style="674" customWidth="1"/>
    <col min="2" max="2" width="27.28515625" style="674" customWidth="1"/>
    <col min="3" max="3" width="24.5703125" style="674" customWidth="1"/>
    <col min="4" max="4" width="12.42578125" style="674" customWidth="1"/>
    <col min="5" max="5" width="5.42578125" style="674" customWidth="1"/>
    <col min="6" max="6" width="61.7109375" style="693" customWidth="1"/>
    <col min="7" max="7" width="14.5703125" style="1326" bestFit="1" customWidth="1"/>
    <col min="8" max="8" width="13.42578125" style="674" customWidth="1"/>
    <col min="9" max="9" width="9.140625" style="674"/>
    <col min="10" max="10" width="8.140625" style="674" bestFit="1" customWidth="1"/>
    <col min="11" max="11" width="9.140625" style="1326"/>
    <col min="12" max="12" width="12.28515625" style="674" customWidth="1"/>
    <col min="13" max="13" width="9.140625" style="1326"/>
    <col min="14" max="16384" width="9.140625" style="674"/>
  </cols>
  <sheetData>
    <row r="2" spans="1:14" s="671" customFormat="1" ht="12" customHeight="1">
      <c r="A2" s="2748" t="s">
        <v>314</v>
      </c>
      <c r="B2" s="2748" t="s">
        <v>342</v>
      </c>
      <c r="C2" s="2749" t="s">
        <v>315</v>
      </c>
      <c r="D2" s="2749"/>
      <c r="E2" s="689"/>
      <c r="F2" s="692"/>
      <c r="G2" s="2730"/>
      <c r="H2" s="2731"/>
      <c r="I2" s="2730"/>
      <c r="J2" s="2730"/>
      <c r="K2" s="2730"/>
      <c r="L2" s="2730"/>
      <c r="M2" s="2730"/>
      <c r="N2" s="2730"/>
    </row>
    <row r="3" spans="1:14" s="647" customFormat="1" ht="24">
      <c r="A3" s="2748"/>
      <c r="B3" s="2748"/>
      <c r="C3" s="672" t="s">
        <v>343</v>
      </c>
      <c r="D3" s="673" t="s">
        <v>344</v>
      </c>
      <c r="E3" s="673"/>
      <c r="F3" s="681" t="s">
        <v>312</v>
      </c>
      <c r="G3" s="1325" t="s">
        <v>460</v>
      </c>
      <c r="H3" s="1082" t="s">
        <v>442</v>
      </c>
      <c r="I3" s="1083" t="s">
        <v>461</v>
      </c>
      <c r="J3" s="1084" t="s">
        <v>462</v>
      </c>
      <c r="K3" s="1327" t="s">
        <v>463</v>
      </c>
      <c r="L3" s="1084" t="s">
        <v>464</v>
      </c>
      <c r="M3" s="1327" t="s">
        <v>465</v>
      </c>
      <c r="N3" s="1084" t="s">
        <v>466</v>
      </c>
    </row>
    <row r="4" spans="1:14" s="647" customFormat="1" ht="15.95" customHeight="1">
      <c r="A4" s="1344" t="s">
        <v>1402</v>
      </c>
      <c r="B4" s="1344" t="s">
        <v>259</v>
      </c>
      <c r="C4" s="1344" t="s">
        <v>1519</v>
      </c>
      <c r="D4" s="1344"/>
      <c r="E4" s="682"/>
      <c r="F4" s="2089" t="str">
        <f>A4&amp;B4&amp;C4&amp;D4</f>
        <v>90°弯头SA-106C90E(L)DN80Ⅱ-12</v>
      </c>
      <c r="G4" s="2400">
        <v>60000</v>
      </c>
      <c r="H4" s="2401"/>
      <c r="I4" s="2394" t="s">
        <v>181</v>
      </c>
      <c r="J4" s="2394"/>
      <c r="K4" s="2394">
        <v>90</v>
      </c>
      <c r="L4" s="2395">
        <v>42914</v>
      </c>
      <c r="M4" s="2394">
        <v>7</v>
      </c>
      <c r="N4" s="1347" t="s">
        <v>129</v>
      </c>
    </row>
    <row r="5" spans="1:14" s="647" customFormat="1" ht="15.95" customHeight="1">
      <c r="A5" s="1344" t="s">
        <v>1402</v>
      </c>
      <c r="B5" s="1344" t="s">
        <v>259</v>
      </c>
      <c r="C5" s="1344" t="s">
        <v>1520</v>
      </c>
      <c r="D5" s="1344"/>
      <c r="E5" s="682"/>
      <c r="F5" s="2089" t="str">
        <f t="shared" ref="F5:F111" si="0">A5&amp;B5&amp;C5&amp;D5</f>
        <v>90°弯头SA-106C90E(L)DN100Ⅱ-12</v>
      </c>
      <c r="G5" s="2400">
        <v>60000</v>
      </c>
      <c r="H5" s="2401"/>
      <c r="I5" s="2394" t="s">
        <v>181</v>
      </c>
      <c r="J5" s="2394"/>
      <c r="K5" s="2394">
        <v>90</v>
      </c>
      <c r="L5" s="2395">
        <v>42914</v>
      </c>
      <c r="M5" s="2394">
        <v>7</v>
      </c>
      <c r="N5" s="1347" t="s">
        <v>129</v>
      </c>
    </row>
    <row r="6" spans="1:14" s="647" customFormat="1" ht="15.95" customHeight="1">
      <c r="A6" s="1344" t="s">
        <v>1402</v>
      </c>
      <c r="B6" s="1344" t="s">
        <v>718</v>
      </c>
      <c r="C6" s="1344" t="s">
        <v>1521</v>
      </c>
      <c r="D6" s="1344"/>
      <c r="E6" s="682"/>
      <c r="F6" s="2089" t="str">
        <f t="shared" si="0"/>
        <v>90°弯头SA-335 P9190E(L)DN65Ⅱ-12</v>
      </c>
      <c r="G6" s="2400">
        <v>80000</v>
      </c>
      <c r="H6" s="2401"/>
      <c r="I6" s="2394" t="s">
        <v>181</v>
      </c>
      <c r="J6" s="2394"/>
      <c r="K6" s="2394">
        <v>90</v>
      </c>
      <c r="L6" s="2395">
        <v>42914</v>
      </c>
      <c r="M6" s="2394">
        <v>7</v>
      </c>
      <c r="N6" s="1347" t="s">
        <v>129</v>
      </c>
    </row>
    <row r="7" spans="1:14" s="647" customFormat="1" ht="15.95" customHeight="1">
      <c r="A7" s="1344" t="s">
        <v>1395</v>
      </c>
      <c r="B7" s="1344" t="s">
        <v>1235</v>
      </c>
      <c r="C7" s="1344" t="s">
        <v>1482</v>
      </c>
      <c r="D7" s="1344"/>
      <c r="E7" s="682"/>
      <c r="F7" s="2089" t="str">
        <f>A7&amp;B7&amp;C7&amp;D7</f>
        <v>U型螺栓Q235BM10/32</v>
      </c>
      <c r="G7" s="2394">
        <v>60000</v>
      </c>
      <c r="H7" s="2401">
        <v>0.1</v>
      </c>
      <c r="I7" s="2394" t="s">
        <v>181</v>
      </c>
      <c r="J7" s="2394"/>
      <c r="K7" s="2394">
        <v>90</v>
      </c>
      <c r="L7" s="2395">
        <v>42914</v>
      </c>
      <c r="M7" s="2394">
        <v>7</v>
      </c>
      <c r="N7" s="1347" t="s">
        <v>129</v>
      </c>
    </row>
    <row r="8" spans="1:14" s="647" customFormat="1" ht="15.95" customHeight="1">
      <c r="A8" s="1344" t="s">
        <v>1395</v>
      </c>
      <c r="B8" s="1344" t="s">
        <v>1433</v>
      </c>
      <c r="C8" s="1344" t="s">
        <v>1522</v>
      </c>
      <c r="D8" s="1344"/>
      <c r="E8" s="682"/>
      <c r="F8" s="2089" t="str">
        <f t="shared" si="0"/>
        <v>U型螺栓SA-335M P12M12/38</v>
      </c>
      <c r="G8" s="2400">
        <v>60000</v>
      </c>
      <c r="H8" s="2401">
        <v>0.1</v>
      </c>
      <c r="I8" s="2394" t="s">
        <v>181</v>
      </c>
      <c r="J8" s="2394"/>
      <c r="K8" s="2394">
        <v>90</v>
      </c>
      <c r="L8" s="2395">
        <v>42914</v>
      </c>
      <c r="M8" s="2394">
        <v>7</v>
      </c>
      <c r="N8" s="1347" t="s">
        <v>129</v>
      </c>
    </row>
    <row r="9" spans="1:14" s="647" customFormat="1" ht="15.95" customHeight="1">
      <c r="A9" s="1344" t="s">
        <v>1395</v>
      </c>
      <c r="B9" s="1344" t="s">
        <v>1235</v>
      </c>
      <c r="C9" s="1344" t="s">
        <v>1532</v>
      </c>
      <c r="D9" s="1344"/>
      <c r="E9" s="682"/>
      <c r="F9" s="2089" t="str">
        <f t="shared" si="0"/>
        <v>U型螺栓Q235BM12/51</v>
      </c>
      <c r="G9" s="2394">
        <v>60000</v>
      </c>
      <c r="H9" s="2401">
        <v>0.1</v>
      </c>
      <c r="I9" s="2394" t="s">
        <v>181</v>
      </c>
      <c r="J9" s="2394"/>
      <c r="K9" s="2394">
        <v>90</v>
      </c>
      <c r="L9" s="2395">
        <v>42914</v>
      </c>
      <c r="M9" s="2394">
        <v>7</v>
      </c>
      <c r="N9" s="1347" t="s">
        <v>129</v>
      </c>
    </row>
    <row r="10" spans="1:14" s="647" customFormat="1" ht="15.95" customHeight="1">
      <c r="A10" s="1344" t="s">
        <v>1397</v>
      </c>
      <c r="B10" s="1344" t="s">
        <v>718</v>
      </c>
      <c r="C10" s="1344" t="s">
        <v>1490</v>
      </c>
      <c r="D10" s="1344"/>
      <c r="E10" s="682"/>
      <c r="F10" s="2089" t="str">
        <f t="shared" si="0"/>
        <v>大小头SA-335 P91R(C)DN50-7.5/DN40-6.5</v>
      </c>
      <c r="G10" s="2400">
        <v>80000</v>
      </c>
      <c r="H10" s="2401"/>
      <c r="I10" s="2394" t="s">
        <v>181</v>
      </c>
      <c r="J10" s="2394"/>
      <c r="K10" s="2394">
        <v>90</v>
      </c>
      <c r="L10" s="2395">
        <v>42914</v>
      </c>
      <c r="M10" s="2394">
        <v>7</v>
      </c>
      <c r="N10" s="1347" t="s">
        <v>129</v>
      </c>
    </row>
    <row r="11" spans="1:14" s="647" customFormat="1" ht="15.95" customHeight="1">
      <c r="A11" s="1344" t="s">
        <v>1397</v>
      </c>
      <c r="B11" s="1344" t="s">
        <v>1433</v>
      </c>
      <c r="C11" s="1344" t="s">
        <v>1491</v>
      </c>
      <c r="D11" s="1344"/>
      <c r="E11" s="682"/>
      <c r="F11" s="2089" t="str">
        <f t="shared" si="0"/>
        <v>大小头SA-335M P12R(C)DN80-5/DN50-4</v>
      </c>
      <c r="G11" s="2400">
        <v>60000</v>
      </c>
      <c r="H11" s="2401"/>
      <c r="I11" s="2394" t="s">
        <v>181</v>
      </c>
      <c r="J11" s="2394"/>
      <c r="K11" s="2394">
        <v>90</v>
      </c>
      <c r="L11" s="2395">
        <v>42914</v>
      </c>
      <c r="M11" s="2394">
        <v>7</v>
      </c>
      <c r="N11" s="1347" t="s">
        <v>129</v>
      </c>
    </row>
    <row r="12" spans="1:14" s="647" customFormat="1" ht="15.95" customHeight="1">
      <c r="A12" s="1344" t="s">
        <v>1397</v>
      </c>
      <c r="B12" s="1344" t="s">
        <v>1433</v>
      </c>
      <c r="C12" s="1344" t="s">
        <v>1501</v>
      </c>
      <c r="D12" s="1344"/>
      <c r="E12" s="682"/>
      <c r="F12" s="2089" t="str">
        <f t="shared" si="0"/>
        <v>大小头SA-335M P12Φ133/Φ101.6</v>
      </c>
      <c r="G12" s="2400">
        <v>60000</v>
      </c>
      <c r="H12" s="2401"/>
      <c r="I12" s="2394" t="s">
        <v>181</v>
      </c>
      <c r="J12" s="2394"/>
      <c r="K12" s="2394">
        <v>90</v>
      </c>
      <c r="L12" s="2395">
        <v>42914</v>
      </c>
      <c r="M12" s="2394">
        <v>7</v>
      </c>
      <c r="N12" s="1347" t="s">
        <v>129</v>
      </c>
    </row>
    <row r="13" spans="1:14" s="647" customFormat="1" ht="15.95" customHeight="1">
      <c r="A13" s="1344" t="s">
        <v>1397</v>
      </c>
      <c r="B13" s="1344" t="s">
        <v>1433</v>
      </c>
      <c r="C13" s="1344" t="s">
        <v>1502</v>
      </c>
      <c r="D13" s="1344"/>
      <c r="E13" s="682"/>
      <c r="F13" s="2089" t="str">
        <f t="shared" si="0"/>
        <v>大小头SA-335M P12Φ133/Φ114</v>
      </c>
      <c r="G13" s="2400">
        <v>60000</v>
      </c>
      <c r="H13" s="2401"/>
      <c r="I13" s="2394" t="s">
        <v>181</v>
      </c>
      <c r="J13" s="2394"/>
      <c r="K13" s="2394">
        <v>90</v>
      </c>
      <c r="L13" s="2395">
        <v>42914</v>
      </c>
      <c r="M13" s="2394">
        <v>7</v>
      </c>
      <c r="N13" s="1347" t="s">
        <v>129</v>
      </c>
    </row>
    <row r="14" spans="1:14" s="647" customFormat="1" ht="15.95" customHeight="1">
      <c r="A14" s="1344" t="s">
        <v>1397</v>
      </c>
      <c r="B14" s="1344" t="s">
        <v>1433</v>
      </c>
      <c r="C14" s="1344" t="s">
        <v>1503</v>
      </c>
      <c r="D14" s="1344"/>
      <c r="E14" s="682"/>
      <c r="F14" s="2089" t="str">
        <f t="shared" si="0"/>
        <v>大小头SA-335M P12Φ89X16/Φ54X10</v>
      </c>
      <c r="G14" s="2400">
        <v>60000</v>
      </c>
      <c r="H14" s="2401"/>
      <c r="I14" s="2394" t="s">
        <v>181</v>
      </c>
      <c r="J14" s="2394"/>
      <c r="K14" s="2394">
        <v>90</v>
      </c>
      <c r="L14" s="2395">
        <v>42914</v>
      </c>
      <c r="M14" s="2394">
        <v>7</v>
      </c>
      <c r="N14" s="1347" t="s">
        <v>129</v>
      </c>
    </row>
    <row r="15" spans="1:14" s="647" customFormat="1" ht="15.95" customHeight="1">
      <c r="A15" s="1344" t="s">
        <v>1397</v>
      </c>
      <c r="B15" s="1344" t="s">
        <v>1232</v>
      </c>
      <c r="C15" s="1344" t="s">
        <v>1513</v>
      </c>
      <c r="D15" s="1344"/>
      <c r="E15" s="682"/>
      <c r="F15" s="2089" t="str">
        <f>A15&amp;B15&amp;C15&amp;D15</f>
        <v>大小头SA-335 P12R(C)DN100-20/DN80-16</v>
      </c>
      <c r="G15" s="2400">
        <v>60000</v>
      </c>
      <c r="H15" s="2401"/>
      <c r="I15" s="2394" t="s">
        <v>181</v>
      </c>
      <c r="J15" s="2394"/>
      <c r="K15" s="2394">
        <v>90</v>
      </c>
      <c r="L15" s="2395">
        <v>42914</v>
      </c>
      <c r="M15" s="2394">
        <v>7</v>
      </c>
      <c r="N15" s="1347" t="s">
        <v>129</v>
      </c>
    </row>
    <row r="16" spans="1:14" s="647" customFormat="1" ht="15.95" customHeight="1">
      <c r="A16" s="1344" t="s">
        <v>1397</v>
      </c>
      <c r="B16" s="1344" t="s">
        <v>1232</v>
      </c>
      <c r="C16" s="1344" t="s">
        <v>1517</v>
      </c>
      <c r="D16" s="1344"/>
      <c r="E16" s="682"/>
      <c r="F16" s="2089" t="str">
        <f t="shared" ref="F16:F32" si="1">A16&amp;B16&amp;C16&amp;D16</f>
        <v>大小头SA-335 P12R(C)DN80Ⅱ-12/DN65Ⅱ-12</v>
      </c>
      <c r="G16" s="2400">
        <v>60000</v>
      </c>
      <c r="H16" s="2401"/>
      <c r="I16" s="2394" t="s">
        <v>181</v>
      </c>
      <c r="J16" s="2394"/>
      <c r="K16" s="2394">
        <v>90</v>
      </c>
      <c r="L16" s="2395">
        <v>42914</v>
      </c>
      <c r="M16" s="2394">
        <v>7</v>
      </c>
      <c r="N16" s="1347" t="s">
        <v>129</v>
      </c>
    </row>
    <row r="17" spans="1:14" s="647" customFormat="1" ht="15.95" customHeight="1">
      <c r="A17" s="1344" t="s">
        <v>1399</v>
      </c>
      <c r="B17" s="1344" t="s">
        <v>1433</v>
      </c>
      <c r="C17" s="1344" t="s">
        <v>1495</v>
      </c>
      <c r="D17" s="1344"/>
      <c r="E17" s="682"/>
      <c r="F17" s="2089" t="str">
        <f t="shared" si="1"/>
        <v>等径三通SA-335M P12T(S)DN50-4</v>
      </c>
      <c r="G17" s="2400">
        <v>60000</v>
      </c>
      <c r="H17" s="2401"/>
      <c r="I17" s="2394" t="s">
        <v>181</v>
      </c>
      <c r="J17" s="2394"/>
      <c r="K17" s="2394">
        <v>90</v>
      </c>
      <c r="L17" s="2395">
        <v>42914</v>
      </c>
      <c r="M17" s="2394">
        <v>7</v>
      </c>
      <c r="N17" s="1347" t="s">
        <v>129</v>
      </c>
    </row>
    <row r="18" spans="1:14" s="647" customFormat="1" ht="15.95" customHeight="1">
      <c r="A18" s="1344" t="s">
        <v>1399</v>
      </c>
      <c r="B18" s="1344" t="s">
        <v>1433</v>
      </c>
      <c r="C18" s="1344" t="s">
        <v>1497</v>
      </c>
      <c r="D18" s="1344"/>
      <c r="E18" s="682"/>
      <c r="F18" s="2089" t="str">
        <f t="shared" si="1"/>
        <v>等径三通SA-335M P12T(S)DN80Ⅱ-16</v>
      </c>
      <c r="G18" s="2400">
        <v>60000</v>
      </c>
      <c r="H18" s="2401"/>
      <c r="I18" s="2394" t="s">
        <v>181</v>
      </c>
      <c r="J18" s="2394"/>
      <c r="K18" s="2394">
        <v>90</v>
      </c>
      <c r="L18" s="2395">
        <v>42914</v>
      </c>
      <c r="M18" s="2394">
        <v>7</v>
      </c>
      <c r="N18" s="1347" t="s">
        <v>129</v>
      </c>
    </row>
    <row r="19" spans="1:14" s="647" customFormat="1" ht="15.95" customHeight="1">
      <c r="A19" s="1344" t="s">
        <v>1399</v>
      </c>
      <c r="B19" s="1344" t="s">
        <v>1433</v>
      </c>
      <c r="C19" s="1344" t="s">
        <v>1498</v>
      </c>
      <c r="D19" s="1344"/>
      <c r="E19" s="682"/>
      <c r="F19" s="2089" t="str">
        <f t="shared" si="1"/>
        <v>等径三通SA-335M P12T(S)DN32-6</v>
      </c>
      <c r="G19" s="2400">
        <v>60000</v>
      </c>
      <c r="H19" s="2401"/>
      <c r="I19" s="2394" t="s">
        <v>181</v>
      </c>
      <c r="J19" s="2394"/>
      <c r="K19" s="2394">
        <v>90</v>
      </c>
      <c r="L19" s="2395">
        <v>42914</v>
      </c>
      <c r="M19" s="2394">
        <v>7</v>
      </c>
      <c r="N19" s="1347" t="s">
        <v>129</v>
      </c>
    </row>
    <row r="20" spans="1:14" s="647" customFormat="1" ht="15.95" customHeight="1">
      <c r="A20" s="1344" t="s">
        <v>1399</v>
      </c>
      <c r="B20" s="1344" t="s">
        <v>1433</v>
      </c>
      <c r="C20" s="1344" t="s">
        <v>1526</v>
      </c>
      <c r="D20" s="1344"/>
      <c r="E20" s="682"/>
      <c r="F20" s="2089" t="str">
        <f t="shared" si="1"/>
        <v>等径三通SA-335M P12T(S)DN150II-10</v>
      </c>
      <c r="G20" s="2400">
        <v>60000</v>
      </c>
      <c r="H20" s="2401"/>
      <c r="I20" s="2394" t="s">
        <v>181</v>
      </c>
      <c r="J20" s="2394"/>
      <c r="K20" s="2394">
        <v>90</v>
      </c>
      <c r="L20" s="2395">
        <v>42914</v>
      </c>
      <c r="M20" s="2394">
        <v>7</v>
      </c>
      <c r="N20" s="1347" t="s">
        <v>129</v>
      </c>
    </row>
    <row r="21" spans="1:14" s="647" customFormat="1" ht="15.95" customHeight="1">
      <c r="A21" s="1344" t="s">
        <v>1404</v>
      </c>
      <c r="B21" s="1344" t="s">
        <v>1473</v>
      </c>
      <c r="C21" s="1344" t="s">
        <v>1528</v>
      </c>
      <c r="D21" s="1344"/>
      <c r="E21" s="682"/>
      <c r="F21" s="2089" t="str">
        <f t="shared" si="1"/>
        <v>法兰SA-1052.5"CL300 WNRF</v>
      </c>
      <c r="G21" s="2400">
        <v>60000</v>
      </c>
      <c r="H21" s="2401">
        <v>0.1</v>
      </c>
      <c r="I21" s="2394" t="s">
        <v>181</v>
      </c>
      <c r="J21" s="2394"/>
      <c r="K21" s="2394">
        <v>90</v>
      </c>
      <c r="L21" s="2395">
        <v>42914</v>
      </c>
      <c r="M21" s="2394">
        <v>7</v>
      </c>
      <c r="N21" s="1347" t="s">
        <v>129</v>
      </c>
    </row>
    <row r="22" spans="1:14" s="647" customFormat="1" ht="15.95" customHeight="1">
      <c r="A22" s="1344" t="s">
        <v>1400</v>
      </c>
      <c r="B22" s="1344" t="s">
        <v>1433</v>
      </c>
      <c r="C22" s="1344" t="s">
        <v>1496</v>
      </c>
      <c r="D22" s="1344"/>
      <c r="E22" s="682"/>
      <c r="F22" s="2089" t="str">
        <f t="shared" si="1"/>
        <v>管帽SA-335M P12CDN80Ⅱ-16</v>
      </c>
      <c r="G22" s="2400">
        <v>60000</v>
      </c>
      <c r="H22" s="2401">
        <v>0.1</v>
      </c>
      <c r="I22" s="2394" t="s">
        <v>181</v>
      </c>
      <c r="J22" s="2394"/>
      <c r="K22" s="2394">
        <v>90</v>
      </c>
      <c r="L22" s="2395">
        <v>42914</v>
      </c>
      <c r="M22" s="2394">
        <v>7</v>
      </c>
      <c r="N22" s="1347" t="s">
        <v>129</v>
      </c>
    </row>
    <row r="23" spans="1:14" s="647" customFormat="1" ht="15.95" customHeight="1">
      <c r="A23" s="1344" t="s">
        <v>1400</v>
      </c>
      <c r="B23" s="1344" t="s">
        <v>259</v>
      </c>
      <c r="C23" s="1344" t="s">
        <v>1514</v>
      </c>
      <c r="D23" s="1344"/>
      <c r="E23" s="682"/>
      <c r="F23" s="2089" t="str">
        <f t="shared" si="1"/>
        <v>管帽SA-106C管帽DN150II-25</v>
      </c>
      <c r="G23" s="2400">
        <v>60000</v>
      </c>
      <c r="H23" s="2401">
        <v>0.1</v>
      </c>
      <c r="I23" s="2394" t="s">
        <v>181</v>
      </c>
      <c r="J23" s="2394"/>
      <c r="K23" s="2394">
        <v>90</v>
      </c>
      <c r="L23" s="2395">
        <v>42914</v>
      </c>
      <c r="M23" s="2394">
        <v>7</v>
      </c>
      <c r="N23" s="1347" t="s">
        <v>129</v>
      </c>
    </row>
    <row r="24" spans="1:14" s="647" customFormat="1" ht="15.95" customHeight="1">
      <c r="A24" s="1344" t="s">
        <v>1405</v>
      </c>
      <c r="B24" s="1344" t="s">
        <v>1529</v>
      </c>
      <c r="C24" s="1344" t="s">
        <v>1527</v>
      </c>
      <c r="D24" s="1344"/>
      <c r="E24" s="682"/>
      <c r="F24" s="2089" t="str">
        <f t="shared" si="1"/>
        <v>软管组件装配件Ø73X5.16</v>
      </c>
      <c r="G24" s="2394">
        <v>60000</v>
      </c>
      <c r="H24" s="2401">
        <v>0.1</v>
      </c>
      <c r="I24" s="2394" t="s">
        <v>181</v>
      </c>
      <c r="J24" s="2394"/>
      <c r="K24" s="2394">
        <v>90</v>
      </c>
      <c r="L24" s="2395">
        <v>42914</v>
      </c>
      <c r="M24" s="2394">
        <v>7</v>
      </c>
      <c r="N24" s="1347" t="s">
        <v>129</v>
      </c>
    </row>
    <row r="25" spans="1:14" s="647" customFormat="1" ht="15.95" customHeight="1">
      <c r="A25" s="1344" t="s">
        <v>1401</v>
      </c>
      <c r="B25" s="1344" t="s">
        <v>259</v>
      </c>
      <c r="C25" s="1344" t="s">
        <v>1518</v>
      </c>
      <c r="D25" s="1344"/>
      <c r="E25" s="682"/>
      <c r="F25" s="2089" t="str">
        <f t="shared" si="1"/>
        <v>三通SA-106CT(R)DN100Ⅱ-12/DN80Ⅱ-12</v>
      </c>
      <c r="G25" s="2400">
        <v>60000</v>
      </c>
      <c r="H25" s="2401"/>
      <c r="I25" s="2394" t="s">
        <v>181</v>
      </c>
      <c r="J25" s="2394"/>
      <c r="K25" s="2394">
        <v>90</v>
      </c>
      <c r="L25" s="2395">
        <v>42914</v>
      </c>
      <c r="M25" s="2394">
        <v>7</v>
      </c>
      <c r="N25" s="1347" t="s">
        <v>129</v>
      </c>
    </row>
    <row r="26" spans="1:14" s="647" customFormat="1" ht="15.95" customHeight="1">
      <c r="A26" s="1344" t="s">
        <v>1396</v>
      </c>
      <c r="B26" s="1344" t="s">
        <v>1433</v>
      </c>
      <c r="C26" s="1344" t="s">
        <v>1485</v>
      </c>
      <c r="D26" s="1344"/>
      <c r="E26" s="682"/>
      <c r="F26" s="2089" t="str">
        <f t="shared" si="1"/>
        <v>弯头SA-335M P1290E(L)DN40-10</v>
      </c>
      <c r="G26" s="2400">
        <v>60000</v>
      </c>
      <c r="H26" s="2401"/>
      <c r="I26" s="2394" t="s">
        <v>181</v>
      </c>
      <c r="J26" s="2394"/>
      <c r="K26" s="2394">
        <v>90</v>
      </c>
      <c r="L26" s="2395">
        <v>42914</v>
      </c>
      <c r="M26" s="2394">
        <v>7</v>
      </c>
      <c r="N26" s="1347" t="s">
        <v>129</v>
      </c>
    </row>
    <row r="27" spans="1:14" s="647" customFormat="1" ht="15.95" customHeight="1">
      <c r="A27" s="1344" t="s">
        <v>1396</v>
      </c>
      <c r="B27" s="1344" t="s">
        <v>1433</v>
      </c>
      <c r="C27" s="1344" t="s">
        <v>1486</v>
      </c>
      <c r="D27" s="1344"/>
      <c r="E27" s="682"/>
      <c r="F27" s="2089" t="str">
        <f t="shared" si="1"/>
        <v>弯头SA-335M P1290E(L)DN80Ⅱ-10</v>
      </c>
      <c r="G27" s="2400">
        <v>60000</v>
      </c>
      <c r="H27" s="2401"/>
      <c r="I27" s="2394" t="s">
        <v>181</v>
      </c>
      <c r="J27" s="2394"/>
      <c r="K27" s="2394">
        <v>90</v>
      </c>
      <c r="L27" s="2395">
        <v>42914</v>
      </c>
      <c r="M27" s="2394">
        <v>7</v>
      </c>
      <c r="N27" s="1347" t="s">
        <v>129</v>
      </c>
    </row>
    <row r="28" spans="1:14" s="647" customFormat="1" ht="15.95" customHeight="1">
      <c r="A28" s="1344" t="s">
        <v>1396</v>
      </c>
      <c r="B28" s="1344" t="s">
        <v>1433</v>
      </c>
      <c r="C28" s="1344" t="s">
        <v>1487</v>
      </c>
      <c r="D28" s="1344"/>
      <c r="E28" s="682"/>
      <c r="F28" s="2089" t="str">
        <f t="shared" si="1"/>
        <v>弯头SA-335M P1290E(L)DN90-8</v>
      </c>
      <c r="G28" s="2400">
        <v>60000</v>
      </c>
      <c r="H28" s="2401"/>
      <c r="I28" s="2394" t="s">
        <v>181</v>
      </c>
      <c r="J28" s="2394"/>
      <c r="K28" s="2394">
        <v>90</v>
      </c>
      <c r="L28" s="2395">
        <v>42914</v>
      </c>
      <c r="M28" s="2394">
        <v>7</v>
      </c>
      <c r="N28" s="1347" t="s">
        <v>129</v>
      </c>
    </row>
    <row r="29" spans="1:14" s="647" customFormat="1" ht="15.95" customHeight="1">
      <c r="A29" s="1344" t="s">
        <v>1396</v>
      </c>
      <c r="B29" s="1344" t="s">
        <v>1433</v>
      </c>
      <c r="C29" s="1344" t="s">
        <v>1488</v>
      </c>
      <c r="D29" s="1344"/>
      <c r="E29" s="682"/>
      <c r="F29" s="2089" t="str">
        <f t="shared" si="1"/>
        <v>弯头SA-335M P1290E(L)DN125-20</v>
      </c>
      <c r="G29" s="2400">
        <v>60000</v>
      </c>
      <c r="H29" s="2401"/>
      <c r="I29" s="2394" t="s">
        <v>181</v>
      </c>
      <c r="J29" s="2394"/>
      <c r="K29" s="2394">
        <v>90</v>
      </c>
      <c r="L29" s="2395">
        <v>42914</v>
      </c>
      <c r="M29" s="2394">
        <v>7</v>
      </c>
      <c r="N29" s="1347" t="s">
        <v>129</v>
      </c>
    </row>
    <row r="30" spans="1:14" s="647" customFormat="1" ht="15.95" customHeight="1">
      <c r="A30" s="1344" t="s">
        <v>1396</v>
      </c>
      <c r="B30" s="1344" t="s">
        <v>718</v>
      </c>
      <c r="C30" s="1344" t="s">
        <v>1489</v>
      </c>
      <c r="D30" s="1344"/>
      <c r="E30" s="682"/>
      <c r="F30" s="2089" t="str">
        <f t="shared" si="1"/>
        <v>弯头SA-335 P9190E(L)DN50-8</v>
      </c>
      <c r="G30" s="2400">
        <v>80000</v>
      </c>
      <c r="H30" s="2401"/>
      <c r="I30" s="2394" t="s">
        <v>181</v>
      </c>
      <c r="J30" s="2394"/>
      <c r="K30" s="2394">
        <v>90</v>
      </c>
      <c r="L30" s="2395">
        <v>42914</v>
      </c>
      <c r="M30" s="2394">
        <v>7</v>
      </c>
      <c r="N30" s="1347" t="s">
        <v>129</v>
      </c>
    </row>
    <row r="31" spans="1:14" s="647" customFormat="1" ht="15.95" customHeight="1">
      <c r="A31" s="1344" t="s">
        <v>1396</v>
      </c>
      <c r="B31" s="1344" t="s">
        <v>1433</v>
      </c>
      <c r="C31" s="1344" t="s">
        <v>1485</v>
      </c>
      <c r="D31" s="1344"/>
      <c r="E31" s="682"/>
      <c r="F31" s="2089" t="str">
        <f t="shared" si="1"/>
        <v>弯头SA-335M P1290E(L)DN40-10</v>
      </c>
      <c r="G31" s="2400">
        <v>60000</v>
      </c>
      <c r="H31" s="2401"/>
      <c r="I31" s="2394" t="s">
        <v>181</v>
      </c>
      <c r="J31" s="2394"/>
      <c r="K31" s="2394">
        <v>90</v>
      </c>
      <c r="L31" s="2395">
        <v>42914</v>
      </c>
      <c r="M31" s="2394">
        <v>7</v>
      </c>
      <c r="N31" s="1347" t="s">
        <v>129</v>
      </c>
    </row>
    <row r="32" spans="1:14" s="647" customFormat="1" ht="15.95" customHeight="1">
      <c r="A32" s="1344" t="s">
        <v>1396</v>
      </c>
      <c r="B32" s="1344" t="s">
        <v>1433</v>
      </c>
      <c r="C32" s="1344" t="s">
        <v>1504</v>
      </c>
      <c r="D32" s="1344"/>
      <c r="E32" s="682"/>
      <c r="F32" s="2089" t="str">
        <f t="shared" si="1"/>
        <v>弯头SA-335M P1290E(L)DN80Ⅱ-16</v>
      </c>
      <c r="G32" s="2400">
        <v>60000</v>
      </c>
      <c r="H32" s="2401"/>
      <c r="I32" s="2394" t="s">
        <v>181</v>
      </c>
      <c r="J32" s="2394"/>
      <c r="K32" s="2394">
        <v>90</v>
      </c>
      <c r="L32" s="2395">
        <v>42914</v>
      </c>
      <c r="M32" s="2394">
        <v>7</v>
      </c>
      <c r="N32" s="1347" t="s">
        <v>129</v>
      </c>
    </row>
    <row r="33" spans="1:14" s="647" customFormat="1" ht="15.95" customHeight="1">
      <c r="A33" s="1344" t="s">
        <v>1396</v>
      </c>
      <c r="B33" s="1344" t="s">
        <v>1433</v>
      </c>
      <c r="C33" s="1344" t="s">
        <v>1505</v>
      </c>
      <c r="D33" s="1344"/>
      <c r="E33" s="682"/>
      <c r="F33" s="392" t="str">
        <f t="shared" si="0"/>
        <v>弯头SA-335M P1290E(L)DN125Ⅱ-20</v>
      </c>
      <c r="G33" s="2400">
        <v>60000</v>
      </c>
      <c r="H33" s="2401"/>
      <c r="I33" s="2394" t="s">
        <v>181</v>
      </c>
      <c r="J33" s="2394"/>
      <c r="K33" s="2394">
        <v>90</v>
      </c>
      <c r="L33" s="2395">
        <v>42914</v>
      </c>
      <c r="M33" s="2394">
        <v>7</v>
      </c>
      <c r="N33" s="1347" t="s">
        <v>129</v>
      </c>
    </row>
    <row r="34" spans="1:14" s="647" customFormat="1" ht="15.95" customHeight="1">
      <c r="A34" s="1344" t="s">
        <v>1396</v>
      </c>
      <c r="B34" s="1344" t="s">
        <v>1433</v>
      </c>
      <c r="C34" s="1344" t="s">
        <v>1506</v>
      </c>
      <c r="D34" s="1344"/>
      <c r="E34" s="682"/>
      <c r="F34" s="392" t="str">
        <f>A34&amp;B34&amp;C34&amp;D34</f>
        <v>弯头SA-335M P1290E(L)DN65II-14</v>
      </c>
      <c r="G34" s="2400">
        <v>60000</v>
      </c>
      <c r="H34" s="2401"/>
      <c r="I34" s="2394" t="s">
        <v>181</v>
      </c>
      <c r="J34" s="2394"/>
      <c r="K34" s="2394">
        <v>90</v>
      </c>
      <c r="L34" s="2395">
        <v>42914</v>
      </c>
      <c r="M34" s="2394">
        <v>7</v>
      </c>
      <c r="N34" s="1347" t="s">
        <v>129</v>
      </c>
    </row>
    <row r="35" spans="1:14" s="647" customFormat="1" ht="15.95" customHeight="1">
      <c r="A35" s="1344" t="s">
        <v>1396</v>
      </c>
      <c r="B35" s="1344" t="s">
        <v>718</v>
      </c>
      <c r="C35" s="1344" t="s">
        <v>1507</v>
      </c>
      <c r="D35" s="1344"/>
      <c r="E35" s="682"/>
      <c r="F35" s="392" t="str">
        <f>A35&amp;B35&amp;C35&amp;D35</f>
        <v>弯头SA-335 P9190E(L)DN100-8</v>
      </c>
      <c r="G35" s="2400">
        <v>80000</v>
      </c>
      <c r="H35" s="2401"/>
      <c r="I35" s="2394" t="s">
        <v>181</v>
      </c>
      <c r="J35" s="2394"/>
      <c r="K35" s="2394">
        <v>90</v>
      </c>
      <c r="L35" s="2395">
        <v>42914</v>
      </c>
      <c r="M35" s="2394">
        <v>7</v>
      </c>
      <c r="N35" s="1347" t="s">
        <v>129</v>
      </c>
    </row>
    <row r="36" spans="1:14" s="647" customFormat="1" ht="15.95" customHeight="1">
      <c r="A36" s="1344" t="s">
        <v>1396</v>
      </c>
      <c r="B36" s="1344" t="s">
        <v>718</v>
      </c>
      <c r="C36" s="1344" t="s">
        <v>1506</v>
      </c>
      <c r="D36" s="1344"/>
      <c r="E36" s="682"/>
      <c r="F36" s="392" t="str">
        <f>A36&amp;B36&amp;C36&amp;D36</f>
        <v>弯头SA-335 P9190E(L)DN65II-14</v>
      </c>
      <c r="G36" s="2400">
        <v>80000</v>
      </c>
      <c r="H36" s="2401"/>
      <c r="I36" s="2394" t="s">
        <v>181</v>
      </c>
      <c r="J36" s="2394"/>
      <c r="K36" s="2394">
        <v>90</v>
      </c>
      <c r="L36" s="2395">
        <v>42914</v>
      </c>
      <c r="M36" s="2394">
        <v>7</v>
      </c>
      <c r="N36" s="1347" t="s">
        <v>129</v>
      </c>
    </row>
    <row r="37" spans="1:14" s="647" customFormat="1" ht="15.95" customHeight="1">
      <c r="A37" s="1344" t="s">
        <v>1396</v>
      </c>
      <c r="B37" s="1344" t="s">
        <v>1233</v>
      </c>
      <c r="C37" s="1344" t="s">
        <v>1508</v>
      </c>
      <c r="D37" s="1344"/>
      <c r="E37" s="682"/>
      <c r="F37" s="392" t="str">
        <f>A37&amp;B37&amp;C37&amp;D37</f>
        <v>弯头SA-335 P9290E(L)DN40-12.5</v>
      </c>
      <c r="G37" s="2400">
        <v>80000</v>
      </c>
      <c r="H37" s="2401"/>
      <c r="I37" s="2394" t="s">
        <v>181</v>
      </c>
      <c r="J37" s="2394"/>
      <c r="K37" s="2394">
        <v>90</v>
      </c>
      <c r="L37" s="2395">
        <v>42914</v>
      </c>
      <c r="M37" s="2394">
        <v>7</v>
      </c>
      <c r="N37" s="1347" t="s">
        <v>129</v>
      </c>
    </row>
    <row r="38" spans="1:14" s="647" customFormat="1" ht="15.95" customHeight="1">
      <c r="A38" s="1344" t="s">
        <v>1396</v>
      </c>
      <c r="B38" s="1344" t="s">
        <v>259</v>
      </c>
      <c r="C38" s="1344" t="s">
        <v>1509</v>
      </c>
      <c r="D38" s="1344"/>
      <c r="E38" s="682"/>
      <c r="F38" s="392" t="str">
        <f>A38&amp;B38&amp;C38&amp;D38</f>
        <v>弯头SA-106C90E(L)DN150II-25</v>
      </c>
      <c r="G38" s="2400">
        <v>60000</v>
      </c>
      <c r="H38" s="2401"/>
      <c r="I38" s="2394" t="s">
        <v>181</v>
      </c>
      <c r="J38" s="2394"/>
      <c r="K38" s="2394">
        <v>90</v>
      </c>
      <c r="L38" s="2395">
        <v>42914</v>
      </c>
      <c r="M38" s="2394">
        <v>7</v>
      </c>
      <c r="N38" s="1347" t="s">
        <v>129</v>
      </c>
    </row>
    <row r="39" spans="1:14" s="647" customFormat="1" ht="15.95" customHeight="1">
      <c r="A39" s="1344" t="s">
        <v>1396</v>
      </c>
      <c r="B39" s="1344" t="s">
        <v>718</v>
      </c>
      <c r="C39" s="1344" t="s">
        <v>1510</v>
      </c>
      <c r="D39" s="1344"/>
      <c r="E39" s="682"/>
      <c r="F39" s="392" t="str">
        <f t="shared" si="0"/>
        <v>弯头SA-335 P9190E(L) DN80II-16</v>
      </c>
      <c r="G39" s="2400">
        <v>80000</v>
      </c>
      <c r="H39" s="2401"/>
      <c r="I39" s="2394" t="s">
        <v>181</v>
      </c>
      <c r="J39" s="2394"/>
      <c r="K39" s="2394">
        <v>90</v>
      </c>
      <c r="L39" s="2395">
        <v>42914</v>
      </c>
      <c r="M39" s="2394">
        <v>7</v>
      </c>
      <c r="N39" s="1347" t="s">
        <v>129</v>
      </c>
    </row>
    <row r="40" spans="1:14" s="647" customFormat="1" ht="15.95" customHeight="1">
      <c r="A40" s="1344" t="s">
        <v>1396</v>
      </c>
      <c r="B40" s="1344" t="s">
        <v>1232</v>
      </c>
      <c r="C40" s="1345" t="s">
        <v>1510</v>
      </c>
      <c r="D40" s="1344"/>
      <c r="E40" s="682"/>
      <c r="F40" s="392" t="str">
        <f t="shared" si="0"/>
        <v>弯头SA-335 P1290E(L) DN80II-16</v>
      </c>
      <c r="G40" s="2400">
        <v>60000</v>
      </c>
      <c r="H40" s="2401"/>
      <c r="I40" s="2394" t="s">
        <v>181</v>
      </c>
      <c r="J40" s="2394"/>
      <c r="K40" s="2394">
        <v>90</v>
      </c>
      <c r="L40" s="2395">
        <v>42914</v>
      </c>
      <c r="M40" s="2394">
        <v>7</v>
      </c>
      <c r="N40" s="1347" t="s">
        <v>129</v>
      </c>
    </row>
    <row r="41" spans="1:14" s="647" customFormat="1" ht="15.95" customHeight="1">
      <c r="A41" s="1344" t="s">
        <v>1396</v>
      </c>
      <c r="B41" s="1344" t="s">
        <v>1232</v>
      </c>
      <c r="C41" s="1344" t="s">
        <v>1511</v>
      </c>
      <c r="D41" s="1344"/>
      <c r="E41" s="683"/>
      <c r="F41" s="392" t="str">
        <f t="shared" si="0"/>
        <v>弯头SA-335 P1290E(L) DN100-20</v>
      </c>
      <c r="G41" s="2400">
        <v>60000</v>
      </c>
      <c r="H41" s="2401"/>
      <c r="I41" s="2394" t="s">
        <v>181</v>
      </c>
      <c r="J41" s="2394"/>
      <c r="K41" s="2394">
        <v>90</v>
      </c>
      <c r="L41" s="2395">
        <v>42914</v>
      </c>
      <c r="M41" s="2394">
        <v>7</v>
      </c>
      <c r="N41" s="1347" t="s">
        <v>129</v>
      </c>
    </row>
    <row r="42" spans="1:14" s="647" customFormat="1" ht="15.95" customHeight="1">
      <c r="A42" s="1344" t="s">
        <v>1396</v>
      </c>
      <c r="B42" s="1344" t="s">
        <v>259</v>
      </c>
      <c r="C42" s="1344" t="s">
        <v>1512</v>
      </c>
      <c r="D42" s="1344"/>
      <c r="E42" s="682"/>
      <c r="F42" s="392" t="str">
        <f t="shared" si="0"/>
        <v>弯头SA-106C90E(L)DN200-35</v>
      </c>
      <c r="G42" s="2400">
        <v>60000</v>
      </c>
      <c r="H42" s="2401"/>
      <c r="I42" s="2394" t="s">
        <v>181</v>
      </c>
      <c r="J42" s="2394"/>
      <c r="K42" s="2394">
        <v>90</v>
      </c>
      <c r="L42" s="2395">
        <v>42914</v>
      </c>
      <c r="M42" s="2394">
        <v>7</v>
      </c>
      <c r="N42" s="1347" t="s">
        <v>129</v>
      </c>
    </row>
    <row r="43" spans="1:14" s="647" customFormat="1" ht="15.95" customHeight="1">
      <c r="A43" s="1344" t="s">
        <v>1396</v>
      </c>
      <c r="B43" s="1344" t="s">
        <v>1433</v>
      </c>
      <c r="C43" s="1344" t="s">
        <v>1525</v>
      </c>
      <c r="D43" s="1344"/>
      <c r="E43" s="682"/>
      <c r="F43" s="392" t="str">
        <f t="shared" si="0"/>
        <v>弯头SA-335M P1290E(L)DN150II-10</v>
      </c>
      <c r="G43" s="2400">
        <v>60000</v>
      </c>
      <c r="H43" s="2401"/>
      <c r="I43" s="2394" t="s">
        <v>181</v>
      </c>
      <c r="J43" s="2394"/>
      <c r="K43" s="2394">
        <v>90</v>
      </c>
      <c r="L43" s="2395">
        <v>42914</v>
      </c>
      <c r="M43" s="2394">
        <v>7</v>
      </c>
      <c r="N43" s="1347" t="s">
        <v>129</v>
      </c>
    </row>
    <row r="44" spans="1:14" s="647" customFormat="1" ht="15.95" customHeight="1">
      <c r="A44" s="1344" t="s">
        <v>1396</v>
      </c>
      <c r="B44" s="1344" t="s">
        <v>259</v>
      </c>
      <c r="C44" s="1344" t="s">
        <v>1531</v>
      </c>
      <c r="D44" s="1344"/>
      <c r="E44" s="682"/>
      <c r="F44" s="392" t="str">
        <f t="shared" si="0"/>
        <v>弯头SA-106C90E(L)DN65-5.16</v>
      </c>
      <c r="G44" s="2400">
        <v>60000</v>
      </c>
      <c r="H44" s="2401"/>
      <c r="I44" s="2394" t="s">
        <v>181</v>
      </c>
      <c r="J44" s="2394"/>
      <c r="K44" s="2394">
        <v>90</v>
      </c>
      <c r="L44" s="2395">
        <v>42914</v>
      </c>
      <c r="M44" s="2394">
        <v>7</v>
      </c>
      <c r="N44" s="1347" t="s">
        <v>129</v>
      </c>
    </row>
    <row r="45" spans="1:14" s="647" customFormat="1" ht="15.95" customHeight="1">
      <c r="A45" s="1344" t="s">
        <v>1396</v>
      </c>
      <c r="B45" s="1344" t="s">
        <v>1433</v>
      </c>
      <c r="C45" s="1344" t="s">
        <v>1508</v>
      </c>
      <c r="D45" s="1344"/>
      <c r="E45" s="682"/>
      <c r="F45" s="392" t="str">
        <f t="shared" si="0"/>
        <v>弯头SA-335M P1290E(L)DN40-12.5</v>
      </c>
      <c r="G45" s="2400">
        <v>60000</v>
      </c>
      <c r="H45" s="2401"/>
      <c r="I45" s="2394" t="s">
        <v>181</v>
      </c>
      <c r="J45" s="2394"/>
      <c r="K45" s="2394">
        <v>90</v>
      </c>
      <c r="L45" s="2395">
        <v>42914</v>
      </c>
      <c r="M45" s="2394">
        <v>7</v>
      </c>
      <c r="N45" s="1347" t="s">
        <v>129</v>
      </c>
    </row>
    <row r="46" spans="1:14" s="647" customFormat="1" ht="15.95" customHeight="1">
      <c r="A46" s="1344" t="s">
        <v>1398</v>
      </c>
      <c r="B46" s="1344" t="s">
        <v>1433</v>
      </c>
      <c r="C46" s="1344" t="s">
        <v>1492</v>
      </c>
      <c r="D46" s="1344"/>
      <c r="E46" s="682"/>
      <c r="F46" s="392" t="str">
        <f t="shared" si="0"/>
        <v>异径三通SA-335M P12T(R)DN80-5/DN50-4</v>
      </c>
      <c r="G46" s="2400">
        <v>60000</v>
      </c>
      <c r="H46" s="2401"/>
      <c r="I46" s="2394" t="s">
        <v>181</v>
      </c>
      <c r="J46" s="2394"/>
      <c r="K46" s="2394">
        <v>90</v>
      </c>
      <c r="L46" s="2395">
        <v>42914</v>
      </c>
      <c r="M46" s="2394">
        <v>7</v>
      </c>
      <c r="N46" s="1347" t="s">
        <v>129</v>
      </c>
    </row>
    <row r="47" spans="1:14" s="647" customFormat="1" ht="15.95" customHeight="1">
      <c r="A47" s="1344" t="s">
        <v>1398</v>
      </c>
      <c r="B47" s="1344" t="s">
        <v>1233</v>
      </c>
      <c r="C47" s="1344" t="s">
        <v>1493</v>
      </c>
      <c r="D47" s="1344"/>
      <c r="E47" s="682"/>
      <c r="F47" s="392" t="str">
        <f t="shared" si="0"/>
        <v>异径三通SA-335 P92T(R)DN50-7.5/DN40-6.5</v>
      </c>
      <c r="G47" s="2400">
        <v>80000</v>
      </c>
      <c r="H47" s="2401"/>
      <c r="I47" s="2394" t="s">
        <v>181</v>
      </c>
      <c r="J47" s="2394"/>
      <c r="K47" s="2394">
        <v>90</v>
      </c>
      <c r="L47" s="2395">
        <v>42914</v>
      </c>
      <c r="M47" s="2394">
        <v>7</v>
      </c>
      <c r="N47" s="1347" t="s">
        <v>129</v>
      </c>
    </row>
    <row r="48" spans="1:14" s="647" customFormat="1" ht="15.95" customHeight="1">
      <c r="A48" s="1344" t="s">
        <v>1398</v>
      </c>
      <c r="B48" s="1344" t="s">
        <v>1433</v>
      </c>
      <c r="C48" s="1344" t="s">
        <v>1494</v>
      </c>
      <c r="D48" s="1344"/>
      <c r="E48" s="682"/>
      <c r="F48" s="392" t="str">
        <f t="shared" si="0"/>
        <v>异径三通SA-335M P12T(R)DN125Ⅱ-20/DN80-16</v>
      </c>
      <c r="G48" s="2400">
        <v>60000</v>
      </c>
      <c r="H48" s="2401"/>
      <c r="I48" s="2394" t="s">
        <v>181</v>
      </c>
      <c r="J48" s="2394"/>
      <c r="K48" s="2394">
        <v>90</v>
      </c>
      <c r="L48" s="2395">
        <v>42914</v>
      </c>
      <c r="M48" s="2394">
        <v>7</v>
      </c>
      <c r="N48" s="1347" t="s">
        <v>129</v>
      </c>
    </row>
    <row r="49" spans="1:14" s="647" customFormat="1" ht="15.95" customHeight="1">
      <c r="A49" s="1344" t="s">
        <v>1398</v>
      </c>
      <c r="B49" s="1344" t="s">
        <v>1433</v>
      </c>
      <c r="C49" s="1344" t="s">
        <v>1499</v>
      </c>
      <c r="D49" s="1344"/>
      <c r="E49" s="682"/>
      <c r="F49" s="392" t="str">
        <f>A49&amp;B49&amp;C49&amp;D49</f>
        <v>异径三通SA-335M P12T(R)DN90-10/DN80-8</v>
      </c>
      <c r="G49" s="2400">
        <v>60000</v>
      </c>
      <c r="H49" s="2401"/>
      <c r="I49" s="2394" t="s">
        <v>181</v>
      </c>
      <c r="J49" s="2394"/>
      <c r="K49" s="2394">
        <v>90</v>
      </c>
      <c r="L49" s="2395">
        <v>42914</v>
      </c>
      <c r="M49" s="2394">
        <v>7</v>
      </c>
      <c r="N49" s="1347" t="s">
        <v>129</v>
      </c>
    </row>
    <row r="50" spans="1:14" s="647" customFormat="1" ht="15.95" customHeight="1">
      <c r="A50" s="1344" t="s">
        <v>1398</v>
      </c>
      <c r="B50" s="1344" t="s">
        <v>1433</v>
      </c>
      <c r="C50" s="1344" t="s">
        <v>1500</v>
      </c>
      <c r="D50" s="1344"/>
      <c r="E50" s="682"/>
      <c r="F50" s="392" t="str">
        <f>A50&amp;B50&amp;C50&amp;D50</f>
        <v>异径三通SA-335M P12T(R)DN125Ⅱ-20/DN80Ⅱ-16</v>
      </c>
      <c r="G50" s="2400">
        <v>60000</v>
      </c>
      <c r="H50" s="2401"/>
      <c r="I50" s="2394" t="s">
        <v>181</v>
      </c>
      <c r="J50" s="2394"/>
      <c r="K50" s="2394">
        <v>90</v>
      </c>
      <c r="L50" s="2395">
        <v>42914</v>
      </c>
      <c r="M50" s="2394">
        <v>7</v>
      </c>
      <c r="N50" s="1347" t="s">
        <v>129</v>
      </c>
    </row>
    <row r="51" spans="1:14" s="647" customFormat="1" ht="15.95" customHeight="1">
      <c r="A51" s="1344" t="s">
        <v>1398</v>
      </c>
      <c r="B51" s="1344" t="s">
        <v>259</v>
      </c>
      <c r="C51" s="1344" t="s">
        <v>1515</v>
      </c>
      <c r="D51" s="1344"/>
      <c r="E51" s="682"/>
      <c r="F51" s="2089" t="str">
        <f>A51&amp;B51&amp;C51&amp;D51</f>
        <v>异径三通SA-106CT(R)DN200II-35/DN150II-25</v>
      </c>
      <c r="G51" s="2400">
        <v>60000</v>
      </c>
      <c r="H51" s="2401"/>
      <c r="I51" s="2394" t="s">
        <v>181</v>
      </c>
      <c r="J51" s="2394"/>
      <c r="K51" s="2394">
        <v>90</v>
      </c>
      <c r="L51" s="2395">
        <v>42914</v>
      </c>
      <c r="M51" s="2394">
        <v>7</v>
      </c>
      <c r="N51" s="1347" t="s">
        <v>129</v>
      </c>
    </row>
    <row r="52" spans="1:14" s="647" customFormat="1" ht="15.95" customHeight="1">
      <c r="A52" s="1344" t="s">
        <v>1398</v>
      </c>
      <c r="B52" s="1344" t="s">
        <v>1232</v>
      </c>
      <c r="C52" s="1344" t="s">
        <v>1516</v>
      </c>
      <c r="D52" s="1344"/>
      <c r="E52" s="682"/>
      <c r="F52" s="2089" t="str">
        <f>A52&amp;B52&amp;C52&amp;D52</f>
        <v>异径三通SA-335 P12T(R)DN100-20/DN80-16</v>
      </c>
      <c r="G52" s="2400">
        <v>60000</v>
      </c>
      <c r="H52" s="2401"/>
      <c r="I52" s="2394" t="s">
        <v>181</v>
      </c>
      <c r="J52" s="2394"/>
      <c r="K52" s="2394">
        <v>90</v>
      </c>
      <c r="L52" s="2395">
        <v>42914</v>
      </c>
      <c r="M52" s="2394">
        <v>7</v>
      </c>
      <c r="N52" s="1347" t="s">
        <v>129</v>
      </c>
    </row>
    <row r="53" spans="1:14" s="647" customFormat="1" ht="15.95" customHeight="1">
      <c r="A53" s="1344" t="s">
        <v>1338</v>
      </c>
      <c r="B53" s="1344" t="s">
        <v>1418</v>
      </c>
      <c r="C53" s="1344">
        <v>54</v>
      </c>
      <c r="D53" s="1344">
        <v>10</v>
      </c>
      <c r="E53" s="682"/>
      <c r="F53" s="392" t="str">
        <f t="shared" si="0"/>
        <v>Tube SA-210M C5410</v>
      </c>
      <c r="G53" s="2394">
        <v>60000</v>
      </c>
      <c r="H53" s="2401">
        <v>0.1</v>
      </c>
      <c r="I53" s="2394" t="s">
        <v>181</v>
      </c>
      <c r="J53" s="2394"/>
      <c r="K53" s="2394">
        <v>90</v>
      </c>
      <c r="L53" s="2395">
        <v>42914</v>
      </c>
      <c r="M53" s="2394">
        <v>7</v>
      </c>
      <c r="N53" s="1347" t="s">
        <v>129</v>
      </c>
    </row>
    <row r="54" spans="1:14" s="647" customFormat="1" ht="15.95" customHeight="1">
      <c r="A54" s="1344" t="s">
        <v>1339</v>
      </c>
      <c r="B54" s="1344">
        <v>20</v>
      </c>
      <c r="C54" s="1344">
        <v>34.9</v>
      </c>
      <c r="D54" s="1344">
        <v>6.1</v>
      </c>
      <c r="E54" s="682"/>
      <c r="F54" s="392" t="str">
        <f t="shared" si="0"/>
        <v>End Cap2034.96.1</v>
      </c>
      <c r="G54" s="2394">
        <v>60000</v>
      </c>
      <c r="H54" s="2401">
        <v>0.1</v>
      </c>
      <c r="I54" s="2394" t="s">
        <v>181</v>
      </c>
      <c r="J54" s="2394"/>
      <c r="K54" s="2394">
        <v>90</v>
      </c>
      <c r="L54" s="2395">
        <v>42914</v>
      </c>
      <c r="M54" s="2394">
        <v>7</v>
      </c>
      <c r="N54" s="1347" t="s">
        <v>129</v>
      </c>
    </row>
    <row r="55" spans="1:14" s="647" customFormat="1" ht="15.95" customHeight="1">
      <c r="A55" s="1344" t="s">
        <v>1341</v>
      </c>
      <c r="B55" s="1344" t="s">
        <v>590</v>
      </c>
      <c r="C55" s="1344"/>
      <c r="D55" s="1344"/>
      <c r="E55" s="682"/>
      <c r="F55" s="392" t="str">
        <f t="shared" si="0"/>
        <v>Weld  BarSA-387M Gr12CL2</v>
      </c>
      <c r="G55" s="2400">
        <v>60000</v>
      </c>
      <c r="H55" s="2401">
        <v>0.1</v>
      </c>
      <c r="I55" s="2394" t="s">
        <v>181</v>
      </c>
      <c r="J55" s="2394"/>
      <c r="K55" s="2394">
        <v>90</v>
      </c>
      <c r="L55" s="2395">
        <v>42914</v>
      </c>
      <c r="M55" s="2394">
        <v>7</v>
      </c>
      <c r="N55" s="1347" t="s">
        <v>129</v>
      </c>
    </row>
    <row r="56" spans="1:14" s="647" customFormat="1" ht="15.95" customHeight="1">
      <c r="A56" s="1344" t="s">
        <v>1338</v>
      </c>
      <c r="B56" s="1344" t="s">
        <v>1418</v>
      </c>
      <c r="C56" s="1344">
        <v>54</v>
      </c>
      <c r="D56" s="1344">
        <v>10</v>
      </c>
      <c r="E56" s="682"/>
      <c r="F56" s="392" t="str">
        <f t="shared" si="0"/>
        <v>Tube SA-210M C5410</v>
      </c>
      <c r="G56" s="2394">
        <v>60000</v>
      </c>
      <c r="H56" s="2401">
        <v>0.1</v>
      </c>
      <c r="I56" s="2394" t="s">
        <v>181</v>
      </c>
      <c r="J56" s="2394"/>
      <c r="K56" s="2394">
        <v>90</v>
      </c>
      <c r="L56" s="2395">
        <v>42914</v>
      </c>
      <c r="M56" s="2394">
        <v>7</v>
      </c>
      <c r="N56" s="1347" t="s">
        <v>129</v>
      </c>
    </row>
    <row r="57" spans="1:14" s="647" customFormat="1" ht="15.95" customHeight="1">
      <c r="A57" s="1344" t="s">
        <v>1339</v>
      </c>
      <c r="B57" s="1344">
        <v>20</v>
      </c>
      <c r="C57" s="1344">
        <v>34.9</v>
      </c>
      <c r="D57" s="1344">
        <v>6.1</v>
      </c>
      <c r="E57" s="682"/>
      <c r="F57" s="392" t="str">
        <f t="shared" si="0"/>
        <v>End Cap2034.96.1</v>
      </c>
      <c r="G57" s="2394">
        <v>60000</v>
      </c>
      <c r="H57" s="2401">
        <v>0.1</v>
      </c>
      <c r="I57" s="2394" t="s">
        <v>181</v>
      </c>
      <c r="J57" s="2394"/>
      <c r="K57" s="2394">
        <v>90</v>
      </c>
      <c r="L57" s="2395">
        <v>42914</v>
      </c>
      <c r="M57" s="2394">
        <v>7</v>
      </c>
      <c r="N57" s="1347" t="s">
        <v>129</v>
      </c>
    </row>
    <row r="58" spans="1:14" s="647" customFormat="1" ht="15.95" customHeight="1">
      <c r="A58" s="1344" t="s">
        <v>1341</v>
      </c>
      <c r="B58" s="1344" t="s">
        <v>590</v>
      </c>
      <c r="C58" s="1344"/>
      <c r="D58" s="1344"/>
      <c r="E58" s="682"/>
      <c r="F58" s="392" t="str">
        <f t="shared" si="0"/>
        <v>Weld  BarSA-387M Gr12CL2</v>
      </c>
      <c r="G58" s="2400">
        <v>60000</v>
      </c>
      <c r="H58" s="2401">
        <v>0.1</v>
      </c>
      <c r="I58" s="2394" t="s">
        <v>181</v>
      </c>
      <c r="J58" s="2394"/>
      <c r="K58" s="2394">
        <v>90</v>
      </c>
      <c r="L58" s="2395">
        <v>42914</v>
      </c>
      <c r="M58" s="2394">
        <v>7</v>
      </c>
      <c r="N58" s="1347" t="s">
        <v>129</v>
      </c>
    </row>
    <row r="59" spans="1:14" s="647" customFormat="1" ht="15.95" customHeight="1">
      <c r="A59" s="1344" t="s">
        <v>1342</v>
      </c>
      <c r="B59" s="1344" t="s">
        <v>710</v>
      </c>
      <c r="C59" s="1344"/>
      <c r="D59" s="1344" t="s">
        <v>1419</v>
      </c>
      <c r="E59" s="682"/>
      <c r="F59" s="392" t="str">
        <f>A59&amp;B59&amp;C59&amp;D59</f>
        <v>cotter06Cr19Ni98X56</v>
      </c>
      <c r="G59" s="2394">
        <v>60000</v>
      </c>
      <c r="H59" s="2401">
        <v>0.1</v>
      </c>
      <c r="I59" s="2394" t="s">
        <v>181</v>
      </c>
      <c r="J59" s="2394"/>
      <c r="K59" s="2394">
        <v>90</v>
      </c>
      <c r="L59" s="2395">
        <v>42914</v>
      </c>
      <c r="M59" s="2394">
        <v>7</v>
      </c>
      <c r="N59" s="1347" t="s">
        <v>129</v>
      </c>
    </row>
    <row r="60" spans="1:14" s="647" customFormat="1" ht="15.95" customHeight="1">
      <c r="A60" s="1344" t="s">
        <v>1343</v>
      </c>
      <c r="B60" s="1344" t="s">
        <v>590</v>
      </c>
      <c r="C60" s="1344"/>
      <c r="D60" s="1344" t="s">
        <v>1420</v>
      </c>
      <c r="E60" s="682"/>
      <c r="F60" s="392" t="str">
        <f t="shared" si="0"/>
        <v>flat washerSA-387M Gr12CL2Ø56X6</v>
      </c>
      <c r="G60" s="2400">
        <v>60000</v>
      </c>
      <c r="H60" s="2401">
        <v>0.1</v>
      </c>
      <c r="I60" s="2394" t="s">
        <v>181</v>
      </c>
      <c r="J60" s="2394"/>
      <c r="K60" s="2394">
        <v>90</v>
      </c>
      <c r="L60" s="2395">
        <v>42914</v>
      </c>
      <c r="M60" s="2394">
        <v>7</v>
      </c>
      <c r="N60" s="1347" t="s">
        <v>129</v>
      </c>
    </row>
    <row r="61" spans="1:14" s="647" customFormat="1" ht="15.95" customHeight="1">
      <c r="A61" s="1344" t="s">
        <v>1344</v>
      </c>
      <c r="B61" s="1344" t="s">
        <v>711</v>
      </c>
      <c r="C61" s="1344"/>
      <c r="D61" s="1344" t="s">
        <v>1421</v>
      </c>
      <c r="E61" s="682"/>
      <c r="F61" s="392" t="str">
        <f t="shared" si="0"/>
        <v>round pin35CrMoØ41X145</v>
      </c>
      <c r="G61" s="2394">
        <v>60000</v>
      </c>
      <c r="H61" s="2401">
        <v>0.1</v>
      </c>
      <c r="I61" s="2394" t="s">
        <v>181</v>
      </c>
      <c r="J61" s="2394"/>
      <c r="K61" s="2394">
        <v>90</v>
      </c>
      <c r="L61" s="2395">
        <v>42914</v>
      </c>
      <c r="M61" s="2394">
        <v>7</v>
      </c>
      <c r="N61" s="1347" t="s">
        <v>129</v>
      </c>
    </row>
    <row r="62" spans="1:14" s="647" customFormat="1" ht="15.95" customHeight="1">
      <c r="A62" s="1344" t="s">
        <v>1345</v>
      </c>
      <c r="B62" s="1344" t="s">
        <v>1423</v>
      </c>
      <c r="C62" s="1344"/>
      <c r="D62" s="1344" t="s">
        <v>1422</v>
      </c>
      <c r="E62" s="682"/>
      <c r="F62" s="392" t="str">
        <f t="shared" si="0"/>
        <v>nut8 classM42</v>
      </c>
      <c r="G62" s="2394">
        <v>60000</v>
      </c>
      <c r="H62" s="2401">
        <v>0.1</v>
      </c>
      <c r="I62" s="2394" t="s">
        <v>181</v>
      </c>
      <c r="J62" s="2394"/>
      <c r="K62" s="2394">
        <v>90</v>
      </c>
      <c r="L62" s="2395">
        <v>42914</v>
      </c>
      <c r="M62" s="2394">
        <v>7</v>
      </c>
      <c r="N62" s="1347" t="s">
        <v>129</v>
      </c>
    </row>
    <row r="63" spans="1:14" s="647" customFormat="1" ht="15.95" customHeight="1">
      <c r="A63" s="1344" t="s">
        <v>1346</v>
      </c>
      <c r="B63" s="1344" t="s">
        <v>590</v>
      </c>
      <c r="C63" s="1344"/>
      <c r="D63" s="1344"/>
      <c r="E63" s="682"/>
      <c r="F63" s="392" t="str">
        <f t="shared" si="0"/>
        <v>supportSA-387M Gr12CL2</v>
      </c>
      <c r="G63" s="2400">
        <v>60000</v>
      </c>
      <c r="H63" s="2401">
        <v>0.1</v>
      </c>
      <c r="I63" s="2394" t="s">
        <v>181</v>
      </c>
      <c r="J63" s="2394"/>
      <c r="K63" s="2394">
        <v>90</v>
      </c>
      <c r="L63" s="2395">
        <v>42914</v>
      </c>
      <c r="M63" s="2394">
        <v>7</v>
      </c>
      <c r="N63" s="1347" t="s">
        <v>129</v>
      </c>
    </row>
    <row r="64" spans="1:14" s="647" customFormat="1" ht="15.95" customHeight="1">
      <c r="A64" s="1344" t="s">
        <v>1338</v>
      </c>
      <c r="B64" s="1344" t="s">
        <v>590</v>
      </c>
      <c r="C64" s="1344" t="s">
        <v>438</v>
      </c>
      <c r="D64" s="1344" t="s">
        <v>438</v>
      </c>
      <c r="E64" s="682"/>
      <c r="F64" s="392" t="str">
        <f t="shared" si="0"/>
        <v xml:space="preserve">Tube SA-387M Gr12CL2  </v>
      </c>
      <c r="G64" s="2400">
        <v>60000</v>
      </c>
      <c r="H64" s="2401">
        <v>0.1</v>
      </c>
      <c r="I64" s="2394" t="s">
        <v>181</v>
      </c>
      <c r="J64" s="2394"/>
      <c r="K64" s="2394">
        <v>90</v>
      </c>
      <c r="L64" s="2395">
        <v>42914</v>
      </c>
      <c r="M64" s="2394">
        <v>7</v>
      </c>
      <c r="N64" s="1347" t="s">
        <v>129</v>
      </c>
    </row>
    <row r="65" spans="1:14" s="647" customFormat="1" ht="15.95" customHeight="1">
      <c r="A65" s="1344" t="s">
        <v>1338</v>
      </c>
      <c r="B65" s="1344" t="s">
        <v>590</v>
      </c>
      <c r="C65" s="1344" t="s">
        <v>438</v>
      </c>
      <c r="D65" s="1344" t="s">
        <v>438</v>
      </c>
      <c r="E65" s="682"/>
      <c r="F65" s="392" t="str">
        <f t="shared" si="0"/>
        <v xml:space="preserve">Tube SA-387M Gr12CL2  </v>
      </c>
      <c r="G65" s="2400">
        <v>60000</v>
      </c>
      <c r="H65" s="2401">
        <v>0.1</v>
      </c>
      <c r="I65" s="2394" t="s">
        <v>181</v>
      </c>
      <c r="J65" s="2394"/>
      <c r="K65" s="2394">
        <v>90</v>
      </c>
      <c r="L65" s="2395">
        <v>42914</v>
      </c>
      <c r="M65" s="2394">
        <v>7</v>
      </c>
      <c r="N65" s="1347" t="s">
        <v>129</v>
      </c>
    </row>
    <row r="66" spans="1:14" s="647" customFormat="1" ht="15.95" customHeight="1">
      <c r="A66" s="1344" t="s">
        <v>1347</v>
      </c>
      <c r="B66" s="1344" t="s">
        <v>1427</v>
      </c>
      <c r="C66" s="1344"/>
      <c r="D66" s="1344" t="s">
        <v>1428</v>
      </c>
      <c r="E66" s="682"/>
      <c r="F66" s="392" t="str">
        <f>A66&amp;B66&amp;C66&amp;D66</f>
        <v>bolt10.9级M12X90</v>
      </c>
      <c r="G66" s="2394">
        <v>60000</v>
      </c>
      <c r="H66" s="2401">
        <v>0.1</v>
      </c>
      <c r="I66" s="2394" t="s">
        <v>181</v>
      </c>
      <c r="J66" s="2394"/>
      <c r="K66" s="2394">
        <v>90</v>
      </c>
      <c r="L66" s="2395">
        <v>42914</v>
      </c>
      <c r="M66" s="2394">
        <v>7</v>
      </c>
      <c r="N66" s="1347" t="s">
        <v>129</v>
      </c>
    </row>
    <row r="67" spans="1:14" s="647" customFormat="1" ht="15.95" customHeight="1">
      <c r="A67" s="1344" t="s">
        <v>1348</v>
      </c>
      <c r="B67" s="1344" t="s">
        <v>1429</v>
      </c>
      <c r="C67" s="1344"/>
      <c r="D67" s="1344">
        <v>12</v>
      </c>
      <c r="E67" s="682"/>
      <c r="F67" s="392" t="str">
        <f>A67&amp;B67&amp;C67&amp;D67</f>
        <v>gasket300HV12</v>
      </c>
      <c r="G67" s="2394">
        <v>60000</v>
      </c>
      <c r="H67" s="2401">
        <v>0.1</v>
      </c>
      <c r="I67" s="2394" t="s">
        <v>181</v>
      </c>
      <c r="J67" s="2394"/>
      <c r="K67" s="2394">
        <v>90</v>
      </c>
      <c r="L67" s="2395">
        <v>42914</v>
      </c>
      <c r="M67" s="2394">
        <v>7</v>
      </c>
      <c r="N67" s="1347" t="s">
        <v>129</v>
      </c>
    </row>
    <row r="68" spans="1:14" s="647" customFormat="1" ht="15.95" customHeight="1">
      <c r="A68" s="1344" t="s">
        <v>1345</v>
      </c>
      <c r="B68" s="1344" t="s">
        <v>1430</v>
      </c>
      <c r="C68" s="1344"/>
      <c r="D68" s="1344" t="s">
        <v>1431</v>
      </c>
      <c r="E68" s="682"/>
      <c r="F68" s="392" t="str">
        <f t="shared" si="0"/>
        <v>nut10 classM12</v>
      </c>
      <c r="G68" s="2394">
        <v>60000</v>
      </c>
      <c r="H68" s="2401">
        <v>0.1</v>
      </c>
      <c r="I68" s="2394" t="s">
        <v>181</v>
      </c>
      <c r="J68" s="2394"/>
      <c r="K68" s="2394">
        <v>90</v>
      </c>
      <c r="L68" s="2395">
        <v>42914</v>
      </c>
      <c r="M68" s="2394">
        <v>7</v>
      </c>
      <c r="N68" s="1347" t="s">
        <v>129</v>
      </c>
    </row>
    <row r="69" spans="1:14" s="647" customFormat="1" ht="15.95" customHeight="1">
      <c r="A69" s="1344" t="s">
        <v>1338</v>
      </c>
      <c r="B69" s="1344" t="s">
        <v>590</v>
      </c>
      <c r="C69" s="1344"/>
      <c r="D69" s="1344"/>
      <c r="E69" s="682"/>
      <c r="F69" s="392" t="str">
        <f t="shared" si="0"/>
        <v>Tube SA-387M Gr12CL2</v>
      </c>
      <c r="G69" s="2400">
        <v>60000</v>
      </c>
      <c r="H69" s="2401">
        <v>0.1</v>
      </c>
      <c r="I69" s="2394" t="s">
        <v>181</v>
      </c>
      <c r="J69" s="2394"/>
      <c r="K69" s="2394">
        <v>90</v>
      </c>
      <c r="L69" s="2395">
        <v>42914</v>
      </c>
      <c r="M69" s="2394">
        <v>7</v>
      </c>
      <c r="N69" s="1347" t="s">
        <v>129</v>
      </c>
    </row>
    <row r="70" spans="1:14" s="647" customFormat="1" ht="15.95" customHeight="1">
      <c r="A70" s="1344" t="s">
        <v>1347</v>
      </c>
      <c r="B70" s="1344" t="s">
        <v>1427</v>
      </c>
      <c r="C70" s="1344"/>
      <c r="D70" s="1344" t="s">
        <v>1428</v>
      </c>
      <c r="E70" s="682"/>
      <c r="F70" s="392" t="str">
        <f t="shared" si="0"/>
        <v>bolt10.9级M12X90</v>
      </c>
      <c r="G70" s="2394">
        <v>60000</v>
      </c>
      <c r="H70" s="2401">
        <v>0.1</v>
      </c>
      <c r="I70" s="2394" t="s">
        <v>181</v>
      </c>
      <c r="J70" s="2394"/>
      <c r="K70" s="2394">
        <v>90</v>
      </c>
      <c r="L70" s="2395">
        <v>42914</v>
      </c>
      <c r="M70" s="2394">
        <v>7</v>
      </c>
      <c r="N70" s="1347" t="s">
        <v>129</v>
      </c>
    </row>
    <row r="71" spans="1:14" s="647" customFormat="1" ht="15.95" customHeight="1">
      <c r="A71" s="1344" t="s">
        <v>1348</v>
      </c>
      <c r="B71" s="1344" t="s">
        <v>1429</v>
      </c>
      <c r="C71" s="1344"/>
      <c r="D71" s="1344">
        <v>12</v>
      </c>
      <c r="E71" s="682"/>
      <c r="F71" s="392" t="str">
        <f>A71&amp;B71&amp;C71&amp;D71</f>
        <v>gasket300HV12</v>
      </c>
      <c r="G71" s="2394">
        <v>60000</v>
      </c>
      <c r="H71" s="2401">
        <v>0.1</v>
      </c>
      <c r="I71" s="2394" t="s">
        <v>181</v>
      </c>
      <c r="J71" s="2394"/>
      <c r="K71" s="2394">
        <v>90</v>
      </c>
      <c r="L71" s="2395">
        <v>42914</v>
      </c>
      <c r="M71" s="2394">
        <v>7</v>
      </c>
      <c r="N71" s="1347" t="s">
        <v>129</v>
      </c>
    </row>
    <row r="72" spans="1:14" s="647" customFormat="1" ht="15.95" customHeight="1">
      <c r="A72" s="1344" t="s">
        <v>1345</v>
      </c>
      <c r="B72" s="1344" t="s">
        <v>1430</v>
      </c>
      <c r="C72" s="1344"/>
      <c r="D72" s="1344" t="s">
        <v>1431</v>
      </c>
      <c r="E72" s="682"/>
      <c r="F72" s="392" t="str">
        <f t="shared" si="0"/>
        <v>nut10 classM12</v>
      </c>
      <c r="G72" s="2394">
        <v>60000</v>
      </c>
      <c r="H72" s="2401">
        <v>0.1</v>
      </c>
      <c r="I72" s="2394" t="s">
        <v>181</v>
      </c>
      <c r="J72" s="2394"/>
      <c r="K72" s="2394">
        <v>90</v>
      </c>
      <c r="L72" s="2395">
        <v>42914</v>
      </c>
      <c r="M72" s="2394">
        <v>7</v>
      </c>
      <c r="N72" s="1347" t="s">
        <v>129</v>
      </c>
    </row>
    <row r="73" spans="1:14" s="647" customFormat="1" ht="15.95" customHeight="1">
      <c r="A73" s="1344" t="s">
        <v>708</v>
      </c>
      <c r="B73" s="1344" t="s">
        <v>590</v>
      </c>
      <c r="C73" s="1344">
        <v>76</v>
      </c>
      <c r="D73" s="1344">
        <v>12.5</v>
      </c>
      <c r="E73" s="682"/>
      <c r="F73" s="392" t="str">
        <f t="shared" si="0"/>
        <v>NozzlesSA-387M Gr12CL27612.5</v>
      </c>
      <c r="G73" s="2400">
        <v>60000</v>
      </c>
      <c r="H73" s="2401">
        <v>0.1</v>
      </c>
      <c r="I73" s="2394" t="s">
        <v>181</v>
      </c>
      <c r="J73" s="2394"/>
      <c r="K73" s="2394">
        <v>90</v>
      </c>
      <c r="L73" s="2395">
        <v>42914</v>
      </c>
      <c r="M73" s="2394">
        <v>7</v>
      </c>
      <c r="N73" s="1347" t="s">
        <v>129</v>
      </c>
    </row>
    <row r="74" spans="1:14" s="647" customFormat="1" ht="15.95" customHeight="1">
      <c r="A74" s="1344" t="s">
        <v>708</v>
      </c>
      <c r="B74" s="1344" t="s">
        <v>590</v>
      </c>
      <c r="C74" s="1344">
        <v>90</v>
      </c>
      <c r="D74" s="1344">
        <v>15</v>
      </c>
      <c r="E74" s="682"/>
      <c r="F74" s="392" t="str">
        <f>A74&amp;B74&amp;C74&amp;D74</f>
        <v>NozzlesSA-387M Gr12CL29015</v>
      </c>
      <c r="G74" s="2400">
        <v>60000</v>
      </c>
      <c r="H74" s="2401">
        <v>0.1</v>
      </c>
      <c r="I74" s="2394" t="s">
        <v>181</v>
      </c>
      <c r="J74" s="2394"/>
      <c r="K74" s="2394">
        <v>90</v>
      </c>
      <c r="L74" s="2395">
        <v>42914</v>
      </c>
      <c r="M74" s="2394">
        <v>7</v>
      </c>
      <c r="N74" s="1347" t="s">
        <v>129</v>
      </c>
    </row>
    <row r="75" spans="1:14" s="647" customFormat="1" ht="15.95" customHeight="1">
      <c r="A75" s="1344" t="s">
        <v>1339</v>
      </c>
      <c r="B75" s="1344" t="s">
        <v>590</v>
      </c>
      <c r="C75" s="1344">
        <v>219</v>
      </c>
      <c r="D75" s="1344">
        <v>38</v>
      </c>
      <c r="E75" s="682"/>
      <c r="F75" s="392" t="str">
        <f>A75&amp;B75&amp;C75&amp;D75</f>
        <v>End CapSA-387M Gr12CL221938</v>
      </c>
      <c r="G75" s="2400">
        <v>60000</v>
      </c>
      <c r="H75" s="2401">
        <v>0.1</v>
      </c>
      <c r="I75" s="2394" t="s">
        <v>181</v>
      </c>
      <c r="J75" s="2394"/>
      <c r="K75" s="2394">
        <v>90</v>
      </c>
      <c r="L75" s="2395">
        <v>42914</v>
      </c>
      <c r="M75" s="2394">
        <v>7</v>
      </c>
      <c r="N75" s="1347" t="s">
        <v>129</v>
      </c>
    </row>
    <row r="76" spans="1:14" s="647" customFormat="1" ht="15.95" customHeight="1">
      <c r="A76" s="1344" t="s">
        <v>1339</v>
      </c>
      <c r="B76" s="1344" t="s">
        <v>590</v>
      </c>
      <c r="C76" s="1344">
        <v>76</v>
      </c>
      <c r="D76" s="1344">
        <v>14</v>
      </c>
      <c r="E76" s="682"/>
      <c r="F76" s="392" t="str">
        <f>A76&amp;B76&amp;C76&amp;D76</f>
        <v>End CapSA-387M Gr12CL27614</v>
      </c>
      <c r="G76" s="2400">
        <v>60000</v>
      </c>
      <c r="H76" s="2401">
        <v>0.1</v>
      </c>
      <c r="I76" s="2394" t="s">
        <v>181</v>
      </c>
      <c r="J76" s="2394"/>
      <c r="K76" s="2394">
        <v>90</v>
      </c>
      <c r="L76" s="2395">
        <v>42914</v>
      </c>
      <c r="M76" s="2394">
        <v>7</v>
      </c>
      <c r="N76" s="1347" t="s">
        <v>129</v>
      </c>
    </row>
    <row r="77" spans="1:14" s="647" customFormat="1" ht="15.95" customHeight="1">
      <c r="A77" s="1344" t="s">
        <v>1339</v>
      </c>
      <c r="B77" s="1344" t="s">
        <v>590</v>
      </c>
      <c r="C77" s="1344">
        <v>90</v>
      </c>
      <c r="D77" s="1344">
        <v>15</v>
      </c>
      <c r="E77" s="682"/>
      <c r="F77" s="392" t="str">
        <f t="shared" si="0"/>
        <v>End CapSA-387M Gr12CL29015</v>
      </c>
      <c r="G77" s="2400">
        <v>60000</v>
      </c>
      <c r="H77" s="2401">
        <v>0.1</v>
      </c>
      <c r="I77" s="2394" t="s">
        <v>181</v>
      </c>
      <c r="J77" s="2394"/>
      <c r="K77" s="2394">
        <v>90</v>
      </c>
      <c r="L77" s="2395">
        <v>42914</v>
      </c>
      <c r="M77" s="2394">
        <v>7</v>
      </c>
      <c r="N77" s="1347" t="s">
        <v>129</v>
      </c>
    </row>
    <row r="78" spans="1:14" s="647" customFormat="1" ht="15.95" customHeight="1">
      <c r="A78" s="1344" t="s">
        <v>708</v>
      </c>
      <c r="B78" s="1344" t="s">
        <v>590</v>
      </c>
      <c r="C78" s="1344">
        <v>76</v>
      </c>
      <c r="D78" s="1344">
        <v>12.5</v>
      </c>
      <c r="E78" s="682"/>
      <c r="F78" s="392" t="str">
        <f t="shared" si="0"/>
        <v>NozzlesSA-387M Gr12CL27612.5</v>
      </c>
      <c r="G78" s="2400">
        <v>60000</v>
      </c>
      <c r="H78" s="2401">
        <v>0.1</v>
      </c>
      <c r="I78" s="2394" t="s">
        <v>181</v>
      </c>
      <c r="J78" s="2394"/>
      <c r="K78" s="2394">
        <v>90</v>
      </c>
      <c r="L78" s="2395">
        <v>42914</v>
      </c>
      <c r="M78" s="2394">
        <v>7</v>
      </c>
      <c r="N78" s="1347" t="s">
        <v>129</v>
      </c>
    </row>
    <row r="79" spans="1:14" s="647" customFormat="1" ht="15.95" customHeight="1">
      <c r="A79" s="1344" t="s">
        <v>708</v>
      </c>
      <c r="B79" s="1344" t="s">
        <v>590</v>
      </c>
      <c r="C79" s="1344">
        <v>90</v>
      </c>
      <c r="D79" s="1344">
        <v>15</v>
      </c>
      <c r="E79" s="682"/>
      <c r="F79" s="392" t="str">
        <f t="shared" si="0"/>
        <v>NozzlesSA-387M Gr12CL29015</v>
      </c>
      <c r="G79" s="2400">
        <v>60000</v>
      </c>
      <c r="H79" s="2401">
        <v>0.1</v>
      </c>
      <c r="I79" s="2394" t="s">
        <v>181</v>
      </c>
      <c r="J79" s="2394"/>
      <c r="K79" s="2394">
        <v>90</v>
      </c>
      <c r="L79" s="2395">
        <v>42914</v>
      </c>
      <c r="M79" s="2394">
        <v>7</v>
      </c>
      <c r="N79" s="1347" t="s">
        <v>129</v>
      </c>
    </row>
    <row r="80" spans="1:14" s="647" customFormat="1" ht="15.95" customHeight="1">
      <c r="A80" s="1344" t="s">
        <v>1339</v>
      </c>
      <c r="B80" s="1344" t="s">
        <v>590</v>
      </c>
      <c r="C80" s="1344">
        <v>219</v>
      </c>
      <c r="D80" s="1344">
        <v>38</v>
      </c>
      <c r="E80" s="682"/>
      <c r="F80" s="392" t="str">
        <f t="shared" si="0"/>
        <v>End CapSA-387M Gr12CL221938</v>
      </c>
      <c r="G80" s="2400">
        <v>60000</v>
      </c>
      <c r="H80" s="2401">
        <v>0.1</v>
      </c>
      <c r="I80" s="2394" t="s">
        <v>181</v>
      </c>
      <c r="J80" s="2394"/>
      <c r="K80" s="2394">
        <v>90</v>
      </c>
      <c r="L80" s="2395">
        <v>42914</v>
      </c>
      <c r="M80" s="2394">
        <v>7</v>
      </c>
      <c r="N80" s="1347" t="s">
        <v>129</v>
      </c>
    </row>
    <row r="81" spans="1:14" s="647" customFormat="1" ht="15.95" customHeight="1">
      <c r="A81" s="1344" t="s">
        <v>1339</v>
      </c>
      <c r="B81" s="1344" t="s">
        <v>590</v>
      </c>
      <c r="C81" s="1344">
        <v>76</v>
      </c>
      <c r="D81" s="1344">
        <v>14</v>
      </c>
      <c r="E81" s="682"/>
      <c r="F81" s="392" t="str">
        <f t="shared" si="0"/>
        <v>End CapSA-387M Gr12CL27614</v>
      </c>
      <c r="G81" s="2400">
        <v>60000</v>
      </c>
      <c r="H81" s="2401">
        <v>0.1</v>
      </c>
      <c r="I81" s="2394" t="s">
        <v>181</v>
      </c>
      <c r="J81" s="2394"/>
      <c r="K81" s="2394">
        <v>90</v>
      </c>
      <c r="L81" s="2395">
        <v>42914</v>
      </c>
      <c r="M81" s="2394">
        <v>7</v>
      </c>
      <c r="N81" s="1347" t="s">
        <v>129</v>
      </c>
    </row>
    <row r="82" spans="1:14" s="647" customFormat="1" ht="15.95" customHeight="1">
      <c r="A82" s="1344" t="s">
        <v>1339</v>
      </c>
      <c r="B82" s="1344" t="s">
        <v>590</v>
      </c>
      <c r="C82" s="1344">
        <v>90</v>
      </c>
      <c r="D82" s="1344">
        <v>15</v>
      </c>
      <c r="E82" s="682"/>
      <c r="F82" s="392" t="str">
        <f>A82&amp;B82&amp;C82&amp;D82</f>
        <v>End CapSA-387M Gr12CL29015</v>
      </c>
      <c r="G82" s="2400">
        <v>60000</v>
      </c>
      <c r="H82" s="2401">
        <v>0.1</v>
      </c>
      <c r="I82" s="2394" t="s">
        <v>181</v>
      </c>
      <c r="J82" s="2394"/>
      <c r="K82" s="2394">
        <v>90</v>
      </c>
      <c r="L82" s="2395">
        <v>42914</v>
      </c>
      <c r="M82" s="2394">
        <v>7</v>
      </c>
      <c r="N82" s="1347" t="s">
        <v>129</v>
      </c>
    </row>
    <row r="83" spans="1:14" s="647" customFormat="1" ht="15.95" customHeight="1">
      <c r="A83" s="1344" t="s">
        <v>708</v>
      </c>
      <c r="B83" s="1344" t="s">
        <v>590</v>
      </c>
      <c r="C83" s="1344">
        <v>76</v>
      </c>
      <c r="D83" s="1344">
        <v>12.5</v>
      </c>
      <c r="E83" s="682"/>
      <c r="F83" s="392" t="str">
        <f>A83&amp;B83&amp;C83&amp;D83</f>
        <v>NozzlesSA-387M Gr12CL27612.5</v>
      </c>
      <c r="G83" s="2400">
        <v>60000</v>
      </c>
      <c r="H83" s="2401">
        <v>0.1</v>
      </c>
      <c r="I83" s="2394" t="s">
        <v>181</v>
      </c>
      <c r="J83" s="2394"/>
      <c r="K83" s="2394">
        <v>90</v>
      </c>
      <c r="L83" s="2395">
        <v>42914</v>
      </c>
      <c r="M83" s="2394">
        <v>7</v>
      </c>
      <c r="N83" s="1347" t="s">
        <v>129</v>
      </c>
    </row>
    <row r="84" spans="1:14" s="647" customFormat="1" ht="15.95" customHeight="1">
      <c r="A84" s="1344" t="s">
        <v>708</v>
      </c>
      <c r="B84" s="1344" t="s">
        <v>590</v>
      </c>
      <c r="C84" s="1344">
        <v>90</v>
      </c>
      <c r="D84" s="1344">
        <v>15</v>
      </c>
      <c r="E84" s="682"/>
      <c r="F84" s="392" t="str">
        <f>A84&amp;B84&amp;C84&amp;D84</f>
        <v>NozzlesSA-387M Gr12CL29015</v>
      </c>
      <c r="G84" s="2400">
        <v>60000</v>
      </c>
      <c r="H84" s="2401">
        <v>0.1</v>
      </c>
      <c r="I84" s="2394" t="s">
        <v>181</v>
      </c>
      <c r="J84" s="2394"/>
      <c r="K84" s="2394">
        <v>90</v>
      </c>
      <c r="L84" s="2395">
        <v>42914</v>
      </c>
      <c r="M84" s="2394">
        <v>7</v>
      </c>
      <c r="N84" s="1347" t="s">
        <v>129</v>
      </c>
    </row>
    <row r="85" spans="1:14" s="647" customFormat="1" ht="15.95" customHeight="1">
      <c r="A85" s="1344" t="s">
        <v>1339</v>
      </c>
      <c r="B85" s="1344" t="s">
        <v>590</v>
      </c>
      <c r="C85" s="1344">
        <v>219</v>
      </c>
      <c r="D85" s="1344">
        <v>38</v>
      </c>
      <c r="E85" s="682"/>
      <c r="F85" s="392" t="str">
        <f>A85&amp;B85&amp;C85&amp;D85</f>
        <v>End CapSA-387M Gr12CL221938</v>
      </c>
      <c r="G85" s="2400">
        <v>60000</v>
      </c>
      <c r="H85" s="2401">
        <v>0.1</v>
      </c>
      <c r="I85" s="2394" t="s">
        <v>181</v>
      </c>
      <c r="J85" s="2394"/>
      <c r="K85" s="2394">
        <v>90</v>
      </c>
      <c r="L85" s="2395">
        <v>42914</v>
      </c>
      <c r="M85" s="2394">
        <v>7</v>
      </c>
      <c r="N85" s="1347" t="s">
        <v>129</v>
      </c>
    </row>
    <row r="86" spans="1:14" s="647" customFormat="1" ht="15.95" customHeight="1">
      <c r="A86" s="1344" t="s">
        <v>1339</v>
      </c>
      <c r="B86" s="1344" t="s">
        <v>590</v>
      </c>
      <c r="C86" s="1344">
        <v>76</v>
      </c>
      <c r="D86" s="1344">
        <v>14</v>
      </c>
      <c r="E86" s="682"/>
      <c r="F86" s="392" t="str">
        <f>A86&amp;B86&amp;C86&amp;D86</f>
        <v>End CapSA-387M Gr12CL27614</v>
      </c>
      <c r="G86" s="2400">
        <v>60000</v>
      </c>
      <c r="H86" s="2401">
        <v>0.1</v>
      </c>
      <c r="I86" s="2394" t="s">
        <v>181</v>
      </c>
      <c r="J86" s="2394"/>
      <c r="K86" s="2394">
        <v>90</v>
      </c>
      <c r="L86" s="2395">
        <v>42914</v>
      </c>
      <c r="M86" s="2394">
        <v>7</v>
      </c>
      <c r="N86" s="1347" t="s">
        <v>129</v>
      </c>
    </row>
    <row r="87" spans="1:14" s="647" customFormat="1" ht="15.95" customHeight="1">
      <c r="A87" s="1344" t="s">
        <v>1339</v>
      </c>
      <c r="B87" s="1344" t="s">
        <v>590</v>
      </c>
      <c r="C87" s="1344">
        <v>90</v>
      </c>
      <c r="D87" s="1344">
        <v>15</v>
      </c>
      <c r="E87" s="682"/>
      <c r="F87" s="392" t="str">
        <f t="shared" si="0"/>
        <v>End CapSA-387M Gr12CL29015</v>
      </c>
      <c r="G87" s="2400">
        <v>60000</v>
      </c>
      <c r="H87" s="2401">
        <v>0.1</v>
      </c>
      <c r="I87" s="2394" t="s">
        <v>181</v>
      </c>
      <c r="J87" s="2394"/>
      <c r="K87" s="2394">
        <v>90</v>
      </c>
      <c r="L87" s="2395">
        <v>42914</v>
      </c>
      <c r="M87" s="2394">
        <v>7</v>
      </c>
      <c r="N87" s="1347" t="s">
        <v>129</v>
      </c>
    </row>
    <row r="88" spans="1:14" s="647" customFormat="1" ht="15.95" customHeight="1">
      <c r="A88" s="1344" t="s">
        <v>708</v>
      </c>
      <c r="B88" s="1344" t="s">
        <v>590</v>
      </c>
      <c r="C88" s="1344">
        <v>76</v>
      </c>
      <c r="D88" s="1344">
        <v>12.5</v>
      </c>
      <c r="E88" s="682"/>
      <c r="F88" s="392" t="str">
        <f t="shared" si="0"/>
        <v>NozzlesSA-387M Gr12CL27612.5</v>
      </c>
      <c r="G88" s="2400">
        <v>60000</v>
      </c>
      <c r="H88" s="2401">
        <v>0.1</v>
      </c>
      <c r="I88" s="2394" t="s">
        <v>181</v>
      </c>
      <c r="J88" s="2394"/>
      <c r="K88" s="2394">
        <v>90</v>
      </c>
      <c r="L88" s="2395">
        <v>42914</v>
      </c>
      <c r="M88" s="2394">
        <v>7</v>
      </c>
      <c r="N88" s="1347" t="s">
        <v>129</v>
      </c>
    </row>
    <row r="89" spans="1:14" s="647" customFormat="1" ht="15.95" customHeight="1">
      <c r="A89" s="1344" t="s">
        <v>708</v>
      </c>
      <c r="B89" s="1344" t="s">
        <v>590</v>
      </c>
      <c r="C89" s="1344">
        <v>90</v>
      </c>
      <c r="D89" s="1344">
        <v>15</v>
      </c>
      <c r="E89" s="682"/>
      <c r="F89" s="392" t="str">
        <f t="shared" si="0"/>
        <v>NozzlesSA-387M Gr12CL29015</v>
      </c>
      <c r="G89" s="2400">
        <v>60000</v>
      </c>
      <c r="H89" s="2401">
        <v>0.1</v>
      </c>
      <c r="I89" s="2394" t="s">
        <v>181</v>
      </c>
      <c r="J89" s="2394"/>
      <c r="K89" s="2394">
        <v>90</v>
      </c>
      <c r="L89" s="2395">
        <v>42914</v>
      </c>
      <c r="M89" s="2394">
        <v>7</v>
      </c>
      <c r="N89" s="1347" t="s">
        <v>129</v>
      </c>
    </row>
    <row r="90" spans="1:14" s="647" customFormat="1" ht="15.95" customHeight="1">
      <c r="A90" s="1344" t="s">
        <v>1339</v>
      </c>
      <c r="B90" s="1344" t="s">
        <v>590</v>
      </c>
      <c r="C90" s="1344">
        <v>219</v>
      </c>
      <c r="D90" s="1344">
        <v>38</v>
      </c>
      <c r="E90" s="682"/>
      <c r="F90" s="392" t="str">
        <f t="shared" si="0"/>
        <v>End CapSA-387M Gr12CL221938</v>
      </c>
      <c r="G90" s="2400">
        <v>60000</v>
      </c>
      <c r="H90" s="2401">
        <v>0.1</v>
      </c>
      <c r="I90" s="2394" t="s">
        <v>181</v>
      </c>
      <c r="J90" s="2394"/>
      <c r="K90" s="2394">
        <v>90</v>
      </c>
      <c r="L90" s="2395">
        <v>42914</v>
      </c>
      <c r="M90" s="2394">
        <v>7</v>
      </c>
      <c r="N90" s="1347" t="s">
        <v>129</v>
      </c>
    </row>
    <row r="91" spans="1:14" s="647" customFormat="1" ht="15.95" customHeight="1">
      <c r="A91" s="1344" t="s">
        <v>1339</v>
      </c>
      <c r="B91" s="1344" t="s">
        <v>590</v>
      </c>
      <c r="C91" s="1344">
        <v>76</v>
      </c>
      <c r="D91" s="1344">
        <v>14</v>
      </c>
      <c r="E91" s="682"/>
      <c r="F91" s="392" t="str">
        <f t="shared" si="0"/>
        <v>End CapSA-387M Gr12CL27614</v>
      </c>
      <c r="G91" s="2400">
        <v>60000</v>
      </c>
      <c r="H91" s="2401">
        <v>0.1</v>
      </c>
      <c r="I91" s="2394" t="s">
        <v>181</v>
      </c>
      <c r="J91" s="2394"/>
      <c r="K91" s="2394">
        <v>90</v>
      </c>
      <c r="L91" s="2395">
        <v>42914</v>
      </c>
      <c r="M91" s="2394">
        <v>7</v>
      </c>
      <c r="N91" s="1347" t="s">
        <v>129</v>
      </c>
    </row>
    <row r="92" spans="1:14" s="647" customFormat="1" ht="15.95" customHeight="1">
      <c r="A92" s="1344" t="s">
        <v>1339</v>
      </c>
      <c r="B92" s="1344" t="s">
        <v>590</v>
      </c>
      <c r="C92" s="1344">
        <v>90</v>
      </c>
      <c r="D92" s="1344">
        <v>15</v>
      </c>
      <c r="E92" s="682"/>
      <c r="F92" s="392" t="str">
        <f t="shared" si="0"/>
        <v>End CapSA-387M Gr12CL29015</v>
      </c>
      <c r="G92" s="2400">
        <v>60000</v>
      </c>
      <c r="H92" s="2401">
        <v>0.1</v>
      </c>
      <c r="I92" s="2394" t="s">
        <v>181</v>
      </c>
      <c r="J92" s="2394"/>
      <c r="K92" s="2394">
        <v>90</v>
      </c>
      <c r="L92" s="2395">
        <v>42914</v>
      </c>
      <c r="M92" s="2394">
        <v>7</v>
      </c>
      <c r="N92" s="1347" t="s">
        <v>129</v>
      </c>
    </row>
    <row r="93" spans="1:14" s="647" customFormat="1" ht="15.95" customHeight="1">
      <c r="A93" s="1344" t="s">
        <v>1348</v>
      </c>
      <c r="B93" s="1344" t="s">
        <v>1429</v>
      </c>
      <c r="C93" s="1344"/>
      <c r="D93" s="1344">
        <v>30</v>
      </c>
      <c r="E93" s="682"/>
      <c r="F93" s="392" t="str">
        <f t="shared" si="0"/>
        <v>gasket300HV30</v>
      </c>
      <c r="G93" s="2394">
        <v>60000</v>
      </c>
      <c r="H93" s="2401">
        <v>0.1</v>
      </c>
      <c r="I93" s="2394" t="s">
        <v>181</v>
      </c>
      <c r="J93" s="2394"/>
      <c r="K93" s="2394">
        <v>90</v>
      </c>
      <c r="L93" s="2395">
        <v>42914</v>
      </c>
      <c r="M93" s="2394">
        <v>7</v>
      </c>
      <c r="N93" s="1347" t="s">
        <v>129</v>
      </c>
    </row>
    <row r="94" spans="1:14" s="647" customFormat="1" ht="15.95" customHeight="1">
      <c r="A94" s="1344" t="s">
        <v>1345</v>
      </c>
      <c r="B94" s="1344" t="s">
        <v>711</v>
      </c>
      <c r="C94" s="1344"/>
      <c r="D94" s="1344" t="s">
        <v>1434</v>
      </c>
      <c r="E94" s="682"/>
      <c r="F94" s="392" t="str">
        <f t="shared" si="0"/>
        <v>nut35CrMoM30</v>
      </c>
      <c r="G94" s="2394">
        <v>60000</v>
      </c>
      <c r="H94" s="2401">
        <v>0.1</v>
      </c>
      <c r="I94" s="2394" t="s">
        <v>181</v>
      </c>
      <c r="J94" s="2394"/>
      <c r="K94" s="2394">
        <v>90</v>
      </c>
      <c r="L94" s="2395">
        <v>42914</v>
      </c>
      <c r="M94" s="2394">
        <v>7</v>
      </c>
      <c r="N94" s="1347" t="s">
        <v>129</v>
      </c>
    </row>
    <row r="95" spans="1:14" s="647" customFormat="1" ht="15.95" customHeight="1">
      <c r="A95" s="1344" t="s">
        <v>1349</v>
      </c>
      <c r="B95" s="1344"/>
      <c r="C95" s="1344"/>
      <c r="D95" s="1344" t="s">
        <v>1436</v>
      </c>
      <c r="E95" s="682"/>
      <c r="F95" s="392" t="str">
        <f t="shared" si="0"/>
        <v>variable spring hangerTD30A15-M30X3</v>
      </c>
      <c r="G95" s="2394">
        <v>60000</v>
      </c>
      <c r="H95" s="2401">
        <v>0.1</v>
      </c>
      <c r="I95" s="2394" t="s">
        <v>181</v>
      </c>
      <c r="J95" s="2394"/>
      <c r="K95" s="2394">
        <v>90</v>
      </c>
      <c r="L95" s="2395">
        <v>42914</v>
      </c>
      <c r="M95" s="2394">
        <v>7</v>
      </c>
      <c r="N95" s="1347" t="s">
        <v>129</v>
      </c>
    </row>
    <row r="96" spans="1:14" s="647" customFormat="1" ht="15.95" customHeight="1">
      <c r="A96" s="1344" t="s">
        <v>1350</v>
      </c>
      <c r="B96" s="1344" t="s">
        <v>1432</v>
      </c>
      <c r="C96" s="1344"/>
      <c r="D96" s="1344"/>
      <c r="E96" s="682"/>
      <c r="F96" s="392" t="str">
        <f t="shared" si="0"/>
        <v>Y type ForgingSA-387M Gr23</v>
      </c>
      <c r="G96" s="2400">
        <v>60000</v>
      </c>
      <c r="H96" s="2401"/>
      <c r="I96" s="2394" t="s">
        <v>181</v>
      </c>
      <c r="J96" s="2394"/>
      <c r="K96" s="2394">
        <v>90</v>
      </c>
      <c r="L96" s="2395">
        <v>42914</v>
      </c>
      <c r="M96" s="2394">
        <v>7</v>
      </c>
      <c r="N96" s="1347" t="s">
        <v>129</v>
      </c>
    </row>
    <row r="97" spans="1:14" s="647" customFormat="1" ht="15.95" customHeight="1">
      <c r="A97" s="1344" t="s">
        <v>1347</v>
      </c>
      <c r="B97" s="1344" t="s">
        <v>1427</v>
      </c>
      <c r="C97" s="1344"/>
      <c r="D97" s="1344" t="s">
        <v>1428</v>
      </c>
      <c r="E97" s="682"/>
      <c r="F97" s="392" t="str">
        <f t="shared" si="0"/>
        <v>bolt10.9级M12X90</v>
      </c>
      <c r="G97" s="2394">
        <v>60000</v>
      </c>
      <c r="H97" s="2401">
        <v>0.1</v>
      </c>
      <c r="I97" s="2394" t="s">
        <v>181</v>
      </c>
      <c r="J97" s="2394"/>
      <c r="K97" s="2394">
        <v>90</v>
      </c>
      <c r="L97" s="2395">
        <v>42914</v>
      </c>
      <c r="M97" s="2394">
        <v>7</v>
      </c>
      <c r="N97" s="1347" t="s">
        <v>129</v>
      </c>
    </row>
    <row r="98" spans="1:14" s="647" customFormat="1" ht="15.95" customHeight="1">
      <c r="A98" s="1344" t="s">
        <v>1348</v>
      </c>
      <c r="B98" s="1344" t="s">
        <v>1429</v>
      </c>
      <c r="C98" s="1344"/>
      <c r="D98" s="1344">
        <v>12</v>
      </c>
      <c r="E98" s="682"/>
      <c r="F98" s="392" t="str">
        <f t="shared" si="0"/>
        <v>gasket300HV12</v>
      </c>
      <c r="G98" s="2394">
        <v>60000</v>
      </c>
      <c r="H98" s="2401">
        <v>0.1</v>
      </c>
      <c r="I98" s="2394" t="s">
        <v>181</v>
      </c>
      <c r="J98" s="2394"/>
      <c r="K98" s="2394">
        <v>90</v>
      </c>
      <c r="L98" s="2395">
        <v>42914</v>
      </c>
      <c r="M98" s="2394">
        <v>7</v>
      </c>
      <c r="N98" s="1347" t="s">
        <v>129</v>
      </c>
    </row>
    <row r="99" spans="1:14" s="647" customFormat="1" ht="15.95" customHeight="1">
      <c r="A99" s="1344" t="s">
        <v>1345</v>
      </c>
      <c r="B99" s="1344" t="s">
        <v>1430</v>
      </c>
      <c r="C99" s="1344"/>
      <c r="D99" s="1344" t="s">
        <v>1431</v>
      </c>
      <c r="E99" s="682"/>
      <c r="F99" s="392" t="str">
        <f t="shared" si="0"/>
        <v>nut10 classM12</v>
      </c>
      <c r="G99" s="2394">
        <v>60000</v>
      </c>
      <c r="H99" s="2401">
        <v>0.1</v>
      </c>
      <c r="I99" s="2394" t="s">
        <v>181</v>
      </c>
      <c r="J99" s="2394"/>
      <c r="K99" s="2394">
        <v>90</v>
      </c>
      <c r="L99" s="2395">
        <v>42914</v>
      </c>
      <c r="M99" s="2394">
        <v>7</v>
      </c>
      <c r="N99" s="1347" t="s">
        <v>129</v>
      </c>
    </row>
    <row r="100" spans="1:14" s="647" customFormat="1" ht="15.95" customHeight="1">
      <c r="A100" s="1344" t="s">
        <v>1351</v>
      </c>
      <c r="B100" s="1344" t="s">
        <v>1432</v>
      </c>
      <c r="C100" s="1344"/>
      <c r="D100" s="1344"/>
      <c r="E100" s="682"/>
      <c r="F100" s="392" t="str">
        <f t="shared" si="0"/>
        <v>T type ForgingSA-387M Gr23</v>
      </c>
      <c r="G100" s="2400">
        <v>60000</v>
      </c>
      <c r="H100" s="2401"/>
      <c r="I100" s="2394" t="s">
        <v>181</v>
      </c>
      <c r="J100" s="2394"/>
      <c r="K100" s="2394">
        <v>90</v>
      </c>
      <c r="L100" s="2395">
        <v>42914</v>
      </c>
      <c r="M100" s="2394">
        <v>7</v>
      </c>
      <c r="N100" s="1347" t="s">
        <v>129</v>
      </c>
    </row>
    <row r="101" spans="1:14" s="647" customFormat="1" ht="15.95" customHeight="1">
      <c r="A101" s="1344" t="s">
        <v>1350</v>
      </c>
      <c r="B101" s="1344" t="s">
        <v>1432</v>
      </c>
      <c r="C101" s="1344"/>
      <c r="D101" s="1344"/>
      <c r="E101" s="682"/>
      <c r="F101" s="392" t="str">
        <f t="shared" si="0"/>
        <v>Y type ForgingSA-387M Gr23</v>
      </c>
      <c r="G101" s="2400">
        <v>60000</v>
      </c>
      <c r="H101" s="2401"/>
      <c r="I101" s="2394" t="s">
        <v>181</v>
      </c>
      <c r="J101" s="2394"/>
      <c r="K101" s="2394">
        <v>90</v>
      </c>
      <c r="L101" s="2395">
        <v>42914</v>
      </c>
      <c r="M101" s="2394">
        <v>7</v>
      </c>
      <c r="N101" s="1347" t="s">
        <v>129</v>
      </c>
    </row>
    <row r="102" spans="1:14" s="647" customFormat="1" ht="15.95" customHeight="1">
      <c r="A102" s="1344" t="s">
        <v>1347</v>
      </c>
      <c r="B102" s="1344" t="s">
        <v>1427</v>
      </c>
      <c r="C102" s="1344"/>
      <c r="D102" s="1344" t="s">
        <v>1428</v>
      </c>
      <c r="E102" s="682"/>
      <c r="F102" s="392" t="str">
        <f t="shared" si="0"/>
        <v>bolt10.9级M12X90</v>
      </c>
      <c r="G102" s="2394">
        <v>60000</v>
      </c>
      <c r="H102" s="2401">
        <v>0.1</v>
      </c>
      <c r="I102" s="2394" t="s">
        <v>181</v>
      </c>
      <c r="J102" s="2394"/>
      <c r="K102" s="2394">
        <v>90</v>
      </c>
      <c r="L102" s="2395">
        <v>42914</v>
      </c>
      <c r="M102" s="2394">
        <v>7</v>
      </c>
      <c r="N102" s="1347" t="s">
        <v>129</v>
      </c>
    </row>
    <row r="103" spans="1:14" s="647" customFormat="1" ht="15.95" customHeight="1">
      <c r="A103" s="1344" t="s">
        <v>1348</v>
      </c>
      <c r="B103" s="1344" t="s">
        <v>1429</v>
      </c>
      <c r="C103" s="1344"/>
      <c r="D103" s="1344">
        <v>12</v>
      </c>
      <c r="E103" s="682"/>
      <c r="F103" s="392" t="str">
        <f t="shared" si="0"/>
        <v>gasket300HV12</v>
      </c>
      <c r="G103" s="2394">
        <v>60000</v>
      </c>
      <c r="H103" s="2401">
        <v>0.1</v>
      </c>
      <c r="I103" s="2394" t="s">
        <v>181</v>
      </c>
      <c r="J103" s="2394"/>
      <c r="K103" s="2394">
        <v>90</v>
      </c>
      <c r="L103" s="2395">
        <v>42914</v>
      </c>
      <c r="M103" s="2394">
        <v>7</v>
      </c>
      <c r="N103" s="1347" t="s">
        <v>129</v>
      </c>
    </row>
    <row r="104" spans="1:14" s="647" customFormat="1" ht="15.95" customHeight="1">
      <c r="A104" s="1344" t="s">
        <v>1345</v>
      </c>
      <c r="B104" s="1344" t="s">
        <v>1430</v>
      </c>
      <c r="C104" s="1344"/>
      <c r="D104" s="1344" t="s">
        <v>1431</v>
      </c>
      <c r="E104" s="682"/>
      <c r="F104" s="392" t="str">
        <f t="shared" si="0"/>
        <v>nut10 classM12</v>
      </c>
      <c r="G104" s="2394">
        <v>60000</v>
      </c>
      <c r="H104" s="2401">
        <v>0.1</v>
      </c>
      <c r="I104" s="2394" t="s">
        <v>181</v>
      </c>
      <c r="J104" s="2394"/>
      <c r="K104" s="2394">
        <v>90</v>
      </c>
      <c r="L104" s="2395">
        <v>42914</v>
      </c>
      <c r="M104" s="2394">
        <v>7</v>
      </c>
      <c r="N104" s="1347" t="s">
        <v>129</v>
      </c>
    </row>
    <row r="105" spans="1:14" s="647" customFormat="1" ht="15.95" customHeight="1">
      <c r="A105" s="1344" t="s">
        <v>1351</v>
      </c>
      <c r="B105" s="1344" t="s">
        <v>1432</v>
      </c>
      <c r="C105" s="1344"/>
      <c r="D105" s="1344"/>
      <c r="E105" s="682"/>
      <c r="F105" s="392" t="str">
        <f t="shared" si="0"/>
        <v>T type ForgingSA-387M Gr23</v>
      </c>
      <c r="G105" s="2400">
        <v>60000</v>
      </c>
      <c r="H105" s="2401"/>
      <c r="I105" s="2394" t="s">
        <v>181</v>
      </c>
      <c r="J105" s="2394"/>
      <c r="K105" s="2394">
        <v>90</v>
      </c>
      <c r="L105" s="2395">
        <v>42914</v>
      </c>
      <c r="M105" s="2394">
        <v>7</v>
      </c>
      <c r="N105" s="1347" t="s">
        <v>129</v>
      </c>
    </row>
    <row r="106" spans="1:14" s="647" customFormat="1" ht="15.95" customHeight="1">
      <c r="A106" s="1344" t="s">
        <v>1351</v>
      </c>
      <c r="B106" s="1344" t="s">
        <v>1432</v>
      </c>
      <c r="C106" s="1344"/>
      <c r="D106" s="1344"/>
      <c r="E106" s="682"/>
      <c r="F106" s="392" t="str">
        <f t="shared" si="0"/>
        <v>T type ForgingSA-387M Gr23</v>
      </c>
      <c r="G106" s="2400">
        <v>60000</v>
      </c>
      <c r="H106" s="2401"/>
      <c r="I106" s="2394" t="s">
        <v>181</v>
      </c>
      <c r="J106" s="2394"/>
      <c r="K106" s="2394">
        <v>90</v>
      </c>
      <c r="L106" s="2395">
        <v>42914</v>
      </c>
      <c r="M106" s="2394">
        <v>7</v>
      </c>
      <c r="N106" s="1347" t="s">
        <v>129</v>
      </c>
    </row>
    <row r="107" spans="1:14" s="647" customFormat="1" ht="15.95" customHeight="1">
      <c r="A107" s="1344" t="s">
        <v>1347</v>
      </c>
      <c r="B107" s="1344" t="s">
        <v>1427</v>
      </c>
      <c r="C107" s="1344"/>
      <c r="D107" s="1344" t="s">
        <v>1428</v>
      </c>
      <c r="E107" s="682"/>
      <c r="F107" s="392" t="str">
        <f t="shared" si="0"/>
        <v>bolt10.9级M12X90</v>
      </c>
      <c r="G107" s="2394">
        <v>60000</v>
      </c>
      <c r="H107" s="2401">
        <v>0.1</v>
      </c>
      <c r="I107" s="2394" t="s">
        <v>181</v>
      </c>
      <c r="J107" s="2394"/>
      <c r="K107" s="2394">
        <v>90</v>
      </c>
      <c r="L107" s="2395">
        <v>42914</v>
      </c>
      <c r="M107" s="2394">
        <v>7</v>
      </c>
      <c r="N107" s="1347" t="s">
        <v>129</v>
      </c>
    </row>
    <row r="108" spans="1:14" s="647" customFormat="1" ht="15.95" customHeight="1">
      <c r="A108" s="1344" t="s">
        <v>1345</v>
      </c>
      <c r="B108" s="1344" t="s">
        <v>1430</v>
      </c>
      <c r="C108" s="1344"/>
      <c r="D108" s="1344" t="s">
        <v>1431</v>
      </c>
      <c r="E108" s="682"/>
      <c r="F108" s="392" t="str">
        <f t="shared" si="0"/>
        <v>nut10 classM12</v>
      </c>
      <c r="G108" s="2394">
        <v>60000</v>
      </c>
      <c r="H108" s="2401">
        <v>0.1</v>
      </c>
      <c r="I108" s="2394" t="s">
        <v>181</v>
      </c>
      <c r="J108" s="2394"/>
      <c r="K108" s="2394">
        <v>90</v>
      </c>
      <c r="L108" s="2395">
        <v>42914</v>
      </c>
      <c r="M108" s="2394">
        <v>7</v>
      </c>
      <c r="N108" s="1347" t="s">
        <v>129</v>
      </c>
    </row>
    <row r="109" spans="1:14" s="647" customFormat="1" ht="15.95" customHeight="1">
      <c r="A109" s="1344" t="s">
        <v>1348</v>
      </c>
      <c r="B109" s="1344" t="s">
        <v>1429</v>
      </c>
      <c r="C109" s="1344"/>
      <c r="D109" s="1344">
        <v>12</v>
      </c>
      <c r="E109" s="682"/>
      <c r="F109" s="392" t="str">
        <f t="shared" si="0"/>
        <v>gasket300HV12</v>
      </c>
      <c r="G109" s="2394">
        <v>60000</v>
      </c>
      <c r="H109" s="2401">
        <v>0.1</v>
      </c>
      <c r="I109" s="2394" t="s">
        <v>181</v>
      </c>
      <c r="J109" s="2394"/>
      <c r="K109" s="2394">
        <v>90</v>
      </c>
      <c r="L109" s="2395">
        <v>42914</v>
      </c>
      <c r="M109" s="2394">
        <v>7</v>
      </c>
      <c r="N109" s="1347" t="s">
        <v>129</v>
      </c>
    </row>
    <row r="110" spans="1:14" s="647" customFormat="1" ht="15.95" customHeight="1">
      <c r="A110" s="1344" t="s">
        <v>1351</v>
      </c>
      <c r="B110" s="1344" t="s">
        <v>1432</v>
      </c>
      <c r="C110" s="1344"/>
      <c r="D110" s="1344"/>
      <c r="E110" s="682"/>
      <c r="F110" s="392" t="str">
        <f t="shared" si="0"/>
        <v>T type ForgingSA-387M Gr23</v>
      </c>
      <c r="G110" s="2400">
        <v>60000</v>
      </c>
      <c r="H110" s="2401"/>
      <c r="I110" s="2394" t="s">
        <v>181</v>
      </c>
      <c r="J110" s="2394"/>
      <c r="K110" s="2394">
        <v>90</v>
      </c>
      <c r="L110" s="2395">
        <v>42914</v>
      </c>
      <c r="M110" s="2394">
        <v>7</v>
      </c>
      <c r="N110" s="1347" t="s">
        <v>129</v>
      </c>
    </row>
    <row r="111" spans="1:14" s="647" customFormat="1" ht="15.95" customHeight="1">
      <c r="A111" s="1344" t="s">
        <v>1347</v>
      </c>
      <c r="B111" s="1344" t="s">
        <v>1427</v>
      </c>
      <c r="C111" s="1344"/>
      <c r="D111" s="1344" t="s">
        <v>1428</v>
      </c>
      <c r="E111" s="682"/>
      <c r="F111" s="392" t="str">
        <f t="shared" si="0"/>
        <v>bolt10.9级M12X90</v>
      </c>
      <c r="G111" s="2394">
        <v>60000</v>
      </c>
      <c r="H111" s="2401">
        <v>0.1</v>
      </c>
      <c r="I111" s="2394" t="s">
        <v>181</v>
      </c>
      <c r="J111" s="2394"/>
      <c r="K111" s="2394">
        <v>90</v>
      </c>
      <c r="L111" s="2395">
        <v>42914</v>
      </c>
      <c r="M111" s="2394">
        <v>7</v>
      </c>
      <c r="N111" s="1347" t="s">
        <v>129</v>
      </c>
    </row>
    <row r="112" spans="1:14" s="647" customFormat="1" ht="15.95" customHeight="1">
      <c r="A112" s="1344" t="s">
        <v>1345</v>
      </c>
      <c r="B112" s="1344" t="s">
        <v>1430</v>
      </c>
      <c r="C112" s="1344"/>
      <c r="D112" s="1344" t="s">
        <v>1431</v>
      </c>
      <c r="E112" s="682"/>
      <c r="F112" s="392" t="str">
        <f t="shared" ref="F112:F175" si="2">A112&amp;B112&amp;C112&amp;D112</f>
        <v>nut10 classM12</v>
      </c>
      <c r="G112" s="2394">
        <v>60000</v>
      </c>
      <c r="H112" s="2401">
        <v>0.1</v>
      </c>
      <c r="I112" s="2394" t="s">
        <v>181</v>
      </c>
      <c r="J112" s="2394"/>
      <c r="K112" s="2394">
        <v>90</v>
      </c>
      <c r="L112" s="2395">
        <v>42914</v>
      </c>
      <c r="M112" s="2394">
        <v>7</v>
      </c>
      <c r="N112" s="1347" t="s">
        <v>129</v>
      </c>
    </row>
    <row r="113" spans="1:14" s="647" customFormat="1" ht="15.95" customHeight="1">
      <c r="A113" s="1344" t="s">
        <v>1348</v>
      </c>
      <c r="B113" s="1344" t="s">
        <v>1429</v>
      </c>
      <c r="C113" s="1344"/>
      <c r="D113" s="1344">
        <v>12</v>
      </c>
      <c r="E113" s="682"/>
      <c r="F113" s="392" t="str">
        <f t="shared" si="2"/>
        <v>gasket300HV12</v>
      </c>
      <c r="G113" s="2394">
        <v>60000</v>
      </c>
      <c r="H113" s="2401">
        <v>0.1</v>
      </c>
      <c r="I113" s="2394" t="s">
        <v>181</v>
      </c>
      <c r="J113" s="2394"/>
      <c r="K113" s="2394">
        <v>90</v>
      </c>
      <c r="L113" s="2395">
        <v>42914</v>
      </c>
      <c r="M113" s="2394">
        <v>7</v>
      </c>
      <c r="N113" s="1347" t="s">
        <v>129</v>
      </c>
    </row>
    <row r="114" spans="1:14" s="647" customFormat="1" ht="15.95" customHeight="1">
      <c r="A114" s="1344" t="s">
        <v>1352</v>
      </c>
      <c r="B114" s="1344" t="s">
        <v>590</v>
      </c>
      <c r="C114" s="1344"/>
      <c r="D114" s="1344"/>
      <c r="E114" s="682"/>
      <c r="F114" s="392" t="str">
        <f t="shared" si="2"/>
        <v>Hand hole CapSA-387M Gr12CL2</v>
      </c>
      <c r="G114" s="2400">
        <v>60000</v>
      </c>
      <c r="H114" s="2401">
        <v>0.1</v>
      </c>
      <c r="I114" s="2394" t="s">
        <v>181</v>
      </c>
      <c r="J114" s="2394"/>
      <c r="K114" s="2394">
        <v>90</v>
      </c>
      <c r="L114" s="2395">
        <v>42914</v>
      </c>
      <c r="M114" s="2394">
        <v>7</v>
      </c>
      <c r="N114" s="1347" t="s">
        <v>129</v>
      </c>
    </row>
    <row r="115" spans="1:14" s="647" customFormat="1" ht="15.95" customHeight="1">
      <c r="A115" s="1344" t="s">
        <v>140</v>
      </c>
      <c r="B115" s="1344" t="s">
        <v>590</v>
      </c>
      <c r="C115" s="1344">
        <v>133</v>
      </c>
      <c r="D115" s="1344">
        <v>24</v>
      </c>
      <c r="E115" s="682"/>
      <c r="F115" s="392" t="str">
        <f t="shared" si="2"/>
        <v>PipingSA-387M Gr12CL213324</v>
      </c>
      <c r="G115" s="2400">
        <v>60000</v>
      </c>
      <c r="H115" s="2401">
        <v>0.1</v>
      </c>
      <c r="I115" s="2394" t="s">
        <v>181</v>
      </c>
      <c r="J115" s="2394"/>
      <c r="K115" s="2394">
        <v>90</v>
      </c>
      <c r="L115" s="2395">
        <v>42914</v>
      </c>
      <c r="M115" s="2394">
        <v>7</v>
      </c>
      <c r="N115" s="1347" t="s">
        <v>129</v>
      </c>
    </row>
    <row r="116" spans="1:14" s="647" customFormat="1" ht="15.95" customHeight="1">
      <c r="A116" s="1344" t="s">
        <v>1352</v>
      </c>
      <c r="B116" s="1344" t="s">
        <v>590</v>
      </c>
      <c r="C116" s="1344"/>
      <c r="D116" s="1344"/>
      <c r="E116" s="682"/>
      <c r="F116" s="392" t="str">
        <f t="shared" si="2"/>
        <v>Hand hole CapSA-387M Gr12CL2</v>
      </c>
      <c r="G116" s="2400">
        <v>60000</v>
      </c>
      <c r="H116" s="2401">
        <v>0.1</v>
      </c>
      <c r="I116" s="2394" t="s">
        <v>181</v>
      </c>
      <c r="J116" s="2394"/>
      <c r="K116" s="2394">
        <v>90</v>
      </c>
      <c r="L116" s="2395">
        <v>42914</v>
      </c>
      <c r="M116" s="2394">
        <v>7</v>
      </c>
      <c r="N116" s="1347" t="s">
        <v>129</v>
      </c>
    </row>
    <row r="117" spans="1:14" s="647" customFormat="1" ht="15.95" customHeight="1">
      <c r="A117" s="1344" t="s">
        <v>140</v>
      </c>
      <c r="B117" s="1344" t="s">
        <v>590</v>
      </c>
      <c r="C117" s="1344">
        <v>133</v>
      </c>
      <c r="D117" s="1344">
        <v>24</v>
      </c>
      <c r="E117" s="682"/>
      <c r="F117" s="392" t="str">
        <f t="shared" si="2"/>
        <v>PipingSA-387M Gr12CL213324</v>
      </c>
      <c r="G117" s="2400">
        <v>60000</v>
      </c>
      <c r="H117" s="2401">
        <v>0.1</v>
      </c>
      <c r="I117" s="2394" t="s">
        <v>181</v>
      </c>
      <c r="J117" s="2394"/>
      <c r="K117" s="2394">
        <v>90</v>
      </c>
      <c r="L117" s="2395">
        <v>42914</v>
      </c>
      <c r="M117" s="2394">
        <v>7</v>
      </c>
      <c r="N117" s="1347" t="s">
        <v>129</v>
      </c>
    </row>
    <row r="118" spans="1:14" s="647" customFormat="1" ht="15.95" customHeight="1">
      <c r="A118" s="1344" t="s">
        <v>1352</v>
      </c>
      <c r="B118" s="1344" t="s">
        <v>590</v>
      </c>
      <c r="C118" s="1344"/>
      <c r="D118" s="1344"/>
      <c r="E118" s="682"/>
      <c r="F118" s="392" t="str">
        <f t="shared" si="2"/>
        <v>Hand hole CapSA-387M Gr12CL2</v>
      </c>
      <c r="G118" s="2400">
        <v>60000</v>
      </c>
      <c r="H118" s="2401">
        <v>0.1</v>
      </c>
      <c r="I118" s="2394" t="s">
        <v>181</v>
      </c>
      <c r="J118" s="2394"/>
      <c r="K118" s="2394">
        <v>90</v>
      </c>
      <c r="L118" s="2395">
        <v>42914</v>
      </c>
      <c r="M118" s="2394">
        <v>7</v>
      </c>
      <c r="N118" s="1347" t="s">
        <v>129</v>
      </c>
    </row>
    <row r="119" spans="1:14" s="647" customFormat="1" ht="15.95" customHeight="1">
      <c r="A119" s="1344" t="s">
        <v>140</v>
      </c>
      <c r="B119" s="1344" t="s">
        <v>590</v>
      </c>
      <c r="C119" s="1344">
        <v>133</v>
      </c>
      <c r="D119" s="1344">
        <v>24</v>
      </c>
      <c r="E119" s="682"/>
      <c r="F119" s="392" t="str">
        <f t="shared" si="2"/>
        <v>PipingSA-387M Gr12CL213324</v>
      </c>
      <c r="G119" s="2400">
        <v>60000</v>
      </c>
      <c r="H119" s="2401">
        <v>0.1</v>
      </c>
      <c r="I119" s="2394" t="s">
        <v>181</v>
      </c>
      <c r="J119" s="2394"/>
      <c r="K119" s="2394">
        <v>90</v>
      </c>
      <c r="L119" s="2395">
        <v>42914</v>
      </c>
      <c r="M119" s="2394">
        <v>7</v>
      </c>
      <c r="N119" s="1347" t="s">
        <v>129</v>
      </c>
    </row>
    <row r="120" spans="1:14" s="647" customFormat="1" ht="15.95" customHeight="1">
      <c r="A120" s="1344" t="s">
        <v>1352</v>
      </c>
      <c r="B120" s="1344" t="s">
        <v>590</v>
      </c>
      <c r="C120" s="1344"/>
      <c r="D120" s="1344"/>
      <c r="E120" s="682"/>
      <c r="F120" s="392" t="str">
        <f t="shared" si="2"/>
        <v>Hand hole CapSA-387M Gr12CL2</v>
      </c>
      <c r="G120" s="2400">
        <v>60000</v>
      </c>
      <c r="H120" s="2401">
        <v>0.1</v>
      </c>
      <c r="I120" s="2394" t="s">
        <v>181</v>
      </c>
      <c r="J120" s="2394"/>
      <c r="K120" s="2394">
        <v>90</v>
      </c>
      <c r="L120" s="2395">
        <v>42914</v>
      </c>
      <c r="M120" s="2394">
        <v>7</v>
      </c>
      <c r="N120" s="1347" t="s">
        <v>129</v>
      </c>
    </row>
    <row r="121" spans="1:14" s="647" customFormat="1" ht="15.95" customHeight="1">
      <c r="A121" s="1344" t="s">
        <v>140</v>
      </c>
      <c r="B121" s="1344" t="s">
        <v>590</v>
      </c>
      <c r="C121" s="1344">
        <v>133</v>
      </c>
      <c r="D121" s="1344">
        <v>24</v>
      </c>
      <c r="E121" s="682"/>
      <c r="F121" s="392" t="str">
        <f t="shared" si="2"/>
        <v>PipingSA-387M Gr12CL213324</v>
      </c>
      <c r="G121" s="2400">
        <v>60000</v>
      </c>
      <c r="H121" s="2401">
        <v>0.1</v>
      </c>
      <c r="I121" s="2394" t="s">
        <v>181</v>
      </c>
      <c r="J121" s="2394"/>
      <c r="K121" s="2394">
        <v>90</v>
      </c>
      <c r="L121" s="2395">
        <v>42914</v>
      </c>
      <c r="M121" s="2394">
        <v>7</v>
      </c>
      <c r="N121" s="1347" t="s">
        <v>129</v>
      </c>
    </row>
    <row r="122" spans="1:14" s="647" customFormat="1" ht="15.95" customHeight="1">
      <c r="A122" s="1344" t="s">
        <v>1342</v>
      </c>
      <c r="B122" s="1344" t="s">
        <v>710</v>
      </c>
      <c r="C122" s="1344"/>
      <c r="D122" s="1344" t="s">
        <v>1439</v>
      </c>
      <c r="E122" s="682"/>
      <c r="F122" s="392" t="str">
        <f t="shared" si="2"/>
        <v>cotter06Cr19Ni95X120</v>
      </c>
      <c r="G122" s="2394">
        <v>60000</v>
      </c>
      <c r="H122" s="2401">
        <v>0.1</v>
      </c>
      <c r="I122" s="2394" t="s">
        <v>181</v>
      </c>
      <c r="J122" s="2394"/>
      <c r="K122" s="2394">
        <v>90</v>
      </c>
      <c r="L122" s="2395">
        <v>42914</v>
      </c>
      <c r="M122" s="2394">
        <v>7</v>
      </c>
      <c r="N122" s="1347" t="s">
        <v>129</v>
      </c>
    </row>
    <row r="123" spans="1:14" s="647" customFormat="1" ht="15.95" customHeight="1">
      <c r="A123" s="1344" t="s">
        <v>1348</v>
      </c>
      <c r="B123" s="1344" t="s">
        <v>1440</v>
      </c>
      <c r="C123" s="1344"/>
      <c r="D123" s="1344">
        <v>30</v>
      </c>
      <c r="E123" s="682"/>
      <c r="F123" s="392" t="str">
        <f t="shared" si="2"/>
        <v>gasket100HV30</v>
      </c>
      <c r="G123" s="2394">
        <v>60000</v>
      </c>
      <c r="H123" s="2401">
        <v>0.1</v>
      </c>
      <c r="I123" s="2394" t="s">
        <v>181</v>
      </c>
      <c r="J123" s="2394"/>
      <c r="K123" s="2394">
        <v>90</v>
      </c>
      <c r="L123" s="2395">
        <v>42914</v>
      </c>
      <c r="M123" s="2394">
        <v>7</v>
      </c>
      <c r="N123" s="1347" t="s">
        <v>129</v>
      </c>
    </row>
    <row r="124" spans="1:14" s="647" customFormat="1" ht="15.95" customHeight="1">
      <c r="A124" s="1344" t="s">
        <v>1345</v>
      </c>
      <c r="B124" s="1344" t="s">
        <v>711</v>
      </c>
      <c r="C124" s="1344"/>
      <c r="D124" s="1344" t="s">
        <v>1434</v>
      </c>
      <c r="E124" s="682"/>
      <c r="F124" s="392" t="str">
        <f t="shared" si="2"/>
        <v>nut35CrMoM30</v>
      </c>
      <c r="G124" s="2394">
        <v>60000</v>
      </c>
      <c r="H124" s="2401">
        <v>0.1</v>
      </c>
      <c r="I124" s="2394" t="s">
        <v>181</v>
      </c>
      <c r="J124" s="2394"/>
      <c r="K124" s="2394">
        <v>90</v>
      </c>
      <c r="L124" s="2395">
        <v>42914</v>
      </c>
      <c r="M124" s="2394">
        <v>7</v>
      </c>
      <c r="N124" s="1347" t="s">
        <v>129</v>
      </c>
    </row>
    <row r="125" spans="1:14" s="647" customFormat="1" ht="15.95" customHeight="1">
      <c r="A125" s="1344" t="s">
        <v>1347</v>
      </c>
      <c r="B125" s="1344" t="s">
        <v>1427</v>
      </c>
      <c r="C125" s="1344"/>
      <c r="D125" s="1344" t="s">
        <v>1441</v>
      </c>
      <c r="E125" s="682"/>
      <c r="F125" s="392" t="str">
        <f t="shared" si="2"/>
        <v>bolt10.9级M20X65</v>
      </c>
      <c r="G125" s="2394">
        <v>60000</v>
      </c>
      <c r="H125" s="2401">
        <v>0.1</v>
      </c>
      <c r="I125" s="2394" t="s">
        <v>181</v>
      </c>
      <c r="J125" s="2394"/>
      <c r="K125" s="2394">
        <v>90</v>
      </c>
      <c r="L125" s="2395">
        <v>42914</v>
      </c>
      <c r="M125" s="2394">
        <v>7</v>
      </c>
      <c r="N125" s="1347" t="s">
        <v>129</v>
      </c>
    </row>
    <row r="126" spans="1:14" s="647" customFormat="1" ht="15.95" customHeight="1">
      <c r="A126" s="1344" t="s">
        <v>1348</v>
      </c>
      <c r="B126" s="1344" t="s">
        <v>1429</v>
      </c>
      <c r="C126" s="1344"/>
      <c r="D126" s="1344">
        <v>20</v>
      </c>
      <c r="E126" s="682"/>
      <c r="F126" s="392" t="str">
        <f t="shared" si="2"/>
        <v>gasket300HV20</v>
      </c>
      <c r="G126" s="2394">
        <v>60000</v>
      </c>
      <c r="H126" s="2401">
        <v>0.1</v>
      </c>
      <c r="I126" s="2394" t="s">
        <v>181</v>
      </c>
      <c r="J126" s="2394"/>
      <c r="K126" s="2394">
        <v>90</v>
      </c>
      <c r="L126" s="2395">
        <v>42914</v>
      </c>
      <c r="M126" s="2394">
        <v>7</v>
      </c>
      <c r="N126" s="1347" t="s">
        <v>129</v>
      </c>
    </row>
    <row r="127" spans="1:14" s="647" customFormat="1" ht="15.95" customHeight="1">
      <c r="A127" s="1344" t="s">
        <v>1345</v>
      </c>
      <c r="B127" s="1344">
        <v>10</v>
      </c>
      <c r="C127" s="1344"/>
      <c r="D127" s="1344" t="s">
        <v>1442</v>
      </c>
      <c r="E127" s="682"/>
      <c r="F127" s="392" t="str">
        <f t="shared" si="2"/>
        <v>nut10M20</v>
      </c>
      <c r="G127" s="2394">
        <v>60000</v>
      </c>
      <c r="H127" s="2401">
        <v>0.1</v>
      </c>
      <c r="I127" s="2394" t="s">
        <v>181</v>
      </c>
      <c r="J127" s="2394"/>
      <c r="K127" s="2394">
        <v>90</v>
      </c>
      <c r="L127" s="2395">
        <v>42914</v>
      </c>
      <c r="M127" s="2394">
        <v>7</v>
      </c>
      <c r="N127" s="1347" t="s">
        <v>129</v>
      </c>
    </row>
    <row r="128" spans="1:14" s="647" customFormat="1" ht="15.95" customHeight="1">
      <c r="A128" s="1344" t="s">
        <v>1348</v>
      </c>
      <c r="B128" s="1344" t="s">
        <v>1440</v>
      </c>
      <c r="C128" s="1344"/>
      <c r="D128" s="1344">
        <v>30</v>
      </c>
      <c r="E128" s="682"/>
      <c r="F128" s="392" t="str">
        <f t="shared" si="2"/>
        <v>gasket100HV30</v>
      </c>
      <c r="G128" s="2394">
        <v>60000</v>
      </c>
      <c r="H128" s="2401">
        <v>0.1</v>
      </c>
      <c r="I128" s="2394" t="s">
        <v>181</v>
      </c>
      <c r="J128" s="2394"/>
      <c r="K128" s="2394">
        <v>90</v>
      </c>
      <c r="L128" s="2395">
        <v>42914</v>
      </c>
      <c r="M128" s="2394">
        <v>7</v>
      </c>
      <c r="N128" s="1347" t="s">
        <v>129</v>
      </c>
    </row>
    <row r="129" spans="1:14" s="647" customFormat="1" ht="15.95" customHeight="1">
      <c r="A129" s="1344" t="s">
        <v>1345</v>
      </c>
      <c r="B129" s="1344" t="s">
        <v>711</v>
      </c>
      <c r="C129" s="1344"/>
      <c r="D129" s="1344" t="s">
        <v>1434</v>
      </c>
      <c r="E129" s="682"/>
      <c r="F129" s="392" t="str">
        <f t="shared" si="2"/>
        <v>nut35CrMoM30</v>
      </c>
      <c r="G129" s="2394">
        <v>60000</v>
      </c>
      <c r="H129" s="2401">
        <v>0.1</v>
      </c>
      <c r="I129" s="2394" t="s">
        <v>181</v>
      </c>
      <c r="J129" s="2394"/>
      <c r="K129" s="2394">
        <v>90</v>
      </c>
      <c r="L129" s="2395">
        <v>42914</v>
      </c>
      <c r="M129" s="2394">
        <v>7</v>
      </c>
      <c r="N129" s="1347" t="s">
        <v>129</v>
      </c>
    </row>
    <row r="130" spans="1:14" s="647" customFormat="1" ht="15.95" customHeight="1">
      <c r="A130" s="1344" t="s">
        <v>1345</v>
      </c>
      <c r="B130" s="1344" t="s">
        <v>1423</v>
      </c>
      <c r="C130" s="1344"/>
      <c r="D130" s="1344" t="s">
        <v>1442</v>
      </c>
      <c r="E130" s="682"/>
      <c r="F130" s="392" t="str">
        <f t="shared" si="2"/>
        <v>nut8 classM20</v>
      </c>
      <c r="G130" s="2394">
        <v>60000</v>
      </c>
      <c r="H130" s="2401">
        <v>0.1</v>
      </c>
      <c r="I130" s="2394" t="s">
        <v>181</v>
      </c>
      <c r="J130" s="2394"/>
      <c r="K130" s="2394">
        <v>90</v>
      </c>
      <c r="L130" s="2395">
        <v>42914</v>
      </c>
      <c r="M130" s="2394">
        <v>7</v>
      </c>
      <c r="N130" s="1347" t="s">
        <v>129</v>
      </c>
    </row>
    <row r="131" spans="1:14" s="647" customFormat="1" ht="15.95" customHeight="1">
      <c r="A131" s="1344" t="s">
        <v>1345</v>
      </c>
      <c r="B131" s="1344" t="s">
        <v>1423</v>
      </c>
      <c r="C131" s="1344"/>
      <c r="D131" s="1344" t="s">
        <v>1445</v>
      </c>
      <c r="E131" s="682"/>
      <c r="F131" s="392" t="str">
        <f t="shared" si="2"/>
        <v>nut8 classM10</v>
      </c>
      <c r="G131" s="2394">
        <v>60000</v>
      </c>
      <c r="H131" s="2401">
        <v>0.1</v>
      </c>
      <c r="I131" s="2394" t="s">
        <v>181</v>
      </c>
      <c r="J131" s="2394"/>
      <c r="K131" s="2394">
        <v>90</v>
      </c>
      <c r="L131" s="2395">
        <v>42914</v>
      </c>
      <c r="M131" s="2394">
        <v>7</v>
      </c>
      <c r="N131" s="1347" t="s">
        <v>129</v>
      </c>
    </row>
    <row r="132" spans="1:14" s="647" customFormat="1" ht="15.95" customHeight="1">
      <c r="A132" s="1344" t="s">
        <v>1347</v>
      </c>
      <c r="B132" s="1344" t="s">
        <v>1446</v>
      </c>
      <c r="C132" s="1344"/>
      <c r="D132" s="1344" t="s">
        <v>1447</v>
      </c>
      <c r="E132" s="682"/>
      <c r="F132" s="392" t="str">
        <f t="shared" si="2"/>
        <v>bolt8.8级M10X70</v>
      </c>
      <c r="G132" s="2394">
        <v>60000</v>
      </c>
      <c r="H132" s="2401">
        <v>0.1</v>
      </c>
      <c r="I132" s="2394" t="s">
        <v>181</v>
      </c>
      <c r="J132" s="2394"/>
      <c r="K132" s="2394">
        <v>90</v>
      </c>
      <c r="L132" s="2395">
        <v>42914</v>
      </c>
      <c r="M132" s="2394">
        <v>7</v>
      </c>
      <c r="N132" s="1347" t="s">
        <v>129</v>
      </c>
    </row>
    <row r="133" spans="1:14" s="647" customFormat="1" ht="15.95" customHeight="1">
      <c r="A133" s="1344" t="s">
        <v>1339</v>
      </c>
      <c r="B133" s="1344" t="s">
        <v>590</v>
      </c>
      <c r="C133" s="1344">
        <v>159</v>
      </c>
      <c r="D133" s="1344"/>
      <c r="E133" s="682"/>
      <c r="F133" s="392" t="str">
        <f t="shared" si="2"/>
        <v>End CapSA-387M Gr12CL2159</v>
      </c>
      <c r="G133" s="2400">
        <v>60000</v>
      </c>
      <c r="H133" s="2401">
        <v>0.1</v>
      </c>
      <c r="I133" s="2394" t="s">
        <v>181</v>
      </c>
      <c r="J133" s="2394"/>
      <c r="K133" s="2394">
        <v>90</v>
      </c>
      <c r="L133" s="2395">
        <v>42914</v>
      </c>
      <c r="M133" s="2394">
        <v>7</v>
      </c>
      <c r="N133" s="1347" t="s">
        <v>129</v>
      </c>
    </row>
    <row r="134" spans="1:14" s="647" customFormat="1" ht="15.95" customHeight="1">
      <c r="A134" s="1344" t="s">
        <v>1339</v>
      </c>
      <c r="B134" s="1344" t="s">
        <v>590</v>
      </c>
      <c r="C134" s="1344"/>
      <c r="D134" s="1344"/>
      <c r="E134" s="682"/>
      <c r="F134" s="392" t="str">
        <f t="shared" si="2"/>
        <v>End CapSA-387M Gr12CL2</v>
      </c>
      <c r="G134" s="2400">
        <v>60000</v>
      </c>
      <c r="H134" s="2401">
        <v>0.1</v>
      </c>
      <c r="I134" s="2394" t="s">
        <v>181</v>
      </c>
      <c r="J134" s="2394"/>
      <c r="K134" s="2394">
        <v>90</v>
      </c>
      <c r="L134" s="2395">
        <v>42914</v>
      </c>
      <c r="M134" s="2394">
        <v>7</v>
      </c>
      <c r="N134" s="1347" t="s">
        <v>129</v>
      </c>
    </row>
    <row r="135" spans="1:14" s="647" customFormat="1" ht="15.95" customHeight="1">
      <c r="A135" s="1344" t="s">
        <v>1338</v>
      </c>
      <c r="B135" s="1344" t="s">
        <v>590</v>
      </c>
      <c r="C135" s="1344">
        <v>60.3</v>
      </c>
      <c r="D135" s="1344">
        <v>12</v>
      </c>
      <c r="E135" s="682"/>
      <c r="F135" s="392" t="str">
        <f t="shared" si="2"/>
        <v>Tube SA-387M Gr12CL260.312</v>
      </c>
      <c r="G135" s="2400">
        <v>60000</v>
      </c>
      <c r="H135" s="2401">
        <v>0.1</v>
      </c>
      <c r="I135" s="2394" t="s">
        <v>181</v>
      </c>
      <c r="J135" s="2394"/>
      <c r="K135" s="2394">
        <v>90</v>
      </c>
      <c r="L135" s="2395">
        <v>42914</v>
      </c>
      <c r="M135" s="2394">
        <v>7</v>
      </c>
      <c r="N135" s="1347" t="s">
        <v>129</v>
      </c>
    </row>
    <row r="136" spans="1:14" s="647" customFormat="1" ht="15.95" customHeight="1">
      <c r="A136" s="1344" t="s">
        <v>1338</v>
      </c>
      <c r="B136" s="1344" t="s">
        <v>1424</v>
      </c>
      <c r="C136" s="1344">
        <v>34.9</v>
      </c>
      <c r="D136" s="1344">
        <v>9</v>
      </c>
      <c r="E136" s="682"/>
      <c r="F136" s="392" t="str">
        <f t="shared" si="2"/>
        <v>Tube SA-213M T1234.99</v>
      </c>
      <c r="G136" s="2400">
        <v>60000</v>
      </c>
      <c r="H136" s="2401">
        <v>0.1</v>
      </c>
      <c r="I136" s="2394" t="s">
        <v>181</v>
      </c>
      <c r="J136" s="2394"/>
      <c r="K136" s="2394">
        <v>90</v>
      </c>
      <c r="L136" s="2395">
        <v>42914</v>
      </c>
      <c r="M136" s="2394">
        <v>7</v>
      </c>
      <c r="N136" s="1347" t="s">
        <v>129</v>
      </c>
    </row>
    <row r="137" spans="1:14" s="647" customFormat="1" ht="15.95" customHeight="1">
      <c r="A137" s="1344" t="s">
        <v>1347</v>
      </c>
      <c r="B137" s="1344" t="s">
        <v>1427</v>
      </c>
      <c r="C137" s="1344"/>
      <c r="D137" s="1344" t="s">
        <v>1448</v>
      </c>
      <c r="E137" s="682"/>
      <c r="F137" s="392" t="str">
        <f t="shared" si="2"/>
        <v>bolt10.9级M24X160</v>
      </c>
      <c r="G137" s="2394">
        <v>60000</v>
      </c>
      <c r="H137" s="2401">
        <v>0.1</v>
      </c>
      <c r="I137" s="2394" t="s">
        <v>181</v>
      </c>
      <c r="J137" s="2394"/>
      <c r="K137" s="2394">
        <v>90</v>
      </c>
      <c r="L137" s="2395">
        <v>42914</v>
      </c>
      <c r="M137" s="2394">
        <v>7</v>
      </c>
      <c r="N137" s="1347" t="s">
        <v>129</v>
      </c>
    </row>
    <row r="138" spans="1:14" s="647" customFormat="1" ht="15.95" customHeight="1">
      <c r="A138" s="1344" t="s">
        <v>1345</v>
      </c>
      <c r="B138" s="1344" t="s">
        <v>1430</v>
      </c>
      <c r="C138" s="1344"/>
      <c r="D138" s="1344" t="s">
        <v>1449</v>
      </c>
      <c r="E138" s="682"/>
      <c r="F138" s="392" t="str">
        <f t="shared" si="2"/>
        <v>nut10 classM24</v>
      </c>
      <c r="G138" s="2394">
        <v>60000</v>
      </c>
      <c r="H138" s="2401">
        <v>0.1</v>
      </c>
      <c r="I138" s="2394" t="s">
        <v>181</v>
      </c>
      <c r="J138" s="2394"/>
      <c r="K138" s="2394">
        <v>90</v>
      </c>
      <c r="L138" s="2395">
        <v>42914</v>
      </c>
      <c r="M138" s="2394">
        <v>7</v>
      </c>
      <c r="N138" s="1347" t="s">
        <v>129</v>
      </c>
    </row>
    <row r="139" spans="1:14" s="647" customFormat="1" ht="15.95" customHeight="1">
      <c r="A139" s="1344" t="s">
        <v>1348</v>
      </c>
      <c r="B139" s="1344" t="s">
        <v>1440</v>
      </c>
      <c r="C139" s="1344"/>
      <c r="D139" s="1344">
        <v>24</v>
      </c>
      <c r="E139" s="682"/>
      <c r="F139" s="392" t="str">
        <f t="shared" si="2"/>
        <v>gasket100HV24</v>
      </c>
      <c r="G139" s="2394">
        <v>60000</v>
      </c>
      <c r="H139" s="2401">
        <v>0.1</v>
      </c>
      <c r="I139" s="2394" t="s">
        <v>181</v>
      </c>
      <c r="J139" s="2394"/>
      <c r="K139" s="2394">
        <v>90</v>
      </c>
      <c r="L139" s="2395">
        <v>42914</v>
      </c>
      <c r="M139" s="2394">
        <v>7</v>
      </c>
      <c r="N139" s="1347" t="s">
        <v>129</v>
      </c>
    </row>
    <row r="140" spans="1:14" s="647" customFormat="1" ht="15.95" customHeight="1">
      <c r="A140" s="1344" t="s">
        <v>1338</v>
      </c>
      <c r="B140" s="1344" t="s">
        <v>590</v>
      </c>
      <c r="C140" s="1344">
        <v>89</v>
      </c>
      <c r="D140" s="1344">
        <v>14</v>
      </c>
      <c r="E140" s="682"/>
      <c r="F140" s="392" t="str">
        <f t="shared" si="2"/>
        <v>Tube SA-387M Gr12CL28914</v>
      </c>
      <c r="G140" s="2400">
        <v>60000</v>
      </c>
      <c r="H140" s="2401">
        <v>0.1</v>
      </c>
      <c r="I140" s="2394" t="s">
        <v>181</v>
      </c>
      <c r="J140" s="2394"/>
      <c r="K140" s="2394">
        <v>90</v>
      </c>
      <c r="L140" s="2395">
        <v>42914</v>
      </c>
      <c r="M140" s="2394">
        <v>7</v>
      </c>
      <c r="N140" s="1347" t="s">
        <v>129</v>
      </c>
    </row>
    <row r="141" spans="1:14" s="647" customFormat="1" ht="15.95" customHeight="1">
      <c r="A141" s="1344" t="s">
        <v>1339</v>
      </c>
      <c r="B141" s="1344" t="s">
        <v>589</v>
      </c>
      <c r="C141" s="1344">
        <v>95</v>
      </c>
      <c r="D141" s="1344">
        <v>17.5</v>
      </c>
      <c r="E141" s="682"/>
      <c r="F141" s="392" t="str">
        <f t="shared" si="2"/>
        <v>End CapSA-387M Gr22CL29517.5</v>
      </c>
      <c r="G141" s="2400">
        <v>60000</v>
      </c>
      <c r="H141" s="2401">
        <v>0.1</v>
      </c>
      <c r="I141" s="2394" t="s">
        <v>181</v>
      </c>
      <c r="J141" s="2394"/>
      <c r="K141" s="2394">
        <v>90</v>
      </c>
      <c r="L141" s="2395">
        <v>42914</v>
      </c>
      <c r="M141" s="2394">
        <v>7</v>
      </c>
      <c r="N141" s="1347" t="s">
        <v>129</v>
      </c>
    </row>
    <row r="142" spans="1:14" s="647" customFormat="1" ht="15.95" customHeight="1">
      <c r="A142" s="1344" t="s">
        <v>708</v>
      </c>
      <c r="B142" s="1344" t="s">
        <v>589</v>
      </c>
      <c r="C142" s="1344">
        <v>95</v>
      </c>
      <c r="D142" s="1344">
        <v>17.5</v>
      </c>
      <c r="E142" s="682"/>
      <c r="F142" s="392" t="str">
        <f t="shared" si="2"/>
        <v>NozzlesSA-387M Gr22CL29517.5</v>
      </c>
      <c r="G142" s="2400">
        <v>60000</v>
      </c>
      <c r="H142" s="2401">
        <v>0.1</v>
      </c>
      <c r="I142" s="2394" t="s">
        <v>181</v>
      </c>
      <c r="J142" s="2394"/>
      <c r="K142" s="2394">
        <v>90</v>
      </c>
      <c r="L142" s="2395">
        <v>42914</v>
      </c>
      <c r="M142" s="2394">
        <v>7</v>
      </c>
      <c r="N142" s="1347" t="s">
        <v>129</v>
      </c>
    </row>
    <row r="143" spans="1:14" s="647" customFormat="1" ht="15.95" customHeight="1">
      <c r="A143" s="1344" t="s">
        <v>1340</v>
      </c>
      <c r="B143" s="1344" t="s">
        <v>589</v>
      </c>
      <c r="C143" s="1344">
        <v>54</v>
      </c>
      <c r="D143" s="1344">
        <v>14</v>
      </c>
      <c r="E143" s="682"/>
      <c r="F143" s="392" t="str">
        <f t="shared" si="2"/>
        <v>ForgingSA-387M Gr22CL25414</v>
      </c>
      <c r="G143" s="2400">
        <v>60000</v>
      </c>
      <c r="H143" s="2401">
        <v>0.1</v>
      </c>
      <c r="I143" s="2394" t="s">
        <v>181</v>
      </c>
      <c r="J143" s="2394"/>
      <c r="K143" s="2394">
        <v>90</v>
      </c>
      <c r="L143" s="2395">
        <v>42914</v>
      </c>
      <c r="M143" s="2394">
        <v>7</v>
      </c>
      <c r="N143" s="1347" t="s">
        <v>129</v>
      </c>
    </row>
    <row r="144" spans="1:14" s="647" customFormat="1" ht="15.95" customHeight="1">
      <c r="A144" s="1344" t="s">
        <v>1353</v>
      </c>
      <c r="B144" s="1344" t="s">
        <v>589</v>
      </c>
      <c r="C144" s="1344">
        <v>90</v>
      </c>
      <c r="D144" s="1344">
        <v>15</v>
      </c>
      <c r="E144" s="682"/>
      <c r="F144" s="392" t="str">
        <f t="shared" si="2"/>
        <v>End capSA-387M Gr22CL29015</v>
      </c>
      <c r="G144" s="2400">
        <v>60000</v>
      </c>
      <c r="H144" s="2401">
        <v>0.1</v>
      </c>
      <c r="I144" s="2394" t="s">
        <v>181</v>
      </c>
      <c r="J144" s="2394"/>
      <c r="K144" s="2394">
        <v>90</v>
      </c>
      <c r="L144" s="2395">
        <v>42914</v>
      </c>
      <c r="M144" s="2394">
        <v>7</v>
      </c>
      <c r="N144" s="1347" t="s">
        <v>129</v>
      </c>
    </row>
    <row r="145" spans="1:14" s="647" customFormat="1" ht="15.95" customHeight="1">
      <c r="A145" s="1344" t="s">
        <v>708</v>
      </c>
      <c r="B145" s="1344" t="s">
        <v>1452</v>
      </c>
      <c r="C145" s="1344">
        <v>100</v>
      </c>
      <c r="D145" s="1344">
        <v>20</v>
      </c>
      <c r="E145" s="682"/>
      <c r="F145" s="392" t="str">
        <f t="shared" si="2"/>
        <v>NozzlesSA-182M F9110020</v>
      </c>
      <c r="G145" s="2394">
        <v>80000</v>
      </c>
      <c r="H145" s="2401">
        <v>0.1</v>
      </c>
      <c r="I145" s="2394" t="s">
        <v>181</v>
      </c>
      <c r="J145" s="2394"/>
      <c r="K145" s="2394">
        <v>90</v>
      </c>
      <c r="L145" s="2395">
        <v>42914</v>
      </c>
      <c r="M145" s="2394">
        <v>7</v>
      </c>
      <c r="N145" s="1347" t="s">
        <v>129</v>
      </c>
    </row>
    <row r="146" spans="1:14" s="647" customFormat="1" ht="15.95" customHeight="1">
      <c r="A146" s="1344" t="s">
        <v>1354</v>
      </c>
      <c r="B146" s="1344" t="s">
        <v>589</v>
      </c>
      <c r="C146" s="1344">
        <v>38</v>
      </c>
      <c r="D146" s="1344"/>
      <c r="E146" s="682"/>
      <c r="F146" s="392" t="str">
        <f t="shared" si="2"/>
        <v>HangerSA-387M Gr22CL238</v>
      </c>
      <c r="G146" s="2400">
        <v>60000</v>
      </c>
      <c r="H146" s="2401">
        <v>0.1</v>
      </c>
      <c r="I146" s="2394" t="s">
        <v>181</v>
      </c>
      <c r="J146" s="2394"/>
      <c r="K146" s="2394">
        <v>90</v>
      </c>
      <c r="L146" s="2395">
        <v>42914</v>
      </c>
      <c r="M146" s="2394">
        <v>7</v>
      </c>
      <c r="N146" s="1347" t="s">
        <v>129</v>
      </c>
    </row>
    <row r="147" spans="1:14" s="647" customFormat="1" ht="15.95" customHeight="1">
      <c r="A147" s="1344" t="s">
        <v>1355</v>
      </c>
      <c r="B147" s="1344" t="s">
        <v>711</v>
      </c>
      <c r="C147" s="1344" t="s">
        <v>1453</v>
      </c>
      <c r="D147" s="1344"/>
      <c r="E147" s="682"/>
      <c r="F147" s="392" t="str">
        <f t="shared" si="2"/>
        <v>Nut 35CrMoM36</v>
      </c>
      <c r="G147" s="2394">
        <v>60000</v>
      </c>
      <c r="H147" s="2401">
        <v>0.1</v>
      </c>
      <c r="I147" s="2394" t="s">
        <v>181</v>
      </c>
      <c r="J147" s="2394"/>
      <c r="K147" s="2394">
        <v>90</v>
      </c>
      <c r="L147" s="2395">
        <v>42914</v>
      </c>
      <c r="M147" s="2394">
        <v>7</v>
      </c>
      <c r="N147" s="1347" t="s">
        <v>129</v>
      </c>
    </row>
    <row r="148" spans="1:14" s="647" customFormat="1" ht="15.95" customHeight="1">
      <c r="A148" s="1344" t="s">
        <v>1357</v>
      </c>
      <c r="B148" s="1344" t="s">
        <v>1454</v>
      </c>
      <c r="C148" s="1344" t="s">
        <v>1455</v>
      </c>
      <c r="D148" s="1344"/>
      <c r="E148" s="682"/>
      <c r="F148" s="392" t="str">
        <f t="shared" si="2"/>
        <v>Stud30CrMoAØ70</v>
      </c>
      <c r="G148" s="2394">
        <v>60000</v>
      </c>
      <c r="H148" s="2401">
        <v>0.1</v>
      </c>
      <c r="I148" s="2394" t="s">
        <v>181</v>
      </c>
      <c r="J148" s="2394"/>
      <c r="K148" s="2394">
        <v>90</v>
      </c>
      <c r="L148" s="2395">
        <v>42914</v>
      </c>
      <c r="M148" s="2394">
        <v>7</v>
      </c>
      <c r="N148" s="1347" t="s">
        <v>129</v>
      </c>
    </row>
    <row r="149" spans="1:14" s="647" customFormat="1" ht="15.95" customHeight="1">
      <c r="A149" s="1344" t="s">
        <v>1358</v>
      </c>
      <c r="B149" s="1344" t="s">
        <v>589</v>
      </c>
      <c r="C149" s="1344" t="s">
        <v>1456</v>
      </c>
      <c r="D149" s="1344"/>
      <c r="E149" s="682"/>
      <c r="F149" s="392" t="str">
        <f t="shared" si="2"/>
        <v>PinSA-387M Gr22CL2Ø12</v>
      </c>
      <c r="G149" s="2400">
        <v>60000</v>
      </c>
      <c r="H149" s="2401">
        <v>0.1</v>
      </c>
      <c r="I149" s="2394" t="s">
        <v>181</v>
      </c>
      <c r="J149" s="2394"/>
      <c r="K149" s="2394">
        <v>90</v>
      </c>
      <c r="L149" s="2395">
        <v>42914</v>
      </c>
      <c r="M149" s="2394">
        <v>7</v>
      </c>
      <c r="N149" s="1347" t="s">
        <v>129</v>
      </c>
    </row>
    <row r="150" spans="1:14" s="647" customFormat="1" ht="15.95" customHeight="1">
      <c r="A150" s="1344" t="s">
        <v>1359</v>
      </c>
      <c r="B150" s="1344" t="s">
        <v>712</v>
      </c>
      <c r="C150" s="1344"/>
      <c r="D150" s="1344" t="s">
        <v>1457</v>
      </c>
      <c r="E150" s="682"/>
      <c r="F150" s="392" t="str">
        <f t="shared" si="2"/>
        <v>WasherQ345BØ130/Ø72</v>
      </c>
      <c r="G150" s="2394">
        <v>60000</v>
      </c>
      <c r="H150" s="2401">
        <v>0.1</v>
      </c>
      <c r="I150" s="2394" t="s">
        <v>181</v>
      </c>
      <c r="J150" s="2394"/>
      <c r="K150" s="2394">
        <v>90</v>
      </c>
      <c r="L150" s="2395">
        <v>42914</v>
      </c>
      <c r="M150" s="2394">
        <v>7</v>
      </c>
      <c r="N150" s="1347" t="s">
        <v>129</v>
      </c>
    </row>
    <row r="151" spans="1:14" s="647" customFormat="1" ht="15.95" customHeight="1">
      <c r="A151" s="1344" t="s">
        <v>1354</v>
      </c>
      <c r="B151" s="1344" t="s">
        <v>1452</v>
      </c>
      <c r="C151" s="1344">
        <v>48</v>
      </c>
      <c r="D151" s="1344"/>
      <c r="E151" s="682"/>
      <c r="F151" s="392" t="str">
        <f t="shared" si="2"/>
        <v>HangerSA-182M F9148</v>
      </c>
      <c r="G151" s="2394">
        <v>80000</v>
      </c>
      <c r="H151" s="2401">
        <v>0.1</v>
      </c>
      <c r="I151" s="2394" t="s">
        <v>181</v>
      </c>
      <c r="J151" s="2394"/>
      <c r="K151" s="2394">
        <v>90</v>
      </c>
      <c r="L151" s="2395">
        <v>42914</v>
      </c>
      <c r="M151" s="2394">
        <v>7</v>
      </c>
      <c r="N151" s="1347" t="s">
        <v>129</v>
      </c>
    </row>
    <row r="152" spans="1:14" s="647" customFormat="1" ht="15.95" customHeight="1">
      <c r="A152" s="1344" t="s">
        <v>1355</v>
      </c>
      <c r="B152" s="1344" t="s">
        <v>711</v>
      </c>
      <c r="C152" s="1344" t="s">
        <v>1458</v>
      </c>
      <c r="D152" s="1344"/>
      <c r="E152" s="682"/>
      <c r="F152" s="392" t="str">
        <f t="shared" si="2"/>
        <v>Nut 35CrMoM48</v>
      </c>
      <c r="G152" s="2394">
        <v>60000</v>
      </c>
      <c r="H152" s="2401">
        <v>0.1</v>
      </c>
      <c r="I152" s="2394" t="s">
        <v>181</v>
      </c>
      <c r="J152" s="2394"/>
      <c r="K152" s="2394">
        <v>90</v>
      </c>
      <c r="L152" s="2395">
        <v>42914</v>
      </c>
      <c r="M152" s="2394">
        <v>7</v>
      </c>
      <c r="N152" s="1347" t="s">
        <v>129</v>
      </c>
    </row>
    <row r="153" spans="1:14" s="647" customFormat="1" ht="15.95" customHeight="1">
      <c r="A153" s="1344" t="s">
        <v>1357</v>
      </c>
      <c r="B153" s="1344" t="s">
        <v>1454</v>
      </c>
      <c r="C153" s="1344" t="s">
        <v>1455</v>
      </c>
      <c r="D153" s="1344"/>
      <c r="E153" s="682"/>
      <c r="F153" s="392" t="str">
        <f t="shared" si="2"/>
        <v>Stud30CrMoAØ70</v>
      </c>
      <c r="G153" s="2394">
        <v>60000</v>
      </c>
      <c r="H153" s="2401">
        <v>0.1</v>
      </c>
      <c r="I153" s="2394" t="s">
        <v>181</v>
      </c>
      <c r="J153" s="2394"/>
      <c r="K153" s="2394">
        <v>90</v>
      </c>
      <c r="L153" s="2395">
        <v>42914</v>
      </c>
      <c r="M153" s="2394">
        <v>7</v>
      </c>
      <c r="N153" s="1347" t="s">
        <v>129</v>
      </c>
    </row>
    <row r="154" spans="1:14" s="647" customFormat="1" ht="15.95" customHeight="1">
      <c r="A154" s="1344" t="s">
        <v>1358</v>
      </c>
      <c r="B154" s="1344" t="s">
        <v>589</v>
      </c>
      <c r="C154" s="1344" t="s">
        <v>1456</v>
      </c>
      <c r="D154" s="1344"/>
      <c r="E154" s="682"/>
      <c r="F154" s="392" t="str">
        <f t="shared" si="2"/>
        <v>PinSA-387M Gr22CL2Ø12</v>
      </c>
      <c r="G154" s="2400">
        <v>60000</v>
      </c>
      <c r="H154" s="2401">
        <v>0.1</v>
      </c>
      <c r="I154" s="2394" t="s">
        <v>181</v>
      </c>
      <c r="J154" s="2394"/>
      <c r="K154" s="2394">
        <v>90</v>
      </c>
      <c r="L154" s="2395">
        <v>42914</v>
      </c>
      <c r="M154" s="2394">
        <v>7</v>
      </c>
      <c r="N154" s="1347" t="s">
        <v>129</v>
      </c>
    </row>
    <row r="155" spans="1:14" s="647" customFormat="1" ht="15.95" customHeight="1">
      <c r="A155" s="1344" t="s">
        <v>1359</v>
      </c>
      <c r="B155" s="1344" t="s">
        <v>712</v>
      </c>
      <c r="C155" s="1344"/>
      <c r="D155" s="1344" t="s">
        <v>1459</v>
      </c>
      <c r="E155" s="682"/>
      <c r="F155" s="392" t="str">
        <f t="shared" si="2"/>
        <v>WasherQ345BØ130/Ø70</v>
      </c>
      <c r="G155" s="2394">
        <v>60000</v>
      </c>
      <c r="H155" s="2401">
        <v>0.1</v>
      </c>
      <c r="I155" s="2394" t="s">
        <v>181</v>
      </c>
      <c r="J155" s="2394"/>
      <c r="K155" s="2394">
        <v>90</v>
      </c>
      <c r="L155" s="2395">
        <v>42914</v>
      </c>
      <c r="M155" s="2394">
        <v>7</v>
      </c>
      <c r="N155" s="1347" t="s">
        <v>129</v>
      </c>
    </row>
    <row r="156" spans="1:14" s="647" customFormat="1" ht="15.95" customHeight="1">
      <c r="A156" s="1344" t="s">
        <v>1353</v>
      </c>
      <c r="B156" s="1344" t="s">
        <v>1452</v>
      </c>
      <c r="C156" s="1344">
        <v>90</v>
      </c>
      <c r="D156" s="1344">
        <v>15</v>
      </c>
      <c r="E156" s="682"/>
      <c r="F156" s="392" t="str">
        <f t="shared" si="2"/>
        <v>End capSA-182M F919015</v>
      </c>
      <c r="G156" s="2394">
        <v>80000</v>
      </c>
      <c r="H156" s="2401">
        <v>0.1</v>
      </c>
      <c r="I156" s="2394" t="s">
        <v>181</v>
      </c>
      <c r="J156" s="2394"/>
      <c r="K156" s="2394">
        <v>90</v>
      </c>
      <c r="L156" s="2395">
        <v>42914</v>
      </c>
      <c r="M156" s="2394">
        <v>7</v>
      </c>
      <c r="N156" s="1347" t="s">
        <v>129</v>
      </c>
    </row>
    <row r="157" spans="1:14" s="647" customFormat="1" ht="15.95" customHeight="1">
      <c r="A157" s="1344" t="s">
        <v>708</v>
      </c>
      <c r="B157" s="1344" t="s">
        <v>1452</v>
      </c>
      <c r="C157" s="1344">
        <v>90</v>
      </c>
      <c r="D157" s="1344">
        <v>15</v>
      </c>
      <c r="E157" s="682"/>
      <c r="F157" s="392" t="str">
        <f t="shared" si="2"/>
        <v>NozzlesSA-182M F919015</v>
      </c>
      <c r="G157" s="2394">
        <v>80000</v>
      </c>
      <c r="H157" s="2401">
        <v>0.1</v>
      </c>
      <c r="I157" s="2394" t="s">
        <v>181</v>
      </c>
      <c r="J157" s="2394"/>
      <c r="K157" s="2394">
        <v>90</v>
      </c>
      <c r="L157" s="2395">
        <v>42914</v>
      </c>
      <c r="M157" s="2394">
        <v>7</v>
      </c>
      <c r="N157" s="1347" t="s">
        <v>129</v>
      </c>
    </row>
    <row r="158" spans="1:14" s="647" customFormat="1" ht="15.95" customHeight="1">
      <c r="A158" s="1344" t="s">
        <v>708</v>
      </c>
      <c r="B158" s="1344" t="s">
        <v>1452</v>
      </c>
      <c r="C158" s="1344">
        <v>60.3</v>
      </c>
      <c r="D158" s="1344">
        <v>5.85</v>
      </c>
      <c r="E158" s="682"/>
      <c r="F158" s="392" t="str">
        <f t="shared" si="2"/>
        <v>NozzlesSA-182M F9160.35.85</v>
      </c>
      <c r="G158" s="2394">
        <v>80000</v>
      </c>
      <c r="H158" s="2401">
        <v>0.1</v>
      </c>
      <c r="I158" s="2394" t="s">
        <v>181</v>
      </c>
      <c r="J158" s="2394"/>
      <c r="K158" s="2394">
        <v>90</v>
      </c>
      <c r="L158" s="2395">
        <v>42914</v>
      </c>
      <c r="M158" s="2394">
        <v>7</v>
      </c>
      <c r="N158" s="1347" t="s">
        <v>129</v>
      </c>
    </row>
    <row r="159" spans="1:14" s="647" customFormat="1" ht="15.95" customHeight="1">
      <c r="A159" s="1344" t="s">
        <v>1353</v>
      </c>
      <c r="B159" s="1344" t="s">
        <v>1452</v>
      </c>
      <c r="C159" s="1344">
        <v>90</v>
      </c>
      <c r="D159" s="1344">
        <v>15</v>
      </c>
      <c r="E159" s="682"/>
      <c r="F159" s="392" t="str">
        <f t="shared" si="2"/>
        <v>End capSA-182M F919015</v>
      </c>
      <c r="G159" s="2394">
        <v>80000</v>
      </c>
      <c r="H159" s="2401">
        <v>0.1</v>
      </c>
      <c r="I159" s="2394" t="s">
        <v>181</v>
      </c>
      <c r="J159" s="2394"/>
      <c r="K159" s="2394">
        <v>90</v>
      </c>
      <c r="L159" s="2395">
        <v>42914</v>
      </c>
      <c r="M159" s="2394">
        <v>7</v>
      </c>
      <c r="N159" s="1347" t="s">
        <v>129</v>
      </c>
    </row>
    <row r="160" spans="1:14" s="647" customFormat="1" ht="15.95" customHeight="1">
      <c r="A160" s="1344" t="s">
        <v>708</v>
      </c>
      <c r="B160" s="1344" t="s">
        <v>1452</v>
      </c>
      <c r="C160" s="1344">
        <v>90</v>
      </c>
      <c r="D160" s="1344">
        <v>15</v>
      </c>
      <c r="E160" s="682"/>
      <c r="F160" s="392" t="str">
        <f t="shared" si="2"/>
        <v>NozzlesSA-182M F919015</v>
      </c>
      <c r="G160" s="2394">
        <v>80000</v>
      </c>
      <c r="H160" s="2401">
        <v>0.1</v>
      </c>
      <c r="I160" s="2394" t="s">
        <v>181</v>
      </c>
      <c r="J160" s="2394"/>
      <c r="K160" s="2394">
        <v>90</v>
      </c>
      <c r="L160" s="2395">
        <v>42914</v>
      </c>
      <c r="M160" s="2394">
        <v>7</v>
      </c>
      <c r="N160" s="1347" t="s">
        <v>129</v>
      </c>
    </row>
    <row r="161" spans="1:14" s="647" customFormat="1" ht="15.95" customHeight="1">
      <c r="A161" s="1344" t="s">
        <v>1354</v>
      </c>
      <c r="B161" s="1344" t="s">
        <v>1452</v>
      </c>
      <c r="C161" s="1344">
        <v>50</v>
      </c>
      <c r="D161" s="1344"/>
      <c r="E161" s="682"/>
      <c r="F161" s="392" t="str">
        <f t="shared" si="2"/>
        <v>HangerSA-182M F9150</v>
      </c>
      <c r="G161" s="2394">
        <v>80000</v>
      </c>
      <c r="H161" s="2401">
        <v>0.1</v>
      </c>
      <c r="I161" s="2394" t="s">
        <v>181</v>
      </c>
      <c r="J161" s="2394"/>
      <c r="K161" s="2394">
        <v>90</v>
      </c>
      <c r="L161" s="2395">
        <v>42914</v>
      </c>
      <c r="M161" s="2394">
        <v>7</v>
      </c>
      <c r="N161" s="1347" t="s">
        <v>129</v>
      </c>
    </row>
    <row r="162" spans="1:14" s="647" customFormat="1" ht="15.95" customHeight="1">
      <c r="A162" s="1344" t="s">
        <v>1355</v>
      </c>
      <c r="B162" s="1344" t="s">
        <v>711</v>
      </c>
      <c r="C162" s="1344" t="s">
        <v>1458</v>
      </c>
      <c r="D162" s="1344"/>
      <c r="E162" s="682"/>
      <c r="F162" s="392" t="str">
        <f t="shared" si="2"/>
        <v>Nut 35CrMoM48</v>
      </c>
      <c r="G162" s="2394">
        <v>60000</v>
      </c>
      <c r="H162" s="2401">
        <v>0.1</v>
      </c>
      <c r="I162" s="2394" t="s">
        <v>181</v>
      </c>
      <c r="J162" s="2394"/>
      <c r="K162" s="2394">
        <v>90</v>
      </c>
      <c r="L162" s="2395">
        <v>42914</v>
      </c>
      <c r="M162" s="2394">
        <v>7</v>
      </c>
      <c r="N162" s="1347" t="s">
        <v>129</v>
      </c>
    </row>
    <row r="163" spans="1:14" s="647" customFormat="1" ht="15.95" customHeight="1">
      <c r="A163" s="1344" t="s">
        <v>1357</v>
      </c>
      <c r="B163" s="1344" t="s">
        <v>1454</v>
      </c>
      <c r="C163" s="1344" t="s">
        <v>1455</v>
      </c>
      <c r="D163" s="1344"/>
      <c r="E163" s="682"/>
      <c r="F163" s="392" t="str">
        <f t="shared" si="2"/>
        <v>Stud30CrMoAØ70</v>
      </c>
      <c r="G163" s="2394">
        <v>60000</v>
      </c>
      <c r="H163" s="2401">
        <v>0.1</v>
      </c>
      <c r="I163" s="2394" t="s">
        <v>181</v>
      </c>
      <c r="J163" s="2394"/>
      <c r="K163" s="2394">
        <v>90</v>
      </c>
      <c r="L163" s="2395">
        <v>42914</v>
      </c>
      <c r="M163" s="2394">
        <v>7</v>
      </c>
      <c r="N163" s="1347" t="s">
        <v>129</v>
      </c>
    </row>
    <row r="164" spans="1:14" s="647" customFormat="1" ht="15.95" customHeight="1">
      <c r="A164" s="1344" t="s">
        <v>1358</v>
      </c>
      <c r="B164" s="1344" t="s">
        <v>589</v>
      </c>
      <c r="C164" s="1344" t="s">
        <v>1456</v>
      </c>
      <c r="D164" s="1344"/>
      <c r="E164" s="682"/>
      <c r="F164" s="392" t="str">
        <f t="shared" si="2"/>
        <v>PinSA-387M Gr22CL2Ø12</v>
      </c>
      <c r="G164" s="2400">
        <v>60000</v>
      </c>
      <c r="H164" s="2401">
        <v>0.1</v>
      </c>
      <c r="I164" s="2394" t="s">
        <v>181</v>
      </c>
      <c r="J164" s="2394"/>
      <c r="K164" s="2394">
        <v>90</v>
      </c>
      <c r="L164" s="2395">
        <v>42914</v>
      </c>
      <c r="M164" s="2394">
        <v>7</v>
      </c>
      <c r="N164" s="1347" t="s">
        <v>129</v>
      </c>
    </row>
    <row r="165" spans="1:14" s="647" customFormat="1" ht="15.95" customHeight="1">
      <c r="A165" s="1344" t="s">
        <v>1359</v>
      </c>
      <c r="B165" s="1344" t="s">
        <v>712</v>
      </c>
      <c r="C165" s="1344"/>
      <c r="D165" s="1344" t="s">
        <v>1459</v>
      </c>
      <c r="E165" s="682"/>
      <c r="F165" s="392" t="str">
        <f t="shared" si="2"/>
        <v>WasherQ345BØ130/Ø70</v>
      </c>
      <c r="G165" s="2394">
        <v>60000</v>
      </c>
      <c r="H165" s="2401">
        <v>0.1</v>
      </c>
      <c r="I165" s="2394" t="s">
        <v>181</v>
      </c>
      <c r="J165" s="2394"/>
      <c r="K165" s="2394">
        <v>90</v>
      </c>
      <c r="L165" s="2395">
        <v>42914</v>
      </c>
      <c r="M165" s="2394">
        <v>7</v>
      </c>
      <c r="N165" s="1347" t="s">
        <v>129</v>
      </c>
    </row>
    <row r="166" spans="1:14" s="647" customFormat="1" ht="15.95" customHeight="1">
      <c r="A166" s="1344" t="s">
        <v>1354</v>
      </c>
      <c r="B166" s="1344" t="s">
        <v>1461</v>
      </c>
      <c r="C166" s="1344">
        <v>50</v>
      </c>
      <c r="D166" s="1344"/>
      <c r="E166" s="682"/>
      <c r="F166" s="392" t="str">
        <f t="shared" si="2"/>
        <v>HangerSA-182M F9250</v>
      </c>
      <c r="G166" s="2394">
        <v>80000</v>
      </c>
      <c r="H166" s="2401">
        <v>0.1</v>
      </c>
      <c r="I166" s="2394" t="s">
        <v>181</v>
      </c>
      <c r="J166" s="2394"/>
      <c r="K166" s="2394">
        <v>90</v>
      </c>
      <c r="L166" s="2395">
        <v>42914</v>
      </c>
      <c r="M166" s="2394">
        <v>7</v>
      </c>
      <c r="N166" s="1347" t="s">
        <v>129</v>
      </c>
    </row>
    <row r="167" spans="1:14" s="647" customFormat="1" ht="15.95" customHeight="1">
      <c r="A167" s="1344" t="s">
        <v>1355</v>
      </c>
      <c r="B167" s="1344" t="s">
        <v>711</v>
      </c>
      <c r="C167" s="1344" t="s">
        <v>1458</v>
      </c>
      <c r="D167" s="1344"/>
      <c r="E167" s="682"/>
      <c r="F167" s="392" t="str">
        <f t="shared" si="2"/>
        <v>Nut 35CrMoM48</v>
      </c>
      <c r="G167" s="2394">
        <v>60000</v>
      </c>
      <c r="H167" s="2401">
        <v>0.1</v>
      </c>
      <c r="I167" s="2394" t="s">
        <v>181</v>
      </c>
      <c r="J167" s="2394"/>
      <c r="K167" s="2394">
        <v>90</v>
      </c>
      <c r="L167" s="2395">
        <v>42914</v>
      </c>
      <c r="M167" s="2394">
        <v>7</v>
      </c>
      <c r="N167" s="1347" t="s">
        <v>129</v>
      </c>
    </row>
    <row r="168" spans="1:14" s="647" customFormat="1" ht="15.95" customHeight="1">
      <c r="A168" s="1344" t="s">
        <v>1357</v>
      </c>
      <c r="B168" s="1344" t="s">
        <v>1454</v>
      </c>
      <c r="C168" s="1344" t="s">
        <v>1455</v>
      </c>
      <c r="D168" s="1344"/>
      <c r="E168" s="682"/>
      <c r="F168" s="392" t="str">
        <f t="shared" si="2"/>
        <v>Stud30CrMoAØ70</v>
      </c>
      <c r="G168" s="2394">
        <v>60000</v>
      </c>
      <c r="H168" s="2401">
        <v>0.1</v>
      </c>
      <c r="I168" s="2394" t="s">
        <v>181</v>
      </c>
      <c r="J168" s="2394"/>
      <c r="K168" s="2394">
        <v>90</v>
      </c>
      <c r="L168" s="2395">
        <v>42914</v>
      </c>
      <c r="M168" s="2394">
        <v>7</v>
      </c>
      <c r="N168" s="1347" t="s">
        <v>129</v>
      </c>
    </row>
    <row r="169" spans="1:14" s="647" customFormat="1" ht="15.95" customHeight="1">
      <c r="A169" s="1344" t="s">
        <v>1358</v>
      </c>
      <c r="B169" s="1344" t="s">
        <v>589</v>
      </c>
      <c r="C169" s="1344" t="s">
        <v>1456</v>
      </c>
      <c r="D169" s="1344"/>
      <c r="E169" s="682"/>
      <c r="F169" s="392" t="str">
        <f t="shared" si="2"/>
        <v>PinSA-387M Gr22CL2Ø12</v>
      </c>
      <c r="G169" s="2400">
        <v>60000</v>
      </c>
      <c r="H169" s="2401">
        <v>0.1</v>
      </c>
      <c r="I169" s="2394" t="s">
        <v>181</v>
      </c>
      <c r="J169" s="2394"/>
      <c r="K169" s="2394">
        <v>90</v>
      </c>
      <c r="L169" s="2395">
        <v>42914</v>
      </c>
      <c r="M169" s="2394">
        <v>7</v>
      </c>
      <c r="N169" s="1347" t="s">
        <v>129</v>
      </c>
    </row>
    <row r="170" spans="1:14" s="647" customFormat="1" ht="15.95" customHeight="1">
      <c r="A170" s="1344" t="s">
        <v>1359</v>
      </c>
      <c r="B170" s="1344" t="s">
        <v>712</v>
      </c>
      <c r="C170" s="1344"/>
      <c r="D170" s="1344" t="s">
        <v>1459</v>
      </c>
      <c r="E170" s="682"/>
      <c r="F170" s="392" t="str">
        <f t="shared" si="2"/>
        <v>WasherQ345BØ130/Ø70</v>
      </c>
      <c r="G170" s="2394">
        <v>60000</v>
      </c>
      <c r="H170" s="2401">
        <v>0.1</v>
      </c>
      <c r="I170" s="2394" t="s">
        <v>181</v>
      </c>
      <c r="J170" s="2394"/>
      <c r="K170" s="2394">
        <v>90</v>
      </c>
      <c r="L170" s="2395">
        <v>42914</v>
      </c>
      <c r="M170" s="2394">
        <v>7</v>
      </c>
      <c r="N170" s="1347" t="s">
        <v>129</v>
      </c>
    </row>
    <row r="171" spans="1:14" s="647" customFormat="1" ht="15.95" customHeight="1">
      <c r="A171" s="1344" t="s">
        <v>1353</v>
      </c>
      <c r="B171" s="1344" t="s">
        <v>1452</v>
      </c>
      <c r="C171" s="1344">
        <v>90</v>
      </c>
      <c r="D171" s="1344">
        <v>15</v>
      </c>
      <c r="E171" s="682"/>
      <c r="F171" s="392" t="str">
        <f t="shared" si="2"/>
        <v>End capSA-182M F919015</v>
      </c>
      <c r="G171" s="2394">
        <v>80000</v>
      </c>
      <c r="H171" s="2401">
        <v>0.1</v>
      </c>
      <c r="I171" s="2394" t="s">
        <v>181</v>
      </c>
      <c r="J171" s="2394"/>
      <c r="K171" s="2394">
        <v>90</v>
      </c>
      <c r="L171" s="2395">
        <v>42914</v>
      </c>
      <c r="M171" s="2394">
        <v>7</v>
      </c>
      <c r="N171" s="1347" t="s">
        <v>129</v>
      </c>
    </row>
    <row r="172" spans="1:14" s="647" customFormat="1" ht="15.95" customHeight="1">
      <c r="A172" s="1344" t="s">
        <v>708</v>
      </c>
      <c r="B172" s="1344" t="s">
        <v>1452</v>
      </c>
      <c r="C172" s="1344">
        <v>90</v>
      </c>
      <c r="D172" s="1344">
        <v>15</v>
      </c>
      <c r="E172" s="682"/>
      <c r="F172" s="392" t="str">
        <f t="shared" si="2"/>
        <v>NozzlesSA-182M F919015</v>
      </c>
      <c r="G172" s="2394">
        <v>80000</v>
      </c>
      <c r="H172" s="2401">
        <v>0.1</v>
      </c>
      <c r="I172" s="2394" t="s">
        <v>181</v>
      </c>
      <c r="J172" s="2394"/>
      <c r="K172" s="2394">
        <v>90</v>
      </c>
      <c r="L172" s="2395">
        <v>42914</v>
      </c>
      <c r="M172" s="2394">
        <v>7</v>
      </c>
      <c r="N172" s="1347" t="s">
        <v>129</v>
      </c>
    </row>
    <row r="173" spans="1:14" s="647" customFormat="1" ht="15.95" customHeight="1">
      <c r="A173" s="1344" t="s">
        <v>1360</v>
      </c>
      <c r="B173" s="1344" t="s">
        <v>1452</v>
      </c>
      <c r="C173" s="1344" t="s">
        <v>1462</v>
      </c>
      <c r="D173" s="1344"/>
      <c r="E173" s="682"/>
      <c r="F173" s="392" t="str">
        <f t="shared" si="2"/>
        <v>Support SA-182M F91Ø160</v>
      </c>
      <c r="G173" s="2394">
        <v>80000</v>
      </c>
      <c r="H173" s="2401">
        <v>0.1</v>
      </c>
      <c r="I173" s="2394" t="s">
        <v>181</v>
      </c>
      <c r="J173" s="2394"/>
      <c r="K173" s="2394">
        <v>90</v>
      </c>
      <c r="L173" s="2395">
        <v>42914</v>
      </c>
      <c r="M173" s="2394">
        <v>7</v>
      </c>
      <c r="N173" s="1347" t="s">
        <v>129</v>
      </c>
    </row>
    <row r="174" spans="1:14" s="647" customFormat="1" ht="15.95" customHeight="1">
      <c r="A174" s="1344" t="s">
        <v>708</v>
      </c>
      <c r="B174" s="1344" t="s">
        <v>1461</v>
      </c>
      <c r="C174" s="1344">
        <v>60.3</v>
      </c>
      <c r="D174" s="1344">
        <v>5.85</v>
      </c>
      <c r="E174" s="682"/>
      <c r="F174" s="392" t="str">
        <f t="shared" si="2"/>
        <v>NozzlesSA-182M F9260.35.85</v>
      </c>
      <c r="G174" s="2394">
        <v>80000</v>
      </c>
      <c r="H174" s="2401">
        <v>0.1</v>
      </c>
      <c r="I174" s="2394" t="s">
        <v>181</v>
      </c>
      <c r="J174" s="2394"/>
      <c r="K174" s="2394">
        <v>90</v>
      </c>
      <c r="L174" s="2395">
        <v>42914</v>
      </c>
      <c r="M174" s="2394">
        <v>7</v>
      </c>
      <c r="N174" s="1347" t="s">
        <v>129</v>
      </c>
    </row>
    <row r="175" spans="1:14" s="647" customFormat="1" ht="15.95" customHeight="1">
      <c r="A175" s="1344" t="s">
        <v>1353</v>
      </c>
      <c r="B175" s="1344" t="s">
        <v>1461</v>
      </c>
      <c r="C175" s="1344">
        <v>90</v>
      </c>
      <c r="D175" s="1344">
        <v>15</v>
      </c>
      <c r="E175" s="682"/>
      <c r="F175" s="392" t="str">
        <f t="shared" si="2"/>
        <v>End capSA-182M F929015</v>
      </c>
      <c r="G175" s="2394">
        <v>80000</v>
      </c>
      <c r="H175" s="2401">
        <v>0.1</v>
      </c>
      <c r="I175" s="2394" t="s">
        <v>181</v>
      </c>
      <c r="J175" s="2394"/>
      <c r="K175" s="2394">
        <v>90</v>
      </c>
      <c r="L175" s="2395">
        <v>42914</v>
      </c>
      <c r="M175" s="2394">
        <v>7</v>
      </c>
      <c r="N175" s="1347" t="s">
        <v>129</v>
      </c>
    </row>
    <row r="176" spans="1:14" s="647" customFormat="1" ht="15.95" customHeight="1">
      <c r="A176" s="1344" t="s">
        <v>708</v>
      </c>
      <c r="B176" s="1344" t="s">
        <v>1461</v>
      </c>
      <c r="C176" s="1344">
        <v>90</v>
      </c>
      <c r="D176" s="1344">
        <v>15</v>
      </c>
      <c r="E176" s="682"/>
      <c r="F176" s="392" t="str">
        <f t="shared" ref="F176:F239" si="3">A176&amp;B176&amp;C176&amp;D176</f>
        <v>NozzlesSA-182M F929015</v>
      </c>
      <c r="G176" s="2394">
        <v>80000</v>
      </c>
      <c r="H176" s="2401">
        <v>0.1</v>
      </c>
      <c r="I176" s="2394" t="s">
        <v>181</v>
      </c>
      <c r="J176" s="2394"/>
      <c r="K176" s="2394">
        <v>90</v>
      </c>
      <c r="L176" s="2395">
        <v>42914</v>
      </c>
      <c r="M176" s="2394">
        <v>7</v>
      </c>
      <c r="N176" s="1347" t="s">
        <v>129</v>
      </c>
    </row>
    <row r="177" spans="1:14" s="647" customFormat="1" ht="15.95" customHeight="1">
      <c r="A177" s="1344" t="s">
        <v>1361</v>
      </c>
      <c r="B177" s="1344" t="s">
        <v>1461</v>
      </c>
      <c r="C177" s="1344">
        <v>12</v>
      </c>
      <c r="D177" s="1344"/>
      <c r="E177" s="682"/>
      <c r="F177" s="392" t="str">
        <f t="shared" si="3"/>
        <v>Round BarSA-182M F9212</v>
      </c>
      <c r="G177" s="2394">
        <v>80000</v>
      </c>
      <c r="H177" s="2401">
        <v>0.1</v>
      </c>
      <c r="I177" s="2394" t="s">
        <v>181</v>
      </c>
      <c r="J177" s="2394"/>
      <c r="K177" s="2394">
        <v>90</v>
      </c>
      <c r="L177" s="2395">
        <v>42914</v>
      </c>
      <c r="M177" s="2394">
        <v>7</v>
      </c>
      <c r="N177" s="1347" t="s">
        <v>129</v>
      </c>
    </row>
    <row r="178" spans="1:14" s="647" customFormat="1" ht="15.95" customHeight="1">
      <c r="A178" s="1344" t="s">
        <v>1361</v>
      </c>
      <c r="B178" s="1344" t="s">
        <v>1461</v>
      </c>
      <c r="C178" s="1344">
        <v>64</v>
      </c>
      <c r="D178" s="1344"/>
      <c r="E178" s="682"/>
      <c r="F178" s="392" t="str">
        <f t="shared" si="3"/>
        <v>Round BarSA-182M F9264</v>
      </c>
      <c r="G178" s="2394">
        <v>80000</v>
      </c>
      <c r="H178" s="2401">
        <v>0.1</v>
      </c>
      <c r="I178" s="2394" t="s">
        <v>181</v>
      </c>
      <c r="J178" s="2394"/>
      <c r="K178" s="2394">
        <v>90</v>
      </c>
      <c r="L178" s="2395">
        <v>42914</v>
      </c>
      <c r="M178" s="2394">
        <v>7</v>
      </c>
      <c r="N178" s="1347" t="s">
        <v>129</v>
      </c>
    </row>
    <row r="179" spans="1:14" s="647" customFormat="1" ht="15.95" customHeight="1">
      <c r="A179" s="1344" t="s">
        <v>1361</v>
      </c>
      <c r="B179" s="1344" t="s">
        <v>1461</v>
      </c>
      <c r="C179" s="1344">
        <v>64</v>
      </c>
      <c r="D179" s="1344"/>
      <c r="E179" s="682"/>
      <c r="F179" s="392" t="str">
        <f t="shared" si="3"/>
        <v>Round BarSA-182M F9264</v>
      </c>
      <c r="G179" s="2394">
        <v>80000</v>
      </c>
      <c r="H179" s="2401">
        <v>0.1</v>
      </c>
      <c r="I179" s="2394" t="s">
        <v>181</v>
      </c>
      <c r="J179" s="2394"/>
      <c r="K179" s="2394">
        <v>90</v>
      </c>
      <c r="L179" s="2395">
        <v>42914</v>
      </c>
      <c r="M179" s="2394">
        <v>7</v>
      </c>
      <c r="N179" s="1347" t="s">
        <v>129</v>
      </c>
    </row>
    <row r="180" spans="1:14" s="647" customFormat="1" ht="15.95" customHeight="1">
      <c r="A180" s="1344" t="s">
        <v>1356</v>
      </c>
      <c r="B180" s="1344" t="s">
        <v>1461</v>
      </c>
      <c r="C180" s="1344"/>
      <c r="D180" s="1344" t="s">
        <v>1463</v>
      </c>
      <c r="E180" s="682"/>
      <c r="F180" s="392" t="str">
        <f t="shared" si="3"/>
        <v>NutSA-182M F92150×100</v>
      </c>
      <c r="G180" s="2394">
        <v>80000</v>
      </c>
      <c r="H180" s="2401">
        <v>0.1</v>
      </c>
      <c r="I180" s="2394" t="s">
        <v>181</v>
      </c>
      <c r="J180" s="2394"/>
      <c r="K180" s="2394">
        <v>90</v>
      </c>
      <c r="L180" s="2395">
        <v>42914</v>
      </c>
      <c r="M180" s="2394">
        <v>7</v>
      </c>
      <c r="N180" s="1347" t="s">
        <v>129</v>
      </c>
    </row>
    <row r="181" spans="1:14" s="647" customFormat="1" ht="15.95" customHeight="1">
      <c r="A181" s="1344" t="s">
        <v>1356</v>
      </c>
      <c r="B181" s="1344" t="s">
        <v>1461</v>
      </c>
      <c r="C181" s="1344" t="s">
        <v>1464</v>
      </c>
      <c r="D181" s="1344"/>
      <c r="E181" s="682"/>
      <c r="F181" s="392" t="str">
        <f t="shared" si="3"/>
        <v>NutSA-182M F92M64</v>
      </c>
      <c r="G181" s="2394">
        <v>80000</v>
      </c>
      <c r="H181" s="2401">
        <v>0.1</v>
      </c>
      <c r="I181" s="2394" t="s">
        <v>181</v>
      </c>
      <c r="J181" s="2394"/>
      <c r="K181" s="2394">
        <v>90</v>
      </c>
      <c r="L181" s="2395">
        <v>42914</v>
      </c>
      <c r="M181" s="2394">
        <v>7</v>
      </c>
      <c r="N181" s="1347" t="s">
        <v>129</v>
      </c>
    </row>
    <row r="182" spans="1:14" s="647" customFormat="1" ht="15.95" customHeight="1">
      <c r="A182" s="1344" t="s">
        <v>1361</v>
      </c>
      <c r="B182" s="1344" t="s">
        <v>712</v>
      </c>
      <c r="C182" s="1344">
        <v>160</v>
      </c>
      <c r="D182" s="1344"/>
      <c r="E182" s="682"/>
      <c r="F182" s="392" t="str">
        <f t="shared" si="3"/>
        <v>Round BarQ345B160</v>
      </c>
      <c r="G182" s="2394">
        <v>60000</v>
      </c>
      <c r="H182" s="2401">
        <v>0.1</v>
      </c>
      <c r="I182" s="2394" t="s">
        <v>181</v>
      </c>
      <c r="J182" s="2394"/>
      <c r="K182" s="2394">
        <v>90</v>
      </c>
      <c r="L182" s="2395">
        <v>42914</v>
      </c>
      <c r="M182" s="2394">
        <v>7</v>
      </c>
      <c r="N182" s="1347" t="s">
        <v>129</v>
      </c>
    </row>
    <row r="183" spans="1:14" s="647" customFormat="1" ht="15.95" customHeight="1">
      <c r="A183" s="1344" t="s">
        <v>1358</v>
      </c>
      <c r="B183" s="1344" t="s">
        <v>589</v>
      </c>
      <c r="C183" s="1344" t="s">
        <v>1465</v>
      </c>
      <c r="D183" s="1344"/>
      <c r="E183" s="682"/>
      <c r="F183" s="392" t="str">
        <f t="shared" si="3"/>
        <v>PinSA-387M Gr22CL2Ø3.2</v>
      </c>
      <c r="G183" s="2400">
        <v>60000</v>
      </c>
      <c r="H183" s="2401">
        <v>0.1</v>
      </c>
      <c r="I183" s="2394" t="s">
        <v>181</v>
      </c>
      <c r="J183" s="2394"/>
      <c r="K183" s="2394">
        <v>90</v>
      </c>
      <c r="L183" s="2395">
        <v>42914</v>
      </c>
      <c r="M183" s="2394">
        <v>7</v>
      </c>
      <c r="N183" s="1347" t="s">
        <v>129</v>
      </c>
    </row>
    <row r="184" spans="1:14" s="647" customFormat="1" ht="15.95" customHeight="1">
      <c r="A184" s="1344" t="s">
        <v>1359</v>
      </c>
      <c r="B184" s="1344" t="s">
        <v>589</v>
      </c>
      <c r="C184" s="1344"/>
      <c r="D184" s="1344" t="s">
        <v>1466</v>
      </c>
      <c r="E184" s="682"/>
      <c r="F184" s="392" t="str">
        <f t="shared" si="3"/>
        <v>WasherSA-387M Gr22CL2Ø24/Ø13</v>
      </c>
      <c r="G184" s="2400">
        <v>60000</v>
      </c>
      <c r="H184" s="2401">
        <v>0.1</v>
      </c>
      <c r="I184" s="2394" t="s">
        <v>181</v>
      </c>
      <c r="J184" s="2394"/>
      <c r="K184" s="2394">
        <v>90</v>
      </c>
      <c r="L184" s="2395">
        <v>42914</v>
      </c>
      <c r="M184" s="2394">
        <v>7</v>
      </c>
      <c r="N184" s="1347" t="s">
        <v>129</v>
      </c>
    </row>
    <row r="185" spans="1:14" s="647" customFormat="1" ht="15.95" customHeight="1">
      <c r="A185" s="1344" t="s">
        <v>1354</v>
      </c>
      <c r="B185" s="1344" t="s">
        <v>1461</v>
      </c>
      <c r="C185" s="1344">
        <v>50</v>
      </c>
      <c r="D185" s="1344"/>
      <c r="E185" s="682"/>
      <c r="F185" s="392" t="str">
        <f t="shared" si="3"/>
        <v>HangerSA-182M F9250</v>
      </c>
      <c r="G185" s="2394">
        <v>80000</v>
      </c>
      <c r="H185" s="2401">
        <v>0.1</v>
      </c>
      <c r="I185" s="2394" t="s">
        <v>181</v>
      </c>
      <c r="J185" s="2394"/>
      <c r="K185" s="2394">
        <v>90</v>
      </c>
      <c r="L185" s="2395">
        <v>42914</v>
      </c>
      <c r="M185" s="2394">
        <v>7</v>
      </c>
      <c r="N185" s="1347" t="s">
        <v>129</v>
      </c>
    </row>
    <row r="186" spans="1:14" s="647" customFormat="1" ht="15.95" customHeight="1">
      <c r="A186" s="1344" t="s">
        <v>1356</v>
      </c>
      <c r="B186" s="1344" t="s">
        <v>1461</v>
      </c>
      <c r="C186" s="1344">
        <v>48</v>
      </c>
      <c r="D186" s="1344"/>
      <c r="E186" s="682"/>
      <c r="F186" s="392" t="str">
        <f t="shared" si="3"/>
        <v>NutSA-182M F9248</v>
      </c>
      <c r="G186" s="2394">
        <v>80000</v>
      </c>
      <c r="H186" s="2401">
        <v>0.1</v>
      </c>
      <c r="I186" s="2394" t="s">
        <v>181</v>
      </c>
      <c r="J186" s="2394"/>
      <c r="K186" s="2394">
        <v>90</v>
      </c>
      <c r="L186" s="2395">
        <v>42914</v>
      </c>
      <c r="M186" s="2394">
        <v>7</v>
      </c>
      <c r="N186" s="1347" t="s">
        <v>129</v>
      </c>
    </row>
    <row r="187" spans="1:14" s="647" customFormat="1" ht="15.95" customHeight="1">
      <c r="A187" s="1344" t="s">
        <v>1357</v>
      </c>
      <c r="B187" s="1344" t="s">
        <v>1454</v>
      </c>
      <c r="C187" s="1344" t="s">
        <v>1455</v>
      </c>
      <c r="D187" s="1344"/>
      <c r="E187" s="682"/>
      <c r="F187" s="392" t="str">
        <f t="shared" si="3"/>
        <v>Stud30CrMoAØ70</v>
      </c>
      <c r="G187" s="2394">
        <v>60000</v>
      </c>
      <c r="H187" s="2401">
        <v>0.1</v>
      </c>
      <c r="I187" s="2394" t="s">
        <v>181</v>
      </c>
      <c r="J187" s="2394"/>
      <c r="K187" s="2394">
        <v>90</v>
      </c>
      <c r="L187" s="2395">
        <v>42914</v>
      </c>
      <c r="M187" s="2394">
        <v>7</v>
      </c>
      <c r="N187" s="1347" t="s">
        <v>129</v>
      </c>
    </row>
    <row r="188" spans="1:14" s="647" customFormat="1" ht="15.95" customHeight="1">
      <c r="A188" s="1344" t="s">
        <v>1358</v>
      </c>
      <c r="B188" s="1344" t="s">
        <v>589</v>
      </c>
      <c r="C188" s="1344" t="s">
        <v>1456</v>
      </c>
      <c r="D188" s="1344"/>
      <c r="E188" s="682"/>
      <c r="F188" s="392" t="str">
        <f t="shared" si="3"/>
        <v>PinSA-387M Gr22CL2Ø12</v>
      </c>
      <c r="G188" s="2400">
        <v>60000</v>
      </c>
      <c r="H188" s="2401">
        <v>0.1</v>
      </c>
      <c r="I188" s="2394" t="s">
        <v>181</v>
      </c>
      <c r="J188" s="2394"/>
      <c r="K188" s="2394">
        <v>90</v>
      </c>
      <c r="L188" s="2395">
        <v>42914</v>
      </c>
      <c r="M188" s="2394">
        <v>7</v>
      </c>
      <c r="N188" s="1347" t="s">
        <v>129</v>
      </c>
    </row>
    <row r="189" spans="1:14" s="647" customFormat="1" ht="15.95" customHeight="1">
      <c r="A189" s="1344" t="s">
        <v>1359</v>
      </c>
      <c r="B189" s="1344" t="s">
        <v>589</v>
      </c>
      <c r="C189" s="1344"/>
      <c r="D189" s="1344" t="s">
        <v>1459</v>
      </c>
      <c r="E189" s="682"/>
      <c r="F189" s="392" t="str">
        <f t="shared" si="3"/>
        <v>WasherSA-387M Gr22CL2Ø130/Ø70</v>
      </c>
      <c r="G189" s="2400">
        <v>60000</v>
      </c>
      <c r="H189" s="2401">
        <v>0.1</v>
      </c>
      <c r="I189" s="2394" t="s">
        <v>181</v>
      </c>
      <c r="J189" s="2394"/>
      <c r="K189" s="2394">
        <v>90</v>
      </c>
      <c r="L189" s="2395">
        <v>42914</v>
      </c>
      <c r="M189" s="2394">
        <v>7</v>
      </c>
      <c r="N189" s="1347" t="s">
        <v>129</v>
      </c>
    </row>
    <row r="190" spans="1:14" s="647" customFormat="1" ht="15.95" customHeight="1">
      <c r="A190" s="1344" t="s">
        <v>1356</v>
      </c>
      <c r="B190" s="1344" t="s">
        <v>711</v>
      </c>
      <c r="C190" s="1344">
        <v>36</v>
      </c>
      <c r="D190" s="1344"/>
      <c r="E190" s="682"/>
      <c r="F190" s="392" t="str">
        <f t="shared" si="3"/>
        <v>Nut35CrMo36</v>
      </c>
      <c r="G190" s="2394">
        <v>60000</v>
      </c>
      <c r="H190" s="2401">
        <v>0.1</v>
      </c>
      <c r="I190" s="2394" t="s">
        <v>181</v>
      </c>
      <c r="J190" s="2394"/>
      <c r="K190" s="2394">
        <v>90</v>
      </c>
      <c r="L190" s="2395">
        <v>42914</v>
      </c>
      <c r="M190" s="2394">
        <v>7</v>
      </c>
      <c r="N190" s="1347" t="s">
        <v>129</v>
      </c>
    </row>
    <row r="191" spans="1:14" s="647" customFormat="1" ht="15.95" customHeight="1">
      <c r="A191" s="1344" t="s">
        <v>1362</v>
      </c>
      <c r="B191" s="1344" t="s">
        <v>1454</v>
      </c>
      <c r="C191" s="1344"/>
      <c r="D191" s="1344"/>
      <c r="E191" s="682"/>
      <c r="F191" s="392" t="str">
        <f t="shared" si="3"/>
        <v>Blot30CrMoA</v>
      </c>
      <c r="G191" s="2394">
        <v>60000</v>
      </c>
      <c r="H191" s="2401">
        <v>0.1</v>
      </c>
      <c r="I191" s="2394" t="s">
        <v>181</v>
      </c>
      <c r="J191" s="2394"/>
      <c r="K191" s="2394">
        <v>90</v>
      </c>
      <c r="L191" s="2395">
        <v>42914</v>
      </c>
      <c r="M191" s="2394">
        <v>7</v>
      </c>
      <c r="N191" s="1347" t="s">
        <v>129</v>
      </c>
    </row>
    <row r="192" spans="1:14" s="647" customFormat="1" ht="15.95" customHeight="1">
      <c r="A192" s="1344" t="s">
        <v>1353</v>
      </c>
      <c r="B192" s="1344" t="s">
        <v>1452</v>
      </c>
      <c r="C192" s="1344">
        <v>90</v>
      </c>
      <c r="D192" s="1344">
        <v>15</v>
      </c>
      <c r="E192" s="682"/>
      <c r="F192" s="392" t="str">
        <f t="shared" si="3"/>
        <v>End capSA-182M F919015</v>
      </c>
      <c r="G192" s="2394">
        <v>80000</v>
      </c>
      <c r="H192" s="2401">
        <v>0.1</v>
      </c>
      <c r="I192" s="2394" t="s">
        <v>181</v>
      </c>
      <c r="J192" s="2394"/>
      <c r="K192" s="2394">
        <v>90</v>
      </c>
      <c r="L192" s="2395">
        <v>42914</v>
      </c>
      <c r="M192" s="2394">
        <v>7</v>
      </c>
      <c r="N192" s="1347" t="s">
        <v>129</v>
      </c>
    </row>
    <row r="193" spans="1:14" s="647" customFormat="1" ht="15.95" customHeight="1">
      <c r="A193" s="1344" t="s">
        <v>708</v>
      </c>
      <c r="B193" s="1344" t="s">
        <v>1452</v>
      </c>
      <c r="C193" s="1344">
        <v>105</v>
      </c>
      <c r="D193" s="1344">
        <v>22.5</v>
      </c>
      <c r="E193" s="682"/>
      <c r="F193" s="392" t="str">
        <f t="shared" si="3"/>
        <v>NozzlesSA-182M F9110522.5</v>
      </c>
      <c r="G193" s="2394">
        <v>80000</v>
      </c>
      <c r="H193" s="2401">
        <v>0.1</v>
      </c>
      <c r="I193" s="2394" t="s">
        <v>181</v>
      </c>
      <c r="J193" s="2394"/>
      <c r="K193" s="2394">
        <v>90</v>
      </c>
      <c r="L193" s="2395">
        <v>42914</v>
      </c>
      <c r="M193" s="2394">
        <v>7</v>
      </c>
      <c r="N193" s="1347" t="s">
        <v>129</v>
      </c>
    </row>
    <row r="194" spans="1:14" s="647" customFormat="1" ht="15.95" customHeight="1">
      <c r="A194" s="1344" t="s">
        <v>708</v>
      </c>
      <c r="B194" s="1344" t="s">
        <v>1452</v>
      </c>
      <c r="C194" s="1344">
        <v>168</v>
      </c>
      <c r="D194" s="1344">
        <v>30</v>
      </c>
      <c r="E194" s="682"/>
      <c r="F194" s="392" t="str">
        <f t="shared" si="3"/>
        <v>NozzlesSA-182M F9116830</v>
      </c>
      <c r="G194" s="2394">
        <v>80000</v>
      </c>
      <c r="H194" s="2401">
        <v>0.1</v>
      </c>
      <c r="I194" s="2394" t="s">
        <v>181</v>
      </c>
      <c r="J194" s="2394"/>
      <c r="K194" s="2394">
        <v>90</v>
      </c>
      <c r="L194" s="2395">
        <v>42914</v>
      </c>
      <c r="M194" s="2394">
        <v>7</v>
      </c>
      <c r="N194" s="1347" t="s">
        <v>129</v>
      </c>
    </row>
    <row r="195" spans="1:14" s="647" customFormat="1" ht="15.95" customHeight="1">
      <c r="A195" s="1344" t="s">
        <v>1353</v>
      </c>
      <c r="B195" s="1344" t="s">
        <v>1452</v>
      </c>
      <c r="C195" s="1344">
        <v>90</v>
      </c>
      <c r="D195" s="1344">
        <v>15</v>
      </c>
      <c r="E195" s="682"/>
      <c r="F195" s="392" t="str">
        <f t="shared" si="3"/>
        <v>End capSA-182M F919015</v>
      </c>
      <c r="G195" s="2394">
        <v>80000</v>
      </c>
      <c r="H195" s="2401">
        <v>0.1</v>
      </c>
      <c r="I195" s="2394" t="s">
        <v>181</v>
      </c>
      <c r="J195" s="2394"/>
      <c r="K195" s="2394">
        <v>90</v>
      </c>
      <c r="L195" s="2395">
        <v>42914</v>
      </c>
      <c r="M195" s="2394">
        <v>7</v>
      </c>
      <c r="N195" s="1347" t="s">
        <v>129</v>
      </c>
    </row>
    <row r="196" spans="1:14" s="647" customFormat="1" ht="15.95" customHeight="1">
      <c r="A196" s="1344" t="s">
        <v>708</v>
      </c>
      <c r="B196" s="1344" t="s">
        <v>1452</v>
      </c>
      <c r="C196" s="1344">
        <v>105</v>
      </c>
      <c r="D196" s="1344">
        <v>22.5</v>
      </c>
      <c r="E196" s="682"/>
      <c r="F196" s="392" t="str">
        <f t="shared" si="3"/>
        <v>NozzlesSA-182M F9110522.5</v>
      </c>
      <c r="G196" s="2394">
        <v>80000</v>
      </c>
      <c r="H196" s="2401">
        <v>0.1</v>
      </c>
      <c r="I196" s="2394" t="s">
        <v>181</v>
      </c>
      <c r="J196" s="2394"/>
      <c r="K196" s="2394">
        <v>90</v>
      </c>
      <c r="L196" s="2395">
        <v>42914</v>
      </c>
      <c r="M196" s="2394">
        <v>7</v>
      </c>
      <c r="N196" s="1347" t="s">
        <v>129</v>
      </c>
    </row>
    <row r="197" spans="1:14" s="647" customFormat="1" ht="15.95" customHeight="1">
      <c r="A197" s="1344" t="s">
        <v>708</v>
      </c>
      <c r="B197" s="1344" t="s">
        <v>1452</v>
      </c>
      <c r="C197" s="1344">
        <v>168</v>
      </c>
      <c r="D197" s="1344">
        <v>30</v>
      </c>
      <c r="E197" s="682"/>
      <c r="F197" s="392" t="str">
        <f t="shared" si="3"/>
        <v>NozzlesSA-182M F9116830</v>
      </c>
      <c r="G197" s="2394">
        <v>80000</v>
      </c>
      <c r="H197" s="2401">
        <v>0.1</v>
      </c>
      <c r="I197" s="2394" t="s">
        <v>181</v>
      </c>
      <c r="J197" s="2394"/>
      <c r="K197" s="2394">
        <v>90</v>
      </c>
      <c r="L197" s="2395">
        <v>42914</v>
      </c>
      <c r="M197" s="2394">
        <v>7</v>
      </c>
      <c r="N197" s="1347" t="s">
        <v>129</v>
      </c>
    </row>
    <row r="198" spans="1:14" s="647" customFormat="1" ht="15.95" customHeight="1">
      <c r="A198" s="1344" t="s">
        <v>335</v>
      </c>
      <c r="B198" s="1344" t="s">
        <v>1438</v>
      </c>
      <c r="C198" s="1344">
        <v>102</v>
      </c>
      <c r="D198" s="1344">
        <v>6</v>
      </c>
      <c r="E198" s="682"/>
      <c r="F198" s="392" t="str">
        <f t="shared" si="3"/>
        <v>TubeSA-213M T221026</v>
      </c>
      <c r="G198" s="2400">
        <v>60000</v>
      </c>
      <c r="H198" s="2401">
        <v>0.1</v>
      </c>
      <c r="I198" s="2394" t="s">
        <v>181</v>
      </c>
      <c r="J198" s="2394"/>
      <c r="K198" s="2394">
        <v>90</v>
      </c>
      <c r="L198" s="2395">
        <v>42914</v>
      </c>
      <c r="M198" s="2394">
        <v>7</v>
      </c>
      <c r="N198" s="1347" t="s">
        <v>129</v>
      </c>
    </row>
    <row r="199" spans="1:14" s="647" customFormat="1" ht="15.95" customHeight="1">
      <c r="A199" s="1344" t="s">
        <v>1339</v>
      </c>
      <c r="B199" s="1344" t="s">
        <v>1438</v>
      </c>
      <c r="C199" s="1344"/>
      <c r="D199" s="1344"/>
      <c r="E199" s="682"/>
      <c r="F199" s="392" t="str">
        <f t="shared" si="3"/>
        <v>End CapSA-213M T22</v>
      </c>
      <c r="G199" s="2400">
        <v>60000</v>
      </c>
      <c r="H199" s="2401">
        <v>0.1</v>
      </c>
      <c r="I199" s="2394" t="s">
        <v>181</v>
      </c>
      <c r="J199" s="2394"/>
      <c r="K199" s="2394">
        <v>90</v>
      </c>
      <c r="L199" s="2395">
        <v>42914</v>
      </c>
      <c r="M199" s="2394">
        <v>7</v>
      </c>
      <c r="N199" s="1347" t="s">
        <v>129</v>
      </c>
    </row>
    <row r="200" spans="1:14" s="647" customFormat="1" ht="15.95" customHeight="1">
      <c r="A200" s="1344" t="s">
        <v>708</v>
      </c>
      <c r="B200" s="1344" t="s">
        <v>1452</v>
      </c>
      <c r="C200" s="1344">
        <v>24</v>
      </c>
      <c r="D200" s="1344">
        <v>7</v>
      </c>
      <c r="E200" s="682"/>
      <c r="F200" s="392" t="str">
        <f t="shared" si="3"/>
        <v>NozzlesSA-182M F91247</v>
      </c>
      <c r="G200" s="2394">
        <v>80000</v>
      </c>
      <c r="H200" s="2401">
        <v>0.1</v>
      </c>
      <c r="I200" s="2394" t="s">
        <v>181</v>
      </c>
      <c r="J200" s="2394"/>
      <c r="K200" s="2394">
        <v>90</v>
      </c>
      <c r="L200" s="2395">
        <v>42914</v>
      </c>
      <c r="M200" s="2394">
        <v>7</v>
      </c>
      <c r="N200" s="1347" t="s">
        <v>129</v>
      </c>
    </row>
    <row r="201" spans="1:14" s="647" customFormat="1" ht="15.95" customHeight="1">
      <c r="A201" s="1344" t="s">
        <v>1353</v>
      </c>
      <c r="B201" s="1344" t="s">
        <v>1452</v>
      </c>
      <c r="C201" s="1344">
        <v>90</v>
      </c>
      <c r="D201" s="1344">
        <v>15</v>
      </c>
      <c r="E201" s="682"/>
      <c r="F201" s="392" t="str">
        <f t="shared" si="3"/>
        <v>End capSA-182M F919015</v>
      </c>
      <c r="G201" s="2394">
        <v>80000</v>
      </c>
      <c r="H201" s="2401">
        <v>0.1</v>
      </c>
      <c r="I201" s="2394" t="s">
        <v>181</v>
      </c>
      <c r="J201" s="2394"/>
      <c r="K201" s="2394">
        <v>90</v>
      </c>
      <c r="L201" s="2395">
        <v>42914</v>
      </c>
      <c r="M201" s="2394">
        <v>7</v>
      </c>
      <c r="N201" s="1347" t="s">
        <v>129</v>
      </c>
    </row>
    <row r="202" spans="1:14" s="647" customFormat="1" ht="15.95" customHeight="1">
      <c r="A202" s="1344" t="s">
        <v>1354</v>
      </c>
      <c r="B202" s="1344" t="s">
        <v>589</v>
      </c>
      <c r="C202" s="1344">
        <v>38</v>
      </c>
      <c r="D202" s="1344"/>
      <c r="E202" s="682"/>
      <c r="F202" s="392" t="str">
        <f t="shared" si="3"/>
        <v>HangerSA-387M Gr22CL238</v>
      </c>
      <c r="G202" s="2400">
        <v>60000</v>
      </c>
      <c r="H202" s="2401">
        <v>0.1</v>
      </c>
      <c r="I202" s="2394" t="s">
        <v>181</v>
      </c>
      <c r="J202" s="2394"/>
      <c r="K202" s="2394">
        <v>90</v>
      </c>
      <c r="L202" s="2395">
        <v>42914</v>
      </c>
      <c r="M202" s="2394">
        <v>7</v>
      </c>
      <c r="N202" s="1347" t="s">
        <v>129</v>
      </c>
    </row>
    <row r="203" spans="1:14" s="647" customFormat="1" ht="15.95" customHeight="1">
      <c r="A203" s="1344" t="s">
        <v>1363</v>
      </c>
      <c r="B203" s="1344" t="s">
        <v>589</v>
      </c>
      <c r="C203" s="1344" t="s">
        <v>1455</v>
      </c>
      <c r="D203" s="1344"/>
      <c r="E203" s="682"/>
      <c r="F203" s="392" t="str">
        <f t="shared" si="3"/>
        <v>BoltSA-387M Gr22CL2Ø70</v>
      </c>
      <c r="G203" s="2400">
        <v>60000</v>
      </c>
      <c r="H203" s="2401">
        <v>0.1</v>
      </c>
      <c r="I203" s="2394" t="s">
        <v>181</v>
      </c>
      <c r="J203" s="2394"/>
      <c r="K203" s="2394">
        <v>90</v>
      </c>
      <c r="L203" s="2395">
        <v>42914</v>
      </c>
      <c r="M203" s="2394">
        <v>7</v>
      </c>
      <c r="N203" s="1347" t="s">
        <v>129</v>
      </c>
    </row>
    <row r="204" spans="1:14" s="647" customFormat="1" ht="15.95" customHeight="1">
      <c r="A204" s="1344" t="s">
        <v>1358</v>
      </c>
      <c r="B204" s="1344">
        <v>20</v>
      </c>
      <c r="C204" s="1344" t="s">
        <v>1456</v>
      </c>
      <c r="D204" s="1344"/>
      <c r="E204" s="682"/>
      <c r="F204" s="392" t="str">
        <f t="shared" si="3"/>
        <v>Pin20Ø12</v>
      </c>
      <c r="G204" s="2394">
        <v>60000</v>
      </c>
      <c r="H204" s="2401">
        <v>0.1</v>
      </c>
      <c r="I204" s="2394" t="s">
        <v>181</v>
      </c>
      <c r="J204" s="2394"/>
      <c r="K204" s="2394">
        <v>90</v>
      </c>
      <c r="L204" s="2395">
        <v>42914</v>
      </c>
      <c r="M204" s="2394">
        <v>7</v>
      </c>
      <c r="N204" s="1347" t="s">
        <v>129</v>
      </c>
    </row>
    <row r="205" spans="1:14" s="647" customFormat="1" ht="15.95" customHeight="1">
      <c r="A205" s="1344" t="s">
        <v>1356</v>
      </c>
      <c r="B205" s="1344" t="s">
        <v>711</v>
      </c>
      <c r="C205" s="1344"/>
      <c r="D205" s="1344"/>
      <c r="E205" s="682"/>
      <c r="F205" s="392" t="str">
        <f t="shared" si="3"/>
        <v>Nut35CrMo</v>
      </c>
      <c r="G205" s="2394">
        <v>60000</v>
      </c>
      <c r="H205" s="2401">
        <v>0.1</v>
      </c>
      <c r="I205" s="2394" t="s">
        <v>181</v>
      </c>
      <c r="J205" s="2394"/>
      <c r="K205" s="2394">
        <v>90</v>
      </c>
      <c r="L205" s="2395">
        <v>42914</v>
      </c>
      <c r="M205" s="2394">
        <v>7</v>
      </c>
      <c r="N205" s="1347" t="s">
        <v>129</v>
      </c>
    </row>
    <row r="206" spans="1:14" s="647" customFormat="1" ht="15.95" customHeight="1">
      <c r="A206" s="1344" t="s">
        <v>1359</v>
      </c>
      <c r="B206" s="1344" t="s">
        <v>589</v>
      </c>
      <c r="C206" s="1344"/>
      <c r="D206" s="1344" t="s">
        <v>1457</v>
      </c>
      <c r="E206" s="682"/>
      <c r="F206" s="392" t="str">
        <f t="shared" si="3"/>
        <v>WasherSA-387M Gr22CL2Ø130/Ø72</v>
      </c>
      <c r="G206" s="2400">
        <v>60000</v>
      </c>
      <c r="H206" s="2401">
        <v>0.1</v>
      </c>
      <c r="I206" s="2394" t="s">
        <v>181</v>
      </c>
      <c r="J206" s="2394"/>
      <c r="K206" s="2394">
        <v>90</v>
      </c>
      <c r="L206" s="2395">
        <v>42914</v>
      </c>
      <c r="M206" s="2394">
        <v>7</v>
      </c>
      <c r="N206" s="1347" t="s">
        <v>129</v>
      </c>
    </row>
    <row r="207" spans="1:14" s="647" customFormat="1" ht="15.95" customHeight="1">
      <c r="A207" s="1344" t="s">
        <v>1354</v>
      </c>
      <c r="B207" s="1344" t="s">
        <v>1452</v>
      </c>
      <c r="C207" s="1344">
        <v>50</v>
      </c>
      <c r="D207" s="1344"/>
      <c r="E207" s="682"/>
      <c r="F207" s="392" t="str">
        <f t="shared" si="3"/>
        <v>HangerSA-182M F9150</v>
      </c>
      <c r="G207" s="2394">
        <v>80000</v>
      </c>
      <c r="H207" s="2401">
        <v>0.1</v>
      </c>
      <c r="I207" s="2394" t="s">
        <v>181</v>
      </c>
      <c r="J207" s="2394"/>
      <c r="K207" s="2394">
        <v>90</v>
      </c>
      <c r="L207" s="2395">
        <v>42914</v>
      </c>
      <c r="M207" s="2394">
        <v>7</v>
      </c>
      <c r="N207" s="1347" t="s">
        <v>129</v>
      </c>
    </row>
    <row r="208" spans="1:14" s="647" customFormat="1" ht="15.95" customHeight="1">
      <c r="A208" s="1344" t="s">
        <v>1363</v>
      </c>
      <c r="B208" s="1344" t="s">
        <v>1452</v>
      </c>
      <c r="C208" s="1344" t="s">
        <v>1455</v>
      </c>
      <c r="D208" s="1344"/>
      <c r="E208" s="682"/>
      <c r="F208" s="392" t="str">
        <f t="shared" si="3"/>
        <v>BoltSA-182M F91Ø70</v>
      </c>
      <c r="G208" s="2394">
        <v>80000</v>
      </c>
      <c r="H208" s="2401">
        <v>0.1</v>
      </c>
      <c r="I208" s="2394" t="s">
        <v>181</v>
      </c>
      <c r="J208" s="2394"/>
      <c r="K208" s="2394">
        <v>90</v>
      </c>
      <c r="L208" s="2395">
        <v>42914</v>
      </c>
      <c r="M208" s="2394">
        <v>7</v>
      </c>
      <c r="N208" s="1347" t="s">
        <v>129</v>
      </c>
    </row>
    <row r="209" spans="1:14" s="647" customFormat="1" ht="15.95" customHeight="1">
      <c r="A209" s="1344" t="s">
        <v>1358</v>
      </c>
      <c r="B209" s="1344">
        <v>20</v>
      </c>
      <c r="C209" s="1344" t="s">
        <v>1456</v>
      </c>
      <c r="D209" s="1344"/>
      <c r="E209" s="682"/>
      <c r="F209" s="392" t="str">
        <f t="shared" si="3"/>
        <v>Pin20Ø12</v>
      </c>
      <c r="G209" s="2394">
        <v>60000</v>
      </c>
      <c r="H209" s="2401">
        <v>0.1</v>
      </c>
      <c r="I209" s="2394" t="s">
        <v>181</v>
      </c>
      <c r="J209" s="2394"/>
      <c r="K209" s="2394">
        <v>90</v>
      </c>
      <c r="L209" s="2395">
        <v>42914</v>
      </c>
      <c r="M209" s="2394">
        <v>7</v>
      </c>
      <c r="N209" s="1347" t="s">
        <v>129</v>
      </c>
    </row>
    <row r="210" spans="1:14" s="647" customFormat="1" ht="15.95" customHeight="1">
      <c r="A210" s="1344" t="s">
        <v>1356</v>
      </c>
      <c r="B210" s="1344" t="s">
        <v>711</v>
      </c>
      <c r="C210" s="1344"/>
      <c r="D210" s="1344"/>
      <c r="E210" s="682"/>
      <c r="F210" s="392" t="str">
        <f t="shared" si="3"/>
        <v>Nut35CrMo</v>
      </c>
      <c r="G210" s="2394">
        <v>60000</v>
      </c>
      <c r="H210" s="2401">
        <v>0.1</v>
      </c>
      <c r="I210" s="2394" t="s">
        <v>181</v>
      </c>
      <c r="J210" s="2394"/>
      <c r="K210" s="2394">
        <v>90</v>
      </c>
      <c r="L210" s="2395">
        <v>42914</v>
      </c>
      <c r="M210" s="2394">
        <v>7</v>
      </c>
      <c r="N210" s="1347" t="s">
        <v>129</v>
      </c>
    </row>
    <row r="211" spans="1:14" s="647" customFormat="1" ht="15.95" customHeight="1">
      <c r="A211" s="1344" t="s">
        <v>1359</v>
      </c>
      <c r="B211" s="1344" t="s">
        <v>589</v>
      </c>
      <c r="C211" s="1344"/>
      <c r="D211" s="1344" t="s">
        <v>1457</v>
      </c>
      <c r="E211" s="682"/>
      <c r="F211" s="392" t="str">
        <f t="shared" si="3"/>
        <v>WasherSA-387M Gr22CL2Ø130/Ø72</v>
      </c>
      <c r="G211" s="2400">
        <v>60000</v>
      </c>
      <c r="H211" s="2401">
        <v>0.1</v>
      </c>
      <c r="I211" s="2394" t="s">
        <v>181</v>
      </c>
      <c r="J211" s="2394"/>
      <c r="K211" s="2394">
        <v>90</v>
      </c>
      <c r="L211" s="2395">
        <v>42914</v>
      </c>
      <c r="M211" s="2394">
        <v>7</v>
      </c>
      <c r="N211" s="1347" t="s">
        <v>129</v>
      </c>
    </row>
    <row r="212" spans="1:14" s="647" customFormat="1" ht="15.95" customHeight="1">
      <c r="A212" s="1344" t="s">
        <v>1353</v>
      </c>
      <c r="B212" s="1344" t="s">
        <v>1461</v>
      </c>
      <c r="C212" s="1344">
        <v>90</v>
      </c>
      <c r="D212" s="1344">
        <v>15</v>
      </c>
      <c r="E212" s="682"/>
      <c r="F212" s="392" t="str">
        <f t="shared" si="3"/>
        <v>End capSA-182M F929015</v>
      </c>
      <c r="G212" s="2394">
        <v>80000</v>
      </c>
      <c r="H212" s="2401">
        <v>0.1</v>
      </c>
      <c r="I212" s="2394" t="s">
        <v>181</v>
      </c>
      <c r="J212" s="2394"/>
      <c r="K212" s="2394">
        <v>90</v>
      </c>
      <c r="L212" s="2395">
        <v>42914</v>
      </c>
      <c r="M212" s="2394">
        <v>7</v>
      </c>
      <c r="N212" s="1347" t="s">
        <v>129</v>
      </c>
    </row>
    <row r="213" spans="1:14" s="647" customFormat="1" ht="15.95" customHeight="1">
      <c r="A213" s="1344" t="s">
        <v>1353</v>
      </c>
      <c r="B213" s="1344" t="s">
        <v>1461</v>
      </c>
      <c r="C213" s="1344">
        <v>90</v>
      </c>
      <c r="D213" s="1344">
        <v>15</v>
      </c>
      <c r="E213" s="682"/>
      <c r="F213" s="392" t="str">
        <f t="shared" si="3"/>
        <v>End capSA-182M F929015</v>
      </c>
      <c r="G213" s="2394">
        <v>80000</v>
      </c>
      <c r="H213" s="2401">
        <v>0.1</v>
      </c>
      <c r="I213" s="2394" t="s">
        <v>181</v>
      </c>
      <c r="J213" s="2394"/>
      <c r="K213" s="2394">
        <v>90</v>
      </c>
      <c r="L213" s="2395">
        <v>42914</v>
      </c>
      <c r="M213" s="2394">
        <v>7</v>
      </c>
      <c r="N213" s="1347" t="s">
        <v>129</v>
      </c>
    </row>
    <row r="214" spans="1:14" s="647" customFormat="1" ht="15.95" customHeight="1">
      <c r="A214" s="1344" t="s">
        <v>135</v>
      </c>
      <c r="B214" s="1344" t="s">
        <v>1452</v>
      </c>
      <c r="C214" s="1344">
        <v>12</v>
      </c>
      <c r="D214" s="1344"/>
      <c r="E214" s="682"/>
      <c r="F214" s="392" t="str">
        <f t="shared" si="3"/>
        <v>RodSA-182M F9112</v>
      </c>
      <c r="G214" s="2394">
        <v>80000</v>
      </c>
      <c r="H214" s="2401">
        <v>0.1</v>
      </c>
      <c r="I214" s="2394" t="s">
        <v>181</v>
      </c>
      <c r="J214" s="2394"/>
      <c r="K214" s="2394">
        <v>90</v>
      </c>
      <c r="L214" s="2395">
        <v>42914</v>
      </c>
      <c r="M214" s="2394">
        <v>7</v>
      </c>
      <c r="N214" s="1347" t="s">
        <v>129</v>
      </c>
    </row>
    <row r="215" spans="1:14" s="647" customFormat="1" ht="15.95" customHeight="1">
      <c r="A215" s="1344" t="s">
        <v>1356</v>
      </c>
      <c r="B215" s="1344" t="s">
        <v>1452</v>
      </c>
      <c r="C215" s="1344">
        <v>100</v>
      </c>
      <c r="D215" s="1344"/>
      <c r="E215" s="682"/>
      <c r="F215" s="392" t="str">
        <f t="shared" si="3"/>
        <v>NutSA-182M F91100</v>
      </c>
      <c r="G215" s="2394">
        <v>80000</v>
      </c>
      <c r="H215" s="2401">
        <v>0.1</v>
      </c>
      <c r="I215" s="2394" t="s">
        <v>181</v>
      </c>
      <c r="J215" s="2394"/>
      <c r="K215" s="2394">
        <v>90</v>
      </c>
      <c r="L215" s="2395">
        <v>42914</v>
      </c>
      <c r="M215" s="2394">
        <v>7</v>
      </c>
      <c r="N215" s="1347" t="s">
        <v>129</v>
      </c>
    </row>
    <row r="216" spans="1:14" s="647" customFormat="1" ht="15.95" customHeight="1">
      <c r="A216" s="1344" t="s">
        <v>135</v>
      </c>
      <c r="B216" s="1344" t="s">
        <v>589</v>
      </c>
      <c r="C216" s="1344">
        <v>160</v>
      </c>
      <c r="D216" s="1344"/>
      <c r="E216" s="682"/>
      <c r="F216" s="392" t="str">
        <f t="shared" si="3"/>
        <v>RodSA-387M Gr22CL2160</v>
      </c>
      <c r="G216" s="2400">
        <v>60000</v>
      </c>
      <c r="H216" s="2401">
        <v>0.1</v>
      </c>
      <c r="I216" s="2394" t="s">
        <v>181</v>
      </c>
      <c r="J216" s="2394"/>
      <c r="K216" s="2394">
        <v>90</v>
      </c>
      <c r="L216" s="2395">
        <v>42914</v>
      </c>
      <c r="M216" s="2394">
        <v>7</v>
      </c>
      <c r="N216" s="1347" t="s">
        <v>129</v>
      </c>
    </row>
    <row r="217" spans="1:14" s="647" customFormat="1" ht="15.95" customHeight="1">
      <c r="A217" s="1344" t="s">
        <v>1358</v>
      </c>
      <c r="B217" s="1344" t="s">
        <v>589</v>
      </c>
      <c r="C217" s="1344">
        <v>3.2</v>
      </c>
      <c r="D217" s="1344"/>
      <c r="E217" s="682"/>
      <c r="F217" s="392" t="str">
        <f t="shared" si="3"/>
        <v>PinSA-387M Gr22CL23.2</v>
      </c>
      <c r="G217" s="2400">
        <v>60000</v>
      </c>
      <c r="H217" s="2401">
        <v>0.1</v>
      </c>
      <c r="I217" s="2394" t="s">
        <v>181</v>
      </c>
      <c r="J217" s="2394"/>
      <c r="K217" s="2394">
        <v>90</v>
      </c>
      <c r="L217" s="2395">
        <v>42914</v>
      </c>
      <c r="M217" s="2394">
        <v>7</v>
      </c>
      <c r="N217" s="1347" t="s">
        <v>129</v>
      </c>
    </row>
    <row r="218" spans="1:14" s="647" customFormat="1" ht="15.95" customHeight="1">
      <c r="A218" s="1344" t="s">
        <v>1356</v>
      </c>
      <c r="B218" s="1344" t="s">
        <v>711</v>
      </c>
      <c r="C218" s="1344" t="s">
        <v>1464</v>
      </c>
      <c r="D218" s="1344"/>
      <c r="E218" s="682"/>
      <c r="F218" s="392" t="str">
        <f t="shared" si="3"/>
        <v>Nut35CrMoM64</v>
      </c>
      <c r="G218" s="2394">
        <v>60000</v>
      </c>
      <c r="H218" s="2401">
        <v>0.1</v>
      </c>
      <c r="I218" s="2394" t="s">
        <v>181</v>
      </c>
      <c r="J218" s="2394"/>
      <c r="K218" s="2394">
        <v>90</v>
      </c>
      <c r="L218" s="2395">
        <v>42914</v>
      </c>
      <c r="M218" s="2394">
        <v>7</v>
      </c>
      <c r="N218" s="1347" t="s">
        <v>129</v>
      </c>
    </row>
    <row r="219" spans="1:14" s="647" customFormat="1" ht="15.95" customHeight="1">
      <c r="A219" s="1344" t="s">
        <v>1359</v>
      </c>
      <c r="B219" s="1344" t="s">
        <v>711</v>
      </c>
      <c r="C219" s="1344"/>
      <c r="D219" s="1344">
        <v>3</v>
      </c>
      <c r="E219" s="682"/>
      <c r="F219" s="392" t="str">
        <f t="shared" si="3"/>
        <v>Washer35CrMo3</v>
      </c>
      <c r="G219" s="2394">
        <v>60000</v>
      </c>
      <c r="H219" s="2401">
        <v>0.1</v>
      </c>
      <c r="I219" s="2394" t="s">
        <v>181</v>
      </c>
      <c r="J219" s="2394"/>
      <c r="K219" s="2394">
        <v>90</v>
      </c>
      <c r="L219" s="2395">
        <v>42914</v>
      </c>
      <c r="M219" s="2394">
        <v>7</v>
      </c>
      <c r="N219" s="1347" t="s">
        <v>129</v>
      </c>
    </row>
    <row r="220" spans="1:14" s="647" customFormat="1" ht="15.95" customHeight="1">
      <c r="A220" s="1344" t="s">
        <v>135</v>
      </c>
      <c r="B220" s="1344" t="s">
        <v>1461</v>
      </c>
      <c r="C220" s="1344">
        <v>70</v>
      </c>
      <c r="D220" s="1344"/>
      <c r="E220" s="682"/>
      <c r="F220" s="392" t="str">
        <f t="shared" si="3"/>
        <v>RodSA-182M F9270</v>
      </c>
      <c r="G220" s="2394">
        <v>80000</v>
      </c>
      <c r="H220" s="2401">
        <v>0.1</v>
      </c>
      <c r="I220" s="2394" t="s">
        <v>181</v>
      </c>
      <c r="J220" s="2394"/>
      <c r="K220" s="2394">
        <v>90</v>
      </c>
      <c r="L220" s="2395">
        <v>42914</v>
      </c>
      <c r="M220" s="2394">
        <v>7</v>
      </c>
      <c r="N220" s="1347" t="s">
        <v>129</v>
      </c>
    </row>
    <row r="221" spans="1:14" s="647" customFormat="1" ht="15.95" customHeight="1">
      <c r="A221" s="1344" t="s">
        <v>1358</v>
      </c>
      <c r="B221" s="1344" t="s">
        <v>711</v>
      </c>
      <c r="C221" s="1344" t="s">
        <v>1456</v>
      </c>
      <c r="D221" s="1344"/>
      <c r="E221" s="682"/>
      <c r="F221" s="392" t="str">
        <f t="shared" si="3"/>
        <v>Pin35CrMoØ12</v>
      </c>
      <c r="G221" s="2394">
        <v>60000</v>
      </c>
      <c r="H221" s="2401">
        <v>0.1</v>
      </c>
      <c r="I221" s="2394" t="s">
        <v>181</v>
      </c>
      <c r="J221" s="2394"/>
      <c r="K221" s="2394">
        <v>90</v>
      </c>
      <c r="L221" s="2395">
        <v>42914</v>
      </c>
      <c r="M221" s="2394">
        <v>7</v>
      </c>
      <c r="N221" s="1347" t="s">
        <v>129</v>
      </c>
    </row>
    <row r="222" spans="1:14" s="647" customFormat="1" ht="15.95" customHeight="1">
      <c r="A222" s="1344" t="s">
        <v>135</v>
      </c>
      <c r="B222" s="1344" t="s">
        <v>1461</v>
      </c>
      <c r="C222" s="1344">
        <v>48</v>
      </c>
      <c r="D222" s="1344"/>
      <c r="E222" s="682"/>
      <c r="F222" s="392" t="str">
        <f t="shared" si="3"/>
        <v>RodSA-182M F9248</v>
      </c>
      <c r="G222" s="2394">
        <v>80000</v>
      </c>
      <c r="H222" s="2401">
        <v>0.1</v>
      </c>
      <c r="I222" s="2394" t="s">
        <v>181</v>
      </c>
      <c r="J222" s="2394"/>
      <c r="K222" s="2394">
        <v>90</v>
      </c>
      <c r="L222" s="2395">
        <v>42914</v>
      </c>
      <c r="M222" s="2394">
        <v>7</v>
      </c>
      <c r="N222" s="1347" t="s">
        <v>129</v>
      </c>
    </row>
    <row r="223" spans="1:14" s="647" customFormat="1" ht="15.95" customHeight="1">
      <c r="A223" s="1344" t="s">
        <v>1355</v>
      </c>
      <c r="B223" s="1344" t="s">
        <v>711</v>
      </c>
      <c r="C223" s="1344" t="s">
        <v>1458</v>
      </c>
      <c r="D223" s="1344"/>
      <c r="E223" s="682"/>
      <c r="F223" s="392" t="str">
        <f t="shared" si="3"/>
        <v>Nut 35CrMoM48</v>
      </c>
      <c r="G223" s="2394">
        <v>60000</v>
      </c>
      <c r="H223" s="2401">
        <v>0.1</v>
      </c>
      <c r="I223" s="2394" t="s">
        <v>181</v>
      </c>
      <c r="J223" s="2394"/>
      <c r="K223" s="2394">
        <v>90</v>
      </c>
      <c r="L223" s="2395">
        <v>42914</v>
      </c>
      <c r="M223" s="2394">
        <v>7</v>
      </c>
      <c r="N223" s="1347" t="s">
        <v>129</v>
      </c>
    </row>
    <row r="224" spans="1:14" s="647" customFormat="1" ht="15.95" customHeight="1">
      <c r="A224" s="1344" t="s">
        <v>1359</v>
      </c>
      <c r="B224" s="1344" t="s">
        <v>589</v>
      </c>
      <c r="C224" s="1344"/>
      <c r="D224" s="1344" t="s">
        <v>1468</v>
      </c>
      <c r="E224" s="682"/>
      <c r="F224" s="392" t="str">
        <f t="shared" si="3"/>
        <v>WasherSA-387M Gr22CL2Ø130/Ø75</v>
      </c>
      <c r="G224" s="2400">
        <v>60000</v>
      </c>
      <c r="H224" s="2401">
        <v>0.1</v>
      </c>
      <c r="I224" s="2394" t="s">
        <v>181</v>
      </c>
      <c r="J224" s="2394"/>
      <c r="K224" s="2394">
        <v>90</v>
      </c>
      <c r="L224" s="2395">
        <v>42914</v>
      </c>
      <c r="M224" s="2394">
        <v>7</v>
      </c>
      <c r="N224" s="1347" t="s">
        <v>129</v>
      </c>
    </row>
    <row r="225" spans="1:14" s="647" customFormat="1" ht="15.95" customHeight="1">
      <c r="A225" s="1344" t="s">
        <v>708</v>
      </c>
      <c r="B225" s="1344" t="s">
        <v>1452</v>
      </c>
      <c r="C225" s="1344">
        <v>125</v>
      </c>
      <c r="D225" s="1344">
        <v>22.5</v>
      </c>
      <c r="E225" s="682"/>
      <c r="F225" s="392" t="str">
        <f t="shared" si="3"/>
        <v>NozzlesSA-182M F9112522.5</v>
      </c>
      <c r="G225" s="2394">
        <v>80000</v>
      </c>
      <c r="H225" s="2401">
        <v>0.1</v>
      </c>
      <c r="I225" s="2394" t="s">
        <v>181</v>
      </c>
      <c r="J225" s="2394"/>
      <c r="K225" s="2394">
        <v>90</v>
      </c>
      <c r="L225" s="2395">
        <v>42914</v>
      </c>
      <c r="M225" s="2394">
        <v>7</v>
      </c>
      <c r="N225" s="1347" t="s">
        <v>129</v>
      </c>
    </row>
    <row r="226" spans="1:14" s="647" customFormat="1" ht="15.95" customHeight="1">
      <c r="A226" s="1344" t="s">
        <v>708</v>
      </c>
      <c r="B226" s="1344" t="s">
        <v>1452</v>
      </c>
      <c r="C226" s="1344">
        <v>100</v>
      </c>
      <c r="D226" s="1344">
        <v>20</v>
      </c>
      <c r="E226" s="682"/>
      <c r="F226" s="392" t="str">
        <f t="shared" si="3"/>
        <v>NozzlesSA-182M F9110020</v>
      </c>
      <c r="G226" s="2394">
        <v>80000</v>
      </c>
      <c r="H226" s="2401">
        <v>0.1</v>
      </c>
      <c r="I226" s="2394" t="s">
        <v>181</v>
      </c>
      <c r="J226" s="2394"/>
      <c r="K226" s="2394">
        <v>90</v>
      </c>
      <c r="L226" s="2395">
        <v>42914</v>
      </c>
      <c r="M226" s="2394">
        <v>7</v>
      </c>
      <c r="N226" s="1347" t="s">
        <v>129</v>
      </c>
    </row>
    <row r="227" spans="1:14" s="647" customFormat="1" ht="15.95" customHeight="1">
      <c r="A227" s="1344" t="s">
        <v>79</v>
      </c>
      <c r="B227" s="1344" t="s">
        <v>589</v>
      </c>
      <c r="C227" s="1344">
        <v>22</v>
      </c>
      <c r="D227" s="1344">
        <v>12</v>
      </c>
      <c r="E227" s="682"/>
      <c r="F227" s="392" t="str">
        <f t="shared" si="3"/>
        <v>PlateSA-387M Gr22CL22212</v>
      </c>
      <c r="G227" s="2400">
        <v>60000</v>
      </c>
      <c r="H227" s="2401">
        <v>0.1</v>
      </c>
      <c r="I227" s="2394" t="s">
        <v>181</v>
      </c>
      <c r="J227" s="2394"/>
      <c r="K227" s="2394">
        <v>90</v>
      </c>
      <c r="L227" s="2395">
        <v>42914</v>
      </c>
      <c r="M227" s="2394">
        <v>7</v>
      </c>
      <c r="N227" s="1347" t="s">
        <v>129</v>
      </c>
    </row>
    <row r="228" spans="1:14" s="647" customFormat="1" ht="15.95" customHeight="1">
      <c r="A228" s="1344" t="s">
        <v>79</v>
      </c>
      <c r="B228" s="1344" t="s">
        <v>589</v>
      </c>
      <c r="C228" s="1344">
        <v>70</v>
      </c>
      <c r="D228" s="1344">
        <v>6</v>
      </c>
      <c r="E228" s="682"/>
      <c r="F228" s="392" t="str">
        <f t="shared" si="3"/>
        <v>PlateSA-387M Gr22CL2706</v>
      </c>
      <c r="G228" s="2400">
        <v>60000</v>
      </c>
      <c r="H228" s="2401">
        <v>0.1</v>
      </c>
      <c r="I228" s="2394" t="s">
        <v>181</v>
      </c>
      <c r="J228" s="2394"/>
      <c r="K228" s="2394">
        <v>90</v>
      </c>
      <c r="L228" s="2395">
        <v>42914</v>
      </c>
      <c r="M228" s="2394">
        <v>7</v>
      </c>
      <c r="N228" s="1347" t="s">
        <v>129</v>
      </c>
    </row>
    <row r="229" spans="1:14" s="647" customFormat="1" ht="15.95" customHeight="1">
      <c r="A229" s="1344" t="s">
        <v>708</v>
      </c>
      <c r="B229" s="1344" t="s">
        <v>589</v>
      </c>
      <c r="C229" s="1344">
        <v>311</v>
      </c>
      <c r="D229" s="1344"/>
      <c r="E229" s="682"/>
      <c r="F229" s="392" t="str">
        <f t="shared" si="3"/>
        <v>NozzlesSA-387M Gr22CL2311</v>
      </c>
      <c r="G229" s="2400">
        <v>60000</v>
      </c>
      <c r="H229" s="2401">
        <v>0.1</v>
      </c>
      <c r="I229" s="2394" t="s">
        <v>181</v>
      </c>
      <c r="J229" s="2394"/>
      <c r="K229" s="2394">
        <v>90</v>
      </c>
      <c r="L229" s="2395">
        <v>42914</v>
      </c>
      <c r="M229" s="2394">
        <v>7</v>
      </c>
      <c r="N229" s="1347" t="s">
        <v>129</v>
      </c>
    </row>
    <row r="230" spans="1:14" s="647" customFormat="1" ht="15.95" customHeight="1">
      <c r="A230" s="1344" t="s">
        <v>1353</v>
      </c>
      <c r="B230" s="1344" t="s">
        <v>1469</v>
      </c>
      <c r="C230" s="1344">
        <v>90</v>
      </c>
      <c r="D230" s="1344">
        <v>15</v>
      </c>
      <c r="E230" s="682"/>
      <c r="F230" s="392" t="str">
        <f t="shared" si="3"/>
        <v>End capSA-182 F19015</v>
      </c>
      <c r="G230" s="2400">
        <v>60000</v>
      </c>
      <c r="H230" s="2401">
        <v>0.1</v>
      </c>
      <c r="I230" s="2394" t="s">
        <v>181</v>
      </c>
      <c r="J230" s="2394"/>
      <c r="K230" s="2394">
        <v>90</v>
      </c>
      <c r="L230" s="2395">
        <v>42914</v>
      </c>
      <c r="M230" s="2394">
        <v>7</v>
      </c>
      <c r="N230" s="1347" t="s">
        <v>129</v>
      </c>
    </row>
    <row r="231" spans="1:14" s="647" customFormat="1" ht="15.95" customHeight="1">
      <c r="A231" s="1344" t="s">
        <v>708</v>
      </c>
      <c r="B231" s="1344" t="s">
        <v>1469</v>
      </c>
      <c r="C231" s="1344">
        <v>90</v>
      </c>
      <c r="D231" s="1344">
        <v>15</v>
      </c>
      <c r="E231" s="682"/>
      <c r="F231" s="392" t="str">
        <f t="shared" si="3"/>
        <v>NozzlesSA-182 F19015</v>
      </c>
      <c r="G231" s="2400">
        <v>60000</v>
      </c>
      <c r="H231" s="2401">
        <v>0.1</v>
      </c>
      <c r="I231" s="2394" t="s">
        <v>181</v>
      </c>
      <c r="J231" s="2394"/>
      <c r="K231" s="2394">
        <v>90</v>
      </c>
      <c r="L231" s="2395">
        <v>42914</v>
      </c>
      <c r="M231" s="2394">
        <v>7</v>
      </c>
      <c r="N231" s="1347" t="s">
        <v>129</v>
      </c>
    </row>
    <row r="232" spans="1:14" s="647" customFormat="1" ht="15.95" customHeight="1">
      <c r="A232" s="1344" t="s">
        <v>1353</v>
      </c>
      <c r="B232" s="1344" t="s">
        <v>1469</v>
      </c>
      <c r="C232" s="1344">
        <v>90</v>
      </c>
      <c r="D232" s="1344">
        <v>15</v>
      </c>
      <c r="E232" s="682"/>
      <c r="F232" s="392" t="str">
        <f t="shared" si="3"/>
        <v>End capSA-182 F19015</v>
      </c>
      <c r="G232" s="2400">
        <v>60000</v>
      </c>
      <c r="H232" s="2401">
        <v>0.1</v>
      </c>
      <c r="I232" s="2394" t="s">
        <v>181</v>
      </c>
      <c r="J232" s="2394"/>
      <c r="K232" s="2394">
        <v>90</v>
      </c>
      <c r="L232" s="2395">
        <v>42914</v>
      </c>
      <c r="M232" s="2394">
        <v>7</v>
      </c>
      <c r="N232" s="1347" t="s">
        <v>129</v>
      </c>
    </row>
    <row r="233" spans="1:14" s="647" customFormat="1" ht="15.95" customHeight="1">
      <c r="A233" s="1344" t="s">
        <v>708</v>
      </c>
      <c r="B233" s="1344" t="s">
        <v>1469</v>
      </c>
      <c r="C233" s="1344">
        <v>90</v>
      </c>
      <c r="D233" s="1344">
        <v>15</v>
      </c>
      <c r="E233" s="682"/>
      <c r="F233" s="392" t="str">
        <f t="shared" si="3"/>
        <v>NozzlesSA-182 F19015</v>
      </c>
      <c r="G233" s="2400">
        <v>60000</v>
      </c>
      <c r="H233" s="2401">
        <v>0.1</v>
      </c>
      <c r="I233" s="2394" t="s">
        <v>181</v>
      </c>
      <c r="J233" s="2394"/>
      <c r="K233" s="2394">
        <v>90</v>
      </c>
      <c r="L233" s="2395">
        <v>42914</v>
      </c>
      <c r="M233" s="2394">
        <v>7</v>
      </c>
      <c r="N233" s="1347" t="s">
        <v>129</v>
      </c>
    </row>
    <row r="234" spans="1:14" s="647" customFormat="1" ht="15.95" customHeight="1">
      <c r="A234" s="1344" t="s">
        <v>1363</v>
      </c>
      <c r="B234" s="1344" t="s">
        <v>590</v>
      </c>
      <c r="C234" s="1344" t="s">
        <v>1455</v>
      </c>
      <c r="D234" s="1344"/>
      <c r="E234" s="682"/>
      <c r="F234" s="392" t="str">
        <f t="shared" si="3"/>
        <v>BoltSA-387M Gr12CL2Ø70</v>
      </c>
      <c r="G234" s="2400">
        <v>60000</v>
      </c>
      <c r="H234" s="2401">
        <v>0.1</v>
      </c>
      <c r="I234" s="2394" t="s">
        <v>181</v>
      </c>
      <c r="J234" s="2394"/>
      <c r="K234" s="2394">
        <v>90</v>
      </c>
      <c r="L234" s="2395">
        <v>42914</v>
      </c>
      <c r="M234" s="2394">
        <v>7</v>
      </c>
      <c r="N234" s="1347" t="s">
        <v>129</v>
      </c>
    </row>
    <row r="235" spans="1:14" s="647" customFormat="1" ht="15.95" customHeight="1">
      <c r="A235" s="1344" t="s">
        <v>1358</v>
      </c>
      <c r="B235" s="1344">
        <v>20</v>
      </c>
      <c r="C235" s="1344" t="s">
        <v>1456</v>
      </c>
      <c r="D235" s="1344"/>
      <c r="E235" s="682"/>
      <c r="F235" s="392" t="str">
        <f t="shared" si="3"/>
        <v>Pin20Ø12</v>
      </c>
      <c r="G235" s="2394">
        <v>60000</v>
      </c>
      <c r="H235" s="2401">
        <v>0.1</v>
      </c>
      <c r="I235" s="2394" t="s">
        <v>181</v>
      </c>
      <c r="J235" s="2394"/>
      <c r="K235" s="2394">
        <v>90</v>
      </c>
      <c r="L235" s="2395">
        <v>42914</v>
      </c>
      <c r="M235" s="2394">
        <v>7</v>
      </c>
      <c r="N235" s="1347" t="s">
        <v>129</v>
      </c>
    </row>
    <row r="236" spans="1:14" s="647" customFormat="1" ht="15.95" customHeight="1">
      <c r="A236" s="1344" t="s">
        <v>1359</v>
      </c>
      <c r="B236" s="1344" t="s">
        <v>712</v>
      </c>
      <c r="C236" s="1344"/>
      <c r="D236" s="1344" t="s">
        <v>1468</v>
      </c>
      <c r="E236" s="682"/>
      <c r="F236" s="392" t="str">
        <f t="shared" si="3"/>
        <v>WasherQ345BØ130/Ø75</v>
      </c>
      <c r="G236" s="2394">
        <v>60000</v>
      </c>
      <c r="H236" s="2401">
        <v>0.1</v>
      </c>
      <c r="I236" s="2394" t="s">
        <v>181</v>
      </c>
      <c r="J236" s="2394"/>
      <c r="K236" s="2394">
        <v>90</v>
      </c>
      <c r="L236" s="2395">
        <v>42914</v>
      </c>
      <c r="M236" s="2394">
        <v>7</v>
      </c>
      <c r="N236" s="1347" t="s">
        <v>129</v>
      </c>
    </row>
    <row r="237" spans="1:14" s="647" customFormat="1" ht="15.95" customHeight="1">
      <c r="A237" s="1344" t="s">
        <v>1356</v>
      </c>
      <c r="B237" s="1344" t="s">
        <v>590</v>
      </c>
      <c r="C237" s="1344" t="s">
        <v>1453</v>
      </c>
      <c r="D237" s="1344"/>
      <c r="E237" s="682"/>
      <c r="F237" s="392" t="str">
        <f t="shared" si="3"/>
        <v>NutSA-387M Gr12CL2M36</v>
      </c>
      <c r="G237" s="2400">
        <v>60000</v>
      </c>
      <c r="H237" s="2401">
        <v>0.1</v>
      </c>
      <c r="I237" s="2394" t="s">
        <v>181</v>
      </c>
      <c r="J237" s="2394"/>
      <c r="K237" s="2394">
        <v>90</v>
      </c>
      <c r="L237" s="2395">
        <v>42914</v>
      </c>
      <c r="M237" s="2394">
        <v>7</v>
      </c>
      <c r="N237" s="1347" t="s">
        <v>129</v>
      </c>
    </row>
    <row r="238" spans="1:14" s="647" customFormat="1" ht="15.95" customHeight="1">
      <c r="A238" s="1344" t="s">
        <v>1363</v>
      </c>
      <c r="B238" s="1344" t="s">
        <v>590</v>
      </c>
      <c r="C238" s="1344" t="s">
        <v>1455</v>
      </c>
      <c r="D238" s="1344"/>
      <c r="E238" s="682"/>
      <c r="F238" s="392" t="str">
        <f t="shared" si="3"/>
        <v>BoltSA-387M Gr12CL2Ø70</v>
      </c>
      <c r="G238" s="2400">
        <v>60000</v>
      </c>
      <c r="H238" s="2401">
        <v>0.1</v>
      </c>
      <c r="I238" s="2394" t="s">
        <v>181</v>
      </c>
      <c r="J238" s="2394"/>
      <c r="K238" s="2394">
        <v>90</v>
      </c>
      <c r="L238" s="2395">
        <v>42914</v>
      </c>
      <c r="M238" s="2394">
        <v>7</v>
      </c>
      <c r="N238" s="1347" t="s">
        <v>129</v>
      </c>
    </row>
    <row r="239" spans="1:14" s="647" customFormat="1" ht="15.95" customHeight="1">
      <c r="A239" s="1344" t="s">
        <v>1358</v>
      </c>
      <c r="B239" s="1344">
        <v>20</v>
      </c>
      <c r="C239" s="1344" t="s">
        <v>1456</v>
      </c>
      <c r="D239" s="1344"/>
      <c r="E239" s="682"/>
      <c r="F239" s="392" t="str">
        <f t="shared" si="3"/>
        <v>Pin20Ø12</v>
      </c>
      <c r="G239" s="2394">
        <v>60000</v>
      </c>
      <c r="H239" s="2401">
        <v>0.1</v>
      </c>
      <c r="I239" s="2394" t="s">
        <v>181</v>
      </c>
      <c r="J239" s="2394"/>
      <c r="K239" s="2394">
        <v>90</v>
      </c>
      <c r="L239" s="2395">
        <v>42914</v>
      </c>
      <c r="M239" s="2394">
        <v>7</v>
      </c>
      <c r="N239" s="1347" t="s">
        <v>129</v>
      </c>
    </row>
    <row r="240" spans="1:14" s="647" customFormat="1" ht="15.95" customHeight="1">
      <c r="A240" s="1344" t="s">
        <v>1359</v>
      </c>
      <c r="B240" s="1344" t="s">
        <v>712</v>
      </c>
      <c r="C240" s="1344"/>
      <c r="D240" s="1344" t="s">
        <v>1468</v>
      </c>
      <c r="E240" s="682"/>
      <c r="F240" s="392" t="str">
        <f t="shared" ref="F240:F303" si="4">A240&amp;B240&amp;C240&amp;D240</f>
        <v>WasherQ345BØ130/Ø75</v>
      </c>
      <c r="G240" s="2394">
        <v>60000</v>
      </c>
      <c r="H240" s="2401">
        <v>0.1</v>
      </c>
      <c r="I240" s="2394" t="s">
        <v>181</v>
      </c>
      <c r="J240" s="2394"/>
      <c r="K240" s="2394">
        <v>90</v>
      </c>
      <c r="L240" s="2395">
        <v>42914</v>
      </c>
      <c r="M240" s="2394">
        <v>7</v>
      </c>
      <c r="N240" s="1347" t="s">
        <v>129</v>
      </c>
    </row>
    <row r="241" spans="1:14" s="647" customFormat="1" ht="15.95" customHeight="1">
      <c r="A241" s="1344" t="s">
        <v>1356</v>
      </c>
      <c r="B241" s="1344" t="s">
        <v>590</v>
      </c>
      <c r="C241" s="1344" t="s">
        <v>1453</v>
      </c>
      <c r="D241" s="1344"/>
      <c r="E241" s="682"/>
      <c r="F241" s="392" t="str">
        <f t="shared" si="4"/>
        <v>NutSA-387M Gr12CL2M36</v>
      </c>
      <c r="G241" s="2400">
        <v>60000</v>
      </c>
      <c r="H241" s="2401">
        <v>0.1</v>
      </c>
      <c r="I241" s="2394" t="s">
        <v>181</v>
      </c>
      <c r="J241" s="2394"/>
      <c r="K241" s="2394">
        <v>90</v>
      </c>
      <c r="L241" s="2395">
        <v>42914</v>
      </c>
      <c r="M241" s="2394">
        <v>7</v>
      </c>
      <c r="N241" s="1347" t="s">
        <v>129</v>
      </c>
    </row>
    <row r="242" spans="1:14" s="647" customFormat="1" ht="15.95" customHeight="1">
      <c r="A242" s="1344" t="s">
        <v>1353</v>
      </c>
      <c r="B242" s="1344" t="s">
        <v>1469</v>
      </c>
      <c r="C242" s="1344">
        <v>90</v>
      </c>
      <c r="D242" s="1344">
        <v>15</v>
      </c>
      <c r="E242" s="682"/>
      <c r="F242" s="392" t="str">
        <f t="shared" si="4"/>
        <v>End capSA-182 F19015</v>
      </c>
      <c r="G242" s="2400">
        <v>60000</v>
      </c>
      <c r="H242" s="2401">
        <v>0.1</v>
      </c>
      <c r="I242" s="2394" t="s">
        <v>181</v>
      </c>
      <c r="J242" s="2394"/>
      <c r="K242" s="2394">
        <v>90</v>
      </c>
      <c r="L242" s="2395">
        <v>42914</v>
      </c>
      <c r="M242" s="2394">
        <v>7</v>
      </c>
      <c r="N242" s="1347" t="s">
        <v>129</v>
      </c>
    </row>
    <row r="243" spans="1:14" s="647" customFormat="1" ht="15.95" customHeight="1">
      <c r="A243" s="1344" t="s">
        <v>708</v>
      </c>
      <c r="B243" s="1344" t="s">
        <v>1469</v>
      </c>
      <c r="C243" s="1344">
        <v>90</v>
      </c>
      <c r="D243" s="1344">
        <v>15</v>
      </c>
      <c r="E243" s="682"/>
      <c r="F243" s="392" t="str">
        <f t="shared" si="4"/>
        <v>NozzlesSA-182 F19015</v>
      </c>
      <c r="G243" s="2400">
        <v>60000</v>
      </c>
      <c r="H243" s="2401">
        <v>0.1</v>
      </c>
      <c r="I243" s="2394" t="s">
        <v>181</v>
      </c>
      <c r="J243" s="2394"/>
      <c r="K243" s="2394">
        <v>90</v>
      </c>
      <c r="L243" s="2395">
        <v>42914</v>
      </c>
      <c r="M243" s="2394">
        <v>7</v>
      </c>
      <c r="N243" s="1347" t="s">
        <v>129</v>
      </c>
    </row>
    <row r="244" spans="1:14" s="647" customFormat="1" ht="15.95" customHeight="1">
      <c r="A244" s="1344" t="s">
        <v>1353</v>
      </c>
      <c r="B244" s="1344" t="s">
        <v>1469</v>
      </c>
      <c r="C244" s="1344">
        <v>90</v>
      </c>
      <c r="D244" s="1344">
        <v>15</v>
      </c>
      <c r="E244" s="682"/>
      <c r="F244" s="392" t="str">
        <f t="shared" si="4"/>
        <v>End capSA-182 F19015</v>
      </c>
      <c r="G244" s="2400">
        <v>60000</v>
      </c>
      <c r="H244" s="2401">
        <v>0.1</v>
      </c>
      <c r="I244" s="2394" t="s">
        <v>181</v>
      </c>
      <c r="J244" s="2394"/>
      <c r="K244" s="2394">
        <v>90</v>
      </c>
      <c r="L244" s="2395">
        <v>42914</v>
      </c>
      <c r="M244" s="2394">
        <v>7</v>
      </c>
      <c r="N244" s="1347" t="s">
        <v>129</v>
      </c>
    </row>
    <row r="245" spans="1:14" s="647" customFormat="1" ht="15.95" customHeight="1">
      <c r="A245" s="1344" t="s">
        <v>708</v>
      </c>
      <c r="B245" s="1344" t="s">
        <v>1469</v>
      </c>
      <c r="C245" s="1344">
        <v>90</v>
      </c>
      <c r="D245" s="1344">
        <v>15</v>
      </c>
      <c r="E245" s="682"/>
      <c r="F245" s="392" t="str">
        <f t="shared" si="4"/>
        <v>NozzlesSA-182 F19015</v>
      </c>
      <c r="G245" s="2400">
        <v>60000</v>
      </c>
      <c r="H245" s="2401">
        <v>0.1</v>
      </c>
      <c r="I245" s="2394" t="s">
        <v>181</v>
      </c>
      <c r="J245" s="2394"/>
      <c r="K245" s="2394">
        <v>90</v>
      </c>
      <c r="L245" s="2395">
        <v>42914</v>
      </c>
      <c r="M245" s="2394">
        <v>7</v>
      </c>
      <c r="N245" s="1347" t="s">
        <v>129</v>
      </c>
    </row>
    <row r="246" spans="1:14" s="647" customFormat="1" ht="15.95" customHeight="1">
      <c r="A246" s="1344" t="s">
        <v>1363</v>
      </c>
      <c r="B246" s="1344" t="s">
        <v>590</v>
      </c>
      <c r="C246" s="1344" t="s">
        <v>1455</v>
      </c>
      <c r="D246" s="1344"/>
      <c r="E246" s="682"/>
      <c r="F246" s="392" t="str">
        <f t="shared" si="4"/>
        <v>BoltSA-387M Gr12CL2Ø70</v>
      </c>
      <c r="G246" s="2400">
        <v>60000</v>
      </c>
      <c r="H246" s="2401">
        <v>0.1</v>
      </c>
      <c r="I246" s="2394" t="s">
        <v>181</v>
      </c>
      <c r="J246" s="2394"/>
      <c r="K246" s="2394">
        <v>90</v>
      </c>
      <c r="L246" s="2395">
        <v>42914</v>
      </c>
      <c r="M246" s="2394">
        <v>7</v>
      </c>
      <c r="N246" s="1347" t="s">
        <v>129</v>
      </c>
    </row>
    <row r="247" spans="1:14" s="647" customFormat="1" ht="15.95" customHeight="1">
      <c r="A247" s="1344" t="s">
        <v>1358</v>
      </c>
      <c r="B247" s="1344">
        <v>20</v>
      </c>
      <c r="C247" s="1344" t="s">
        <v>1456</v>
      </c>
      <c r="D247" s="1344"/>
      <c r="E247" s="682"/>
      <c r="F247" s="392" t="str">
        <f t="shared" si="4"/>
        <v>Pin20Ø12</v>
      </c>
      <c r="G247" s="2394">
        <v>60000</v>
      </c>
      <c r="H247" s="2401">
        <v>0.1</v>
      </c>
      <c r="I247" s="2394" t="s">
        <v>181</v>
      </c>
      <c r="J247" s="2394"/>
      <c r="K247" s="2394">
        <v>90</v>
      </c>
      <c r="L247" s="2395">
        <v>42914</v>
      </c>
      <c r="M247" s="2394">
        <v>7</v>
      </c>
      <c r="N247" s="1347" t="s">
        <v>129</v>
      </c>
    </row>
    <row r="248" spans="1:14" s="647" customFormat="1" ht="15.95" customHeight="1">
      <c r="A248" s="1344" t="s">
        <v>1359</v>
      </c>
      <c r="B248" s="1344" t="s">
        <v>712</v>
      </c>
      <c r="C248" s="1344"/>
      <c r="D248" s="1344" t="s">
        <v>1468</v>
      </c>
      <c r="E248" s="682"/>
      <c r="F248" s="392" t="str">
        <f t="shared" si="4"/>
        <v>WasherQ345BØ130/Ø75</v>
      </c>
      <c r="G248" s="2394">
        <v>60000</v>
      </c>
      <c r="H248" s="2401">
        <v>0.1</v>
      </c>
      <c r="I248" s="2394" t="s">
        <v>181</v>
      </c>
      <c r="J248" s="2394"/>
      <c r="K248" s="2394">
        <v>90</v>
      </c>
      <c r="L248" s="2395">
        <v>42914</v>
      </c>
      <c r="M248" s="2394">
        <v>7</v>
      </c>
      <c r="N248" s="1347" t="s">
        <v>129</v>
      </c>
    </row>
    <row r="249" spans="1:14" s="647" customFormat="1" ht="15.95" customHeight="1">
      <c r="A249" s="1344" t="s">
        <v>1356</v>
      </c>
      <c r="B249" s="1344" t="s">
        <v>590</v>
      </c>
      <c r="C249" s="1344" t="s">
        <v>1453</v>
      </c>
      <c r="D249" s="1344"/>
      <c r="E249" s="682"/>
      <c r="F249" s="392" t="str">
        <f t="shared" si="4"/>
        <v>NutSA-387M Gr12CL2M36</v>
      </c>
      <c r="G249" s="2400">
        <v>60000</v>
      </c>
      <c r="H249" s="2401">
        <v>0.1</v>
      </c>
      <c r="I249" s="2394" t="s">
        <v>181</v>
      </c>
      <c r="J249" s="2394"/>
      <c r="K249" s="2394">
        <v>90</v>
      </c>
      <c r="L249" s="2395">
        <v>42914</v>
      </c>
      <c r="M249" s="2394">
        <v>7</v>
      </c>
      <c r="N249" s="1347" t="s">
        <v>129</v>
      </c>
    </row>
    <row r="250" spans="1:14" s="647" customFormat="1" ht="15.95" customHeight="1">
      <c r="A250" s="1344" t="s">
        <v>1363</v>
      </c>
      <c r="B250" s="1344" t="s">
        <v>590</v>
      </c>
      <c r="C250" s="1344" t="s">
        <v>1455</v>
      </c>
      <c r="D250" s="1344"/>
      <c r="E250" s="682"/>
      <c r="F250" s="392" t="str">
        <f t="shared" si="4"/>
        <v>BoltSA-387M Gr12CL2Ø70</v>
      </c>
      <c r="G250" s="2400">
        <v>60000</v>
      </c>
      <c r="H250" s="2401">
        <v>0.1</v>
      </c>
      <c r="I250" s="2394" t="s">
        <v>181</v>
      </c>
      <c r="J250" s="2394"/>
      <c r="K250" s="2394">
        <v>90</v>
      </c>
      <c r="L250" s="2395">
        <v>42914</v>
      </c>
      <c r="M250" s="2394">
        <v>7</v>
      </c>
      <c r="N250" s="1347" t="s">
        <v>129</v>
      </c>
    </row>
    <row r="251" spans="1:14" s="647" customFormat="1" ht="15.95" customHeight="1">
      <c r="A251" s="1344" t="s">
        <v>1358</v>
      </c>
      <c r="B251" s="1344">
        <v>20</v>
      </c>
      <c r="C251" s="1344" t="s">
        <v>1456</v>
      </c>
      <c r="D251" s="1344"/>
      <c r="E251" s="682"/>
      <c r="F251" s="392" t="str">
        <f t="shared" si="4"/>
        <v>Pin20Ø12</v>
      </c>
      <c r="G251" s="2394">
        <v>60000</v>
      </c>
      <c r="H251" s="2401">
        <v>0.1</v>
      </c>
      <c r="I251" s="2394" t="s">
        <v>181</v>
      </c>
      <c r="J251" s="2394"/>
      <c r="K251" s="2394">
        <v>90</v>
      </c>
      <c r="L251" s="2395">
        <v>42914</v>
      </c>
      <c r="M251" s="2394">
        <v>7</v>
      </c>
      <c r="N251" s="1347" t="s">
        <v>129</v>
      </c>
    </row>
    <row r="252" spans="1:14" s="647" customFormat="1" ht="15.95" customHeight="1">
      <c r="A252" s="1344" t="s">
        <v>1359</v>
      </c>
      <c r="B252" s="1344" t="s">
        <v>712</v>
      </c>
      <c r="C252" s="1344"/>
      <c r="D252" s="1344" t="s">
        <v>1468</v>
      </c>
      <c r="E252" s="682"/>
      <c r="F252" s="392" t="str">
        <f t="shared" si="4"/>
        <v>WasherQ345BØ130/Ø75</v>
      </c>
      <c r="G252" s="2394">
        <v>60000</v>
      </c>
      <c r="H252" s="2401">
        <v>0.1</v>
      </c>
      <c r="I252" s="2394" t="s">
        <v>181</v>
      </c>
      <c r="J252" s="2394"/>
      <c r="K252" s="2394">
        <v>90</v>
      </c>
      <c r="L252" s="2395">
        <v>42914</v>
      </c>
      <c r="M252" s="2394">
        <v>7</v>
      </c>
      <c r="N252" s="1347" t="s">
        <v>129</v>
      </c>
    </row>
    <row r="253" spans="1:14" s="647" customFormat="1" ht="15.95" customHeight="1">
      <c r="A253" s="1344" t="s">
        <v>1356</v>
      </c>
      <c r="B253" s="1344" t="s">
        <v>590</v>
      </c>
      <c r="C253" s="1344" t="s">
        <v>1453</v>
      </c>
      <c r="D253" s="1344"/>
      <c r="E253" s="682"/>
      <c r="F253" s="392" t="str">
        <f t="shared" si="4"/>
        <v>NutSA-387M Gr12CL2M36</v>
      </c>
      <c r="G253" s="2400">
        <v>60000</v>
      </c>
      <c r="H253" s="2401">
        <v>0.1</v>
      </c>
      <c r="I253" s="2394" t="s">
        <v>181</v>
      </c>
      <c r="J253" s="2394"/>
      <c r="K253" s="2394">
        <v>90</v>
      </c>
      <c r="L253" s="2395">
        <v>42914</v>
      </c>
      <c r="M253" s="2394">
        <v>7</v>
      </c>
      <c r="N253" s="1347" t="s">
        <v>129</v>
      </c>
    </row>
    <row r="254" spans="1:14" s="647" customFormat="1" ht="15.95" customHeight="1">
      <c r="A254" s="1344" t="s">
        <v>1364</v>
      </c>
      <c r="B254" s="1344" t="s">
        <v>1433</v>
      </c>
      <c r="C254" s="1344">
        <v>245</v>
      </c>
      <c r="D254" s="1344">
        <v>40</v>
      </c>
      <c r="E254" s="682"/>
      <c r="F254" s="392" t="str">
        <f t="shared" si="4"/>
        <v>90elbowSA-335M P1224540</v>
      </c>
      <c r="G254" s="2400">
        <v>60000</v>
      </c>
      <c r="H254" s="2401"/>
      <c r="I254" s="2394" t="s">
        <v>181</v>
      </c>
      <c r="J254" s="2394"/>
      <c r="K254" s="2394">
        <v>90</v>
      </c>
      <c r="L254" s="2395">
        <v>42914</v>
      </c>
      <c r="M254" s="2394">
        <v>7</v>
      </c>
      <c r="N254" s="1347" t="s">
        <v>129</v>
      </c>
    </row>
    <row r="255" spans="1:14" s="647" customFormat="1" ht="15.95" customHeight="1">
      <c r="A255" s="1344" t="s">
        <v>1366</v>
      </c>
      <c r="B255" s="1344" t="s">
        <v>1433</v>
      </c>
      <c r="C255" s="1344"/>
      <c r="D255" s="1344"/>
      <c r="E255" s="682"/>
      <c r="F255" s="392" t="str">
        <f t="shared" si="4"/>
        <v>ReducerSA-335M P12</v>
      </c>
      <c r="G255" s="2394">
        <v>35000</v>
      </c>
      <c r="H255" s="2401"/>
      <c r="I255" s="2394" t="s">
        <v>181</v>
      </c>
      <c r="J255" s="2394"/>
      <c r="K255" s="2394">
        <v>90</v>
      </c>
      <c r="L255" s="2395">
        <v>42914</v>
      </c>
      <c r="M255" s="2394">
        <v>7</v>
      </c>
      <c r="N255" s="1347" t="s">
        <v>129</v>
      </c>
    </row>
    <row r="256" spans="1:14" s="647" customFormat="1" ht="15.95" customHeight="1">
      <c r="A256" s="1344" t="s">
        <v>1364</v>
      </c>
      <c r="B256" s="1344" t="s">
        <v>1470</v>
      </c>
      <c r="C256" s="1344">
        <v>356</v>
      </c>
      <c r="D256" s="1344">
        <v>50</v>
      </c>
      <c r="E256" s="682"/>
      <c r="F256" s="392" t="str">
        <f t="shared" si="4"/>
        <v>90elbowSA-335M P9135650</v>
      </c>
      <c r="G256" s="2400">
        <v>60000</v>
      </c>
      <c r="H256" s="2401"/>
      <c r="I256" s="2394" t="s">
        <v>181</v>
      </c>
      <c r="J256" s="2394"/>
      <c r="K256" s="2394">
        <v>90</v>
      </c>
      <c r="L256" s="2395">
        <v>42914</v>
      </c>
      <c r="M256" s="2394">
        <v>7</v>
      </c>
      <c r="N256" s="1347" t="s">
        <v>129</v>
      </c>
    </row>
    <row r="257" spans="1:14" s="647" customFormat="1" ht="15.95" customHeight="1">
      <c r="A257" s="1344" t="s">
        <v>1364</v>
      </c>
      <c r="B257" s="1344" t="s">
        <v>1470</v>
      </c>
      <c r="C257" s="1344">
        <v>273</v>
      </c>
      <c r="D257" s="1344">
        <v>40</v>
      </c>
      <c r="E257" s="682"/>
      <c r="F257" s="392" t="str">
        <f t="shared" si="4"/>
        <v>90elbowSA-335M P9127340</v>
      </c>
      <c r="G257" s="2400">
        <v>80000</v>
      </c>
      <c r="H257" s="2401"/>
      <c r="I257" s="2394" t="s">
        <v>181</v>
      </c>
      <c r="J257" s="2394"/>
      <c r="K257" s="2394">
        <v>90</v>
      </c>
      <c r="L257" s="2395">
        <v>42914</v>
      </c>
      <c r="M257" s="2394">
        <v>7</v>
      </c>
      <c r="N257" s="1347" t="s">
        <v>129</v>
      </c>
    </row>
    <row r="258" spans="1:14" s="647" customFormat="1" ht="15.95" customHeight="1">
      <c r="A258" s="1344" t="s">
        <v>1365</v>
      </c>
      <c r="B258" s="1344" t="s">
        <v>589</v>
      </c>
      <c r="C258" s="1344"/>
      <c r="D258" s="1344"/>
      <c r="E258" s="682"/>
      <c r="F258" s="392" t="str">
        <f t="shared" si="4"/>
        <v>FittingsSA-387M Gr22CL2</v>
      </c>
      <c r="G258" s="2400">
        <v>42000</v>
      </c>
      <c r="H258" s="2401">
        <v>0.1</v>
      </c>
      <c r="I258" s="2394" t="s">
        <v>181</v>
      </c>
      <c r="J258" s="2394"/>
      <c r="K258" s="2394">
        <v>90</v>
      </c>
      <c r="L258" s="2395">
        <v>42914</v>
      </c>
      <c r="M258" s="2394">
        <v>7</v>
      </c>
      <c r="N258" s="1347" t="s">
        <v>129</v>
      </c>
    </row>
    <row r="259" spans="1:14" s="647" customFormat="1" ht="15.95" customHeight="1">
      <c r="A259" s="1344" t="s">
        <v>1364</v>
      </c>
      <c r="B259" s="1344" t="s">
        <v>1470</v>
      </c>
      <c r="C259" s="1344">
        <v>273</v>
      </c>
      <c r="D259" s="1344">
        <v>40</v>
      </c>
      <c r="E259" s="682"/>
      <c r="F259" s="392" t="str">
        <f t="shared" si="4"/>
        <v>90elbowSA-335M P9127340</v>
      </c>
      <c r="G259" s="2400">
        <v>60000</v>
      </c>
      <c r="H259" s="2401"/>
      <c r="I259" s="2394" t="s">
        <v>181</v>
      </c>
      <c r="J259" s="2394"/>
      <c r="K259" s="2394">
        <v>90</v>
      </c>
      <c r="L259" s="2395">
        <v>42914</v>
      </c>
      <c r="M259" s="2394">
        <v>7</v>
      </c>
      <c r="N259" s="1347" t="s">
        <v>129</v>
      </c>
    </row>
    <row r="260" spans="1:14" s="647" customFormat="1" ht="15.95" customHeight="1">
      <c r="A260" s="1344" t="s">
        <v>1365</v>
      </c>
      <c r="B260" s="1344" t="s">
        <v>589</v>
      </c>
      <c r="C260" s="1344"/>
      <c r="D260" s="1344"/>
      <c r="E260" s="682"/>
      <c r="F260" s="392" t="str">
        <f t="shared" si="4"/>
        <v>FittingsSA-387M Gr22CL2</v>
      </c>
      <c r="G260" s="2400">
        <v>60000</v>
      </c>
      <c r="H260" s="2401">
        <v>0.1</v>
      </c>
      <c r="I260" s="2394" t="s">
        <v>181</v>
      </c>
      <c r="J260" s="2394"/>
      <c r="K260" s="2394">
        <v>90</v>
      </c>
      <c r="L260" s="2395">
        <v>42914</v>
      </c>
      <c r="M260" s="2394">
        <v>7</v>
      </c>
      <c r="N260" s="1347" t="s">
        <v>129</v>
      </c>
    </row>
    <row r="261" spans="1:14" s="647" customFormat="1" ht="15.95" customHeight="1">
      <c r="A261" s="1344" t="s">
        <v>1364</v>
      </c>
      <c r="B261" s="1344" t="s">
        <v>1471</v>
      </c>
      <c r="C261" s="1344">
        <v>245</v>
      </c>
      <c r="D261" s="1344">
        <v>40</v>
      </c>
      <c r="E261" s="682"/>
      <c r="F261" s="392" t="str">
        <f t="shared" si="4"/>
        <v>90elbowSA-335M P9224540</v>
      </c>
      <c r="G261" s="2400">
        <v>80000</v>
      </c>
      <c r="H261" s="2401"/>
      <c r="I261" s="2394" t="s">
        <v>181</v>
      </c>
      <c r="J261" s="2394"/>
      <c r="K261" s="2394">
        <v>90</v>
      </c>
      <c r="L261" s="2395">
        <v>42914</v>
      </c>
      <c r="M261" s="2394">
        <v>7</v>
      </c>
      <c r="N261" s="1347" t="s">
        <v>129</v>
      </c>
    </row>
    <row r="262" spans="1:14" s="647" customFormat="1" ht="15.95" customHeight="1">
      <c r="A262" s="1344" t="s">
        <v>1366</v>
      </c>
      <c r="B262" s="1344" t="s">
        <v>1452</v>
      </c>
      <c r="C262" s="1344"/>
      <c r="D262" s="1344"/>
      <c r="E262" s="682"/>
      <c r="F262" s="392" t="str">
        <f t="shared" si="4"/>
        <v>ReducerSA-182M F91</v>
      </c>
      <c r="G262" s="2400">
        <v>60000</v>
      </c>
      <c r="H262" s="2401"/>
      <c r="I262" s="2394" t="s">
        <v>181</v>
      </c>
      <c r="J262" s="2394"/>
      <c r="K262" s="2394">
        <v>90</v>
      </c>
      <c r="L262" s="2395">
        <v>42914</v>
      </c>
      <c r="M262" s="2394">
        <v>7</v>
      </c>
      <c r="N262" s="1347" t="s">
        <v>129</v>
      </c>
    </row>
    <row r="263" spans="1:14" s="647" customFormat="1" ht="15.95" customHeight="1">
      <c r="A263" s="1344" t="s">
        <v>1365</v>
      </c>
      <c r="B263" s="1344" t="s">
        <v>1452</v>
      </c>
      <c r="C263" s="1344"/>
      <c r="D263" s="1344"/>
      <c r="E263" s="682"/>
      <c r="F263" s="392" t="str">
        <f t="shared" si="4"/>
        <v>FittingsSA-182M F91</v>
      </c>
      <c r="G263" s="2394">
        <v>80000</v>
      </c>
      <c r="H263" s="2401">
        <v>0.1</v>
      </c>
      <c r="I263" s="2394" t="s">
        <v>181</v>
      </c>
      <c r="J263" s="2394"/>
      <c r="K263" s="2394">
        <v>90</v>
      </c>
      <c r="L263" s="2395">
        <v>42914</v>
      </c>
      <c r="M263" s="2394">
        <v>7</v>
      </c>
      <c r="N263" s="1347" t="s">
        <v>129</v>
      </c>
    </row>
    <row r="264" spans="1:14" s="647" customFormat="1" ht="15.95" customHeight="1">
      <c r="A264" s="1344" t="s">
        <v>1364</v>
      </c>
      <c r="B264" s="1344" t="s">
        <v>1470</v>
      </c>
      <c r="C264" s="1344">
        <v>245</v>
      </c>
      <c r="D264" s="1344">
        <v>40</v>
      </c>
      <c r="E264" s="682"/>
      <c r="F264" s="392" t="str">
        <f t="shared" si="4"/>
        <v>90elbowSA-335M P9124540</v>
      </c>
      <c r="G264" s="2400">
        <v>80000</v>
      </c>
      <c r="H264" s="2401"/>
      <c r="I264" s="2394" t="s">
        <v>181</v>
      </c>
      <c r="J264" s="2394"/>
      <c r="K264" s="2394">
        <v>90</v>
      </c>
      <c r="L264" s="2395">
        <v>42914</v>
      </c>
      <c r="M264" s="2394">
        <v>7</v>
      </c>
      <c r="N264" s="1347" t="s">
        <v>129</v>
      </c>
    </row>
    <row r="265" spans="1:14" s="647" customFormat="1" ht="15.95" customHeight="1">
      <c r="A265" s="1344" t="s">
        <v>1366</v>
      </c>
      <c r="B265" s="1344" t="s">
        <v>1452</v>
      </c>
      <c r="C265" s="1344"/>
      <c r="D265" s="1344"/>
      <c r="E265" s="682"/>
      <c r="F265" s="392" t="str">
        <f t="shared" si="4"/>
        <v>ReducerSA-182M F91</v>
      </c>
      <c r="G265" s="2400">
        <v>60000</v>
      </c>
      <c r="H265" s="2401"/>
      <c r="I265" s="2394" t="s">
        <v>181</v>
      </c>
      <c r="J265" s="2394"/>
      <c r="K265" s="2394">
        <v>90</v>
      </c>
      <c r="L265" s="2395">
        <v>42914</v>
      </c>
      <c r="M265" s="2394">
        <v>7</v>
      </c>
      <c r="N265" s="1347" t="s">
        <v>129</v>
      </c>
    </row>
    <row r="266" spans="1:14" s="647" customFormat="1" ht="15.95" customHeight="1">
      <c r="A266" s="1344" t="s">
        <v>1365</v>
      </c>
      <c r="B266" s="1344" t="s">
        <v>1452</v>
      </c>
      <c r="C266" s="1344"/>
      <c r="D266" s="1344"/>
      <c r="E266" s="682"/>
      <c r="F266" s="392" t="str">
        <f t="shared" si="4"/>
        <v>FittingsSA-182M F91</v>
      </c>
      <c r="G266" s="2394">
        <v>80000</v>
      </c>
      <c r="H266" s="2401">
        <v>0.1</v>
      </c>
      <c r="I266" s="2394" t="s">
        <v>181</v>
      </c>
      <c r="J266" s="2394"/>
      <c r="K266" s="2394">
        <v>90</v>
      </c>
      <c r="L266" s="2395">
        <v>42914</v>
      </c>
      <c r="M266" s="2394">
        <v>7</v>
      </c>
      <c r="N266" s="1347" t="s">
        <v>129</v>
      </c>
    </row>
    <row r="267" spans="1:14" s="647" customFormat="1" ht="15.95" customHeight="1">
      <c r="A267" s="1344" t="s">
        <v>1364</v>
      </c>
      <c r="B267" s="1344" t="s">
        <v>1471</v>
      </c>
      <c r="C267" s="1344">
        <v>377</v>
      </c>
      <c r="D267" s="1344">
        <v>20</v>
      </c>
      <c r="E267" s="682"/>
      <c r="F267" s="392" t="str">
        <f t="shared" si="4"/>
        <v>90elbowSA-335M P9237720</v>
      </c>
      <c r="G267" s="2394">
        <v>60000</v>
      </c>
      <c r="H267" s="2401"/>
      <c r="I267" s="2394" t="s">
        <v>181</v>
      </c>
      <c r="J267" s="2394"/>
      <c r="K267" s="2394">
        <v>90</v>
      </c>
      <c r="L267" s="2395">
        <v>42914</v>
      </c>
      <c r="M267" s="2394">
        <v>7</v>
      </c>
      <c r="N267" s="1347" t="s">
        <v>129</v>
      </c>
    </row>
    <row r="268" spans="1:14" s="647" customFormat="1" ht="15.95" customHeight="1">
      <c r="A268" s="1344" t="s">
        <v>1364</v>
      </c>
      <c r="B268" s="1344" t="s">
        <v>1471</v>
      </c>
      <c r="C268" s="1344">
        <v>377</v>
      </c>
      <c r="D268" s="1344">
        <v>20</v>
      </c>
      <c r="E268" s="682"/>
      <c r="F268" s="392" t="str">
        <f t="shared" si="4"/>
        <v>90elbowSA-335M P9237720</v>
      </c>
      <c r="G268" s="2394">
        <v>60000</v>
      </c>
      <c r="H268" s="2401"/>
      <c r="I268" s="2394" t="s">
        <v>181</v>
      </c>
      <c r="J268" s="2394"/>
      <c r="K268" s="2394">
        <v>90</v>
      </c>
      <c r="L268" s="2395">
        <v>42914</v>
      </c>
      <c r="M268" s="2394">
        <v>7</v>
      </c>
      <c r="N268" s="1347" t="s">
        <v>129</v>
      </c>
    </row>
    <row r="269" spans="1:14" s="647" customFormat="1" ht="15.95" customHeight="1">
      <c r="A269" s="1344" t="s">
        <v>1364</v>
      </c>
      <c r="B269" s="1344" t="s">
        <v>709</v>
      </c>
      <c r="C269" s="1344">
        <v>426</v>
      </c>
      <c r="D269" s="1344">
        <v>60</v>
      </c>
      <c r="E269" s="682"/>
      <c r="F269" s="392" t="str">
        <f t="shared" si="4"/>
        <v>90elbowSA-106M C42660</v>
      </c>
      <c r="G269" s="2394">
        <v>35000</v>
      </c>
      <c r="H269" s="2401"/>
      <c r="I269" s="2394" t="s">
        <v>181</v>
      </c>
      <c r="J269" s="2394"/>
      <c r="K269" s="2394">
        <v>90</v>
      </c>
      <c r="L269" s="2395">
        <v>42914</v>
      </c>
      <c r="M269" s="2394">
        <v>7</v>
      </c>
      <c r="N269" s="1347" t="s">
        <v>129</v>
      </c>
    </row>
    <row r="270" spans="1:14" s="647" customFormat="1" ht="15.95" customHeight="1">
      <c r="A270" s="1344" t="s">
        <v>1367</v>
      </c>
      <c r="B270" s="1344" t="s">
        <v>709</v>
      </c>
      <c r="C270" s="1344">
        <v>426</v>
      </c>
      <c r="D270" s="1344">
        <v>60</v>
      </c>
      <c r="E270" s="682"/>
      <c r="F270" s="392" t="str">
        <f t="shared" si="4"/>
        <v>45elbowSA-106M C42660</v>
      </c>
      <c r="G270" s="2394">
        <v>35000</v>
      </c>
      <c r="H270" s="2401"/>
      <c r="I270" s="2394" t="s">
        <v>181</v>
      </c>
      <c r="J270" s="2394"/>
      <c r="K270" s="2394">
        <v>90</v>
      </c>
      <c r="L270" s="2395">
        <v>42914</v>
      </c>
      <c r="M270" s="2394">
        <v>7</v>
      </c>
      <c r="N270" s="1347" t="s">
        <v>129</v>
      </c>
    </row>
    <row r="271" spans="1:14" s="647" customFormat="1" ht="15.95" customHeight="1">
      <c r="A271" s="1344" t="s">
        <v>79</v>
      </c>
      <c r="B271" s="1344" t="s">
        <v>1472</v>
      </c>
      <c r="C271" s="1344"/>
      <c r="D271" s="1344"/>
      <c r="E271" s="682"/>
      <c r="F271" s="392" t="str">
        <f t="shared" si="4"/>
        <v xml:space="preserve">PlateSA-105 </v>
      </c>
      <c r="G271" s="2400">
        <v>60000</v>
      </c>
      <c r="H271" s="2401">
        <v>0.1</v>
      </c>
      <c r="I271" s="2394" t="s">
        <v>181</v>
      </c>
      <c r="J271" s="2394"/>
      <c r="K271" s="2394">
        <v>90</v>
      </c>
      <c r="L271" s="2395">
        <v>42914</v>
      </c>
      <c r="M271" s="2394">
        <v>7</v>
      </c>
      <c r="N271" s="1347" t="s">
        <v>129</v>
      </c>
    </row>
    <row r="272" spans="1:14" s="647" customFormat="1" ht="15.95" customHeight="1">
      <c r="A272" s="1344" t="s">
        <v>1364</v>
      </c>
      <c r="B272" s="1344" t="s">
        <v>709</v>
      </c>
      <c r="C272" s="1344">
        <v>426</v>
      </c>
      <c r="D272" s="1344">
        <v>60</v>
      </c>
      <c r="E272" s="682"/>
      <c r="F272" s="392" t="str">
        <f t="shared" si="4"/>
        <v>90elbowSA-106M C42660</v>
      </c>
      <c r="G272" s="2394">
        <v>35000</v>
      </c>
      <c r="H272" s="2401"/>
      <c r="I272" s="2394" t="s">
        <v>181</v>
      </c>
      <c r="J272" s="2394"/>
      <c r="K272" s="2394">
        <v>90</v>
      </c>
      <c r="L272" s="2395">
        <v>42914</v>
      </c>
      <c r="M272" s="2394">
        <v>7</v>
      </c>
      <c r="N272" s="1347" t="s">
        <v>129</v>
      </c>
    </row>
    <row r="273" spans="1:14" s="647" customFormat="1" ht="15.95" customHeight="1">
      <c r="A273" s="1344" t="s">
        <v>1367</v>
      </c>
      <c r="B273" s="1344" t="s">
        <v>709</v>
      </c>
      <c r="C273" s="1344">
        <v>426</v>
      </c>
      <c r="D273" s="1344">
        <v>60</v>
      </c>
      <c r="E273" s="682"/>
      <c r="F273" s="392" t="str">
        <f t="shared" si="4"/>
        <v>45elbowSA-106M C42660</v>
      </c>
      <c r="G273" s="2394">
        <v>35000</v>
      </c>
      <c r="H273" s="2401"/>
      <c r="I273" s="2394" t="s">
        <v>181</v>
      </c>
      <c r="J273" s="2394"/>
      <c r="K273" s="2394">
        <v>90</v>
      </c>
      <c r="L273" s="2395">
        <v>42914</v>
      </c>
      <c r="M273" s="2394">
        <v>7</v>
      </c>
      <c r="N273" s="1347" t="s">
        <v>129</v>
      </c>
    </row>
    <row r="274" spans="1:14" s="647" customFormat="1" ht="15.95" customHeight="1">
      <c r="A274" s="1344" t="s">
        <v>1368</v>
      </c>
      <c r="B274" s="1344" t="s">
        <v>1469</v>
      </c>
      <c r="C274" s="1344">
        <v>660</v>
      </c>
      <c r="D274" s="1344">
        <v>105</v>
      </c>
      <c r="E274" s="682"/>
      <c r="F274" s="392" t="str">
        <f t="shared" si="4"/>
        <v>End PlateSA-182 F1660105</v>
      </c>
      <c r="G274" s="2400">
        <v>42000</v>
      </c>
      <c r="H274" s="2401">
        <v>0.1</v>
      </c>
      <c r="I274" s="2394" t="s">
        <v>181</v>
      </c>
      <c r="J274" s="2394"/>
      <c r="K274" s="2394">
        <v>90</v>
      </c>
      <c r="L274" s="2395">
        <v>42914</v>
      </c>
      <c r="M274" s="2394">
        <v>7</v>
      </c>
      <c r="N274" s="1347" t="s">
        <v>129</v>
      </c>
    </row>
    <row r="275" spans="1:14" s="647" customFormat="1" ht="15.95" customHeight="1">
      <c r="A275" s="1344" t="s">
        <v>1369</v>
      </c>
      <c r="B275" s="1344" t="s">
        <v>1473</v>
      </c>
      <c r="C275" s="1344"/>
      <c r="D275" s="1344"/>
      <c r="E275" s="682"/>
      <c r="F275" s="392" t="str">
        <f t="shared" si="4"/>
        <v>LugSA-105</v>
      </c>
      <c r="G275" s="2400">
        <v>60000</v>
      </c>
      <c r="H275" s="2401">
        <v>0.1</v>
      </c>
      <c r="I275" s="2394" t="s">
        <v>181</v>
      </c>
      <c r="J275" s="2394"/>
      <c r="K275" s="2394">
        <v>90</v>
      </c>
      <c r="L275" s="2395">
        <v>42914</v>
      </c>
      <c r="M275" s="2394">
        <v>7</v>
      </c>
      <c r="N275" s="1347" t="s">
        <v>129</v>
      </c>
    </row>
    <row r="276" spans="1:14" s="647" customFormat="1" ht="15.95" customHeight="1">
      <c r="A276" s="1344" t="s">
        <v>79</v>
      </c>
      <c r="B276" s="1344" t="s">
        <v>1472</v>
      </c>
      <c r="C276" s="1344"/>
      <c r="D276" s="1344"/>
      <c r="E276" s="682"/>
      <c r="F276" s="392" t="str">
        <f t="shared" si="4"/>
        <v xml:space="preserve">PlateSA-105 </v>
      </c>
      <c r="G276" s="2400">
        <v>60000</v>
      </c>
      <c r="H276" s="2401">
        <v>0.1</v>
      </c>
      <c r="I276" s="2394" t="s">
        <v>181</v>
      </c>
      <c r="J276" s="2394"/>
      <c r="K276" s="2394">
        <v>90</v>
      </c>
      <c r="L276" s="2395">
        <v>42914</v>
      </c>
      <c r="M276" s="2394">
        <v>7</v>
      </c>
      <c r="N276" s="1347" t="s">
        <v>129</v>
      </c>
    </row>
    <row r="277" spans="1:14" s="647" customFormat="1" ht="15.95" customHeight="1">
      <c r="A277" s="1344" t="s">
        <v>708</v>
      </c>
      <c r="B277" s="1344" t="s">
        <v>1452</v>
      </c>
      <c r="C277" s="1344">
        <v>219</v>
      </c>
      <c r="D277" s="1344">
        <v>36</v>
      </c>
      <c r="E277" s="682"/>
      <c r="F277" s="392" t="str">
        <f t="shared" si="4"/>
        <v>NozzlesSA-182M F9121936</v>
      </c>
      <c r="G277" s="2394">
        <v>80000</v>
      </c>
      <c r="H277" s="2401">
        <v>0.1</v>
      </c>
      <c r="I277" s="2394" t="s">
        <v>181</v>
      </c>
      <c r="J277" s="2394"/>
      <c r="K277" s="2394">
        <v>90</v>
      </c>
      <c r="L277" s="2395">
        <v>42914</v>
      </c>
      <c r="M277" s="2394">
        <v>7</v>
      </c>
      <c r="N277" s="1347" t="s">
        <v>129</v>
      </c>
    </row>
    <row r="278" spans="1:14" s="647" customFormat="1" ht="15.95" customHeight="1">
      <c r="A278" s="1344" t="s">
        <v>708</v>
      </c>
      <c r="B278" s="1344" t="s">
        <v>1452</v>
      </c>
      <c r="C278" s="1344">
        <v>457</v>
      </c>
      <c r="D278" s="1344">
        <v>65</v>
      </c>
      <c r="E278" s="682"/>
      <c r="F278" s="392" t="str">
        <f t="shared" si="4"/>
        <v>NozzlesSA-182M F9145765</v>
      </c>
      <c r="G278" s="2394">
        <v>60000</v>
      </c>
      <c r="H278" s="2401">
        <v>0.1</v>
      </c>
      <c r="I278" s="2394" t="s">
        <v>181</v>
      </c>
      <c r="J278" s="2394"/>
      <c r="K278" s="2394">
        <v>90</v>
      </c>
      <c r="L278" s="2395">
        <v>42914</v>
      </c>
      <c r="M278" s="2394">
        <v>7</v>
      </c>
      <c r="N278" s="1347" t="s">
        <v>129</v>
      </c>
    </row>
    <row r="279" spans="1:14" s="647" customFormat="1" ht="15.95" customHeight="1">
      <c r="A279" s="1344" t="s">
        <v>708</v>
      </c>
      <c r="B279" s="1344" t="s">
        <v>1452</v>
      </c>
      <c r="C279" s="1344">
        <v>356</v>
      </c>
      <c r="D279" s="1344">
        <v>55</v>
      </c>
      <c r="E279" s="682"/>
      <c r="F279" s="392" t="str">
        <f t="shared" si="4"/>
        <v>NozzlesSA-182M F9135655</v>
      </c>
      <c r="G279" s="2394">
        <v>60000</v>
      </c>
      <c r="H279" s="2401">
        <v>0.1</v>
      </c>
      <c r="I279" s="2394" t="s">
        <v>181</v>
      </c>
      <c r="J279" s="2394"/>
      <c r="K279" s="2394">
        <v>90</v>
      </c>
      <c r="L279" s="2395">
        <v>42914</v>
      </c>
      <c r="M279" s="2394">
        <v>7</v>
      </c>
      <c r="N279" s="1347" t="s">
        <v>129</v>
      </c>
    </row>
    <row r="280" spans="1:14" s="647" customFormat="1" ht="15.95" customHeight="1">
      <c r="A280" s="1344" t="s">
        <v>708</v>
      </c>
      <c r="B280" s="1344" t="s">
        <v>590</v>
      </c>
      <c r="C280" s="1344">
        <v>457</v>
      </c>
      <c r="D280" s="1344">
        <v>65</v>
      </c>
      <c r="E280" s="682"/>
      <c r="F280" s="392" t="str">
        <f t="shared" si="4"/>
        <v>NozzlesSA-387M Gr12CL245765</v>
      </c>
      <c r="G280" s="2400">
        <v>42000</v>
      </c>
      <c r="H280" s="2401">
        <v>0.1</v>
      </c>
      <c r="I280" s="2394" t="s">
        <v>181</v>
      </c>
      <c r="J280" s="2394"/>
      <c r="K280" s="2394">
        <v>90</v>
      </c>
      <c r="L280" s="2395">
        <v>42914</v>
      </c>
      <c r="M280" s="2394">
        <v>7</v>
      </c>
      <c r="N280" s="1347" t="s">
        <v>129</v>
      </c>
    </row>
    <row r="281" spans="1:14" s="647" customFormat="1" ht="15.95" customHeight="1">
      <c r="A281" s="1344" t="s">
        <v>708</v>
      </c>
      <c r="B281" s="1344" t="s">
        <v>590</v>
      </c>
      <c r="C281" s="1344">
        <v>356</v>
      </c>
      <c r="D281" s="1344">
        <v>55</v>
      </c>
      <c r="E281" s="682"/>
      <c r="F281" s="392" t="str">
        <f t="shared" si="4"/>
        <v>NozzlesSA-387M Gr12CL235655</v>
      </c>
      <c r="G281" s="2400">
        <v>42000</v>
      </c>
      <c r="H281" s="2401">
        <v>0.1</v>
      </c>
      <c r="I281" s="2394" t="s">
        <v>181</v>
      </c>
      <c r="J281" s="2394"/>
      <c r="K281" s="2394">
        <v>90</v>
      </c>
      <c r="L281" s="2395">
        <v>42914</v>
      </c>
      <c r="M281" s="2394">
        <v>7</v>
      </c>
      <c r="N281" s="1347" t="s">
        <v>129</v>
      </c>
    </row>
    <row r="282" spans="1:14" s="647" customFormat="1" ht="15.95" customHeight="1">
      <c r="A282" s="1344" t="s">
        <v>708</v>
      </c>
      <c r="B282" s="1344" t="s">
        <v>590</v>
      </c>
      <c r="C282" s="1344">
        <v>105</v>
      </c>
      <c r="D282" s="1344">
        <v>22.5</v>
      </c>
      <c r="E282" s="682"/>
      <c r="F282" s="392" t="str">
        <f t="shared" si="4"/>
        <v>NozzlesSA-387M Gr12CL210522.5</v>
      </c>
      <c r="G282" s="2400">
        <v>60000</v>
      </c>
      <c r="H282" s="2401">
        <v>0.1</v>
      </c>
      <c r="I282" s="2394" t="s">
        <v>181</v>
      </c>
      <c r="J282" s="2394"/>
      <c r="K282" s="2394">
        <v>90</v>
      </c>
      <c r="L282" s="2395">
        <v>42914</v>
      </c>
      <c r="M282" s="2394">
        <v>7</v>
      </c>
      <c r="N282" s="1347" t="s">
        <v>129</v>
      </c>
    </row>
    <row r="283" spans="1:14" s="647" customFormat="1" ht="15.95" customHeight="1">
      <c r="A283" s="1344" t="s">
        <v>708</v>
      </c>
      <c r="B283" s="1344" t="s">
        <v>1452</v>
      </c>
      <c r="C283" s="1344">
        <v>356</v>
      </c>
      <c r="D283" s="1344">
        <v>55</v>
      </c>
      <c r="E283" s="682"/>
      <c r="F283" s="392" t="str">
        <f t="shared" si="4"/>
        <v>NozzlesSA-182M F9135655</v>
      </c>
      <c r="G283" s="2394">
        <v>60000</v>
      </c>
      <c r="H283" s="2401">
        <v>0.1</v>
      </c>
      <c r="I283" s="2394" t="s">
        <v>181</v>
      </c>
      <c r="J283" s="2394"/>
      <c r="K283" s="2394">
        <v>90</v>
      </c>
      <c r="L283" s="2395">
        <v>42914</v>
      </c>
      <c r="M283" s="2394">
        <v>7</v>
      </c>
      <c r="N283" s="1347" t="s">
        <v>129</v>
      </c>
    </row>
    <row r="284" spans="1:14" s="647" customFormat="1" ht="15.95" customHeight="1">
      <c r="A284" s="1344" t="s">
        <v>708</v>
      </c>
      <c r="B284" s="1344" t="s">
        <v>1452</v>
      </c>
      <c r="C284" s="1344">
        <v>368</v>
      </c>
      <c r="D284" s="1344">
        <v>50</v>
      </c>
      <c r="E284" s="682"/>
      <c r="F284" s="392" t="str">
        <f t="shared" si="4"/>
        <v>NozzlesSA-182M F9136850</v>
      </c>
      <c r="G284" s="2394">
        <v>60000</v>
      </c>
      <c r="H284" s="2401">
        <v>0.1</v>
      </c>
      <c r="I284" s="2394" t="s">
        <v>181</v>
      </c>
      <c r="J284" s="2394"/>
      <c r="K284" s="2394">
        <v>90</v>
      </c>
      <c r="L284" s="2395">
        <v>42914</v>
      </c>
      <c r="M284" s="2394">
        <v>7</v>
      </c>
      <c r="N284" s="1347" t="s">
        <v>129</v>
      </c>
    </row>
    <row r="285" spans="1:14" s="647" customFormat="1" ht="15.95" customHeight="1">
      <c r="A285" s="1344" t="s">
        <v>708</v>
      </c>
      <c r="B285" s="1344" t="s">
        <v>590</v>
      </c>
      <c r="C285" s="1344">
        <v>480</v>
      </c>
      <c r="D285" s="1344">
        <v>70</v>
      </c>
      <c r="E285" s="682"/>
      <c r="F285" s="392" t="str">
        <f t="shared" si="4"/>
        <v>NozzlesSA-387M Gr12CL248070</v>
      </c>
      <c r="G285" s="2400">
        <v>42000</v>
      </c>
      <c r="H285" s="2401">
        <v>0.1</v>
      </c>
      <c r="I285" s="2394" t="s">
        <v>181</v>
      </c>
      <c r="J285" s="2394"/>
      <c r="K285" s="2394">
        <v>90</v>
      </c>
      <c r="L285" s="2395">
        <v>42914</v>
      </c>
      <c r="M285" s="2394">
        <v>7</v>
      </c>
      <c r="N285" s="1347" t="s">
        <v>129</v>
      </c>
    </row>
    <row r="286" spans="1:14" s="647" customFormat="1" ht="15.95" customHeight="1">
      <c r="A286" s="1344" t="s">
        <v>708</v>
      </c>
      <c r="B286" s="1344" t="s">
        <v>590</v>
      </c>
      <c r="C286" s="1344">
        <v>356</v>
      </c>
      <c r="D286" s="1344">
        <v>55</v>
      </c>
      <c r="E286" s="682"/>
      <c r="F286" s="392" t="str">
        <f t="shared" si="4"/>
        <v>NozzlesSA-387M Gr12CL235655</v>
      </c>
      <c r="G286" s="2400">
        <v>42000</v>
      </c>
      <c r="H286" s="2401">
        <v>0.1</v>
      </c>
      <c r="I286" s="2394" t="s">
        <v>181</v>
      </c>
      <c r="J286" s="2394"/>
      <c r="K286" s="2394">
        <v>90</v>
      </c>
      <c r="L286" s="2395">
        <v>42914</v>
      </c>
      <c r="M286" s="2394">
        <v>7</v>
      </c>
      <c r="N286" s="1347" t="s">
        <v>129</v>
      </c>
    </row>
    <row r="287" spans="1:14" s="647" customFormat="1" ht="15.95" customHeight="1">
      <c r="A287" s="1344" t="s">
        <v>708</v>
      </c>
      <c r="B287" s="1344" t="s">
        <v>590</v>
      </c>
      <c r="C287" s="1344">
        <v>368</v>
      </c>
      <c r="D287" s="1344">
        <v>50</v>
      </c>
      <c r="E287" s="682"/>
      <c r="F287" s="392" t="str">
        <f t="shared" si="4"/>
        <v>NozzlesSA-387M Gr12CL236850</v>
      </c>
      <c r="G287" s="2400">
        <v>42000</v>
      </c>
      <c r="H287" s="2401">
        <v>0.1</v>
      </c>
      <c r="I287" s="2394" t="s">
        <v>181</v>
      </c>
      <c r="J287" s="2394"/>
      <c r="K287" s="2394">
        <v>90</v>
      </c>
      <c r="L287" s="2395">
        <v>42914</v>
      </c>
      <c r="M287" s="2394">
        <v>7</v>
      </c>
      <c r="N287" s="1347" t="s">
        <v>129</v>
      </c>
    </row>
    <row r="288" spans="1:14" s="647" customFormat="1" ht="15.95" customHeight="1">
      <c r="A288" s="1344" t="s">
        <v>708</v>
      </c>
      <c r="B288" s="1344" t="s">
        <v>590</v>
      </c>
      <c r="C288" s="1344">
        <v>168</v>
      </c>
      <c r="D288" s="1344">
        <v>26</v>
      </c>
      <c r="E288" s="682"/>
      <c r="F288" s="392" t="str">
        <f t="shared" si="4"/>
        <v>NozzlesSA-387M Gr12CL216826</v>
      </c>
      <c r="G288" s="2400">
        <v>60000</v>
      </c>
      <c r="H288" s="2401">
        <v>0.1</v>
      </c>
      <c r="I288" s="2394" t="s">
        <v>181</v>
      </c>
      <c r="J288" s="2394"/>
      <c r="K288" s="2394">
        <v>90</v>
      </c>
      <c r="L288" s="2395">
        <v>42914</v>
      </c>
      <c r="M288" s="2394">
        <v>7</v>
      </c>
      <c r="N288" s="1347" t="s">
        <v>129</v>
      </c>
    </row>
    <row r="289" spans="1:14" s="647" customFormat="1" ht="15.95" customHeight="1">
      <c r="A289" s="1344" t="s">
        <v>708</v>
      </c>
      <c r="B289" s="1344" t="s">
        <v>590</v>
      </c>
      <c r="C289" s="1344">
        <v>50</v>
      </c>
      <c r="D289" s="1344">
        <v>14.6</v>
      </c>
      <c r="E289" s="682"/>
      <c r="F289" s="392" t="str">
        <f t="shared" si="4"/>
        <v>NozzlesSA-387M Gr12CL25014.6</v>
      </c>
      <c r="G289" s="2400">
        <v>60000</v>
      </c>
      <c r="H289" s="2401">
        <v>0.1</v>
      </c>
      <c r="I289" s="2394" t="s">
        <v>181</v>
      </c>
      <c r="J289" s="2394"/>
      <c r="K289" s="2394">
        <v>90</v>
      </c>
      <c r="L289" s="2395">
        <v>42914</v>
      </c>
      <c r="M289" s="2394">
        <v>7</v>
      </c>
      <c r="N289" s="1347" t="s">
        <v>129</v>
      </c>
    </row>
    <row r="290" spans="1:14" s="647" customFormat="1" ht="15.95" customHeight="1">
      <c r="A290" s="1344" t="s">
        <v>708</v>
      </c>
      <c r="B290" s="1344" t="s">
        <v>590</v>
      </c>
      <c r="C290" s="1344">
        <v>50</v>
      </c>
      <c r="D290" s="1344">
        <v>19.45</v>
      </c>
      <c r="E290" s="682"/>
      <c r="F290" s="392" t="str">
        <f t="shared" si="4"/>
        <v>NozzlesSA-387M Gr12CL25019.45</v>
      </c>
      <c r="G290" s="2400">
        <v>60000</v>
      </c>
      <c r="H290" s="2401">
        <v>0.1</v>
      </c>
      <c r="I290" s="2394" t="s">
        <v>181</v>
      </c>
      <c r="J290" s="2394"/>
      <c r="K290" s="2394">
        <v>90</v>
      </c>
      <c r="L290" s="2395">
        <v>42914</v>
      </c>
      <c r="M290" s="2394">
        <v>7</v>
      </c>
      <c r="N290" s="1347" t="s">
        <v>129</v>
      </c>
    </row>
    <row r="291" spans="1:14" s="647" customFormat="1" ht="15.95" customHeight="1">
      <c r="A291" s="1344" t="s">
        <v>708</v>
      </c>
      <c r="B291" s="1344" t="s">
        <v>590</v>
      </c>
      <c r="C291" s="1344">
        <v>95</v>
      </c>
      <c r="D291" s="1344">
        <v>9.5</v>
      </c>
      <c r="E291" s="682"/>
      <c r="F291" s="392" t="str">
        <f t="shared" si="4"/>
        <v>NozzlesSA-387M Gr12CL2959.5</v>
      </c>
      <c r="G291" s="2400">
        <v>60000</v>
      </c>
      <c r="H291" s="2401">
        <v>0.1</v>
      </c>
      <c r="I291" s="2394" t="s">
        <v>181</v>
      </c>
      <c r="J291" s="2394"/>
      <c r="K291" s="2394">
        <v>90</v>
      </c>
      <c r="L291" s="2395">
        <v>42914</v>
      </c>
      <c r="M291" s="2394">
        <v>7</v>
      </c>
      <c r="N291" s="1347" t="s">
        <v>129</v>
      </c>
    </row>
    <row r="292" spans="1:14" s="647" customFormat="1" ht="15.95" customHeight="1">
      <c r="A292" s="1344" t="s">
        <v>1356</v>
      </c>
      <c r="B292" s="1344" t="s">
        <v>719</v>
      </c>
      <c r="C292" s="1344"/>
      <c r="D292" s="1344"/>
      <c r="E292" s="682"/>
      <c r="F292" s="392" t="str">
        <f t="shared" si="4"/>
        <v>NutQ235A</v>
      </c>
      <c r="G292" s="2394">
        <v>60000</v>
      </c>
      <c r="H292" s="2401">
        <v>0.1</v>
      </c>
      <c r="I292" s="2394" t="s">
        <v>181</v>
      </c>
      <c r="J292" s="2394"/>
      <c r="K292" s="2394">
        <v>90</v>
      </c>
      <c r="L292" s="2395">
        <v>42914</v>
      </c>
      <c r="M292" s="2394">
        <v>7</v>
      </c>
      <c r="N292" s="1347" t="s">
        <v>129</v>
      </c>
    </row>
    <row r="293" spans="1:14" s="647" customFormat="1" ht="15.95" customHeight="1">
      <c r="A293" s="1344" t="s">
        <v>1370</v>
      </c>
      <c r="B293" s="1344" t="s">
        <v>590</v>
      </c>
      <c r="C293" s="1344">
        <v>480</v>
      </c>
      <c r="D293" s="1344">
        <v>70</v>
      </c>
      <c r="E293" s="682"/>
      <c r="F293" s="392" t="str">
        <f t="shared" si="4"/>
        <v>BendingSA-387M Gr12CL248070</v>
      </c>
      <c r="G293" s="2400">
        <v>42000</v>
      </c>
      <c r="H293" s="2401"/>
      <c r="I293" s="2394" t="s">
        <v>181</v>
      </c>
      <c r="J293" s="2394"/>
      <c r="K293" s="2394">
        <v>90</v>
      </c>
      <c r="L293" s="2395">
        <v>42914</v>
      </c>
      <c r="M293" s="2394">
        <v>7</v>
      </c>
      <c r="N293" s="1347" t="s">
        <v>129</v>
      </c>
    </row>
    <row r="294" spans="1:14" s="647" customFormat="1" ht="15.95" customHeight="1">
      <c r="A294" s="1344" t="s">
        <v>1370</v>
      </c>
      <c r="B294" s="1344" t="s">
        <v>590</v>
      </c>
      <c r="C294" s="1344">
        <v>356</v>
      </c>
      <c r="D294" s="1344">
        <v>55</v>
      </c>
      <c r="E294" s="682"/>
      <c r="F294" s="392" t="str">
        <f t="shared" si="4"/>
        <v>BendingSA-387M Gr12CL235655</v>
      </c>
      <c r="G294" s="2400">
        <v>42000</v>
      </c>
      <c r="H294" s="2401"/>
      <c r="I294" s="2394" t="s">
        <v>181</v>
      </c>
      <c r="J294" s="2394"/>
      <c r="K294" s="2394">
        <v>90</v>
      </c>
      <c r="L294" s="2395">
        <v>42914</v>
      </c>
      <c r="M294" s="2394">
        <v>7</v>
      </c>
      <c r="N294" s="1347" t="s">
        <v>129</v>
      </c>
    </row>
    <row r="295" spans="1:14" s="647" customFormat="1" ht="15.95" customHeight="1">
      <c r="A295" s="1344" t="s">
        <v>1371</v>
      </c>
      <c r="B295" s="1344" t="s">
        <v>590</v>
      </c>
      <c r="C295" s="1344">
        <v>650</v>
      </c>
      <c r="D295" s="1344">
        <v>75</v>
      </c>
      <c r="E295" s="682"/>
      <c r="F295" s="392" t="str">
        <f t="shared" si="4"/>
        <v>SphereSA-387M Gr12CL265075</v>
      </c>
      <c r="G295" s="2400">
        <v>42000</v>
      </c>
      <c r="H295" s="2401">
        <v>0.1</v>
      </c>
      <c r="I295" s="2394" t="s">
        <v>181</v>
      </c>
      <c r="J295" s="2394"/>
      <c r="K295" s="2394">
        <v>90</v>
      </c>
      <c r="L295" s="2395">
        <v>42914</v>
      </c>
      <c r="M295" s="2394">
        <v>7</v>
      </c>
      <c r="N295" s="1347" t="s">
        <v>129</v>
      </c>
    </row>
    <row r="296" spans="1:14" s="647" customFormat="1" ht="15.95" customHeight="1">
      <c r="A296" s="1344" t="s">
        <v>1372</v>
      </c>
      <c r="B296" s="1344" t="s">
        <v>590</v>
      </c>
      <c r="C296" s="1344"/>
      <c r="D296" s="1344">
        <v>80</v>
      </c>
      <c r="E296" s="682"/>
      <c r="F296" s="392" t="str">
        <f t="shared" si="4"/>
        <v>Branch piecesSA-387M Gr12CL280</v>
      </c>
      <c r="G296" s="2400">
        <v>42000</v>
      </c>
      <c r="H296" s="2401">
        <v>0.1</v>
      </c>
      <c r="I296" s="2394" t="s">
        <v>181</v>
      </c>
      <c r="J296" s="2394"/>
      <c r="K296" s="2394">
        <v>90</v>
      </c>
      <c r="L296" s="2395">
        <v>42914</v>
      </c>
      <c r="M296" s="2394">
        <v>7</v>
      </c>
      <c r="N296" s="1347" t="s">
        <v>129</v>
      </c>
    </row>
    <row r="297" spans="1:14" s="647" customFormat="1" ht="15.95" customHeight="1">
      <c r="A297" s="1344" t="s">
        <v>1373</v>
      </c>
      <c r="B297" s="1344" t="s">
        <v>590</v>
      </c>
      <c r="C297" s="1344"/>
      <c r="D297" s="1344">
        <v>80</v>
      </c>
      <c r="E297" s="682"/>
      <c r="F297" s="392" t="str">
        <f t="shared" si="4"/>
        <v>Swing flateSA-387M Gr12CL280</v>
      </c>
      <c r="G297" s="2400">
        <v>42000</v>
      </c>
      <c r="H297" s="2401">
        <v>0.1</v>
      </c>
      <c r="I297" s="2394" t="s">
        <v>181</v>
      </c>
      <c r="J297" s="2394"/>
      <c r="K297" s="2394">
        <v>90</v>
      </c>
      <c r="L297" s="2395">
        <v>42914</v>
      </c>
      <c r="M297" s="2394">
        <v>7</v>
      </c>
      <c r="N297" s="1347" t="s">
        <v>129</v>
      </c>
    </row>
    <row r="298" spans="1:14" s="647" customFormat="1" ht="15.95" customHeight="1">
      <c r="A298" s="1344" t="s">
        <v>1374</v>
      </c>
      <c r="B298" s="1344" t="s">
        <v>590</v>
      </c>
      <c r="C298" s="1344"/>
      <c r="D298" s="1344">
        <v>75</v>
      </c>
      <c r="E298" s="682"/>
      <c r="F298" s="392" t="str">
        <f t="shared" si="4"/>
        <v>T-pieceSA-387M Gr12CL275</v>
      </c>
      <c r="G298" s="2400">
        <v>42000</v>
      </c>
      <c r="H298" s="2401"/>
      <c r="I298" s="2394" t="s">
        <v>181</v>
      </c>
      <c r="J298" s="2394"/>
      <c r="K298" s="2394">
        <v>90</v>
      </c>
      <c r="L298" s="2395">
        <v>42914</v>
      </c>
      <c r="M298" s="2394">
        <v>7</v>
      </c>
      <c r="N298" s="1347" t="s">
        <v>129</v>
      </c>
    </row>
    <row r="299" spans="1:14" s="647" customFormat="1" ht="15.95" customHeight="1">
      <c r="A299" s="1344" t="s">
        <v>1370</v>
      </c>
      <c r="B299" s="1344" t="s">
        <v>590</v>
      </c>
      <c r="C299" s="1344">
        <v>508</v>
      </c>
      <c r="D299" s="1344">
        <v>75</v>
      </c>
      <c r="E299" s="682"/>
      <c r="F299" s="392" t="str">
        <f t="shared" si="4"/>
        <v>BendingSA-387M Gr12CL250875</v>
      </c>
      <c r="G299" s="2400">
        <v>42000</v>
      </c>
      <c r="H299" s="2401"/>
      <c r="I299" s="2394" t="s">
        <v>181</v>
      </c>
      <c r="J299" s="2394"/>
      <c r="K299" s="2394">
        <v>90</v>
      </c>
      <c r="L299" s="2395">
        <v>42914</v>
      </c>
      <c r="M299" s="2394">
        <v>7</v>
      </c>
      <c r="N299" s="1347" t="s">
        <v>129</v>
      </c>
    </row>
    <row r="300" spans="1:14" s="647" customFormat="1" ht="15.95" customHeight="1">
      <c r="A300" s="1344" t="s">
        <v>1370</v>
      </c>
      <c r="B300" s="1344" t="s">
        <v>590</v>
      </c>
      <c r="C300" s="1344">
        <v>368</v>
      </c>
      <c r="D300" s="1344">
        <v>50</v>
      </c>
      <c r="E300" s="682"/>
      <c r="F300" s="392" t="str">
        <f t="shared" si="4"/>
        <v>BendingSA-387M Gr12CL236850</v>
      </c>
      <c r="G300" s="2400">
        <v>42000</v>
      </c>
      <c r="H300" s="2401"/>
      <c r="I300" s="2394" t="s">
        <v>181</v>
      </c>
      <c r="J300" s="2394"/>
      <c r="K300" s="2394">
        <v>90</v>
      </c>
      <c r="L300" s="2395">
        <v>42914</v>
      </c>
      <c r="M300" s="2394">
        <v>7</v>
      </c>
      <c r="N300" s="1347" t="s">
        <v>129</v>
      </c>
    </row>
    <row r="301" spans="1:14" s="647" customFormat="1" ht="15.95" customHeight="1">
      <c r="A301" s="1344" t="s">
        <v>1370</v>
      </c>
      <c r="B301" s="1344" t="s">
        <v>590</v>
      </c>
      <c r="C301" s="1344">
        <v>356</v>
      </c>
      <c r="D301" s="1344">
        <v>55</v>
      </c>
      <c r="E301" s="682"/>
      <c r="F301" s="392" t="str">
        <f t="shared" si="4"/>
        <v>BendingSA-387M Gr12CL235655</v>
      </c>
      <c r="G301" s="2400">
        <v>42000</v>
      </c>
      <c r="H301" s="2401"/>
      <c r="I301" s="2394" t="s">
        <v>181</v>
      </c>
      <c r="J301" s="2394"/>
      <c r="K301" s="2394">
        <v>90</v>
      </c>
      <c r="L301" s="2395">
        <v>42914</v>
      </c>
      <c r="M301" s="2394">
        <v>7</v>
      </c>
      <c r="N301" s="1347" t="s">
        <v>129</v>
      </c>
    </row>
    <row r="302" spans="1:14" s="647" customFormat="1" ht="15.95" customHeight="1">
      <c r="A302" s="1344" t="s">
        <v>1370</v>
      </c>
      <c r="B302" s="1344" t="s">
        <v>590</v>
      </c>
      <c r="C302" s="1344">
        <v>457</v>
      </c>
      <c r="D302" s="1344">
        <v>70</v>
      </c>
      <c r="E302" s="682"/>
      <c r="F302" s="392" t="str">
        <f t="shared" si="4"/>
        <v>BendingSA-387M Gr12CL245770</v>
      </c>
      <c r="G302" s="2400">
        <v>42000</v>
      </c>
      <c r="H302" s="2401"/>
      <c r="I302" s="2394" t="s">
        <v>181</v>
      </c>
      <c r="J302" s="2394"/>
      <c r="K302" s="2394">
        <v>90</v>
      </c>
      <c r="L302" s="2395">
        <v>42914</v>
      </c>
      <c r="M302" s="2394">
        <v>7</v>
      </c>
      <c r="N302" s="1347" t="s">
        <v>129</v>
      </c>
    </row>
    <row r="303" spans="1:14" s="647" customFormat="1" ht="15.95" customHeight="1">
      <c r="A303" s="1344" t="s">
        <v>1370</v>
      </c>
      <c r="B303" s="1344" t="s">
        <v>590</v>
      </c>
      <c r="C303" s="1344">
        <v>457</v>
      </c>
      <c r="D303" s="1344">
        <v>65</v>
      </c>
      <c r="E303" s="682"/>
      <c r="F303" s="392" t="str">
        <f t="shared" si="4"/>
        <v>BendingSA-387M Gr12CL245765</v>
      </c>
      <c r="G303" s="2400">
        <v>42000</v>
      </c>
      <c r="H303" s="2401"/>
      <c r="I303" s="2394" t="s">
        <v>181</v>
      </c>
      <c r="J303" s="2394"/>
      <c r="K303" s="2394">
        <v>90</v>
      </c>
      <c r="L303" s="2395">
        <v>42914</v>
      </c>
      <c r="M303" s="2394">
        <v>7</v>
      </c>
      <c r="N303" s="1347" t="s">
        <v>129</v>
      </c>
    </row>
    <row r="304" spans="1:14" s="647" customFormat="1" ht="15.95" customHeight="1">
      <c r="A304" s="1344" t="s">
        <v>1370</v>
      </c>
      <c r="B304" s="1344" t="s">
        <v>590</v>
      </c>
      <c r="C304" s="1344">
        <v>219</v>
      </c>
      <c r="D304" s="1344">
        <v>32</v>
      </c>
      <c r="E304" s="682"/>
      <c r="F304" s="392" t="str">
        <f t="shared" ref="F304:F367" si="5">A304&amp;B304&amp;C304&amp;D304</f>
        <v>BendingSA-387M Gr12CL221932</v>
      </c>
      <c r="G304" s="2400">
        <v>60000</v>
      </c>
      <c r="H304" s="2401"/>
      <c r="I304" s="2394" t="s">
        <v>181</v>
      </c>
      <c r="J304" s="2394"/>
      <c r="K304" s="2394">
        <v>90</v>
      </c>
      <c r="L304" s="2395">
        <v>42914</v>
      </c>
      <c r="M304" s="2394">
        <v>7</v>
      </c>
      <c r="N304" s="1347" t="s">
        <v>129</v>
      </c>
    </row>
    <row r="305" spans="1:14" s="647" customFormat="1" ht="15.95" customHeight="1">
      <c r="A305" s="1344" t="s">
        <v>1375</v>
      </c>
      <c r="B305" s="1344" t="s">
        <v>590</v>
      </c>
      <c r="C305" s="1344"/>
      <c r="D305" s="1344"/>
      <c r="E305" s="682"/>
      <c r="F305" s="392" t="str">
        <f t="shared" si="5"/>
        <v>F14.20.1 (M20X70)SA-387M Gr12CL2</v>
      </c>
      <c r="G305" s="2400">
        <v>60000</v>
      </c>
      <c r="H305" s="2401">
        <v>0.1</v>
      </c>
      <c r="I305" s="2394" t="s">
        <v>181</v>
      </c>
      <c r="J305" s="2394"/>
      <c r="K305" s="2394">
        <v>90</v>
      </c>
      <c r="L305" s="2395">
        <v>42914</v>
      </c>
      <c r="M305" s="2394">
        <v>7</v>
      </c>
      <c r="N305" s="1347" t="s">
        <v>129</v>
      </c>
    </row>
    <row r="306" spans="1:14" s="647" customFormat="1" ht="15.95" customHeight="1">
      <c r="A306" s="1344" t="s">
        <v>1376</v>
      </c>
      <c r="B306" s="1344" t="s">
        <v>709</v>
      </c>
      <c r="C306" s="1344"/>
      <c r="D306" s="1344"/>
      <c r="E306" s="682"/>
      <c r="F306" s="392" t="str">
        <f t="shared" si="5"/>
        <v>F1.20SA-106M C</v>
      </c>
      <c r="G306" s="2394">
        <v>60000</v>
      </c>
      <c r="H306" s="2401">
        <v>0.1</v>
      </c>
      <c r="I306" s="2394" t="s">
        <v>181</v>
      </c>
      <c r="J306" s="2394"/>
      <c r="K306" s="2394">
        <v>90</v>
      </c>
      <c r="L306" s="2395">
        <v>42914</v>
      </c>
      <c r="M306" s="2394">
        <v>7</v>
      </c>
      <c r="N306" s="1347" t="s">
        <v>129</v>
      </c>
    </row>
    <row r="307" spans="1:14" s="647" customFormat="1" ht="15.95" customHeight="1">
      <c r="A307" s="1344" t="s">
        <v>1377</v>
      </c>
      <c r="B307" s="1344" t="s">
        <v>590</v>
      </c>
      <c r="C307" s="1344"/>
      <c r="D307" s="1344"/>
      <c r="E307" s="682"/>
      <c r="F307" s="392" t="str">
        <f t="shared" si="5"/>
        <v>F2.20SA-387M Gr12CL2</v>
      </c>
      <c r="G307" s="2400">
        <v>60000</v>
      </c>
      <c r="H307" s="2401">
        <v>0.1</v>
      </c>
      <c r="I307" s="2394" t="s">
        <v>181</v>
      </c>
      <c r="J307" s="2394"/>
      <c r="K307" s="2394">
        <v>90</v>
      </c>
      <c r="L307" s="2395">
        <v>42914</v>
      </c>
      <c r="M307" s="2394">
        <v>7</v>
      </c>
      <c r="N307" s="1347" t="s">
        <v>129</v>
      </c>
    </row>
    <row r="308" spans="1:14" s="647" customFormat="1" ht="15.95" customHeight="1">
      <c r="A308" s="1344" t="s">
        <v>1378</v>
      </c>
      <c r="B308" s="1344" t="s">
        <v>709</v>
      </c>
      <c r="C308" s="1344"/>
      <c r="D308" s="1344"/>
      <c r="E308" s="682"/>
      <c r="F308" s="392" t="str">
        <f t="shared" si="5"/>
        <v>58H-63E229(179 )/
37811-M30SA-106M C</v>
      </c>
      <c r="G308" s="2394">
        <v>40000</v>
      </c>
      <c r="H308" s="2401">
        <v>0.1</v>
      </c>
      <c r="I308" s="2394" t="s">
        <v>181</v>
      </c>
      <c r="J308" s="2394"/>
      <c r="K308" s="2394">
        <v>90</v>
      </c>
      <c r="L308" s="2395">
        <v>42914</v>
      </c>
      <c r="M308" s="2394">
        <v>7</v>
      </c>
      <c r="N308" s="1347" t="s">
        <v>129</v>
      </c>
    </row>
    <row r="309" spans="1:14" s="647" customFormat="1" ht="15.95" customHeight="1">
      <c r="A309" s="1344" t="s">
        <v>1379</v>
      </c>
      <c r="B309" s="1344" t="s">
        <v>709</v>
      </c>
      <c r="C309" s="1344"/>
      <c r="D309" s="1344"/>
      <c r="E309" s="682"/>
      <c r="F309" s="392" t="str">
        <f t="shared" si="5"/>
        <v>58HA-V(SP1)SA-106M C</v>
      </c>
      <c r="G309" s="2394">
        <v>40000</v>
      </c>
      <c r="H309" s="2401">
        <v>0.1</v>
      </c>
      <c r="I309" s="2394" t="s">
        <v>181</v>
      </c>
      <c r="J309" s="2394"/>
      <c r="K309" s="2394">
        <v>90</v>
      </c>
      <c r="L309" s="2395">
        <v>42914</v>
      </c>
      <c r="M309" s="2394">
        <v>7</v>
      </c>
      <c r="N309" s="1347" t="s">
        <v>129</v>
      </c>
    </row>
    <row r="310" spans="1:14" s="647" customFormat="1" ht="15.95" customHeight="1">
      <c r="A310" s="1344" t="s">
        <v>1380</v>
      </c>
      <c r="B310" s="1344" t="s">
        <v>709</v>
      </c>
      <c r="C310" s="1344"/>
      <c r="D310" s="1344"/>
      <c r="E310" s="682"/>
      <c r="F310" s="392" t="str">
        <f t="shared" si="5"/>
        <v>L2-30-2175SA-106M C</v>
      </c>
      <c r="G310" s="2394">
        <v>60000</v>
      </c>
      <c r="H310" s="2401">
        <v>0.1</v>
      </c>
      <c r="I310" s="2394" t="s">
        <v>181</v>
      </c>
      <c r="J310" s="2394"/>
      <c r="K310" s="2394">
        <v>90</v>
      </c>
      <c r="L310" s="2395">
        <v>42914</v>
      </c>
      <c r="M310" s="2394">
        <v>7</v>
      </c>
      <c r="N310" s="1347" t="s">
        <v>129</v>
      </c>
    </row>
    <row r="311" spans="1:14" s="647" customFormat="1" ht="15.95" customHeight="1">
      <c r="A311" s="1344" t="s">
        <v>1381</v>
      </c>
      <c r="B311" s="1344" t="s">
        <v>709</v>
      </c>
      <c r="C311" s="1344"/>
      <c r="D311" s="1344"/>
      <c r="E311" s="682"/>
      <c r="F311" s="392" t="str">
        <f t="shared" si="5"/>
        <v>L5.30SA-106M C</v>
      </c>
      <c r="G311" s="2394">
        <v>60000</v>
      </c>
      <c r="H311" s="2401">
        <v>0.1</v>
      </c>
      <c r="I311" s="2394" t="s">
        <v>181</v>
      </c>
      <c r="J311" s="2394"/>
      <c r="K311" s="2394">
        <v>90</v>
      </c>
      <c r="L311" s="2395">
        <v>42914</v>
      </c>
      <c r="M311" s="2394">
        <v>7</v>
      </c>
      <c r="N311" s="1347" t="s">
        <v>129</v>
      </c>
    </row>
    <row r="312" spans="1:14" s="647" customFormat="1" ht="15.95" customHeight="1">
      <c r="A312" s="1344" t="s">
        <v>1382</v>
      </c>
      <c r="B312" s="1344" t="s">
        <v>709</v>
      </c>
      <c r="C312" s="1344"/>
      <c r="D312" s="1344"/>
      <c r="E312" s="682"/>
      <c r="F312" s="392" t="str">
        <f t="shared" si="5"/>
        <v>L1-30-1000SA-106M C</v>
      </c>
      <c r="G312" s="2394">
        <v>60000</v>
      </c>
      <c r="H312" s="2401">
        <v>0.1</v>
      </c>
      <c r="I312" s="2394" t="s">
        <v>181</v>
      </c>
      <c r="J312" s="2394"/>
      <c r="K312" s="2394">
        <v>90</v>
      </c>
      <c r="L312" s="2395">
        <v>42914</v>
      </c>
      <c r="M312" s="2394">
        <v>7</v>
      </c>
      <c r="N312" s="1347" t="s">
        <v>129</v>
      </c>
    </row>
    <row r="313" spans="1:14" s="647" customFormat="1" ht="15.95" customHeight="1">
      <c r="A313" s="1344" t="s">
        <v>1383</v>
      </c>
      <c r="B313" s="1344" t="s">
        <v>590</v>
      </c>
      <c r="C313" s="1344"/>
      <c r="D313" s="1344"/>
      <c r="E313" s="682"/>
      <c r="F313" s="392" t="str">
        <f t="shared" si="5"/>
        <v>F2.30SA-387M Gr12CL2</v>
      </c>
      <c r="G313" s="2400">
        <v>60000</v>
      </c>
      <c r="H313" s="2401">
        <v>0.1</v>
      </c>
      <c r="I313" s="2394" t="s">
        <v>181</v>
      </c>
      <c r="J313" s="2394"/>
      <c r="K313" s="2394">
        <v>90</v>
      </c>
      <c r="L313" s="2395">
        <v>42914</v>
      </c>
      <c r="M313" s="2394">
        <v>7</v>
      </c>
      <c r="N313" s="1347" t="s">
        <v>129</v>
      </c>
    </row>
    <row r="314" spans="1:14" s="647" customFormat="1" ht="15.95" customHeight="1">
      <c r="A314" s="1344" t="s">
        <v>1384</v>
      </c>
      <c r="B314" s="1344" t="s">
        <v>590</v>
      </c>
      <c r="C314" s="1344"/>
      <c r="D314" s="1344"/>
      <c r="E314" s="682"/>
      <c r="F314" s="392" t="str">
        <f t="shared" si="5"/>
        <v>L7.30SA-387M Gr12CL2</v>
      </c>
      <c r="G314" s="2400">
        <v>60000</v>
      </c>
      <c r="H314" s="2401">
        <v>0.1</v>
      </c>
      <c r="I314" s="2394" t="s">
        <v>181</v>
      </c>
      <c r="J314" s="2394"/>
      <c r="K314" s="2394">
        <v>90</v>
      </c>
      <c r="L314" s="2395">
        <v>42914</v>
      </c>
      <c r="M314" s="2394">
        <v>7</v>
      </c>
      <c r="N314" s="1347" t="s">
        <v>129</v>
      </c>
    </row>
    <row r="315" spans="1:14" s="647" customFormat="1" ht="15.95" customHeight="1">
      <c r="A315" s="1344" t="s">
        <v>1385</v>
      </c>
      <c r="B315" s="1344" t="s">
        <v>590</v>
      </c>
      <c r="C315" s="1344"/>
      <c r="D315" s="1344"/>
      <c r="E315" s="682"/>
      <c r="F315" s="392" t="str">
        <f t="shared" si="5"/>
        <v>D2.420R(SP)SA-387M Gr12CL2</v>
      </c>
      <c r="G315" s="2400">
        <v>60000</v>
      </c>
      <c r="H315" s="2401">
        <v>0.1</v>
      </c>
      <c r="I315" s="2394" t="s">
        <v>181</v>
      </c>
      <c r="J315" s="2394"/>
      <c r="K315" s="2394">
        <v>90</v>
      </c>
      <c r="L315" s="2395">
        <v>42914</v>
      </c>
      <c r="M315" s="2394">
        <v>7</v>
      </c>
      <c r="N315" s="1347" t="s">
        <v>129</v>
      </c>
    </row>
    <row r="316" spans="1:14" s="647" customFormat="1" ht="15.95" customHeight="1">
      <c r="A316" s="1344" t="s">
        <v>1386</v>
      </c>
      <c r="B316" s="1344" t="s">
        <v>590</v>
      </c>
      <c r="C316" s="1344"/>
      <c r="D316" s="1344"/>
      <c r="E316" s="682"/>
      <c r="F316" s="392" t="str">
        <f t="shared" si="5"/>
        <v>XG1.25SA-387M Gr12CL2</v>
      </c>
      <c r="G316" s="2400">
        <v>60000</v>
      </c>
      <c r="H316" s="2401">
        <v>0.1</v>
      </c>
      <c r="I316" s="2394" t="s">
        <v>181</v>
      </c>
      <c r="J316" s="2394"/>
      <c r="K316" s="2394">
        <v>90</v>
      </c>
      <c r="L316" s="2395">
        <v>42914</v>
      </c>
      <c r="M316" s="2394">
        <v>7</v>
      </c>
      <c r="N316" s="1347" t="s">
        <v>129</v>
      </c>
    </row>
    <row r="317" spans="1:14" s="647" customFormat="1" ht="15.95" customHeight="1">
      <c r="A317" s="1344" t="s">
        <v>1387</v>
      </c>
      <c r="B317" s="1344" t="s">
        <v>590</v>
      </c>
      <c r="C317" s="1344"/>
      <c r="D317" s="1344"/>
      <c r="E317" s="682"/>
      <c r="F317" s="392" t="str">
        <f t="shared" si="5"/>
        <v>XL1.25 L=1691SA-387M Gr12CL2</v>
      </c>
      <c r="G317" s="2400">
        <v>60000</v>
      </c>
      <c r="H317" s="2401">
        <v>0.1</v>
      </c>
      <c r="I317" s="2394" t="s">
        <v>181</v>
      </c>
      <c r="J317" s="2394"/>
      <c r="K317" s="2394">
        <v>90</v>
      </c>
      <c r="L317" s="2395">
        <v>42914</v>
      </c>
      <c r="M317" s="2394">
        <v>7</v>
      </c>
      <c r="N317" s="1347" t="s">
        <v>129</v>
      </c>
    </row>
    <row r="318" spans="1:14" s="647" customFormat="1" ht="15.95" customHeight="1">
      <c r="A318" s="1344" t="s">
        <v>1388</v>
      </c>
      <c r="B318" s="1344" t="s">
        <v>709</v>
      </c>
      <c r="C318" s="1344"/>
      <c r="D318" s="1344"/>
      <c r="E318" s="682"/>
      <c r="F318" s="392" t="str">
        <f t="shared" si="5"/>
        <v>D9T3.420R(SP)SA-106M C</v>
      </c>
      <c r="G318" s="2394">
        <v>40000</v>
      </c>
      <c r="H318" s="2401">
        <v>0.1</v>
      </c>
      <c r="I318" s="2394" t="s">
        <v>181</v>
      </c>
      <c r="J318" s="2394"/>
      <c r="K318" s="2394">
        <v>90</v>
      </c>
      <c r="L318" s="2395">
        <v>42914</v>
      </c>
      <c r="M318" s="2394">
        <v>7</v>
      </c>
      <c r="N318" s="1347" t="s">
        <v>129</v>
      </c>
    </row>
    <row r="319" spans="1:14" s="647" customFormat="1" ht="15.95" customHeight="1">
      <c r="A319" s="1344" t="s">
        <v>1389</v>
      </c>
      <c r="B319" s="1344" t="s">
        <v>720</v>
      </c>
      <c r="C319" s="1344">
        <v>3360</v>
      </c>
      <c r="D319" s="1344">
        <v>30</v>
      </c>
      <c r="E319" s="682"/>
      <c r="F319" s="392" t="str">
        <f t="shared" si="5"/>
        <v>Ellipsoidal headQ345R336030</v>
      </c>
      <c r="G319" s="2394">
        <v>40000</v>
      </c>
      <c r="H319" s="2401">
        <v>0.1</v>
      </c>
      <c r="I319" s="2394" t="s">
        <v>181</v>
      </c>
      <c r="J319" s="2394"/>
      <c r="K319" s="2394">
        <v>90</v>
      </c>
      <c r="L319" s="2395">
        <v>42914</v>
      </c>
      <c r="M319" s="2394">
        <v>7</v>
      </c>
      <c r="N319" s="1347" t="s">
        <v>129</v>
      </c>
    </row>
    <row r="320" spans="1:14" s="647" customFormat="1" ht="15.95" customHeight="1">
      <c r="A320" s="1344" t="s">
        <v>1390</v>
      </c>
      <c r="B320" s="1344"/>
      <c r="C320" s="1344"/>
      <c r="D320" s="1344"/>
      <c r="E320" s="682"/>
      <c r="F320" s="392" t="str">
        <f t="shared" si="5"/>
        <v>Constant spring hangers</v>
      </c>
      <c r="G320" s="2394">
        <v>60000</v>
      </c>
      <c r="H320" s="2401">
        <v>0.1</v>
      </c>
      <c r="I320" s="2394" t="s">
        <v>181</v>
      </c>
      <c r="J320" s="2394"/>
      <c r="K320" s="2394">
        <v>90</v>
      </c>
      <c r="L320" s="2395">
        <v>42914</v>
      </c>
      <c r="M320" s="2394">
        <v>7</v>
      </c>
      <c r="N320" s="1347" t="s">
        <v>129</v>
      </c>
    </row>
    <row r="321" spans="1:14" s="647" customFormat="1" ht="15.95" customHeight="1">
      <c r="A321" s="1344" t="s">
        <v>1354</v>
      </c>
      <c r="B321" s="1344" t="s">
        <v>1454</v>
      </c>
      <c r="C321" s="1344"/>
      <c r="D321" s="1344"/>
      <c r="E321" s="682"/>
      <c r="F321" s="392" t="str">
        <f t="shared" si="5"/>
        <v>Hanger30CrMoA</v>
      </c>
      <c r="G321" s="2394">
        <v>60000</v>
      </c>
      <c r="H321" s="2401">
        <v>0.1</v>
      </c>
      <c r="I321" s="2394" t="s">
        <v>181</v>
      </c>
      <c r="J321" s="2394"/>
      <c r="K321" s="2394">
        <v>90</v>
      </c>
      <c r="L321" s="2395">
        <v>42914</v>
      </c>
      <c r="M321" s="2394">
        <v>7</v>
      </c>
      <c r="N321" s="1347" t="s">
        <v>129</v>
      </c>
    </row>
    <row r="322" spans="1:14" s="647" customFormat="1" ht="15.95" customHeight="1">
      <c r="A322" s="1344" t="s">
        <v>1356</v>
      </c>
      <c r="B322" s="1344" t="s">
        <v>1474</v>
      </c>
      <c r="C322" s="1344"/>
      <c r="D322" s="1344"/>
      <c r="E322" s="682"/>
      <c r="F322" s="392" t="str">
        <f t="shared" si="5"/>
        <v xml:space="preserve">Nut30CrMoA </v>
      </c>
      <c r="G322" s="2394">
        <v>60000</v>
      </c>
      <c r="H322" s="2401">
        <v>0.1</v>
      </c>
      <c r="I322" s="2394" t="s">
        <v>181</v>
      </c>
      <c r="J322" s="2394"/>
      <c r="K322" s="2394">
        <v>90</v>
      </c>
      <c r="L322" s="2395">
        <v>42914</v>
      </c>
      <c r="M322" s="2394">
        <v>7</v>
      </c>
      <c r="N322" s="1347" t="s">
        <v>129</v>
      </c>
    </row>
    <row r="323" spans="1:14" s="647" customFormat="1" ht="15.95" customHeight="1">
      <c r="A323" s="1344" t="s">
        <v>1391</v>
      </c>
      <c r="B323" s="1344" t="s">
        <v>1475</v>
      </c>
      <c r="C323" s="1344"/>
      <c r="D323" s="1344"/>
      <c r="E323" s="682"/>
      <c r="F323" s="392" t="str">
        <f t="shared" si="5"/>
        <v xml:space="preserve">Gasket 56100HV </v>
      </c>
      <c r="G323" s="2394">
        <v>60000</v>
      </c>
      <c r="H323" s="2401">
        <v>0.1</v>
      </c>
      <c r="I323" s="2394" t="s">
        <v>181</v>
      </c>
      <c r="J323" s="2394"/>
      <c r="K323" s="2394">
        <v>90</v>
      </c>
      <c r="L323" s="2395">
        <v>42914</v>
      </c>
      <c r="M323" s="2394">
        <v>7</v>
      </c>
      <c r="N323" s="1347" t="s">
        <v>129</v>
      </c>
    </row>
    <row r="324" spans="1:14" s="647" customFormat="1" ht="15.95" customHeight="1">
      <c r="A324" s="1344" t="s">
        <v>1363</v>
      </c>
      <c r="B324" s="1344">
        <v>8.8000000000000007</v>
      </c>
      <c r="C324" s="1344"/>
      <c r="D324" s="1344"/>
      <c r="E324" s="682"/>
      <c r="F324" s="392" t="str">
        <f t="shared" si="5"/>
        <v>Bolt8.8</v>
      </c>
      <c r="G324" s="2394">
        <v>60000</v>
      </c>
      <c r="H324" s="2401">
        <v>0.1</v>
      </c>
      <c r="I324" s="2394" t="s">
        <v>181</v>
      </c>
      <c r="J324" s="2394"/>
      <c r="K324" s="2394">
        <v>90</v>
      </c>
      <c r="L324" s="2395">
        <v>42914</v>
      </c>
      <c r="M324" s="2394">
        <v>7</v>
      </c>
      <c r="N324" s="1347" t="s">
        <v>129</v>
      </c>
    </row>
    <row r="325" spans="1:14" s="647" customFormat="1" ht="15.95" customHeight="1">
      <c r="A325" s="1344" t="s">
        <v>1356</v>
      </c>
      <c r="B325" s="1344">
        <v>8</v>
      </c>
      <c r="C325" s="1344"/>
      <c r="D325" s="1344"/>
      <c r="E325" s="682"/>
      <c r="F325" s="392" t="str">
        <f t="shared" si="5"/>
        <v>Nut8</v>
      </c>
      <c r="G325" s="2394">
        <v>60000</v>
      </c>
      <c r="H325" s="2401">
        <v>0.1</v>
      </c>
      <c r="I325" s="2394" t="s">
        <v>181</v>
      </c>
      <c r="J325" s="2394"/>
      <c r="K325" s="2394">
        <v>90</v>
      </c>
      <c r="L325" s="2395">
        <v>42914</v>
      </c>
      <c r="M325" s="2394">
        <v>7</v>
      </c>
      <c r="N325" s="1347" t="s">
        <v>129</v>
      </c>
    </row>
    <row r="326" spans="1:14" s="647" customFormat="1" ht="15.95" customHeight="1">
      <c r="A326" s="1344" t="s">
        <v>1392</v>
      </c>
      <c r="B326" s="1344" t="s">
        <v>1440</v>
      </c>
      <c r="C326" s="1344"/>
      <c r="D326" s="1344"/>
      <c r="E326" s="682"/>
      <c r="F326" s="392" t="str">
        <f t="shared" si="5"/>
        <v>Gasket 20100HV</v>
      </c>
      <c r="G326" s="2394">
        <v>60000</v>
      </c>
      <c r="H326" s="2401">
        <v>0.1</v>
      </c>
      <c r="I326" s="2394" t="s">
        <v>181</v>
      </c>
      <c r="J326" s="2394"/>
      <c r="K326" s="2394">
        <v>90</v>
      </c>
      <c r="L326" s="2395">
        <v>42914</v>
      </c>
      <c r="M326" s="2394">
        <v>7</v>
      </c>
      <c r="N326" s="1347" t="s">
        <v>129</v>
      </c>
    </row>
    <row r="327" spans="1:14" s="647" customFormat="1" ht="15.95" customHeight="1">
      <c r="A327" s="1344" t="s">
        <v>1392</v>
      </c>
      <c r="B327" s="1344" t="s">
        <v>719</v>
      </c>
      <c r="C327" s="1344"/>
      <c r="D327" s="1344"/>
      <c r="E327" s="682"/>
      <c r="F327" s="392" t="str">
        <f t="shared" si="5"/>
        <v>Gasket 20Q235A</v>
      </c>
      <c r="G327" s="2394">
        <v>60000</v>
      </c>
      <c r="H327" s="2401">
        <v>0.1</v>
      </c>
      <c r="I327" s="2394" t="s">
        <v>181</v>
      </c>
      <c r="J327" s="2394"/>
      <c r="K327" s="2394">
        <v>90</v>
      </c>
      <c r="L327" s="2395">
        <v>42914</v>
      </c>
      <c r="M327" s="2394">
        <v>7</v>
      </c>
      <c r="N327" s="1347" t="s">
        <v>129</v>
      </c>
    </row>
    <row r="328" spans="1:14" s="647" customFormat="1" ht="15.95" customHeight="1">
      <c r="A328" s="1344" t="s">
        <v>708</v>
      </c>
      <c r="B328" s="1344" t="s">
        <v>1473</v>
      </c>
      <c r="C328" s="1344">
        <v>275</v>
      </c>
      <c r="D328" s="1344">
        <v>62.5</v>
      </c>
      <c r="E328" s="682"/>
      <c r="F328" s="392" t="str">
        <f t="shared" si="5"/>
        <v>NozzlesSA-10527562.5</v>
      </c>
      <c r="G328" s="2400">
        <v>35000</v>
      </c>
      <c r="H328" s="2401">
        <v>0.1</v>
      </c>
      <c r="I328" s="2394" t="s">
        <v>181</v>
      </c>
      <c r="J328" s="2394"/>
      <c r="K328" s="2394">
        <v>90</v>
      </c>
      <c r="L328" s="2395">
        <v>42914</v>
      </c>
      <c r="M328" s="2394">
        <v>7</v>
      </c>
      <c r="N328" s="1347" t="s">
        <v>129</v>
      </c>
    </row>
    <row r="329" spans="1:14" s="647" customFormat="1" ht="15.95" customHeight="1">
      <c r="A329" s="1344" t="s">
        <v>708</v>
      </c>
      <c r="B329" s="1344" t="s">
        <v>1473</v>
      </c>
      <c r="C329" s="1344">
        <v>110</v>
      </c>
      <c r="D329" s="1344">
        <v>35</v>
      </c>
      <c r="E329" s="682"/>
      <c r="F329" s="392" t="str">
        <f t="shared" si="5"/>
        <v>NozzlesSA-10511035</v>
      </c>
      <c r="G329" s="2400">
        <v>60000</v>
      </c>
      <c r="H329" s="2401">
        <v>0.1</v>
      </c>
      <c r="I329" s="2394" t="s">
        <v>181</v>
      </c>
      <c r="J329" s="2394"/>
      <c r="K329" s="2394">
        <v>90</v>
      </c>
      <c r="L329" s="2395">
        <v>42914</v>
      </c>
      <c r="M329" s="2394">
        <v>7</v>
      </c>
      <c r="N329" s="1347" t="s">
        <v>129</v>
      </c>
    </row>
    <row r="330" spans="1:14" s="647" customFormat="1" ht="15.95" customHeight="1">
      <c r="A330" s="1344" t="s">
        <v>708</v>
      </c>
      <c r="B330" s="1344" t="s">
        <v>1473</v>
      </c>
      <c r="C330" s="1344">
        <v>140</v>
      </c>
      <c r="D330" s="1344">
        <v>40</v>
      </c>
      <c r="E330" s="682"/>
      <c r="F330" s="392" t="str">
        <f t="shared" si="5"/>
        <v>NozzlesSA-10514040</v>
      </c>
      <c r="G330" s="2400">
        <v>60000</v>
      </c>
      <c r="H330" s="2401">
        <v>0.1</v>
      </c>
      <c r="I330" s="2394" t="s">
        <v>181</v>
      </c>
      <c r="J330" s="2394"/>
      <c r="K330" s="2394">
        <v>90</v>
      </c>
      <c r="L330" s="2395">
        <v>42914</v>
      </c>
      <c r="M330" s="2394">
        <v>7</v>
      </c>
      <c r="N330" s="1347" t="s">
        <v>129</v>
      </c>
    </row>
    <row r="331" spans="1:14" s="647" customFormat="1" ht="15.95" customHeight="1">
      <c r="A331" s="1344" t="s">
        <v>708</v>
      </c>
      <c r="B331" s="1344" t="s">
        <v>1473</v>
      </c>
      <c r="C331" s="1344">
        <v>101.6</v>
      </c>
      <c r="D331" s="1344">
        <v>16</v>
      </c>
      <c r="E331" s="682"/>
      <c r="F331" s="392" t="str">
        <f t="shared" si="5"/>
        <v>NozzlesSA-105101.616</v>
      </c>
      <c r="G331" s="2400">
        <v>60000</v>
      </c>
      <c r="H331" s="2401">
        <v>0.1</v>
      </c>
      <c r="I331" s="2394" t="s">
        <v>181</v>
      </c>
      <c r="J331" s="2394"/>
      <c r="K331" s="2394">
        <v>90</v>
      </c>
      <c r="L331" s="2395">
        <v>42914</v>
      </c>
      <c r="M331" s="2394">
        <v>7</v>
      </c>
      <c r="N331" s="1347" t="s">
        <v>129</v>
      </c>
    </row>
    <row r="332" spans="1:14" s="647" customFormat="1" ht="15.95" customHeight="1">
      <c r="A332" s="1344" t="s">
        <v>1406</v>
      </c>
      <c r="B332" s="1344" t="s">
        <v>709</v>
      </c>
      <c r="C332" s="1344" t="s">
        <v>1533</v>
      </c>
      <c r="D332" s="1344"/>
      <c r="E332" s="682"/>
      <c r="F332" s="392" t="str">
        <f t="shared" si="5"/>
        <v>TEESA-106M CΦ324X45/Φ473X65/Φ324X45</v>
      </c>
      <c r="G332" s="2394">
        <v>42000</v>
      </c>
      <c r="H332" s="2401"/>
      <c r="I332" s="2394" t="s">
        <v>181</v>
      </c>
      <c r="J332" s="2394"/>
      <c r="K332" s="2394">
        <v>90</v>
      </c>
      <c r="L332" s="2395">
        <v>42914</v>
      </c>
      <c r="M332" s="2394">
        <v>7</v>
      </c>
      <c r="N332" s="1347" t="s">
        <v>129</v>
      </c>
    </row>
    <row r="333" spans="1:14" s="647" customFormat="1" ht="15.95" customHeight="1">
      <c r="A333" s="1344" t="s">
        <v>1407</v>
      </c>
      <c r="B333" s="1344" t="s">
        <v>709</v>
      </c>
      <c r="C333" s="1344" t="s">
        <v>1534</v>
      </c>
      <c r="D333" s="1344"/>
      <c r="E333" s="682"/>
      <c r="F333" s="392" t="str">
        <f t="shared" si="5"/>
        <v>ElbowSA-106M C90° elbow Φ473X65</v>
      </c>
      <c r="G333" s="2394">
        <v>35000</v>
      </c>
      <c r="H333" s="2401"/>
      <c r="I333" s="2394" t="s">
        <v>181</v>
      </c>
      <c r="J333" s="2394"/>
      <c r="K333" s="2394">
        <v>90</v>
      </c>
      <c r="L333" s="2395">
        <v>42914</v>
      </c>
      <c r="M333" s="2394">
        <v>7</v>
      </c>
      <c r="N333" s="1347" t="s">
        <v>129</v>
      </c>
    </row>
    <row r="334" spans="1:14" s="647" customFormat="1" ht="15.95" customHeight="1">
      <c r="A334" s="1344" t="s">
        <v>1407</v>
      </c>
      <c r="B334" s="1344" t="s">
        <v>709</v>
      </c>
      <c r="C334" s="1344" t="s">
        <v>1535</v>
      </c>
      <c r="D334" s="1344"/>
      <c r="E334" s="682"/>
      <c r="F334" s="392" t="str">
        <f t="shared" si="5"/>
        <v>ElbowSA-106M C90° elbow Φ324X45</v>
      </c>
      <c r="G334" s="2394">
        <v>35000</v>
      </c>
      <c r="H334" s="2401"/>
      <c r="I334" s="2394" t="s">
        <v>181</v>
      </c>
      <c r="J334" s="2394"/>
      <c r="K334" s="2394">
        <v>90</v>
      </c>
      <c r="L334" s="2395">
        <v>42914</v>
      </c>
      <c r="M334" s="2394">
        <v>7</v>
      </c>
      <c r="N334" s="1347" t="s">
        <v>129</v>
      </c>
    </row>
    <row r="335" spans="1:14" s="647" customFormat="1" ht="15.95" customHeight="1">
      <c r="A335" s="1344" t="s">
        <v>1365</v>
      </c>
      <c r="B335" s="1344" t="s">
        <v>1473</v>
      </c>
      <c r="C335" s="1344" t="s">
        <v>1536</v>
      </c>
      <c r="D335" s="1344"/>
      <c r="E335" s="682"/>
      <c r="F335" s="392" t="str">
        <f t="shared" si="5"/>
        <v>FittingsSA-105Nozzle Φ280</v>
      </c>
      <c r="G335" s="2400">
        <v>60000</v>
      </c>
      <c r="H335" s="2401">
        <v>0.1</v>
      </c>
      <c r="I335" s="2394" t="s">
        <v>181</v>
      </c>
      <c r="J335" s="2394"/>
      <c r="K335" s="2394">
        <v>90</v>
      </c>
      <c r="L335" s="2395">
        <v>42914</v>
      </c>
      <c r="M335" s="2394">
        <v>7</v>
      </c>
      <c r="N335" s="1347" t="s">
        <v>129</v>
      </c>
    </row>
    <row r="336" spans="1:14" s="647" customFormat="1" ht="15.95" customHeight="1">
      <c r="A336" s="1344" t="s">
        <v>1407</v>
      </c>
      <c r="B336" s="1344" t="s">
        <v>1601</v>
      </c>
      <c r="C336" s="1344" t="s">
        <v>1602</v>
      </c>
      <c r="D336" s="1344"/>
      <c r="E336" s="682"/>
      <c r="F336" s="392" t="str">
        <f t="shared" si="5"/>
        <v>ElbowSA-234M WPC90° elbow Φ168X10</v>
      </c>
      <c r="G336" s="2400">
        <v>60000</v>
      </c>
      <c r="H336" s="2401"/>
      <c r="I336" s="2394" t="s">
        <v>181</v>
      </c>
      <c r="J336" s="2394"/>
      <c r="K336" s="2394">
        <v>90</v>
      </c>
      <c r="L336" s="2395">
        <v>42914</v>
      </c>
      <c r="M336" s="2394">
        <v>7</v>
      </c>
      <c r="N336" s="1347" t="s">
        <v>129</v>
      </c>
    </row>
    <row r="337" spans="1:14" s="647" customFormat="1" ht="15.95" customHeight="1">
      <c r="A337" s="1344" t="s">
        <v>1403</v>
      </c>
      <c r="B337" s="1344" t="s">
        <v>709</v>
      </c>
      <c r="C337" s="1344" t="s">
        <v>1603</v>
      </c>
      <c r="D337" s="1344"/>
      <c r="E337" s="682"/>
      <c r="F337" s="392" t="str">
        <f t="shared" si="5"/>
        <v>钢板SA-106M Cδ16</v>
      </c>
      <c r="G337" s="2394">
        <v>60000</v>
      </c>
      <c r="H337" s="2401">
        <v>0.1</v>
      </c>
      <c r="I337" s="2394" t="s">
        <v>181</v>
      </c>
      <c r="J337" s="2394"/>
      <c r="K337" s="2394">
        <v>90</v>
      </c>
      <c r="L337" s="2395">
        <v>42914</v>
      </c>
      <c r="M337" s="2394">
        <v>7</v>
      </c>
      <c r="N337" s="1347" t="s">
        <v>129</v>
      </c>
    </row>
    <row r="338" spans="1:14" s="647" customFormat="1" ht="15.95" customHeight="1">
      <c r="A338" s="1344" t="s">
        <v>1403</v>
      </c>
      <c r="B338" s="1344" t="s">
        <v>709</v>
      </c>
      <c r="C338" s="1344" t="s">
        <v>1604</v>
      </c>
      <c r="D338" s="1344"/>
      <c r="E338" s="682"/>
      <c r="F338" s="392" t="str">
        <f t="shared" si="5"/>
        <v>钢板SA-106M Cδ10</v>
      </c>
      <c r="G338" s="2394">
        <v>60000</v>
      </c>
      <c r="H338" s="2401">
        <v>0.1</v>
      </c>
      <c r="I338" s="2394" t="s">
        <v>181</v>
      </c>
      <c r="J338" s="2394"/>
      <c r="K338" s="2394">
        <v>90</v>
      </c>
      <c r="L338" s="2395">
        <v>42914</v>
      </c>
      <c r="M338" s="2394">
        <v>7</v>
      </c>
      <c r="N338" s="1347" t="s">
        <v>129</v>
      </c>
    </row>
    <row r="339" spans="1:14" s="647" customFormat="1" ht="15.95" customHeight="1">
      <c r="A339" s="1344" t="s">
        <v>1417</v>
      </c>
      <c r="B339" s="1344" t="s">
        <v>1538</v>
      </c>
      <c r="C339" s="1344">
        <v>40</v>
      </c>
      <c r="D339" s="1344" t="s">
        <v>1566</v>
      </c>
      <c r="E339" s="682"/>
      <c r="F339" s="392" t="str">
        <f t="shared" si="5"/>
        <v>CAPA-10540CL3000</v>
      </c>
      <c r="G339" s="1347">
        <v>60000</v>
      </c>
      <c r="H339" s="1349"/>
      <c r="I339" s="2394" t="s">
        <v>181</v>
      </c>
      <c r="J339" s="2394"/>
      <c r="K339" s="2394">
        <v>90</v>
      </c>
      <c r="L339" s="2395">
        <v>42914</v>
      </c>
      <c r="M339" s="2394">
        <v>7</v>
      </c>
      <c r="N339" s="1347" t="s">
        <v>129</v>
      </c>
    </row>
    <row r="340" spans="1:14" s="647" customFormat="1" ht="15.95" customHeight="1">
      <c r="A340" s="1344" t="s">
        <v>1417</v>
      </c>
      <c r="B340" s="1344" t="s">
        <v>1568</v>
      </c>
      <c r="C340" s="1344">
        <v>25</v>
      </c>
      <c r="D340" s="1344" t="s">
        <v>1574</v>
      </c>
      <c r="E340" s="682"/>
      <c r="F340" s="392" t="str">
        <f t="shared" si="5"/>
        <v>CAPA-105, GALV25CL6000</v>
      </c>
      <c r="G340" s="1347">
        <v>60000</v>
      </c>
      <c r="H340" s="1349"/>
      <c r="I340" s="2394" t="s">
        <v>181</v>
      </c>
      <c r="J340" s="2394"/>
      <c r="K340" s="2394">
        <v>90</v>
      </c>
      <c r="L340" s="2395">
        <v>42914</v>
      </c>
      <c r="M340" s="2394">
        <v>7</v>
      </c>
      <c r="N340" s="1347" t="s">
        <v>129</v>
      </c>
    </row>
    <row r="341" spans="1:14" s="647" customFormat="1" ht="15.95" customHeight="1">
      <c r="A341" s="1344" t="s">
        <v>1417</v>
      </c>
      <c r="B341" s="1344" t="s">
        <v>1568</v>
      </c>
      <c r="C341" s="1344">
        <v>50</v>
      </c>
      <c r="D341" s="1344" t="s">
        <v>1574</v>
      </c>
      <c r="E341" s="682"/>
      <c r="F341" s="392" t="str">
        <f t="shared" si="5"/>
        <v>CAPA-105, GALV50CL6000</v>
      </c>
      <c r="G341" s="1347">
        <v>60000</v>
      </c>
      <c r="H341" s="1349"/>
      <c r="I341" s="2394" t="s">
        <v>181</v>
      </c>
      <c r="J341" s="2394"/>
      <c r="K341" s="2394">
        <v>90</v>
      </c>
      <c r="L341" s="2395">
        <v>42914</v>
      </c>
      <c r="M341" s="2394">
        <v>7</v>
      </c>
      <c r="N341" s="1347" t="s">
        <v>129</v>
      </c>
    </row>
    <row r="342" spans="1:14" s="647" customFormat="1" ht="15.95" customHeight="1">
      <c r="A342" s="1344" t="s">
        <v>1417</v>
      </c>
      <c r="B342" s="1344" t="s">
        <v>1540</v>
      </c>
      <c r="C342" s="1344">
        <v>200</v>
      </c>
      <c r="D342" s="1344" t="s">
        <v>1565</v>
      </c>
      <c r="E342" s="682"/>
      <c r="F342" s="392" t="str">
        <f t="shared" si="5"/>
        <v>CAPA-234 WPB200S40</v>
      </c>
      <c r="G342" s="1347">
        <v>35000</v>
      </c>
      <c r="H342" s="1349"/>
      <c r="I342" s="2394" t="s">
        <v>181</v>
      </c>
      <c r="J342" s="2394"/>
      <c r="K342" s="2394">
        <v>90</v>
      </c>
      <c r="L342" s="2395">
        <v>42914</v>
      </c>
      <c r="M342" s="2394">
        <v>7</v>
      </c>
      <c r="N342" s="1347" t="s">
        <v>129</v>
      </c>
    </row>
    <row r="343" spans="1:14" s="647" customFormat="1" ht="15.95" customHeight="1">
      <c r="A343" s="1344" t="s">
        <v>1417</v>
      </c>
      <c r="B343" s="1344" t="s">
        <v>1569</v>
      </c>
      <c r="C343" s="1344">
        <v>100</v>
      </c>
      <c r="D343" s="1344" t="s">
        <v>1565</v>
      </c>
      <c r="E343" s="682"/>
      <c r="F343" s="392" t="str">
        <f t="shared" si="5"/>
        <v>CAPA-234 WPB, GALV100S40</v>
      </c>
      <c r="G343" s="1347">
        <v>60000</v>
      </c>
      <c r="H343" s="1349"/>
      <c r="I343" s="2394" t="s">
        <v>181</v>
      </c>
      <c r="J343" s="2394"/>
      <c r="K343" s="2394">
        <v>90</v>
      </c>
      <c r="L343" s="2395">
        <v>42914</v>
      </c>
      <c r="M343" s="2394">
        <v>7</v>
      </c>
      <c r="N343" s="1347" t="s">
        <v>129</v>
      </c>
    </row>
    <row r="344" spans="1:14" s="647" customFormat="1" ht="15.95" customHeight="1">
      <c r="A344" s="1344" t="s">
        <v>1417</v>
      </c>
      <c r="B344" s="1344" t="s">
        <v>1569</v>
      </c>
      <c r="C344" s="1344">
        <v>150</v>
      </c>
      <c r="D344" s="1344" t="s">
        <v>1537</v>
      </c>
      <c r="E344" s="682"/>
      <c r="F344" s="392" t="str">
        <f t="shared" si="5"/>
        <v>CAPA-234 WPB, GALV150XXS</v>
      </c>
      <c r="G344" s="1347">
        <v>60000</v>
      </c>
      <c r="H344" s="1349"/>
      <c r="I344" s="2394" t="s">
        <v>181</v>
      </c>
      <c r="J344" s="2394"/>
      <c r="K344" s="2394">
        <v>90</v>
      </c>
      <c r="L344" s="2395">
        <v>42914</v>
      </c>
      <c r="M344" s="2394">
        <v>7</v>
      </c>
      <c r="N344" s="1347" t="s">
        <v>129</v>
      </c>
    </row>
    <row r="345" spans="1:14" s="647" customFormat="1" ht="15.95" customHeight="1">
      <c r="A345" s="1344" t="s">
        <v>1416</v>
      </c>
      <c r="B345" s="1344" t="s">
        <v>1562</v>
      </c>
      <c r="C345" s="1344">
        <v>50</v>
      </c>
      <c r="D345" s="1344" t="s">
        <v>1551</v>
      </c>
      <c r="E345" s="682"/>
      <c r="F345" s="392" t="str">
        <f t="shared" si="5"/>
        <v>CAP   ASTM-A10550CL-3000</v>
      </c>
      <c r="G345" s="1347">
        <v>60000</v>
      </c>
      <c r="H345" s="1349"/>
      <c r="I345" s="2394" t="s">
        <v>181</v>
      </c>
      <c r="J345" s="2394"/>
      <c r="K345" s="2394">
        <v>90</v>
      </c>
      <c r="L345" s="2395">
        <v>42914</v>
      </c>
      <c r="M345" s="2394">
        <v>7</v>
      </c>
      <c r="N345" s="1347" t="s">
        <v>129</v>
      </c>
    </row>
    <row r="346" spans="1:14" s="647" customFormat="1" ht="15.95" customHeight="1">
      <c r="A346" s="1344" t="s">
        <v>1413</v>
      </c>
      <c r="B346" s="1344" t="s">
        <v>1554</v>
      </c>
      <c r="C346" s="1344" t="s">
        <v>1555</v>
      </c>
      <c r="D346" s="1344" t="s">
        <v>1243</v>
      </c>
      <c r="E346" s="682"/>
      <c r="F346" s="392" t="str">
        <f t="shared" si="5"/>
        <v>CONC.REDUCERASTM-A234-WPB250 x 200S-40</v>
      </c>
      <c r="G346" s="1347">
        <v>35000</v>
      </c>
      <c r="H346" s="1349"/>
      <c r="I346" s="2394" t="s">
        <v>181</v>
      </c>
      <c r="J346" s="2394"/>
      <c r="K346" s="2394">
        <v>90</v>
      </c>
      <c r="L346" s="2395">
        <v>42914</v>
      </c>
      <c r="M346" s="2394">
        <v>7</v>
      </c>
      <c r="N346" s="1347" t="s">
        <v>129</v>
      </c>
    </row>
    <row r="347" spans="1:14" s="647" customFormat="1" ht="15.95" customHeight="1">
      <c r="A347" s="1344" t="s">
        <v>1413</v>
      </c>
      <c r="B347" s="1344" t="s">
        <v>1554</v>
      </c>
      <c r="C347" s="1344" t="s">
        <v>1560</v>
      </c>
      <c r="D347" s="1344" t="s">
        <v>1546</v>
      </c>
      <c r="E347" s="682"/>
      <c r="F347" s="392" t="str">
        <f t="shared" si="5"/>
        <v>CONC.REDUCERASTM-A234-WPB300 x 250STD</v>
      </c>
      <c r="G347" s="1347">
        <v>35000</v>
      </c>
      <c r="H347" s="1349"/>
      <c r="I347" s="2394" t="s">
        <v>181</v>
      </c>
      <c r="J347" s="2394"/>
      <c r="K347" s="2394">
        <v>90</v>
      </c>
      <c r="L347" s="2395">
        <v>42914</v>
      </c>
      <c r="M347" s="2394">
        <v>7</v>
      </c>
      <c r="N347" s="1347" t="s">
        <v>129</v>
      </c>
    </row>
    <row r="348" spans="1:14" s="647" customFormat="1" ht="15.95" customHeight="1">
      <c r="A348" s="1344" t="s">
        <v>1413</v>
      </c>
      <c r="B348" s="1344" t="s">
        <v>1554</v>
      </c>
      <c r="C348" s="1344" t="s">
        <v>1557</v>
      </c>
      <c r="D348" s="1344" t="s">
        <v>1546</v>
      </c>
      <c r="E348" s="682"/>
      <c r="F348" s="392" t="str">
        <f t="shared" si="5"/>
        <v>CONC.REDUCERASTM-A234-WPB400 x 300STD</v>
      </c>
      <c r="G348" s="1347">
        <v>35000</v>
      </c>
      <c r="H348" s="1349"/>
      <c r="I348" s="2394" t="s">
        <v>181</v>
      </c>
      <c r="J348" s="2394"/>
      <c r="K348" s="2394">
        <v>90</v>
      </c>
      <c r="L348" s="2395">
        <v>42914</v>
      </c>
      <c r="M348" s="2394">
        <v>7</v>
      </c>
      <c r="N348" s="1347" t="s">
        <v>129</v>
      </c>
    </row>
    <row r="349" spans="1:14" s="647" customFormat="1" ht="15.95" customHeight="1">
      <c r="A349" s="1344" t="s">
        <v>1413</v>
      </c>
      <c r="B349" s="1344" t="s">
        <v>1554</v>
      </c>
      <c r="C349" s="1344" t="s">
        <v>1563</v>
      </c>
      <c r="D349" s="1344" t="s">
        <v>1546</v>
      </c>
      <c r="E349" s="682"/>
      <c r="F349" s="392" t="str">
        <f t="shared" si="5"/>
        <v>CONC.REDUCERASTM-A234-WPB500 X 300STD</v>
      </c>
      <c r="G349" s="1347">
        <v>35000</v>
      </c>
      <c r="H349" s="1349"/>
      <c r="I349" s="2394" t="s">
        <v>181</v>
      </c>
      <c r="J349" s="2394"/>
      <c r="K349" s="2394">
        <v>90</v>
      </c>
      <c r="L349" s="2395">
        <v>42914</v>
      </c>
      <c r="M349" s="2394">
        <v>7</v>
      </c>
      <c r="N349" s="1347" t="s">
        <v>129</v>
      </c>
    </row>
    <row r="350" spans="1:14" s="647" customFormat="1" ht="15.95" customHeight="1">
      <c r="A350" s="1344" t="s">
        <v>1410</v>
      </c>
      <c r="B350" s="1344" t="s">
        <v>1538</v>
      </c>
      <c r="C350" s="1344">
        <v>25</v>
      </c>
      <c r="D350" s="1344" t="s">
        <v>1539</v>
      </c>
      <c r="E350" s="682"/>
      <c r="F350" s="392" t="str">
        <f t="shared" si="5"/>
        <v>COUPA-10525CL 9000</v>
      </c>
      <c r="G350" s="1347">
        <v>60000</v>
      </c>
      <c r="H350" s="1349"/>
      <c r="I350" s="2394" t="s">
        <v>181</v>
      </c>
      <c r="J350" s="2394"/>
      <c r="K350" s="2394">
        <v>90</v>
      </c>
      <c r="L350" s="2395">
        <v>42914</v>
      </c>
      <c r="M350" s="2394">
        <v>7</v>
      </c>
      <c r="N350" s="1347" t="s">
        <v>129</v>
      </c>
    </row>
    <row r="351" spans="1:14" s="647" customFormat="1" ht="15.95" customHeight="1">
      <c r="A351" s="1344" t="s">
        <v>1410</v>
      </c>
      <c r="B351" s="1344" t="s">
        <v>1538</v>
      </c>
      <c r="C351" s="1344">
        <v>40</v>
      </c>
      <c r="D351" s="1344" t="s">
        <v>1539</v>
      </c>
      <c r="E351" s="682"/>
      <c r="F351" s="392" t="str">
        <f t="shared" si="5"/>
        <v>COUPA-10540CL 9000</v>
      </c>
      <c r="G351" s="1347">
        <v>60000</v>
      </c>
      <c r="H351" s="1349"/>
      <c r="I351" s="2394" t="s">
        <v>181</v>
      </c>
      <c r="J351" s="2394"/>
      <c r="K351" s="2394">
        <v>90</v>
      </c>
      <c r="L351" s="2395">
        <v>42914</v>
      </c>
      <c r="M351" s="2394">
        <v>7</v>
      </c>
      <c r="N351" s="1347" t="s">
        <v>129</v>
      </c>
    </row>
    <row r="352" spans="1:14" s="647" customFormat="1" ht="15.95" customHeight="1">
      <c r="A352" s="1344" t="s">
        <v>1410</v>
      </c>
      <c r="B352" s="1344" t="s">
        <v>1538</v>
      </c>
      <c r="C352" s="1344">
        <v>50</v>
      </c>
      <c r="D352" s="1344" t="s">
        <v>1539</v>
      </c>
      <c r="E352" s="682"/>
      <c r="F352" s="392" t="str">
        <f t="shared" si="5"/>
        <v>COUPA-10550CL 9000</v>
      </c>
      <c r="G352" s="1347">
        <v>60000</v>
      </c>
      <c r="H352" s="1349"/>
      <c r="I352" s="2394" t="s">
        <v>181</v>
      </c>
      <c r="J352" s="2394"/>
      <c r="K352" s="2394">
        <v>90</v>
      </c>
      <c r="L352" s="2395">
        <v>42914</v>
      </c>
      <c r="M352" s="2394">
        <v>7</v>
      </c>
      <c r="N352" s="1347" t="s">
        <v>129</v>
      </c>
    </row>
    <row r="353" spans="1:14" s="647" customFormat="1" ht="15.95" customHeight="1">
      <c r="A353" s="1344" t="s">
        <v>1408</v>
      </c>
      <c r="B353" s="1344" t="s">
        <v>1538</v>
      </c>
      <c r="C353" s="1344">
        <v>20</v>
      </c>
      <c r="D353" s="1344" t="s">
        <v>1566</v>
      </c>
      <c r="E353" s="682"/>
      <c r="F353" s="392" t="str">
        <f t="shared" si="5"/>
        <v>ELBOWA-10520CL3000</v>
      </c>
      <c r="G353" s="1347">
        <v>35000</v>
      </c>
      <c r="H353" s="1349"/>
      <c r="I353" s="2394" t="s">
        <v>181</v>
      </c>
      <c r="J353" s="2394"/>
      <c r="K353" s="2394">
        <v>90</v>
      </c>
      <c r="L353" s="2395">
        <v>42914</v>
      </c>
      <c r="M353" s="2394">
        <v>7</v>
      </c>
      <c r="N353" s="1347" t="s">
        <v>129</v>
      </c>
    </row>
    <row r="354" spans="1:14" s="647" customFormat="1" ht="15.95" customHeight="1">
      <c r="A354" s="1344" t="s">
        <v>1408</v>
      </c>
      <c r="B354" s="1344" t="s">
        <v>1538</v>
      </c>
      <c r="C354" s="1344">
        <v>25</v>
      </c>
      <c r="D354" s="1344" t="s">
        <v>1542</v>
      </c>
      <c r="E354" s="682"/>
      <c r="F354" s="392" t="str">
        <f t="shared" si="5"/>
        <v>ELBOWA-10525CL 3000</v>
      </c>
      <c r="G354" s="1347">
        <v>35000</v>
      </c>
      <c r="H354" s="1349"/>
      <c r="I354" s="2394" t="s">
        <v>181</v>
      </c>
      <c r="J354" s="2394"/>
      <c r="K354" s="2394">
        <v>90</v>
      </c>
      <c r="L354" s="2395">
        <v>42914</v>
      </c>
      <c r="M354" s="2394">
        <v>7</v>
      </c>
      <c r="N354" s="1347" t="s">
        <v>129</v>
      </c>
    </row>
    <row r="355" spans="1:14" s="647" customFormat="1" ht="15.95" customHeight="1">
      <c r="A355" s="1344" t="s">
        <v>1408</v>
      </c>
      <c r="B355" s="1344" t="s">
        <v>1538</v>
      </c>
      <c r="C355" s="1344">
        <v>25</v>
      </c>
      <c r="D355" s="1344" t="s">
        <v>1539</v>
      </c>
      <c r="E355" s="682"/>
      <c r="F355" s="392" t="str">
        <f t="shared" si="5"/>
        <v>ELBOWA-10525CL 9000</v>
      </c>
      <c r="G355" s="1347">
        <v>35000</v>
      </c>
      <c r="H355" s="1349"/>
      <c r="I355" s="2394" t="s">
        <v>181</v>
      </c>
      <c r="J355" s="2394"/>
      <c r="K355" s="2394">
        <v>90</v>
      </c>
      <c r="L355" s="2395">
        <v>42914</v>
      </c>
      <c r="M355" s="2394">
        <v>7</v>
      </c>
      <c r="N355" s="1347" t="s">
        <v>129</v>
      </c>
    </row>
    <row r="356" spans="1:14" s="647" customFormat="1" ht="15.95" customHeight="1">
      <c r="A356" s="1344" t="s">
        <v>1408</v>
      </c>
      <c r="B356" s="1344" t="s">
        <v>1538</v>
      </c>
      <c r="C356" s="1344">
        <v>25</v>
      </c>
      <c r="D356" s="1344" t="s">
        <v>1566</v>
      </c>
      <c r="E356" s="682"/>
      <c r="F356" s="392" t="str">
        <f t="shared" si="5"/>
        <v>ELBOWA-10525CL3000</v>
      </c>
      <c r="G356" s="1347">
        <v>35000</v>
      </c>
      <c r="H356" s="1349"/>
      <c r="I356" s="2394" t="s">
        <v>181</v>
      </c>
      <c r="J356" s="2394"/>
      <c r="K356" s="2394">
        <v>90</v>
      </c>
      <c r="L356" s="2395">
        <v>42914</v>
      </c>
      <c r="M356" s="2394">
        <v>7</v>
      </c>
      <c r="N356" s="1347" t="s">
        <v>129</v>
      </c>
    </row>
    <row r="357" spans="1:14" s="647" customFormat="1" ht="15.95" customHeight="1">
      <c r="A357" s="1344" t="s">
        <v>1408</v>
      </c>
      <c r="B357" s="1344" t="s">
        <v>1538</v>
      </c>
      <c r="C357" s="1344">
        <v>40</v>
      </c>
      <c r="D357" s="1344" t="s">
        <v>1539</v>
      </c>
      <c r="E357" s="682"/>
      <c r="F357" s="392" t="str">
        <f t="shared" si="5"/>
        <v>ELBOWA-10540CL 9000</v>
      </c>
      <c r="G357" s="1347">
        <v>35000</v>
      </c>
      <c r="H357" s="1349"/>
      <c r="I357" s="2394" t="s">
        <v>181</v>
      </c>
      <c r="J357" s="2394"/>
      <c r="K357" s="2394">
        <v>90</v>
      </c>
      <c r="L357" s="2395">
        <v>42914</v>
      </c>
      <c r="M357" s="2394">
        <v>7</v>
      </c>
      <c r="N357" s="1347" t="s">
        <v>129</v>
      </c>
    </row>
    <row r="358" spans="1:14" s="647" customFormat="1" ht="15.95" customHeight="1">
      <c r="A358" s="1344" t="s">
        <v>1408</v>
      </c>
      <c r="B358" s="1344" t="s">
        <v>1538</v>
      </c>
      <c r="C358" s="1344">
        <v>40</v>
      </c>
      <c r="D358" s="1344" t="s">
        <v>1566</v>
      </c>
      <c r="E358" s="682"/>
      <c r="F358" s="392" t="str">
        <f t="shared" si="5"/>
        <v>ELBOWA-10540CL3000</v>
      </c>
      <c r="G358" s="1347">
        <v>35000</v>
      </c>
      <c r="H358" s="1349"/>
      <c r="I358" s="2394" t="s">
        <v>181</v>
      </c>
      <c r="J358" s="2394"/>
      <c r="K358" s="2394">
        <v>90</v>
      </c>
      <c r="L358" s="2395">
        <v>42914</v>
      </c>
      <c r="M358" s="2394">
        <v>7</v>
      </c>
      <c r="N358" s="1347" t="s">
        <v>129</v>
      </c>
    </row>
    <row r="359" spans="1:14" s="647" customFormat="1" ht="15.95" customHeight="1">
      <c r="A359" s="1344" t="s">
        <v>1408</v>
      </c>
      <c r="B359" s="1344" t="s">
        <v>1538</v>
      </c>
      <c r="C359" s="1344">
        <v>50</v>
      </c>
      <c r="D359" s="1344" t="s">
        <v>1539</v>
      </c>
      <c r="E359" s="682"/>
      <c r="F359" s="392" t="str">
        <f t="shared" si="5"/>
        <v>ELBOWA-10550CL 9000</v>
      </c>
      <c r="G359" s="1347">
        <v>35000</v>
      </c>
      <c r="H359" s="1349"/>
      <c r="I359" s="2394" t="s">
        <v>181</v>
      </c>
      <c r="J359" s="2394"/>
      <c r="K359" s="2394">
        <v>90</v>
      </c>
      <c r="L359" s="2395">
        <v>42914</v>
      </c>
      <c r="M359" s="2394">
        <v>7</v>
      </c>
      <c r="N359" s="1347" t="s">
        <v>129</v>
      </c>
    </row>
    <row r="360" spans="1:14" s="647" customFormat="1" ht="15.95" customHeight="1">
      <c r="A360" s="1344" t="s">
        <v>1408</v>
      </c>
      <c r="B360" s="1344" t="s">
        <v>1538</v>
      </c>
      <c r="C360" s="1344">
        <v>50</v>
      </c>
      <c r="D360" s="1344" t="s">
        <v>1566</v>
      </c>
      <c r="E360" s="682"/>
      <c r="F360" s="392" t="str">
        <f t="shared" si="5"/>
        <v>ELBOWA-10550CL3000</v>
      </c>
      <c r="G360" s="1347">
        <v>35000</v>
      </c>
      <c r="H360" s="1349"/>
      <c r="I360" s="2394" t="s">
        <v>181</v>
      </c>
      <c r="J360" s="2394"/>
      <c r="K360" s="2394">
        <v>90</v>
      </c>
      <c r="L360" s="2395">
        <v>42914</v>
      </c>
      <c r="M360" s="2394">
        <v>7</v>
      </c>
      <c r="N360" s="1347" t="s">
        <v>129</v>
      </c>
    </row>
    <row r="361" spans="1:14" s="647" customFormat="1" ht="15.95" customHeight="1">
      <c r="A361" s="1344" t="s">
        <v>1408</v>
      </c>
      <c r="B361" s="1344" t="s">
        <v>1568</v>
      </c>
      <c r="C361" s="1344">
        <v>15</v>
      </c>
      <c r="D361" s="1344" t="s">
        <v>1566</v>
      </c>
      <c r="E361" s="682"/>
      <c r="F361" s="392" t="str">
        <f t="shared" si="5"/>
        <v>ELBOWA-105, GALV15CL3000</v>
      </c>
      <c r="G361" s="1347">
        <v>35000</v>
      </c>
      <c r="H361" s="1349"/>
      <c r="I361" s="2394" t="s">
        <v>181</v>
      </c>
      <c r="J361" s="2394"/>
      <c r="K361" s="2394">
        <v>90</v>
      </c>
      <c r="L361" s="2395">
        <v>42914</v>
      </c>
      <c r="M361" s="2394">
        <v>7</v>
      </c>
      <c r="N361" s="1347" t="s">
        <v>129</v>
      </c>
    </row>
    <row r="362" spans="1:14" s="647" customFormat="1" ht="15.95" customHeight="1">
      <c r="A362" s="1344" t="s">
        <v>1408</v>
      </c>
      <c r="B362" s="1344" t="s">
        <v>1568</v>
      </c>
      <c r="C362" s="1344">
        <v>20</v>
      </c>
      <c r="D362" s="1344" t="s">
        <v>1566</v>
      </c>
      <c r="E362" s="682"/>
      <c r="F362" s="392" t="str">
        <f t="shared" si="5"/>
        <v>ELBOWA-105, GALV20CL3000</v>
      </c>
      <c r="G362" s="1347">
        <v>35000</v>
      </c>
      <c r="H362" s="1349"/>
      <c r="I362" s="2394" t="s">
        <v>181</v>
      </c>
      <c r="J362" s="2394"/>
      <c r="K362" s="2394">
        <v>90</v>
      </c>
      <c r="L362" s="2395">
        <v>42914</v>
      </c>
      <c r="M362" s="2394">
        <v>7</v>
      </c>
      <c r="N362" s="1347" t="s">
        <v>129</v>
      </c>
    </row>
    <row r="363" spans="1:14" s="647" customFormat="1" ht="15.95" customHeight="1">
      <c r="A363" s="1344" t="s">
        <v>1408</v>
      </c>
      <c r="B363" s="1344" t="s">
        <v>1568</v>
      </c>
      <c r="C363" s="1344">
        <v>25</v>
      </c>
      <c r="D363" s="1344" t="s">
        <v>1566</v>
      </c>
      <c r="E363" s="682"/>
      <c r="F363" s="392" t="str">
        <f t="shared" si="5"/>
        <v>ELBOWA-105, GALV25CL3000</v>
      </c>
      <c r="G363" s="1347">
        <v>35000</v>
      </c>
      <c r="H363" s="1349"/>
      <c r="I363" s="2394" t="s">
        <v>181</v>
      </c>
      <c r="J363" s="2394"/>
      <c r="K363" s="2394">
        <v>90</v>
      </c>
      <c r="L363" s="2395">
        <v>42914</v>
      </c>
      <c r="M363" s="2394">
        <v>7</v>
      </c>
      <c r="N363" s="1347" t="s">
        <v>129</v>
      </c>
    </row>
    <row r="364" spans="1:14" s="647" customFormat="1" ht="15.95" customHeight="1">
      <c r="A364" s="1344" t="s">
        <v>1408</v>
      </c>
      <c r="B364" s="1344" t="s">
        <v>1568</v>
      </c>
      <c r="C364" s="1344">
        <v>25</v>
      </c>
      <c r="D364" s="1344" t="s">
        <v>1574</v>
      </c>
      <c r="E364" s="682"/>
      <c r="F364" s="392" t="str">
        <f t="shared" si="5"/>
        <v>ELBOWA-105, GALV25CL6000</v>
      </c>
      <c r="G364" s="1347">
        <v>35000</v>
      </c>
      <c r="H364" s="1349"/>
      <c r="I364" s="2394" t="s">
        <v>181</v>
      </c>
      <c r="J364" s="2394"/>
      <c r="K364" s="2394">
        <v>90</v>
      </c>
      <c r="L364" s="2395">
        <v>42914</v>
      </c>
      <c r="M364" s="2394">
        <v>7</v>
      </c>
      <c r="N364" s="1347" t="s">
        <v>129</v>
      </c>
    </row>
    <row r="365" spans="1:14" s="647" customFormat="1" ht="15.95" customHeight="1">
      <c r="A365" s="1344" t="s">
        <v>1408</v>
      </c>
      <c r="B365" s="1344" t="s">
        <v>1568</v>
      </c>
      <c r="C365" s="1344">
        <v>40</v>
      </c>
      <c r="D365" s="1344" t="s">
        <v>1566</v>
      </c>
      <c r="E365" s="682"/>
      <c r="F365" s="392" t="str">
        <f t="shared" si="5"/>
        <v>ELBOWA-105, GALV40CL3000</v>
      </c>
      <c r="G365" s="1347">
        <v>35000</v>
      </c>
      <c r="H365" s="1349"/>
      <c r="I365" s="2394" t="s">
        <v>181</v>
      </c>
      <c r="J365" s="2394"/>
      <c r="K365" s="2394">
        <v>90</v>
      </c>
      <c r="L365" s="2395">
        <v>42914</v>
      </c>
      <c r="M365" s="2394">
        <v>7</v>
      </c>
      <c r="N365" s="1347" t="s">
        <v>129</v>
      </c>
    </row>
    <row r="366" spans="1:14" s="647" customFormat="1" ht="15.95" customHeight="1">
      <c r="A366" s="1344" t="s">
        <v>1408</v>
      </c>
      <c r="B366" s="1344" t="s">
        <v>1568</v>
      </c>
      <c r="C366" s="1344">
        <v>50</v>
      </c>
      <c r="D366" s="1344" t="s">
        <v>1566</v>
      </c>
      <c r="E366" s="682"/>
      <c r="F366" s="392" t="str">
        <f t="shared" si="5"/>
        <v>ELBOWA-105, GALV50CL3000</v>
      </c>
      <c r="G366" s="1347">
        <v>35000</v>
      </c>
      <c r="H366" s="1349"/>
      <c r="I366" s="2394" t="s">
        <v>181</v>
      </c>
      <c r="J366" s="2394"/>
      <c r="K366" s="2394">
        <v>90</v>
      </c>
      <c r="L366" s="2395">
        <v>42914</v>
      </c>
      <c r="M366" s="2394">
        <v>7</v>
      </c>
      <c r="N366" s="1347" t="s">
        <v>129</v>
      </c>
    </row>
    <row r="367" spans="1:14" s="647" customFormat="1" ht="15.95" customHeight="1">
      <c r="A367" s="1344" t="s">
        <v>1408</v>
      </c>
      <c r="B367" s="1344" t="s">
        <v>1568</v>
      </c>
      <c r="C367" s="1344">
        <v>50</v>
      </c>
      <c r="D367" s="1344" t="s">
        <v>1574</v>
      </c>
      <c r="E367" s="682"/>
      <c r="F367" s="392" t="str">
        <f t="shared" si="5"/>
        <v>ELBOWA-105, GALV50CL6000</v>
      </c>
      <c r="G367" s="1347">
        <v>35000</v>
      </c>
      <c r="H367" s="1349"/>
      <c r="I367" s="2394" t="s">
        <v>181</v>
      </c>
      <c r="J367" s="2394"/>
      <c r="K367" s="2394">
        <v>90</v>
      </c>
      <c r="L367" s="2395">
        <v>42914</v>
      </c>
      <c r="M367" s="2394">
        <v>7</v>
      </c>
      <c r="N367" s="1347" t="s">
        <v>129</v>
      </c>
    </row>
    <row r="368" spans="1:14" s="647" customFormat="1" ht="15.95" customHeight="1">
      <c r="A368" s="1344" t="s">
        <v>1408</v>
      </c>
      <c r="B368" s="1344" t="s">
        <v>1550</v>
      </c>
      <c r="C368" s="1344">
        <v>25</v>
      </c>
      <c r="D368" s="1344" t="s">
        <v>1551</v>
      </c>
      <c r="E368" s="682"/>
      <c r="F368" s="392" t="str">
        <f t="shared" ref="F368:F431" si="6">A368&amp;B368&amp;C368&amp;D368</f>
        <v>ELBOWA105-GALV25CL-3000</v>
      </c>
      <c r="G368" s="1347">
        <v>35000</v>
      </c>
      <c r="H368" s="1349"/>
      <c r="I368" s="2394" t="s">
        <v>181</v>
      </c>
      <c r="J368" s="2394"/>
      <c r="K368" s="2394">
        <v>90</v>
      </c>
      <c r="L368" s="2395">
        <v>42914</v>
      </c>
      <c r="M368" s="2394">
        <v>7</v>
      </c>
      <c r="N368" s="1347" t="s">
        <v>129</v>
      </c>
    </row>
    <row r="369" spans="1:14" s="647" customFormat="1" ht="15.95" customHeight="1">
      <c r="A369" s="1344" t="s">
        <v>1408</v>
      </c>
      <c r="B369" s="1344" t="s">
        <v>1550</v>
      </c>
      <c r="C369" s="1344">
        <v>50</v>
      </c>
      <c r="D369" s="1344" t="s">
        <v>1551</v>
      </c>
      <c r="E369" s="682"/>
      <c r="F369" s="392" t="str">
        <f t="shared" si="6"/>
        <v>ELBOWA105-GALV50CL-3000</v>
      </c>
      <c r="G369" s="1347">
        <v>35000</v>
      </c>
      <c r="H369" s="1349"/>
      <c r="I369" s="2394" t="s">
        <v>181</v>
      </c>
      <c r="J369" s="2394"/>
      <c r="K369" s="2394">
        <v>90</v>
      </c>
      <c r="L369" s="2395">
        <v>42914</v>
      </c>
      <c r="M369" s="2394">
        <v>7</v>
      </c>
      <c r="N369" s="1347" t="s">
        <v>129</v>
      </c>
    </row>
    <row r="370" spans="1:14" s="647" customFormat="1" ht="15.95" customHeight="1">
      <c r="A370" s="1344" t="s">
        <v>1408</v>
      </c>
      <c r="B370" s="1344" t="s">
        <v>1543</v>
      </c>
      <c r="C370" s="1344">
        <v>25</v>
      </c>
      <c r="D370" s="1344" t="s">
        <v>1542</v>
      </c>
      <c r="E370" s="682"/>
      <c r="F370" s="392" t="str">
        <f t="shared" si="6"/>
        <v>ELBOWA-182 F1125CL 3000</v>
      </c>
      <c r="G370" s="1347">
        <v>35000</v>
      </c>
      <c r="H370" s="1349"/>
      <c r="I370" s="2394" t="s">
        <v>181</v>
      </c>
      <c r="J370" s="2394"/>
      <c r="K370" s="2394">
        <v>90</v>
      </c>
      <c r="L370" s="2395">
        <v>42914</v>
      </c>
      <c r="M370" s="2394">
        <v>7</v>
      </c>
      <c r="N370" s="1347" t="s">
        <v>129</v>
      </c>
    </row>
    <row r="371" spans="1:14" s="647" customFormat="1" ht="15.95" customHeight="1">
      <c r="A371" s="1344" t="s">
        <v>1408</v>
      </c>
      <c r="B371" s="1344" t="s">
        <v>1544</v>
      </c>
      <c r="C371" s="1344">
        <v>25</v>
      </c>
      <c r="D371" s="1344" t="s">
        <v>1539</v>
      </c>
      <c r="E371" s="682"/>
      <c r="F371" s="392" t="str">
        <f t="shared" si="6"/>
        <v>ELBOWA-182 F9125CL 9000</v>
      </c>
      <c r="G371" s="1347">
        <v>48000</v>
      </c>
      <c r="H371" s="1349"/>
      <c r="I371" s="2394" t="s">
        <v>181</v>
      </c>
      <c r="J371" s="2394"/>
      <c r="K371" s="2394">
        <v>90</v>
      </c>
      <c r="L371" s="2395">
        <v>42914</v>
      </c>
      <c r="M371" s="2394">
        <v>7</v>
      </c>
      <c r="N371" s="1347" t="s">
        <v>129</v>
      </c>
    </row>
    <row r="372" spans="1:14" s="647" customFormat="1" ht="15.95" customHeight="1">
      <c r="A372" s="1344" t="s">
        <v>1408</v>
      </c>
      <c r="B372" s="1344" t="s">
        <v>1540</v>
      </c>
      <c r="C372" s="1344">
        <v>65</v>
      </c>
      <c r="D372" s="1344" t="s">
        <v>1565</v>
      </c>
      <c r="E372" s="682"/>
      <c r="F372" s="392" t="str">
        <f t="shared" si="6"/>
        <v>ELBOWA-234 WPB65S40</v>
      </c>
      <c r="G372" s="1347">
        <v>35000</v>
      </c>
      <c r="H372" s="1349"/>
      <c r="I372" s="2394" t="s">
        <v>181</v>
      </c>
      <c r="J372" s="2394"/>
      <c r="K372" s="2394">
        <v>90</v>
      </c>
      <c r="L372" s="2395">
        <v>42914</v>
      </c>
      <c r="M372" s="2394">
        <v>7</v>
      </c>
      <c r="N372" s="1347" t="s">
        <v>129</v>
      </c>
    </row>
    <row r="373" spans="1:14" s="647" customFormat="1" ht="15.95" customHeight="1">
      <c r="A373" s="1344" t="s">
        <v>1408</v>
      </c>
      <c r="B373" s="1344" t="s">
        <v>1540</v>
      </c>
      <c r="C373" s="1344">
        <v>80</v>
      </c>
      <c r="D373" s="1344" t="s">
        <v>1565</v>
      </c>
      <c r="E373" s="682"/>
      <c r="F373" s="392" t="str">
        <f t="shared" si="6"/>
        <v>ELBOWA-234 WPB80S40</v>
      </c>
      <c r="G373" s="1347">
        <v>35000</v>
      </c>
      <c r="H373" s="1349"/>
      <c r="I373" s="2394" t="s">
        <v>181</v>
      </c>
      <c r="J373" s="2394"/>
      <c r="K373" s="2394">
        <v>90</v>
      </c>
      <c r="L373" s="2395">
        <v>42914</v>
      </c>
      <c r="M373" s="2394">
        <v>7</v>
      </c>
      <c r="N373" s="1347" t="s">
        <v>129</v>
      </c>
    </row>
    <row r="374" spans="1:14" s="647" customFormat="1" ht="15.95" customHeight="1">
      <c r="A374" s="1344" t="s">
        <v>1408</v>
      </c>
      <c r="B374" s="1344" t="s">
        <v>1540</v>
      </c>
      <c r="C374" s="1344">
        <v>100</v>
      </c>
      <c r="D374" s="1344" t="s">
        <v>1565</v>
      </c>
      <c r="E374" s="682"/>
      <c r="F374" s="392" t="str">
        <f t="shared" si="6"/>
        <v>ELBOWA-234 WPB100S40</v>
      </c>
      <c r="G374" s="1347">
        <v>35000</v>
      </c>
      <c r="H374" s="1349"/>
      <c r="I374" s="2394" t="s">
        <v>181</v>
      </c>
      <c r="J374" s="2394"/>
      <c r="K374" s="2394">
        <v>90</v>
      </c>
      <c r="L374" s="2395">
        <v>42914</v>
      </c>
      <c r="M374" s="2394">
        <v>7</v>
      </c>
      <c r="N374" s="1347" t="s">
        <v>129</v>
      </c>
    </row>
    <row r="375" spans="1:14" s="647" customFormat="1" ht="15.95" customHeight="1">
      <c r="A375" s="1344" t="s">
        <v>1408</v>
      </c>
      <c r="B375" s="1344" t="s">
        <v>1540</v>
      </c>
      <c r="C375" s="1344">
        <v>150</v>
      </c>
      <c r="D375" s="1344" t="s">
        <v>1546</v>
      </c>
      <c r="E375" s="682"/>
      <c r="F375" s="392" t="str">
        <f t="shared" si="6"/>
        <v>ELBOWA-234 WPB150STD</v>
      </c>
      <c r="G375" s="1347">
        <v>35000</v>
      </c>
      <c r="H375" s="1349"/>
      <c r="I375" s="2394" t="s">
        <v>181</v>
      </c>
      <c r="J375" s="2394"/>
      <c r="K375" s="2394">
        <v>90</v>
      </c>
      <c r="L375" s="2395">
        <v>42914</v>
      </c>
      <c r="M375" s="2394">
        <v>7</v>
      </c>
      <c r="N375" s="1347" t="s">
        <v>129</v>
      </c>
    </row>
    <row r="376" spans="1:14" s="647" customFormat="1" ht="15.95" customHeight="1">
      <c r="A376" s="1344" t="s">
        <v>1408</v>
      </c>
      <c r="B376" s="1344" t="s">
        <v>1540</v>
      </c>
      <c r="C376" s="1344">
        <v>200</v>
      </c>
      <c r="D376" s="1344" t="s">
        <v>1565</v>
      </c>
      <c r="E376" s="682"/>
      <c r="F376" s="392" t="str">
        <f t="shared" si="6"/>
        <v>ELBOWA-234 WPB200S40</v>
      </c>
      <c r="G376" s="1347">
        <v>35000</v>
      </c>
      <c r="H376" s="1349"/>
      <c r="I376" s="2394" t="s">
        <v>181</v>
      </c>
      <c r="J376" s="2394"/>
      <c r="K376" s="2394">
        <v>90</v>
      </c>
      <c r="L376" s="2395">
        <v>42914</v>
      </c>
      <c r="M376" s="2394">
        <v>7</v>
      </c>
      <c r="N376" s="1347" t="s">
        <v>129</v>
      </c>
    </row>
    <row r="377" spans="1:14" s="647" customFormat="1" ht="15.95" customHeight="1">
      <c r="A377" s="1344" t="s">
        <v>1408</v>
      </c>
      <c r="B377" s="1344" t="s">
        <v>1540</v>
      </c>
      <c r="C377" s="1344">
        <v>250</v>
      </c>
      <c r="D377" s="1344" t="s">
        <v>1565</v>
      </c>
      <c r="E377" s="682"/>
      <c r="F377" s="392" t="str">
        <f t="shared" si="6"/>
        <v>ELBOWA-234 WPB250S40</v>
      </c>
      <c r="G377" s="1347">
        <v>35000</v>
      </c>
      <c r="H377" s="1349"/>
      <c r="I377" s="2394" t="s">
        <v>181</v>
      </c>
      <c r="J377" s="2394"/>
      <c r="K377" s="2394">
        <v>90</v>
      </c>
      <c r="L377" s="2395">
        <v>42914</v>
      </c>
      <c r="M377" s="2394">
        <v>7</v>
      </c>
      <c r="N377" s="1347" t="s">
        <v>129</v>
      </c>
    </row>
    <row r="378" spans="1:14" s="647" customFormat="1" ht="15.95" customHeight="1">
      <c r="A378" s="1344" t="s">
        <v>1408</v>
      </c>
      <c r="B378" s="1344" t="s">
        <v>1540</v>
      </c>
      <c r="C378" s="1344">
        <v>250</v>
      </c>
      <c r="D378" s="1344" t="s">
        <v>1546</v>
      </c>
      <c r="E378" s="682"/>
      <c r="F378" s="392" t="str">
        <f t="shared" si="6"/>
        <v>ELBOWA-234 WPB250STD</v>
      </c>
      <c r="G378" s="1347">
        <v>35000</v>
      </c>
      <c r="H378" s="1349"/>
      <c r="I378" s="2394" t="s">
        <v>181</v>
      </c>
      <c r="J378" s="2394"/>
      <c r="K378" s="2394">
        <v>90</v>
      </c>
      <c r="L378" s="2395">
        <v>42914</v>
      </c>
      <c r="M378" s="2394">
        <v>7</v>
      </c>
      <c r="N378" s="1347" t="s">
        <v>129</v>
      </c>
    </row>
    <row r="379" spans="1:14" s="647" customFormat="1" ht="15.95" customHeight="1">
      <c r="A379" s="1344" t="s">
        <v>1408</v>
      </c>
      <c r="B379" s="1344" t="s">
        <v>1540</v>
      </c>
      <c r="C379" s="1344">
        <v>350</v>
      </c>
      <c r="D379" s="1344" t="s">
        <v>1546</v>
      </c>
      <c r="E379" s="682"/>
      <c r="F379" s="392" t="str">
        <f t="shared" si="6"/>
        <v>ELBOWA-234 WPB350STD</v>
      </c>
      <c r="G379" s="1347">
        <v>35000</v>
      </c>
      <c r="H379" s="1349"/>
      <c r="I379" s="2394" t="s">
        <v>181</v>
      </c>
      <c r="J379" s="2394"/>
      <c r="K379" s="2394">
        <v>90</v>
      </c>
      <c r="L379" s="2395">
        <v>42914</v>
      </c>
      <c r="M379" s="2394">
        <v>7</v>
      </c>
      <c r="N379" s="1347" t="s">
        <v>129</v>
      </c>
    </row>
    <row r="380" spans="1:14" s="647" customFormat="1" ht="15.95" customHeight="1">
      <c r="A380" s="1344" t="s">
        <v>1408</v>
      </c>
      <c r="B380" s="1344" t="s">
        <v>1569</v>
      </c>
      <c r="C380" s="1344">
        <v>100</v>
      </c>
      <c r="D380" s="1344" t="s">
        <v>1565</v>
      </c>
      <c r="E380" s="682"/>
      <c r="F380" s="392" t="str">
        <f t="shared" si="6"/>
        <v>ELBOWA-234 WPB, GALV100S40</v>
      </c>
      <c r="G380" s="1347">
        <v>35000</v>
      </c>
      <c r="H380" s="1349"/>
      <c r="I380" s="2394" t="s">
        <v>181</v>
      </c>
      <c r="J380" s="2394"/>
      <c r="K380" s="2394">
        <v>90</v>
      </c>
      <c r="L380" s="2395">
        <v>42914</v>
      </c>
      <c r="M380" s="2394">
        <v>7</v>
      </c>
      <c r="N380" s="1347" t="s">
        <v>129</v>
      </c>
    </row>
    <row r="381" spans="1:14" s="647" customFormat="1" ht="15.95" customHeight="1">
      <c r="A381" s="1344" t="s">
        <v>1408</v>
      </c>
      <c r="B381" s="1344" t="s">
        <v>1569</v>
      </c>
      <c r="C381" s="1344">
        <v>150</v>
      </c>
      <c r="D381" s="1344" t="s">
        <v>1537</v>
      </c>
      <c r="E381" s="682"/>
      <c r="F381" s="392" t="str">
        <f t="shared" si="6"/>
        <v>ELBOWA-234 WPB, GALV150XXS</v>
      </c>
      <c r="G381" s="1347">
        <v>35000</v>
      </c>
      <c r="H381" s="1349"/>
      <c r="I381" s="2394" t="s">
        <v>181</v>
      </c>
      <c r="J381" s="2394"/>
      <c r="K381" s="2394">
        <v>90</v>
      </c>
      <c r="L381" s="2395">
        <v>42914</v>
      </c>
      <c r="M381" s="2394">
        <v>7</v>
      </c>
      <c r="N381" s="1347" t="s">
        <v>129</v>
      </c>
    </row>
    <row r="382" spans="1:14" s="647" customFormat="1" ht="15.95" customHeight="1">
      <c r="A382" s="1344" t="s">
        <v>1408</v>
      </c>
      <c r="B382" s="1344" t="s">
        <v>1562</v>
      </c>
      <c r="C382" s="1344">
        <v>50</v>
      </c>
      <c r="D382" s="1344" t="s">
        <v>1551</v>
      </c>
      <c r="E382" s="682"/>
      <c r="F382" s="392" t="str">
        <f t="shared" si="6"/>
        <v>ELBOWASTM-A10550CL-3000</v>
      </c>
      <c r="G382" s="1347">
        <v>35000</v>
      </c>
      <c r="H382" s="1349"/>
      <c r="I382" s="2394" t="s">
        <v>181</v>
      </c>
      <c r="J382" s="2394"/>
      <c r="K382" s="2394">
        <v>90</v>
      </c>
      <c r="L382" s="2395">
        <v>42914</v>
      </c>
      <c r="M382" s="2394">
        <v>7</v>
      </c>
      <c r="N382" s="1347" t="s">
        <v>129</v>
      </c>
    </row>
    <row r="383" spans="1:14" s="647" customFormat="1" ht="15.95" customHeight="1">
      <c r="A383" s="1344" t="s">
        <v>1408</v>
      </c>
      <c r="B383" s="1344" t="s">
        <v>1554</v>
      </c>
      <c r="C383" s="1344">
        <v>80</v>
      </c>
      <c r="D383" s="1344" t="s">
        <v>1243</v>
      </c>
      <c r="E383" s="682"/>
      <c r="F383" s="392" t="str">
        <f t="shared" si="6"/>
        <v>ELBOWASTM-A234-WPB80S-40</v>
      </c>
      <c r="G383" s="1347">
        <v>35000</v>
      </c>
      <c r="H383" s="1349"/>
      <c r="I383" s="2394" t="s">
        <v>181</v>
      </c>
      <c r="J383" s="2394"/>
      <c r="K383" s="2394">
        <v>90</v>
      </c>
      <c r="L383" s="2395">
        <v>42914</v>
      </c>
      <c r="M383" s="2394">
        <v>7</v>
      </c>
      <c r="N383" s="1347" t="s">
        <v>129</v>
      </c>
    </row>
    <row r="384" spans="1:14" s="647" customFormat="1" ht="15.95" customHeight="1">
      <c r="A384" s="1344" t="s">
        <v>1408</v>
      </c>
      <c r="B384" s="1344" t="s">
        <v>1554</v>
      </c>
      <c r="C384" s="1344">
        <v>250</v>
      </c>
      <c r="D384" s="1344" t="s">
        <v>1243</v>
      </c>
      <c r="E384" s="682"/>
      <c r="F384" s="392" t="str">
        <f t="shared" si="6"/>
        <v>ELBOWASTM-A234-WPB250S-40</v>
      </c>
      <c r="G384" s="1347">
        <v>35000</v>
      </c>
      <c r="H384" s="1349"/>
      <c r="I384" s="2394" t="s">
        <v>181</v>
      </c>
      <c r="J384" s="2394"/>
      <c r="K384" s="2394">
        <v>90</v>
      </c>
      <c r="L384" s="2395">
        <v>42914</v>
      </c>
      <c r="M384" s="2394">
        <v>7</v>
      </c>
      <c r="N384" s="1347" t="s">
        <v>129</v>
      </c>
    </row>
    <row r="385" spans="1:14" s="647" customFormat="1" ht="15.95" customHeight="1">
      <c r="A385" s="1344" t="s">
        <v>1408</v>
      </c>
      <c r="B385" s="1344" t="s">
        <v>1554</v>
      </c>
      <c r="C385" s="1344">
        <v>300</v>
      </c>
      <c r="D385" s="1344" t="s">
        <v>1546</v>
      </c>
      <c r="E385" s="682"/>
      <c r="F385" s="392" t="str">
        <f t="shared" si="6"/>
        <v>ELBOWASTM-A234-WPB300STD</v>
      </c>
      <c r="G385" s="1347">
        <v>35000</v>
      </c>
      <c r="H385" s="1349"/>
      <c r="I385" s="2394" t="s">
        <v>181</v>
      </c>
      <c r="J385" s="2394"/>
      <c r="K385" s="2394">
        <v>90</v>
      </c>
      <c r="L385" s="2395">
        <v>42914</v>
      </c>
      <c r="M385" s="2394">
        <v>7</v>
      </c>
      <c r="N385" s="1347" t="s">
        <v>129</v>
      </c>
    </row>
    <row r="386" spans="1:14" s="647" customFormat="1" ht="15.95" customHeight="1">
      <c r="A386" s="1344" t="s">
        <v>1408</v>
      </c>
      <c r="B386" s="1344" t="s">
        <v>1554</v>
      </c>
      <c r="C386" s="1344">
        <v>350</v>
      </c>
      <c r="D386" s="1344" t="s">
        <v>1546</v>
      </c>
      <c r="E386" s="682"/>
      <c r="F386" s="392" t="str">
        <f t="shared" si="6"/>
        <v>ELBOWASTM-A234-WPB350STD</v>
      </c>
      <c r="G386" s="1347">
        <v>35000</v>
      </c>
      <c r="H386" s="1349"/>
      <c r="I386" s="2394" t="s">
        <v>181</v>
      </c>
      <c r="J386" s="2394"/>
      <c r="K386" s="2394">
        <v>90</v>
      </c>
      <c r="L386" s="2395">
        <v>42914</v>
      </c>
      <c r="M386" s="2394">
        <v>7</v>
      </c>
      <c r="N386" s="1347" t="s">
        <v>129</v>
      </c>
    </row>
    <row r="387" spans="1:14" s="647" customFormat="1" ht="15.95" customHeight="1">
      <c r="A387" s="1344" t="s">
        <v>1408</v>
      </c>
      <c r="B387" s="1344" t="s">
        <v>1554</v>
      </c>
      <c r="C387" s="1344">
        <v>500</v>
      </c>
      <c r="D387" s="1344" t="s">
        <v>1546</v>
      </c>
      <c r="E387" s="682"/>
      <c r="F387" s="392" t="str">
        <f t="shared" si="6"/>
        <v>ELBOWASTM-A234-WPB500STD</v>
      </c>
      <c r="G387" s="1347">
        <v>35000</v>
      </c>
      <c r="H387" s="1349"/>
      <c r="I387" s="2394" t="s">
        <v>181</v>
      </c>
      <c r="J387" s="2394"/>
      <c r="K387" s="2394">
        <v>90</v>
      </c>
      <c r="L387" s="2395">
        <v>42914</v>
      </c>
      <c r="M387" s="2394">
        <v>7</v>
      </c>
      <c r="N387" s="1347" t="s">
        <v>129</v>
      </c>
    </row>
    <row r="388" spans="1:14" s="647" customFormat="1" ht="15.95" customHeight="1">
      <c r="A388" s="1344" t="s">
        <v>1408</v>
      </c>
      <c r="B388" s="1344" t="s">
        <v>1554</v>
      </c>
      <c r="C388" s="1344">
        <v>600</v>
      </c>
      <c r="D388" s="1344" t="s">
        <v>1546</v>
      </c>
      <c r="E388" s="682"/>
      <c r="F388" s="392" t="str">
        <f t="shared" si="6"/>
        <v>ELBOWASTM-A234-WPB600STD</v>
      </c>
      <c r="G388" s="1347">
        <v>35000</v>
      </c>
      <c r="H388" s="1349"/>
      <c r="I388" s="2394" t="s">
        <v>181</v>
      </c>
      <c r="J388" s="2394"/>
      <c r="K388" s="2394">
        <v>90</v>
      </c>
      <c r="L388" s="2395">
        <v>42914</v>
      </c>
      <c r="M388" s="2394">
        <v>7</v>
      </c>
      <c r="N388" s="1347" t="s">
        <v>129</v>
      </c>
    </row>
    <row r="389" spans="1:14" s="647" customFormat="1" ht="15.95" customHeight="1">
      <c r="A389" s="1344" t="s">
        <v>1408</v>
      </c>
      <c r="B389" s="1344" t="s">
        <v>1541</v>
      </c>
      <c r="C389" s="1344">
        <v>25</v>
      </c>
      <c r="D389" s="1344" t="s">
        <v>1539</v>
      </c>
      <c r="E389" s="682"/>
      <c r="F389" s="392" t="str">
        <f t="shared" si="6"/>
        <v>ELBOWSA-182 F1225CL 9000</v>
      </c>
      <c r="G389" s="1347">
        <v>35000</v>
      </c>
      <c r="H389" s="1349"/>
      <c r="I389" s="2394" t="s">
        <v>181</v>
      </c>
      <c r="J389" s="2394"/>
      <c r="K389" s="2394">
        <v>90</v>
      </c>
      <c r="L389" s="2395">
        <v>42914</v>
      </c>
      <c r="M389" s="2394">
        <v>7</v>
      </c>
      <c r="N389" s="1347" t="s">
        <v>129</v>
      </c>
    </row>
    <row r="390" spans="1:14" s="647" customFormat="1" ht="15.95" customHeight="1">
      <c r="A390" s="1344" t="s">
        <v>1408</v>
      </c>
      <c r="B390" s="1344" t="s">
        <v>1547</v>
      </c>
      <c r="C390" s="1344">
        <v>150</v>
      </c>
      <c r="D390" s="1344" t="s">
        <v>1546</v>
      </c>
      <c r="E390" s="682"/>
      <c r="F390" s="392" t="str">
        <f t="shared" si="6"/>
        <v>ELBOWSA-234 WPB150STD</v>
      </c>
      <c r="G390" s="1347">
        <v>35000</v>
      </c>
      <c r="H390" s="1349"/>
      <c r="I390" s="2394" t="s">
        <v>181</v>
      </c>
      <c r="J390" s="2394"/>
      <c r="K390" s="2394">
        <v>90</v>
      </c>
      <c r="L390" s="2395">
        <v>42914</v>
      </c>
      <c r="M390" s="2394">
        <v>7</v>
      </c>
      <c r="N390" s="1347" t="s">
        <v>129</v>
      </c>
    </row>
    <row r="391" spans="1:14" s="647" customFormat="1" ht="15.95" customHeight="1">
      <c r="A391" s="1344" t="s">
        <v>1412</v>
      </c>
      <c r="B391" s="1344" t="s">
        <v>1553</v>
      </c>
      <c r="C391" s="1344">
        <v>1800</v>
      </c>
      <c r="D391" s="1344"/>
      <c r="E391" s="682"/>
      <c r="F391" s="392" t="str">
        <f t="shared" si="6"/>
        <v>ELBOW MITREASTM-A516-G701800</v>
      </c>
      <c r="G391" s="1347">
        <v>35000</v>
      </c>
      <c r="H391" s="1349"/>
      <c r="I391" s="2394" t="s">
        <v>181</v>
      </c>
      <c r="J391" s="2394"/>
      <c r="K391" s="2394">
        <v>90</v>
      </c>
      <c r="L391" s="2395">
        <v>42914</v>
      </c>
      <c r="M391" s="2394">
        <v>7</v>
      </c>
      <c r="N391" s="1347" t="s">
        <v>129</v>
      </c>
    </row>
    <row r="392" spans="1:14" s="647" customFormat="1" ht="15.95" customHeight="1">
      <c r="A392" s="1344" t="s">
        <v>1415</v>
      </c>
      <c r="B392" s="1344" t="s">
        <v>1561</v>
      </c>
      <c r="C392" s="1344">
        <v>25</v>
      </c>
      <c r="D392" s="1344" t="s">
        <v>1549</v>
      </c>
      <c r="E392" s="682"/>
      <c r="F392" s="392" t="str">
        <f t="shared" si="6"/>
        <v>NIPPLEASTM-A106-B25S-80</v>
      </c>
      <c r="G392" s="1347">
        <v>60000</v>
      </c>
      <c r="H392" s="1349"/>
      <c r="I392" s="2394" t="s">
        <v>181</v>
      </c>
      <c r="J392" s="2394"/>
      <c r="K392" s="2394">
        <v>90</v>
      </c>
      <c r="L392" s="2395">
        <v>42914</v>
      </c>
      <c r="M392" s="2394">
        <v>7</v>
      </c>
      <c r="N392" s="1347" t="s">
        <v>129</v>
      </c>
    </row>
    <row r="393" spans="1:14" s="647" customFormat="1" ht="15.95" customHeight="1">
      <c r="A393" s="1344" t="s">
        <v>1415</v>
      </c>
      <c r="B393" s="1344" t="s">
        <v>1561</v>
      </c>
      <c r="C393" s="1344">
        <v>50</v>
      </c>
      <c r="D393" s="1344" t="s">
        <v>1549</v>
      </c>
      <c r="E393" s="682"/>
      <c r="F393" s="392" t="str">
        <f t="shared" si="6"/>
        <v>NIPPLEASTM-A106-B50S-80</v>
      </c>
      <c r="G393" s="1347">
        <v>60000</v>
      </c>
      <c r="H393" s="1349"/>
      <c r="I393" s="2394" t="s">
        <v>181</v>
      </c>
      <c r="J393" s="2394"/>
      <c r="K393" s="2394">
        <v>90</v>
      </c>
      <c r="L393" s="2395">
        <v>42914</v>
      </c>
      <c r="M393" s="2394">
        <v>7</v>
      </c>
      <c r="N393" s="1347" t="s">
        <v>129</v>
      </c>
    </row>
    <row r="394" spans="1:14" s="647" customFormat="1" ht="15.95" customHeight="1">
      <c r="A394" s="1344" t="s">
        <v>1409</v>
      </c>
      <c r="B394" s="1344" t="s">
        <v>1540</v>
      </c>
      <c r="C394" s="1344">
        <v>50</v>
      </c>
      <c r="D394" s="1344" t="s">
        <v>1539</v>
      </c>
      <c r="E394" s="682"/>
      <c r="F394" s="392" t="str">
        <f t="shared" si="6"/>
        <v>REDUA-234 WPB50CL 9000</v>
      </c>
      <c r="G394" s="1347">
        <v>42000</v>
      </c>
      <c r="H394" s="1349"/>
      <c r="I394" s="2394" t="s">
        <v>181</v>
      </c>
      <c r="J394" s="2394"/>
      <c r="K394" s="2394">
        <v>90</v>
      </c>
      <c r="L394" s="2395">
        <v>42914</v>
      </c>
      <c r="M394" s="2394">
        <v>7</v>
      </c>
      <c r="N394" s="1347" t="s">
        <v>129</v>
      </c>
    </row>
    <row r="395" spans="1:14" s="647" customFormat="1" ht="15.95" customHeight="1">
      <c r="A395" s="1344" t="s">
        <v>1414</v>
      </c>
      <c r="B395" s="1344" t="s">
        <v>1554</v>
      </c>
      <c r="C395" s="1344" t="s">
        <v>1559</v>
      </c>
      <c r="D395" s="1344" t="s">
        <v>1546</v>
      </c>
      <c r="E395" s="682"/>
      <c r="F395" s="392" t="str">
        <f t="shared" si="6"/>
        <v>REDUCERASTM-A234-WPB350 x 300STD</v>
      </c>
      <c r="G395" s="1347">
        <v>35000</v>
      </c>
      <c r="H395" s="1349"/>
      <c r="I395" s="2394" t="s">
        <v>181</v>
      </c>
      <c r="J395" s="2394"/>
      <c r="K395" s="2394">
        <v>90</v>
      </c>
      <c r="L395" s="2395">
        <v>42914</v>
      </c>
      <c r="M395" s="2394">
        <v>7</v>
      </c>
      <c r="N395" s="1347" t="s">
        <v>129</v>
      </c>
    </row>
    <row r="396" spans="1:14" s="647" customFormat="1" ht="15.95" customHeight="1">
      <c r="A396" s="1344" t="s">
        <v>1406</v>
      </c>
      <c r="B396" s="1344" t="s">
        <v>1538</v>
      </c>
      <c r="C396" s="1344">
        <v>20</v>
      </c>
      <c r="D396" s="1344" t="s">
        <v>1566</v>
      </c>
      <c r="E396" s="682"/>
      <c r="F396" s="392" t="str">
        <f t="shared" si="6"/>
        <v>TEEA-10520CL3000</v>
      </c>
      <c r="G396" s="1347">
        <v>42000</v>
      </c>
      <c r="H396" s="1349"/>
      <c r="I396" s="2394" t="s">
        <v>181</v>
      </c>
      <c r="J396" s="2394"/>
      <c r="K396" s="2394">
        <v>90</v>
      </c>
      <c r="L396" s="2395">
        <v>42914</v>
      </c>
      <c r="M396" s="2394">
        <v>7</v>
      </c>
      <c r="N396" s="1347" t="s">
        <v>129</v>
      </c>
    </row>
    <row r="397" spans="1:14" s="647" customFormat="1" ht="15.95" customHeight="1">
      <c r="A397" s="1344" t="s">
        <v>1406</v>
      </c>
      <c r="B397" s="1344" t="s">
        <v>1538</v>
      </c>
      <c r="C397" s="1344">
        <v>25</v>
      </c>
      <c r="D397" s="1344" t="s">
        <v>1567</v>
      </c>
      <c r="E397" s="682"/>
      <c r="F397" s="392" t="str">
        <f t="shared" si="6"/>
        <v>TEEA-10525CL2000</v>
      </c>
      <c r="G397" s="1347">
        <v>42000</v>
      </c>
      <c r="H397" s="1349"/>
      <c r="I397" s="2394" t="s">
        <v>181</v>
      </c>
      <c r="J397" s="2394"/>
      <c r="K397" s="2394">
        <v>90</v>
      </c>
      <c r="L397" s="2395">
        <v>42914</v>
      </c>
      <c r="M397" s="2394">
        <v>7</v>
      </c>
      <c r="N397" s="1347" t="s">
        <v>129</v>
      </c>
    </row>
    <row r="398" spans="1:14" s="647" customFormat="1" ht="15.95" customHeight="1">
      <c r="A398" s="1344" t="s">
        <v>1406</v>
      </c>
      <c r="B398" s="1344" t="s">
        <v>1538</v>
      </c>
      <c r="C398" s="1344">
        <v>25</v>
      </c>
      <c r="D398" s="1344" t="s">
        <v>1566</v>
      </c>
      <c r="E398" s="682"/>
      <c r="F398" s="392" t="str">
        <f t="shared" si="6"/>
        <v>TEEA-10525CL3000</v>
      </c>
      <c r="G398" s="1347">
        <v>42000</v>
      </c>
      <c r="H398" s="1349"/>
      <c r="I398" s="2394" t="s">
        <v>181</v>
      </c>
      <c r="J398" s="2394"/>
      <c r="K398" s="2394">
        <v>90</v>
      </c>
      <c r="L398" s="2395">
        <v>42914</v>
      </c>
      <c r="M398" s="2394">
        <v>7</v>
      </c>
      <c r="N398" s="1347" t="s">
        <v>129</v>
      </c>
    </row>
    <row r="399" spans="1:14" s="647" customFormat="1" ht="15.95" customHeight="1">
      <c r="A399" s="1344" t="s">
        <v>1406</v>
      </c>
      <c r="B399" s="1344" t="s">
        <v>1538</v>
      </c>
      <c r="C399" s="1344">
        <v>40</v>
      </c>
      <c r="D399" s="1344" t="s">
        <v>1539</v>
      </c>
      <c r="E399" s="682"/>
      <c r="F399" s="392" t="str">
        <f t="shared" si="6"/>
        <v>TEEA-10540CL 9000</v>
      </c>
      <c r="G399" s="1347">
        <v>42000</v>
      </c>
      <c r="H399" s="1349"/>
      <c r="I399" s="2394" t="s">
        <v>181</v>
      </c>
      <c r="J399" s="2394"/>
      <c r="K399" s="2394">
        <v>90</v>
      </c>
      <c r="L399" s="2395">
        <v>42914</v>
      </c>
      <c r="M399" s="2394">
        <v>7</v>
      </c>
      <c r="N399" s="1347" t="s">
        <v>129</v>
      </c>
    </row>
    <row r="400" spans="1:14" s="647" customFormat="1" ht="15.95" customHeight="1">
      <c r="A400" s="1344" t="s">
        <v>1406</v>
      </c>
      <c r="B400" s="1344" t="s">
        <v>1538</v>
      </c>
      <c r="C400" s="1344">
        <v>40</v>
      </c>
      <c r="D400" s="1344" t="s">
        <v>1566</v>
      </c>
      <c r="E400" s="682"/>
      <c r="F400" s="392" t="str">
        <f t="shared" si="6"/>
        <v>TEEA-10540CL3000</v>
      </c>
      <c r="G400" s="1347">
        <v>42000</v>
      </c>
      <c r="H400" s="1349"/>
      <c r="I400" s="2394" t="s">
        <v>181</v>
      </c>
      <c r="J400" s="2394"/>
      <c r="K400" s="2394">
        <v>90</v>
      </c>
      <c r="L400" s="2395">
        <v>42914</v>
      </c>
      <c r="M400" s="2394">
        <v>7</v>
      </c>
      <c r="N400" s="1347" t="s">
        <v>129</v>
      </c>
    </row>
    <row r="401" spans="1:14" s="647" customFormat="1" ht="15.95" customHeight="1">
      <c r="A401" s="1344" t="s">
        <v>1406</v>
      </c>
      <c r="B401" s="1344" t="s">
        <v>1538</v>
      </c>
      <c r="C401" s="1344">
        <v>50</v>
      </c>
      <c r="D401" s="1344" t="s">
        <v>1539</v>
      </c>
      <c r="E401" s="682"/>
      <c r="F401" s="392" t="str">
        <f t="shared" si="6"/>
        <v>TEEA-10550CL 9000</v>
      </c>
      <c r="G401" s="1347">
        <v>42000</v>
      </c>
      <c r="H401" s="1349"/>
      <c r="I401" s="2394" t="s">
        <v>181</v>
      </c>
      <c r="J401" s="2394"/>
      <c r="K401" s="2394">
        <v>90</v>
      </c>
      <c r="L401" s="2395">
        <v>42914</v>
      </c>
      <c r="M401" s="2394">
        <v>7</v>
      </c>
      <c r="N401" s="1347" t="s">
        <v>129</v>
      </c>
    </row>
    <row r="402" spans="1:14" s="647" customFormat="1" ht="15.95" customHeight="1">
      <c r="A402" s="1344" t="s">
        <v>1406</v>
      </c>
      <c r="B402" s="1344" t="s">
        <v>1538</v>
      </c>
      <c r="C402" s="1344">
        <v>50</v>
      </c>
      <c r="D402" s="1344" t="s">
        <v>1567</v>
      </c>
      <c r="E402" s="682"/>
      <c r="F402" s="392" t="str">
        <f t="shared" si="6"/>
        <v>TEEA-10550CL2000</v>
      </c>
      <c r="G402" s="1347">
        <v>42000</v>
      </c>
      <c r="H402" s="1349"/>
      <c r="I402" s="2394" t="s">
        <v>181</v>
      </c>
      <c r="J402" s="2394"/>
      <c r="K402" s="2394">
        <v>90</v>
      </c>
      <c r="L402" s="2395">
        <v>42914</v>
      </c>
      <c r="M402" s="2394">
        <v>7</v>
      </c>
      <c r="N402" s="1347" t="s">
        <v>129</v>
      </c>
    </row>
    <row r="403" spans="1:14" s="647" customFormat="1" ht="15.95" customHeight="1">
      <c r="A403" s="1344" t="s">
        <v>1406</v>
      </c>
      <c r="B403" s="1344" t="s">
        <v>1538</v>
      </c>
      <c r="C403" s="1344">
        <v>50</v>
      </c>
      <c r="D403" s="1344" t="s">
        <v>1566</v>
      </c>
      <c r="E403" s="682"/>
      <c r="F403" s="392" t="str">
        <f t="shared" si="6"/>
        <v>TEEA-10550CL3000</v>
      </c>
      <c r="G403" s="1347">
        <v>42000</v>
      </c>
      <c r="H403" s="1349"/>
      <c r="I403" s="2394" t="s">
        <v>181</v>
      </c>
      <c r="J403" s="2394"/>
      <c r="K403" s="2394">
        <v>90</v>
      </c>
      <c r="L403" s="2395">
        <v>42914</v>
      </c>
      <c r="M403" s="2394">
        <v>7</v>
      </c>
      <c r="N403" s="1347" t="s">
        <v>129</v>
      </c>
    </row>
    <row r="404" spans="1:14" s="647" customFormat="1" ht="15.95" customHeight="1">
      <c r="A404" s="1344" t="s">
        <v>1406</v>
      </c>
      <c r="B404" s="1344" t="s">
        <v>1538</v>
      </c>
      <c r="C404" s="1344" t="s">
        <v>1570</v>
      </c>
      <c r="D404" s="1344" t="s">
        <v>1566</v>
      </c>
      <c r="E404" s="682"/>
      <c r="F404" s="392" t="str">
        <f t="shared" si="6"/>
        <v>TEEA-10525 X 20CL3000</v>
      </c>
      <c r="G404" s="1347">
        <v>42000</v>
      </c>
      <c r="H404" s="1349"/>
      <c r="I404" s="2394" t="s">
        <v>181</v>
      </c>
      <c r="J404" s="2394"/>
      <c r="K404" s="2394">
        <v>90</v>
      </c>
      <c r="L404" s="2395">
        <v>42914</v>
      </c>
      <c r="M404" s="2394">
        <v>7</v>
      </c>
      <c r="N404" s="1347" t="s">
        <v>129</v>
      </c>
    </row>
    <row r="405" spans="1:14" s="647" customFormat="1" ht="15.95" customHeight="1">
      <c r="A405" s="1344" t="s">
        <v>1406</v>
      </c>
      <c r="B405" s="1344" t="s">
        <v>1568</v>
      </c>
      <c r="C405" s="1344">
        <v>15</v>
      </c>
      <c r="D405" s="1344" t="s">
        <v>1566</v>
      </c>
      <c r="E405" s="682"/>
      <c r="F405" s="392" t="str">
        <f t="shared" si="6"/>
        <v>TEEA-105, GALV15CL3000</v>
      </c>
      <c r="G405" s="1347">
        <v>42000</v>
      </c>
      <c r="H405" s="1349"/>
      <c r="I405" s="2394" t="s">
        <v>181</v>
      </c>
      <c r="J405" s="2394"/>
      <c r="K405" s="2394">
        <v>90</v>
      </c>
      <c r="L405" s="2395">
        <v>42914</v>
      </c>
      <c r="M405" s="2394">
        <v>7</v>
      </c>
      <c r="N405" s="1347" t="s">
        <v>129</v>
      </c>
    </row>
    <row r="406" spans="1:14" s="647" customFormat="1" ht="15.95" customHeight="1">
      <c r="A406" s="1344" t="s">
        <v>1406</v>
      </c>
      <c r="B406" s="1344" t="s">
        <v>1568</v>
      </c>
      <c r="C406" s="1344">
        <v>25</v>
      </c>
      <c r="D406" s="1344" t="s">
        <v>1566</v>
      </c>
      <c r="E406" s="682"/>
      <c r="F406" s="392" t="str">
        <f t="shared" si="6"/>
        <v>TEEA-105, GALV25CL3000</v>
      </c>
      <c r="G406" s="1347">
        <v>42000</v>
      </c>
      <c r="H406" s="1349"/>
      <c r="I406" s="2394" t="s">
        <v>181</v>
      </c>
      <c r="J406" s="2394"/>
      <c r="K406" s="2394">
        <v>90</v>
      </c>
      <c r="L406" s="2395">
        <v>42914</v>
      </c>
      <c r="M406" s="2394">
        <v>7</v>
      </c>
      <c r="N406" s="1347" t="s">
        <v>129</v>
      </c>
    </row>
    <row r="407" spans="1:14" s="647" customFormat="1" ht="15.95" customHeight="1">
      <c r="A407" s="1344" t="s">
        <v>1406</v>
      </c>
      <c r="B407" s="1344" t="s">
        <v>1568</v>
      </c>
      <c r="C407" s="1344">
        <v>25</v>
      </c>
      <c r="D407" s="1344" t="s">
        <v>1574</v>
      </c>
      <c r="E407" s="682"/>
      <c r="F407" s="392" t="str">
        <f t="shared" si="6"/>
        <v>TEEA-105, GALV25CL6000</v>
      </c>
      <c r="G407" s="1347">
        <v>42000</v>
      </c>
      <c r="H407" s="1349"/>
      <c r="I407" s="2394" t="s">
        <v>181</v>
      </c>
      <c r="J407" s="2394"/>
      <c r="K407" s="2394">
        <v>90</v>
      </c>
      <c r="L407" s="2395">
        <v>42914</v>
      </c>
      <c r="M407" s="2394">
        <v>7</v>
      </c>
      <c r="N407" s="1347" t="s">
        <v>129</v>
      </c>
    </row>
    <row r="408" spans="1:14" s="647" customFormat="1" ht="15.95" customHeight="1">
      <c r="A408" s="1344" t="s">
        <v>1406</v>
      </c>
      <c r="B408" s="1344" t="s">
        <v>1568</v>
      </c>
      <c r="C408" s="1344">
        <v>50</v>
      </c>
      <c r="D408" s="1344" t="s">
        <v>1574</v>
      </c>
      <c r="E408" s="682"/>
      <c r="F408" s="392" t="str">
        <f t="shared" si="6"/>
        <v>TEEA-105, GALV50CL6000</v>
      </c>
      <c r="G408" s="1347">
        <v>42000</v>
      </c>
      <c r="H408" s="1349"/>
      <c r="I408" s="2394" t="s">
        <v>181</v>
      </c>
      <c r="J408" s="2394"/>
      <c r="K408" s="2394">
        <v>90</v>
      </c>
      <c r="L408" s="2395">
        <v>42914</v>
      </c>
      <c r="M408" s="2394">
        <v>7</v>
      </c>
      <c r="N408" s="1347" t="s">
        <v>129</v>
      </c>
    </row>
    <row r="409" spans="1:14" s="647" customFormat="1" ht="15.95" customHeight="1">
      <c r="A409" s="1344" t="s">
        <v>1406</v>
      </c>
      <c r="B409" s="1344" t="s">
        <v>1568</v>
      </c>
      <c r="C409" s="1344" t="s">
        <v>1575</v>
      </c>
      <c r="D409" s="1344" t="s">
        <v>1574</v>
      </c>
      <c r="E409" s="682"/>
      <c r="F409" s="392" t="str">
        <f t="shared" si="6"/>
        <v>TEEA-105, GALV50 X 25CL6000</v>
      </c>
      <c r="G409" s="1347">
        <v>42000</v>
      </c>
      <c r="H409" s="1349"/>
      <c r="I409" s="2394" t="s">
        <v>181</v>
      </c>
      <c r="J409" s="2394"/>
      <c r="K409" s="2394">
        <v>90</v>
      </c>
      <c r="L409" s="2395">
        <v>42914</v>
      </c>
      <c r="M409" s="2394">
        <v>7</v>
      </c>
      <c r="N409" s="1347" t="s">
        <v>129</v>
      </c>
    </row>
    <row r="410" spans="1:14" s="647" customFormat="1" ht="15.95" customHeight="1">
      <c r="A410" s="1344" t="s">
        <v>1406</v>
      </c>
      <c r="B410" s="1344" t="s">
        <v>1568</v>
      </c>
      <c r="C410" s="1344" t="s">
        <v>1576</v>
      </c>
      <c r="D410" s="1344" t="s">
        <v>1574</v>
      </c>
      <c r="E410" s="682"/>
      <c r="F410" s="392" t="str">
        <f t="shared" si="6"/>
        <v>TEEA-105, GALV50 X 32CL6000</v>
      </c>
      <c r="G410" s="1347">
        <v>42000</v>
      </c>
      <c r="H410" s="1349"/>
      <c r="I410" s="2394" t="s">
        <v>181</v>
      </c>
      <c r="J410" s="2394"/>
      <c r="K410" s="2394">
        <v>90</v>
      </c>
      <c r="L410" s="2395">
        <v>42914</v>
      </c>
      <c r="M410" s="2394">
        <v>7</v>
      </c>
      <c r="N410" s="1347" t="s">
        <v>129</v>
      </c>
    </row>
    <row r="411" spans="1:14" s="647" customFormat="1" ht="15.95" customHeight="1">
      <c r="A411" s="1344" t="s">
        <v>1406</v>
      </c>
      <c r="B411" s="1344" t="s">
        <v>1550</v>
      </c>
      <c r="C411" s="1344" t="s">
        <v>1552</v>
      </c>
      <c r="D411" s="1344" t="s">
        <v>1551</v>
      </c>
      <c r="E411" s="682"/>
      <c r="F411" s="392" t="str">
        <f t="shared" si="6"/>
        <v>TEEA105-GALV25 X 25CL-3000</v>
      </c>
      <c r="G411" s="1347">
        <v>42000</v>
      </c>
      <c r="H411" s="1349"/>
      <c r="I411" s="2394" t="s">
        <v>181</v>
      </c>
      <c r="J411" s="2394"/>
      <c r="K411" s="2394">
        <v>90</v>
      </c>
      <c r="L411" s="2395">
        <v>42914</v>
      </c>
      <c r="M411" s="2394">
        <v>7</v>
      </c>
      <c r="N411" s="1347" t="s">
        <v>129</v>
      </c>
    </row>
    <row r="412" spans="1:14" s="647" customFormat="1" ht="15.95" customHeight="1">
      <c r="A412" s="1344" t="s">
        <v>1406</v>
      </c>
      <c r="B412" s="1344" t="s">
        <v>1540</v>
      </c>
      <c r="C412" s="1344">
        <v>65</v>
      </c>
      <c r="D412" s="1344" t="s">
        <v>1565</v>
      </c>
      <c r="E412" s="682"/>
      <c r="F412" s="392" t="str">
        <f t="shared" si="6"/>
        <v>TEEA-234 WPB65S40</v>
      </c>
      <c r="G412" s="1347">
        <v>42000</v>
      </c>
      <c r="H412" s="1349"/>
      <c r="I412" s="2394" t="s">
        <v>181</v>
      </c>
      <c r="J412" s="2394"/>
      <c r="K412" s="2394">
        <v>90</v>
      </c>
      <c r="L412" s="2395">
        <v>42914</v>
      </c>
      <c r="M412" s="2394">
        <v>7</v>
      </c>
      <c r="N412" s="1347" t="s">
        <v>129</v>
      </c>
    </row>
    <row r="413" spans="1:14" s="647" customFormat="1" ht="15.95" customHeight="1">
      <c r="A413" s="1344" t="s">
        <v>1406</v>
      </c>
      <c r="B413" s="1344" t="s">
        <v>1540</v>
      </c>
      <c r="C413" s="1344">
        <v>80</v>
      </c>
      <c r="D413" s="1344" t="s">
        <v>1565</v>
      </c>
      <c r="E413" s="682"/>
      <c r="F413" s="392" t="str">
        <f t="shared" si="6"/>
        <v>TEEA-234 WPB80S40</v>
      </c>
      <c r="G413" s="1347">
        <v>42000</v>
      </c>
      <c r="H413" s="1349"/>
      <c r="I413" s="2394" t="s">
        <v>181</v>
      </c>
      <c r="J413" s="2394"/>
      <c r="K413" s="2394">
        <v>90</v>
      </c>
      <c r="L413" s="2395">
        <v>42914</v>
      </c>
      <c r="M413" s="2394">
        <v>7</v>
      </c>
      <c r="N413" s="1347" t="s">
        <v>129</v>
      </c>
    </row>
    <row r="414" spans="1:14" s="647" customFormat="1" ht="15.95" customHeight="1">
      <c r="A414" s="1344" t="s">
        <v>1406</v>
      </c>
      <c r="B414" s="1344" t="s">
        <v>1540</v>
      </c>
      <c r="C414" s="1344">
        <v>100</v>
      </c>
      <c r="D414" s="1344" t="s">
        <v>1565</v>
      </c>
      <c r="E414" s="682"/>
      <c r="F414" s="392" t="str">
        <f t="shared" si="6"/>
        <v>TEEA-234 WPB100S40</v>
      </c>
      <c r="G414" s="1347">
        <v>42000</v>
      </c>
      <c r="H414" s="1349"/>
      <c r="I414" s="2394" t="s">
        <v>181</v>
      </c>
      <c r="J414" s="2394"/>
      <c r="K414" s="2394">
        <v>90</v>
      </c>
      <c r="L414" s="2395">
        <v>42914</v>
      </c>
      <c r="M414" s="2394">
        <v>7</v>
      </c>
      <c r="N414" s="1347" t="s">
        <v>129</v>
      </c>
    </row>
    <row r="415" spans="1:14" s="647" customFormat="1" ht="15.95" customHeight="1">
      <c r="A415" s="1344" t="s">
        <v>1406</v>
      </c>
      <c r="B415" s="1344" t="s">
        <v>1540</v>
      </c>
      <c r="C415" s="1344">
        <v>150</v>
      </c>
      <c r="D415" s="1344" t="s">
        <v>1565</v>
      </c>
      <c r="E415" s="682"/>
      <c r="F415" s="392" t="str">
        <f t="shared" si="6"/>
        <v>TEEA-234 WPB150S40</v>
      </c>
      <c r="G415" s="1347">
        <v>42000</v>
      </c>
      <c r="H415" s="1349"/>
      <c r="I415" s="2394" t="s">
        <v>181</v>
      </c>
      <c r="J415" s="2394"/>
      <c r="K415" s="2394">
        <v>90</v>
      </c>
      <c r="L415" s="2395">
        <v>42914</v>
      </c>
      <c r="M415" s="2394">
        <v>7</v>
      </c>
      <c r="N415" s="1347" t="s">
        <v>129</v>
      </c>
    </row>
    <row r="416" spans="1:14" s="647" customFormat="1" ht="15.95" customHeight="1">
      <c r="A416" s="1344" t="s">
        <v>1406</v>
      </c>
      <c r="B416" s="1344" t="s">
        <v>1540</v>
      </c>
      <c r="C416" s="1344">
        <v>150</v>
      </c>
      <c r="D416" s="1344" t="s">
        <v>1546</v>
      </c>
      <c r="E416" s="682"/>
      <c r="F416" s="392" t="str">
        <f t="shared" si="6"/>
        <v>TEEA-234 WPB150STD</v>
      </c>
      <c r="G416" s="1347">
        <v>42000</v>
      </c>
      <c r="H416" s="1349"/>
      <c r="I416" s="2394" t="s">
        <v>181</v>
      </c>
      <c r="J416" s="2394"/>
      <c r="K416" s="2394">
        <v>90</v>
      </c>
      <c r="L416" s="2395">
        <v>42914</v>
      </c>
      <c r="M416" s="2394">
        <v>7</v>
      </c>
      <c r="N416" s="1347" t="s">
        <v>129</v>
      </c>
    </row>
    <row r="417" spans="1:14" s="647" customFormat="1" ht="15.95" customHeight="1">
      <c r="A417" s="1344" t="s">
        <v>1406</v>
      </c>
      <c r="B417" s="1344" t="s">
        <v>1540</v>
      </c>
      <c r="C417" s="1344">
        <v>200</v>
      </c>
      <c r="D417" s="1344" t="s">
        <v>1565</v>
      </c>
      <c r="E417" s="682"/>
      <c r="F417" s="392" t="str">
        <f t="shared" si="6"/>
        <v>TEEA-234 WPB200S40</v>
      </c>
      <c r="G417" s="1347">
        <v>42000</v>
      </c>
      <c r="H417" s="1349"/>
      <c r="I417" s="2394" t="s">
        <v>181</v>
      </c>
      <c r="J417" s="2394"/>
      <c r="K417" s="2394">
        <v>90</v>
      </c>
      <c r="L417" s="2395">
        <v>42914</v>
      </c>
      <c r="M417" s="2394">
        <v>7</v>
      </c>
      <c r="N417" s="1347" t="s">
        <v>129</v>
      </c>
    </row>
    <row r="418" spans="1:14" s="647" customFormat="1" ht="15.95" customHeight="1">
      <c r="A418" s="1344" t="s">
        <v>1406</v>
      </c>
      <c r="B418" s="1344" t="s">
        <v>1540</v>
      </c>
      <c r="C418" s="1344">
        <v>250</v>
      </c>
      <c r="D418" s="1344" t="s">
        <v>1565</v>
      </c>
      <c r="E418" s="682"/>
      <c r="F418" s="392" t="str">
        <f t="shared" si="6"/>
        <v>TEEA-234 WPB250S40</v>
      </c>
      <c r="G418" s="1347">
        <v>42000</v>
      </c>
      <c r="H418" s="1349"/>
      <c r="I418" s="2394" t="s">
        <v>181</v>
      </c>
      <c r="J418" s="2394"/>
      <c r="K418" s="2394">
        <v>90</v>
      </c>
      <c r="L418" s="2395">
        <v>42914</v>
      </c>
      <c r="M418" s="2394">
        <v>7</v>
      </c>
      <c r="N418" s="1347" t="s">
        <v>129</v>
      </c>
    </row>
    <row r="419" spans="1:14" s="647" customFormat="1" ht="15.95" customHeight="1">
      <c r="A419" s="1344" t="s">
        <v>1406</v>
      </c>
      <c r="B419" s="1344" t="s">
        <v>1540</v>
      </c>
      <c r="C419" s="1344">
        <v>250</v>
      </c>
      <c r="D419" s="1344" t="s">
        <v>1546</v>
      </c>
      <c r="E419" s="682"/>
      <c r="F419" s="392" t="str">
        <f t="shared" si="6"/>
        <v>TEEA-234 WPB250STD</v>
      </c>
      <c r="G419" s="1347">
        <v>42000</v>
      </c>
      <c r="H419" s="1349"/>
      <c r="I419" s="2394" t="s">
        <v>181</v>
      </c>
      <c r="J419" s="2394"/>
      <c r="K419" s="2394">
        <v>90</v>
      </c>
      <c r="L419" s="2395">
        <v>42914</v>
      </c>
      <c r="M419" s="2394">
        <v>7</v>
      </c>
      <c r="N419" s="1347" t="s">
        <v>129</v>
      </c>
    </row>
    <row r="420" spans="1:14" s="647" customFormat="1" ht="15.95" customHeight="1">
      <c r="A420" s="1344" t="s">
        <v>1406</v>
      </c>
      <c r="B420" s="1344" t="s">
        <v>1540</v>
      </c>
      <c r="C420" s="1344">
        <v>350</v>
      </c>
      <c r="D420" s="1344" t="s">
        <v>1546</v>
      </c>
      <c r="E420" s="682"/>
      <c r="F420" s="392" t="str">
        <f t="shared" si="6"/>
        <v>TEEA-234 WPB350STD</v>
      </c>
      <c r="G420" s="1347">
        <v>42000</v>
      </c>
      <c r="H420" s="1349"/>
      <c r="I420" s="2394" t="s">
        <v>181</v>
      </c>
      <c r="J420" s="2394"/>
      <c r="K420" s="2394">
        <v>90</v>
      </c>
      <c r="L420" s="2395">
        <v>42914</v>
      </c>
      <c r="M420" s="2394">
        <v>7</v>
      </c>
      <c r="N420" s="1347" t="s">
        <v>129</v>
      </c>
    </row>
    <row r="421" spans="1:14" s="647" customFormat="1" ht="15.95" customHeight="1">
      <c r="A421" s="1344" t="s">
        <v>1406</v>
      </c>
      <c r="B421" s="1344" t="s">
        <v>1540</v>
      </c>
      <c r="C421" s="1344" t="s">
        <v>1571</v>
      </c>
      <c r="D421" s="1344" t="s">
        <v>1565</v>
      </c>
      <c r="E421" s="682"/>
      <c r="F421" s="392" t="str">
        <f t="shared" si="6"/>
        <v>TEEA-234 WPB100 X 65S40</v>
      </c>
      <c r="G421" s="1347">
        <v>42000</v>
      </c>
      <c r="H421" s="1349"/>
      <c r="I421" s="2394" t="s">
        <v>181</v>
      </c>
      <c r="J421" s="2394"/>
      <c r="K421" s="2394">
        <v>90</v>
      </c>
      <c r="L421" s="2395">
        <v>42914</v>
      </c>
      <c r="M421" s="2394">
        <v>7</v>
      </c>
      <c r="N421" s="1347" t="s">
        <v>129</v>
      </c>
    </row>
    <row r="422" spans="1:14" s="647" customFormat="1" ht="15.95" customHeight="1">
      <c r="A422" s="1344" t="s">
        <v>1406</v>
      </c>
      <c r="B422" s="1344" t="s">
        <v>1540</v>
      </c>
      <c r="C422" s="1344" t="s">
        <v>1572</v>
      </c>
      <c r="D422" s="1344" t="s">
        <v>1565</v>
      </c>
      <c r="E422" s="682"/>
      <c r="F422" s="392" t="str">
        <f t="shared" si="6"/>
        <v>TEEA-234 WPB200 X 100S40</v>
      </c>
      <c r="G422" s="1347">
        <v>42000</v>
      </c>
      <c r="H422" s="1349"/>
      <c r="I422" s="2394" t="s">
        <v>181</v>
      </c>
      <c r="J422" s="2394"/>
      <c r="K422" s="2394">
        <v>90</v>
      </c>
      <c r="L422" s="2395">
        <v>42914</v>
      </c>
      <c r="M422" s="2394">
        <v>7</v>
      </c>
      <c r="N422" s="1347" t="s">
        <v>129</v>
      </c>
    </row>
    <row r="423" spans="1:14" s="647" customFormat="1" ht="15.95" customHeight="1">
      <c r="A423" s="1344" t="s">
        <v>1406</v>
      </c>
      <c r="B423" s="1344" t="s">
        <v>1569</v>
      </c>
      <c r="C423" s="1344">
        <v>100</v>
      </c>
      <c r="D423" s="1344" t="s">
        <v>1565</v>
      </c>
      <c r="E423" s="682"/>
      <c r="F423" s="392" t="str">
        <f t="shared" si="6"/>
        <v>TEEA-234 WPB, GALV100S40</v>
      </c>
      <c r="G423" s="1347">
        <v>42000</v>
      </c>
      <c r="H423" s="1349"/>
      <c r="I423" s="2394" t="s">
        <v>181</v>
      </c>
      <c r="J423" s="2394"/>
      <c r="K423" s="2394">
        <v>90</v>
      </c>
      <c r="L423" s="2395">
        <v>42914</v>
      </c>
      <c r="M423" s="2394">
        <v>7</v>
      </c>
      <c r="N423" s="1347" t="s">
        <v>129</v>
      </c>
    </row>
    <row r="424" spans="1:14" s="647" customFormat="1" ht="15.95" customHeight="1">
      <c r="A424" s="1344" t="s">
        <v>1406</v>
      </c>
      <c r="B424" s="1344" t="s">
        <v>1554</v>
      </c>
      <c r="C424" s="1344" t="s">
        <v>1556</v>
      </c>
      <c r="D424" s="1344" t="s">
        <v>1243</v>
      </c>
      <c r="E424" s="682"/>
      <c r="F424" s="392" t="str">
        <f t="shared" si="6"/>
        <v>TEEASTM-A234-WPB250 x 250S-40</v>
      </c>
      <c r="G424" s="1347">
        <v>42000</v>
      </c>
      <c r="H424" s="1349"/>
      <c r="I424" s="2394" t="s">
        <v>181</v>
      </c>
      <c r="J424" s="2394"/>
      <c r="K424" s="2394">
        <v>90</v>
      </c>
      <c r="L424" s="2395">
        <v>42914</v>
      </c>
      <c r="M424" s="2394">
        <v>7</v>
      </c>
      <c r="N424" s="1347" t="s">
        <v>129</v>
      </c>
    </row>
    <row r="425" spans="1:14" s="647" customFormat="1" ht="15.95" customHeight="1">
      <c r="A425" s="1344" t="s">
        <v>1406</v>
      </c>
      <c r="B425" s="1344" t="s">
        <v>1554</v>
      </c>
      <c r="C425" s="1344" t="s">
        <v>1560</v>
      </c>
      <c r="D425" s="1344" t="s">
        <v>1546</v>
      </c>
      <c r="E425" s="682"/>
      <c r="F425" s="392" t="str">
        <f t="shared" si="6"/>
        <v>TEEASTM-A234-WPB300 x 250STD</v>
      </c>
      <c r="G425" s="1347">
        <v>42000</v>
      </c>
      <c r="H425" s="1349"/>
      <c r="I425" s="2394" t="s">
        <v>181</v>
      </c>
      <c r="J425" s="2394"/>
      <c r="K425" s="2394">
        <v>90</v>
      </c>
      <c r="L425" s="2395">
        <v>42914</v>
      </c>
      <c r="M425" s="2394">
        <v>7</v>
      </c>
      <c r="N425" s="1347" t="s">
        <v>129</v>
      </c>
    </row>
    <row r="426" spans="1:14" s="647" customFormat="1" ht="15.95" customHeight="1">
      <c r="A426" s="1344" t="s">
        <v>1406</v>
      </c>
      <c r="B426" s="1344" t="s">
        <v>1554</v>
      </c>
      <c r="C426" s="1344" t="s">
        <v>1559</v>
      </c>
      <c r="D426" s="1344" t="s">
        <v>1546</v>
      </c>
      <c r="E426" s="682"/>
      <c r="F426" s="392" t="str">
        <f t="shared" si="6"/>
        <v>TEEASTM-A234-WPB350 x 300STD</v>
      </c>
      <c r="G426" s="1347">
        <v>42000</v>
      </c>
      <c r="H426" s="1349"/>
      <c r="I426" s="2394" t="s">
        <v>181</v>
      </c>
      <c r="J426" s="2394"/>
      <c r="K426" s="2394">
        <v>90</v>
      </c>
      <c r="L426" s="2395">
        <v>42914</v>
      </c>
      <c r="M426" s="2394">
        <v>7</v>
      </c>
      <c r="N426" s="1347" t="s">
        <v>129</v>
      </c>
    </row>
    <row r="427" spans="1:14" s="647" customFormat="1" ht="15.95" customHeight="1">
      <c r="A427" s="1344" t="s">
        <v>1406</v>
      </c>
      <c r="B427" s="1344" t="s">
        <v>1554</v>
      </c>
      <c r="C427" s="1344" t="s">
        <v>1558</v>
      </c>
      <c r="D427" s="1344" t="s">
        <v>1546</v>
      </c>
      <c r="E427" s="682"/>
      <c r="F427" s="392" t="str">
        <f t="shared" si="6"/>
        <v>TEEASTM-A234-WPB350 x 350STD</v>
      </c>
      <c r="G427" s="1347">
        <v>42000</v>
      </c>
      <c r="H427" s="1349"/>
      <c r="I427" s="2394" t="s">
        <v>181</v>
      </c>
      <c r="J427" s="2394"/>
      <c r="K427" s="2394">
        <v>90</v>
      </c>
      <c r="L427" s="2395">
        <v>42914</v>
      </c>
      <c r="M427" s="2394">
        <v>7</v>
      </c>
      <c r="N427" s="1347" t="s">
        <v>129</v>
      </c>
    </row>
    <row r="428" spans="1:14" s="647" customFormat="1" ht="15.95" customHeight="1">
      <c r="A428" s="1344" t="s">
        <v>1406</v>
      </c>
      <c r="B428" s="1344" t="s">
        <v>1547</v>
      </c>
      <c r="C428" s="1344">
        <v>150</v>
      </c>
      <c r="D428" s="1344" t="s">
        <v>1546</v>
      </c>
      <c r="E428" s="682"/>
      <c r="F428" s="392" t="str">
        <f t="shared" si="6"/>
        <v>TEESA-234 WPB150STD</v>
      </c>
      <c r="G428" s="1347">
        <v>42000</v>
      </c>
      <c r="H428" s="1349"/>
      <c r="I428" s="2394" t="s">
        <v>181</v>
      </c>
      <c r="J428" s="2394"/>
      <c r="K428" s="2394">
        <v>90</v>
      </c>
      <c r="L428" s="2395">
        <v>42914</v>
      </c>
      <c r="M428" s="2394">
        <v>7</v>
      </c>
      <c r="N428" s="1347" t="s">
        <v>129</v>
      </c>
    </row>
    <row r="429" spans="1:14" s="647" customFormat="1" ht="15.95" customHeight="1">
      <c r="A429" s="1344" t="s">
        <v>1411</v>
      </c>
      <c r="B429" s="1344" t="s">
        <v>1538</v>
      </c>
      <c r="C429" s="1344">
        <v>20</v>
      </c>
      <c r="D429" s="1344" t="s">
        <v>1542</v>
      </c>
      <c r="E429" s="682"/>
      <c r="F429" s="392" t="str">
        <f t="shared" si="6"/>
        <v>UNIOA-10520CL 3000</v>
      </c>
      <c r="G429" s="1347">
        <v>60000</v>
      </c>
      <c r="H429" s="1349"/>
      <c r="I429" s="2394" t="s">
        <v>181</v>
      </c>
      <c r="J429" s="2394"/>
      <c r="K429" s="2394">
        <v>90</v>
      </c>
      <c r="L429" s="2395">
        <v>42914</v>
      </c>
      <c r="M429" s="2394">
        <v>7</v>
      </c>
      <c r="N429" s="1347" t="s">
        <v>129</v>
      </c>
    </row>
    <row r="430" spans="1:14" s="647" customFormat="1" ht="15.95" customHeight="1">
      <c r="A430" s="1344" t="s">
        <v>1411</v>
      </c>
      <c r="B430" s="1344" t="s">
        <v>1538</v>
      </c>
      <c r="C430" s="1344">
        <v>25</v>
      </c>
      <c r="D430" s="1344" t="s">
        <v>1542</v>
      </c>
      <c r="E430" s="682"/>
      <c r="F430" s="392" t="str">
        <f t="shared" si="6"/>
        <v>UNIOA-10525CL 3000</v>
      </c>
      <c r="G430" s="1347">
        <v>60000</v>
      </c>
      <c r="H430" s="1349"/>
      <c r="I430" s="2394" t="s">
        <v>181</v>
      </c>
      <c r="J430" s="2394"/>
      <c r="K430" s="2394">
        <v>90</v>
      </c>
      <c r="L430" s="2395">
        <v>42914</v>
      </c>
      <c r="M430" s="2394">
        <v>7</v>
      </c>
      <c r="N430" s="1347" t="s">
        <v>129</v>
      </c>
    </row>
    <row r="431" spans="1:14" s="647" customFormat="1" ht="15.95" customHeight="1">
      <c r="A431" s="1344" t="s">
        <v>1411</v>
      </c>
      <c r="B431" s="1344" t="s">
        <v>1543</v>
      </c>
      <c r="C431" s="1344">
        <v>20</v>
      </c>
      <c r="D431" s="1344" t="s">
        <v>1542</v>
      </c>
      <c r="E431" s="682"/>
      <c r="F431" s="392" t="str">
        <f t="shared" si="6"/>
        <v>UNIOA-182 F1120CL 3000</v>
      </c>
      <c r="G431" s="1347">
        <v>60000</v>
      </c>
      <c r="H431" s="1349"/>
      <c r="I431" s="2394" t="s">
        <v>181</v>
      </c>
      <c r="J431" s="2394"/>
      <c r="K431" s="2394">
        <v>90</v>
      </c>
      <c r="L431" s="2395">
        <v>42914</v>
      </c>
      <c r="M431" s="2394">
        <v>7</v>
      </c>
      <c r="N431" s="1347" t="s">
        <v>129</v>
      </c>
    </row>
    <row r="432" spans="1:14" s="647" customFormat="1" ht="15.95" customHeight="1">
      <c r="A432" s="1344" t="s">
        <v>1411</v>
      </c>
      <c r="B432" s="1344" t="s">
        <v>1544</v>
      </c>
      <c r="C432" s="1344">
        <v>20</v>
      </c>
      <c r="D432" s="1344" t="s">
        <v>1542</v>
      </c>
      <c r="E432" s="682"/>
      <c r="F432" s="392" t="str">
        <f t="shared" ref="F432:F495" si="7">A432&amp;B432&amp;C432&amp;D432</f>
        <v>UNIOA-182 F9120CL 3000</v>
      </c>
      <c r="G432" s="1347">
        <v>60000</v>
      </c>
      <c r="H432" s="1349"/>
      <c r="I432" s="2394" t="s">
        <v>181</v>
      </c>
      <c r="J432" s="2394"/>
      <c r="K432" s="2394">
        <v>90</v>
      </c>
      <c r="L432" s="2395">
        <v>42914</v>
      </c>
      <c r="M432" s="2394">
        <v>7</v>
      </c>
      <c r="N432" s="1347" t="s">
        <v>129</v>
      </c>
    </row>
    <row r="433" spans="1:14" s="647" customFormat="1" ht="15.95" customHeight="1">
      <c r="A433" s="1344" t="s">
        <v>1346</v>
      </c>
      <c r="B433" s="1344"/>
      <c r="C433" s="1344"/>
      <c r="D433" s="1344"/>
      <c r="E433" s="682"/>
      <c r="F433" s="392" t="str">
        <f t="shared" si="7"/>
        <v>support</v>
      </c>
      <c r="G433" s="1347">
        <v>35000</v>
      </c>
      <c r="H433" s="1349"/>
      <c r="I433" s="2394" t="s">
        <v>181</v>
      </c>
      <c r="J433" s="2394"/>
      <c r="K433" s="2394">
        <v>90</v>
      </c>
      <c r="L433" s="2395">
        <v>42914</v>
      </c>
      <c r="M433" s="2394">
        <v>7</v>
      </c>
      <c r="N433" s="1347" t="s">
        <v>129</v>
      </c>
    </row>
    <row r="434" spans="1:14" s="647" customFormat="1" ht="15.95" customHeight="1">
      <c r="A434" s="1344"/>
      <c r="B434" s="1344"/>
      <c r="C434" s="1344"/>
      <c r="D434" s="1344"/>
      <c r="E434" s="682"/>
      <c r="F434" s="392" t="str">
        <f t="shared" si="7"/>
        <v/>
      </c>
      <c r="G434" s="1347"/>
      <c r="H434" s="1349"/>
      <c r="I434" s="1347"/>
      <c r="J434" s="1347"/>
      <c r="K434" s="1347"/>
      <c r="L434" s="1348"/>
      <c r="M434" s="1347"/>
      <c r="N434" s="1347"/>
    </row>
    <row r="435" spans="1:14" s="647" customFormat="1" ht="15.95" customHeight="1">
      <c r="A435" s="1344"/>
      <c r="B435" s="1344"/>
      <c r="C435" s="1344"/>
      <c r="D435" s="1344"/>
      <c r="E435" s="682"/>
      <c r="F435" s="392" t="str">
        <f t="shared" si="7"/>
        <v/>
      </c>
      <c r="G435" s="1347"/>
      <c r="H435" s="1349"/>
      <c r="I435" s="1347"/>
      <c r="J435" s="1347"/>
      <c r="K435" s="1347"/>
      <c r="L435" s="1348"/>
      <c r="M435" s="1347"/>
      <c r="N435" s="1347"/>
    </row>
    <row r="436" spans="1:14" s="647" customFormat="1" ht="15.95" customHeight="1">
      <c r="A436" s="1344"/>
      <c r="B436" s="1344"/>
      <c r="C436" s="1344"/>
      <c r="D436" s="1344"/>
      <c r="E436" s="682"/>
      <c r="F436" s="392" t="str">
        <f t="shared" si="7"/>
        <v/>
      </c>
      <c r="G436" s="1347"/>
      <c r="H436" s="1349"/>
      <c r="I436" s="1347"/>
      <c r="J436" s="1347"/>
      <c r="K436" s="1347"/>
      <c r="L436" s="1348"/>
      <c r="M436" s="1347"/>
      <c r="N436" s="1347"/>
    </row>
    <row r="437" spans="1:14" s="647" customFormat="1" ht="15.95" customHeight="1">
      <c r="A437" s="1344"/>
      <c r="B437" s="1344"/>
      <c r="C437" s="1344"/>
      <c r="D437" s="1344"/>
      <c r="E437" s="682"/>
      <c r="F437" s="392" t="str">
        <f t="shared" si="7"/>
        <v/>
      </c>
      <c r="G437" s="1347"/>
      <c r="H437" s="1349"/>
      <c r="I437" s="1347"/>
      <c r="J437" s="1347"/>
      <c r="K437" s="1347"/>
      <c r="L437" s="1348"/>
      <c r="M437" s="1347"/>
      <c r="N437" s="1347"/>
    </row>
    <row r="438" spans="1:14" s="647" customFormat="1" ht="15.95" customHeight="1">
      <c r="A438" s="1344"/>
      <c r="B438" s="1344"/>
      <c r="C438" s="1344"/>
      <c r="D438" s="1344"/>
      <c r="E438" s="682"/>
      <c r="F438" s="392" t="str">
        <f t="shared" si="7"/>
        <v/>
      </c>
      <c r="G438" s="1347"/>
      <c r="H438" s="1349"/>
      <c r="I438" s="1347"/>
      <c r="J438" s="1347"/>
      <c r="K438" s="1347"/>
      <c r="L438" s="1348"/>
      <c r="M438" s="1347"/>
      <c r="N438" s="1347"/>
    </row>
    <row r="439" spans="1:14" s="647" customFormat="1" ht="15.95" customHeight="1">
      <c r="A439" s="1344"/>
      <c r="B439" s="1344"/>
      <c r="C439" s="1344"/>
      <c r="D439" s="1344"/>
      <c r="E439" s="682"/>
      <c r="F439" s="392" t="str">
        <f t="shared" si="7"/>
        <v/>
      </c>
      <c r="G439" s="1347"/>
      <c r="H439" s="1349"/>
      <c r="I439" s="1347"/>
      <c r="J439" s="1347"/>
      <c r="K439" s="1347"/>
      <c r="L439" s="1348"/>
      <c r="M439" s="1347"/>
      <c r="N439" s="1347"/>
    </row>
    <row r="440" spans="1:14" s="647" customFormat="1" ht="15.95" customHeight="1">
      <c r="A440" s="1344"/>
      <c r="B440" s="1344"/>
      <c r="C440" s="1344"/>
      <c r="D440" s="1344"/>
      <c r="E440" s="682"/>
      <c r="F440" s="392" t="str">
        <f t="shared" si="7"/>
        <v/>
      </c>
      <c r="G440" s="1347"/>
      <c r="H440" s="1349"/>
      <c r="I440" s="1347"/>
      <c r="J440" s="1347"/>
      <c r="K440" s="1347"/>
      <c r="L440" s="1348"/>
      <c r="M440" s="1347"/>
      <c r="N440" s="1347"/>
    </row>
    <row r="441" spans="1:14" s="647" customFormat="1" ht="15.95" customHeight="1">
      <c r="A441" s="1344"/>
      <c r="B441" s="1344"/>
      <c r="C441" s="1344"/>
      <c r="D441" s="1344"/>
      <c r="E441" s="682"/>
      <c r="F441" s="392" t="str">
        <f t="shared" si="7"/>
        <v/>
      </c>
      <c r="G441" s="1347"/>
      <c r="H441" s="1349"/>
      <c r="I441" s="1347"/>
      <c r="J441" s="1347"/>
      <c r="K441" s="1347"/>
      <c r="L441" s="1348"/>
      <c r="M441" s="1347"/>
      <c r="N441" s="1347"/>
    </row>
    <row r="442" spans="1:14" s="647" customFormat="1" ht="15.95" customHeight="1">
      <c r="A442" s="1344"/>
      <c r="B442" s="1344"/>
      <c r="C442" s="1344"/>
      <c r="D442" s="1344"/>
      <c r="E442" s="682"/>
      <c r="F442" s="392" t="str">
        <f t="shared" si="7"/>
        <v/>
      </c>
      <c r="G442" s="1347"/>
      <c r="H442" s="1349"/>
      <c r="I442" s="1347"/>
      <c r="J442" s="1347"/>
      <c r="K442" s="1347"/>
      <c r="L442" s="1348"/>
      <c r="M442" s="1347"/>
      <c r="N442" s="1347"/>
    </row>
    <row r="443" spans="1:14" s="647" customFormat="1" ht="15.95" customHeight="1">
      <c r="A443" s="1344"/>
      <c r="B443" s="1344"/>
      <c r="C443" s="1344"/>
      <c r="D443" s="1344"/>
      <c r="E443" s="682"/>
      <c r="F443" s="392" t="str">
        <f t="shared" si="7"/>
        <v/>
      </c>
      <c r="G443" s="1347"/>
      <c r="H443" s="1349"/>
      <c r="I443" s="1347"/>
      <c r="J443" s="1347"/>
      <c r="K443" s="1347"/>
      <c r="L443" s="1348"/>
      <c r="M443" s="1347"/>
      <c r="N443" s="1347"/>
    </row>
    <row r="444" spans="1:14" s="647" customFormat="1" ht="15.95" customHeight="1">
      <c r="A444" s="1344"/>
      <c r="B444" s="1344"/>
      <c r="C444" s="1344"/>
      <c r="D444" s="1344"/>
      <c r="E444" s="682"/>
      <c r="F444" s="392" t="str">
        <f t="shared" si="7"/>
        <v/>
      </c>
      <c r="G444" s="1347"/>
      <c r="H444" s="1349"/>
      <c r="I444" s="1347"/>
      <c r="J444" s="1347"/>
      <c r="K444" s="1347"/>
      <c r="L444" s="1348"/>
      <c r="M444" s="1347"/>
      <c r="N444" s="1347"/>
    </row>
    <row r="445" spans="1:14" s="647" customFormat="1" ht="15.95" customHeight="1">
      <c r="A445" s="1344"/>
      <c r="B445" s="1344"/>
      <c r="C445" s="1344"/>
      <c r="D445" s="1344"/>
      <c r="E445" s="682"/>
      <c r="F445" s="392" t="str">
        <f t="shared" si="7"/>
        <v/>
      </c>
      <c r="G445" s="1347"/>
      <c r="H445" s="1349"/>
      <c r="I445" s="1347"/>
      <c r="J445" s="1347"/>
      <c r="K445" s="1347"/>
      <c r="L445" s="1348"/>
      <c r="M445" s="1347"/>
      <c r="N445" s="1347"/>
    </row>
    <row r="446" spans="1:14" s="647" customFormat="1" ht="15.95" customHeight="1">
      <c r="A446" s="1344"/>
      <c r="B446" s="1344"/>
      <c r="C446" s="1344"/>
      <c r="D446" s="1344"/>
      <c r="E446" s="682"/>
      <c r="F446" s="392" t="str">
        <f t="shared" si="7"/>
        <v/>
      </c>
      <c r="G446" s="1347"/>
      <c r="H446" s="1349"/>
      <c r="I446" s="1347"/>
      <c r="J446" s="1347"/>
      <c r="K446" s="1347"/>
      <c r="L446" s="1348"/>
      <c r="M446" s="1347"/>
      <c r="N446" s="1347"/>
    </row>
    <row r="447" spans="1:14" s="647" customFormat="1" ht="15.95" customHeight="1">
      <c r="A447" s="1344"/>
      <c r="B447" s="1344"/>
      <c r="C447" s="1344"/>
      <c r="D447" s="1344"/>
      <c r="E447" s="682"/>
      <c r="F447" s="392" t="str">
        <f t="shared" si="7"/>
        <v/>
      </c>
      <c r="G447" s="1347"/>
      <c r="H447" s="1349"/>
      <c r="I447" s="1347"/>
      <c r="J447" s="1347"/>
      <c r="K447" s="1347"/>
      <c r="L447" s="1348"/>
      <c r="M447" s="1347"/>
      <c r="N447" s="1347"/>
    </row>
    <row r="448" spans="1:14" s="647" customFormat="1" ht="15.95" customHeight="1">
      <c r="A448" s="1344"/>
      <c r="B448" s="1344"/>
      <c r="C448" s="1344"/>
      <c r="D448" s="1344"/>
      <c r="E448" s="682"/>
      <c r="F448" s="392" t="str">
        <f t="shared" si="7"/>
        <v/>
      </c>
      <c r="G448" s="1347"/>
      <c r="H448" s="1349"/>
      <c r="I448" s="1347"/>
      <c r="J448" s="1347"/>
      <c r="K448" s="1347"/>
      <c r="L448" s="1348"/>
      <c r="M448" s="1347"/>
      <c r="N448" s="1347"/>
    </row>
    <row r="449" spans="1:14" s="647" customFormat="1" ht="15.95" customHeight="1">
      <c r="A449" s="1344"/>
      <c r="B449" s="1344"/>
      <c r="C449" s="1344"/>
      <c r="D449" s="1344"/>
      <c r="E449" s="682"/>
      <c r="F449" s="392" t="str">
        <f t="shared" si="7"/>
        <v/>
      </c>
      <c r="G449" s="1347"/>
      <c r="H449" s="1349"/>
      <c r="I449" s="1347"/>
      <c r="J449" s="1347"/>
      <c r="K449" s="1347"/>
      <c r="L449" s="1348"/>
      <c r="M449" s="1347"/>
      <c r="N449" s="1347"/>
    </row>
    <row r="450" spans="1:14" s="647" customFormat="1" ht="15.95" customHeight="1">
      <c r="A450" s="1344"/>
      <c r="B450" s="1344"/>
      <c r="C450" s="1344"/>
      <c r="D450" s="1344"/>
      <c r="E450" s="682"/>
      <c r="F450" s="392" t="str">
        <f t="shared" si="7"/>
        <v/>
      </c>
      <c r="G450" s="1347"/>
      <c r="H450" s="1349"/>
      <c r="I450" s="1347"/>
      <c r="J450" s="1347"/>
      <c r="K450" s="1347"/>
      <c r="L450" s="1348"/>
      <c r="M450" s="1347"/>
      <c r="N450" s="1347"/>
    </row>
    <row r="451" spans="1:14" s="647" customFormat="1" ht="15.95" customHeight="1">
      <c r="A451" s="1344"/>
      <c r="B451" s="1344"/>
      <c r="C451" s="1344"/>
      <c r="D451" s="1344"/>
      <c r="E451" s="682"/>
      <c r="F451" s="392" t="str">
        <f t="shared" si="7"/>
        <v/>
      </c>
      <c r="G451" s="1347"/>
      <c r="H451" s="1349"/>
      <c r="I451" s="1347"/>
      <c r="J451" s="1347"/>
      <c r="K451" s="1347"/>
      <c r="L451" s="1348"/>
      <c r="M451" s="1347"/>
      <c r="N451" s="1347"/>
    </row>
    <row r="452" spans="1:14" s="647" customFormat="1" ht="15.95" customHeight="1">
      <c r="A452" s="1344"/>
      <c r="B452" s="1344"/>
      <c r="C452" s="1344"/>
      <c r="D452" s="1344"/>
      <c r="E452" s="682"/>
      <c r="F452" s="392" t="str">
        <f t="shared" si="7"/>
        <v/>
      </c>
      <c r="G452" s="1347"/>
      <c r="H452" s="1349"/>
      <c r="I452" s="1347"/>
      <c r="J452" s="1347"/>
      <c r="K452" s="1347"/>
      <c r="L452" s="1348"/>
      <c r="M452" s="1347"/>
      <c r="N452" s="1347"/>
    </row>
    <row r="453" spans="1:14" s="647" customFormat="1" ht="15.95" customHeight="1">
      <c r="A453" s="1344"/>
      <c r="B453" s="1344"/>
      <c r="C453" s="1344"/>
      <c r="D453" s="1344"/>
      <c r="E453" s="682"/>
      <c r="F453" s="392" t="str">
        <f t="shared" si="7"/>
        <v/>
      </c>
      <c r="G453" s="1347"/>
      <c r="H453" s="1349"/>
      <c r="I453" s="1347"/>
      <c r="J453" s="1347"/>
      <c r="K453" s="1347"/>
      <c r="L453" s="1348"/>
      <c r="M453" s="1347"/>
      <c r="N453" s="1347"/>
    </row>
    <row r="454" spans="1:14" s="647" customFormat="1" ht="15.95" customHeight="1">
      <c r="A454" s="1344"/>
      <c r="B454" s="1344"/>
      <c r="C454" s="1344"/>
      <c r="D454" s="1344"/>
      <c r="E454" s="682"/>
      <c r="F454" s="392" t="str">
        <f t="shared" si="7"/>
        <v/>
      </c>
      <c r="G454" s="1347"/>
      <c r="H454" s="1349"/>
      <c r="I454" s="1347"/>
      <c r="J454" s="1347"/>
      <c r="K454" s="1347"/>
      <c r="L454" s="1348"/>
      <c r="M454" s="1347"/>
      <c r="N454" s="1347"/>
    </row>
    <row r="455" spans="1:14" s="647" customFormat="1" ht="15.95" customHeight="1">
      <c r="A455" s="1344"/>
      <c r="B455" s="1344"/>
      <c r="C455" s="1344"/>
      <c r="D455" s="1344"/>
      <c r="E455" s="682"/>
      <c r="F455" s="392" t="str">
        <f t="shared" si="7"/>
        <v/>
      </c>
      <c r="G455" s="1347"/>
      <c r="H455" s="1349"/>
      <c r="I455" s="1347"/>
      <c r="J455" s="1347"/>
      <c r="K455" s="1347"/>
      <c r="L455" s="1348"/>
      <c r="M455" s="1347"/>
      <c r="N455" s="1347"/>
    </row>
    <row r="456" spans="1:14" s="647" customFormat="1" ht="15.95" customHeight="1">
      <c r="A456" s="1344"/>
      <c r="B456" s="1344"/>
      <c r="C456" s="1344"/>
      <c r="D456" s="1344"/>
      <c r="E456" s="682"/>
      <c r="F456" s="392" t="str">
        <f t="shared" si="7"/>
        <v/>
      </c>
      <c r="G456" s="1347"/>
      <c r="H456" s="1349"/>
      <c r="I456" s="1347"/>
      <c r="J456" s="1347"/>
      <c r="K456" s="1347"/>
      <c r="L456" s="1348"/>
      <c r="M456" s="1347"/>
      <c r="N456" s="1347"/>
    </row>
    <row r="457" spans="1:14" s="647" customFormat="1" ht="15.95" customHeight="1">
      <c r="A457" s="1344"/>
      <c r="B457" s="1344"/>
      <c r="C457" s="1344"/>
      <c r="D457" s="1344"/>
      <c r="E457" s="682"/>
      <c r="F457" s="392" t="str">
        <f t="shared" si="7"/>
        <v/>
      </c>
      <c r="G457" s="1347"/>
      <c r="H457" s="1349"/>
      <c r="I457" s="1347"/>
      <c r="J457" s="1347"/>
      <c r="K457" s="1347"/>
      <c r="L457" s="1348"/>
      <c r="M457" s="1347"/>
      <c r="N457" s="1347"/>
    </row>
    <row r="458" spans="1:14" s="647" customFormat="1" ht="15.95" customHeight="1">
      <c r="A458" s="1344"/>
      <c r="B458" s="1344"/>
      <c r="C458" s="1344"/>
      <c r="D458" s="1344"/>
      <c r="E458" s="682"/>
      <c r="F458" s="392" t="str">
        <f t="shared" si="7"/>
        <v/>
      </c>
      <c r="G458" s="1347"/>
      <c r="H458" s="1349"/>
      <c r="I458" s="1347"/>
      <c r="J458" s="1347"/>
      <c r="K458" s="1347"/>
      <c r="L458" s="1348"/>
      <c r="M458" s="1347"/>
      <c r="N458" s="1347"/>
    </row>
    <row r="459" spans="1:14" s="647" customFormat="1" ht="15.95" customHeight="1">
      <c r="A459" s="1344"/>
      <c r="B459" s="1344"/>
      <c r="C459" s="1344"/>
      <c r="D459" s="1344"/>
      <c r="E459" s="682"/>
      <c r="F459" s="392" t="str">
        <f t="shared" si="7"/>
        <v/>
      </c>
      <c r="G459" s="1347"/>
      <c r="H459" s="1349"/>
      <c r="I459" s="1347"/>
      <c r="J459" s="1347"/>
      <c r="K459" s="1347"/>
      <c r="L459" s="1348"/>
      <c r="M459" s="1347"/>
      <c r="N459" s="1347"/>
    </row>
    <row r="460" spans="1:14" s="647" customFormat="1" ht="15.95" customHeight="1">
      <c r="A460" s="1344"/>
      <c r="B460" s="1344"/>
      <c r="C460" s="1344"/>
      <c r="D460" s="1344"/>
      <c r="E460" s="682"/>
      <c r="F460" s="392" t="str">
        <f t="shared" si="7"/>
        <v/>
      </c>
      <c r="G460" s="1347"/>
      <c r="H460" s="1349"/>
      <c r="I460" s="1347"/>
      <c r="J460" s="1347"/>
      <c r="K460" s="1347"/>
      <c r="L460" s="1348"/>
      <c r="M460" s="1347"/>
      <c r="N460" s="1347"/>
    </row>
    <row r="461" spans="1:14" s="647" customFormat="1" ht="15.95" customHeight="1">
      <c r="A461" s="1344"/>
      <c r="B461" s="1344"/>
      <c r="C461" s="1344"/>
      <c r="D461" s="1344"/>
      <c r="E461" s="682"/>
      <c r="F461" s="392" t="str">
        <f t="shared" si="7"/>
        <v/>
      </c>
      <c r="G461" s="1347"/>
      <c r="H461" s="1349"/>
      <c r="I461" s="1347"/>
      <c r="J461" s="1347"/>
      <c r="K461" s="1347"/>
      <c r="L461" s="1348"/>
      <c r="M461" s="1347"/>
      <c r="N461" s="1347"/>
    </row>
    <row r="462" spans="1:14" s="647" customFormat="1" ht="15.95" customHeight="1">
      <c r="A462" s="1344"/>
      <c r="B462" s="1344"/>
      <c r="C462" s="1344"/>
      <c r="D462" s="1344"/>
      <c r="E462" s="682"/>
      <c r="F462" s="392" t="str">
        <f t="shared" si="7"/>
        <v/>
      </c>
      <c r="G462" s="1347"/>
      <c r="H462" s="1349"/>
      <c r="I462" s="1347"/>
      <c r="J462" s="1347"/>
      <c r="K462" s="1347"/>
      <c r="L462" s="1348"/>
      <c r="M462" s="1347"/>
      <c r="N462" s="1347"/>
    </row>
    <row r="463" spans="1:14" s="647" customFormat="1" ht="15.95" customHeight="1">
      <c r="A463" s="1344"/>
      <c r="B463" s="1344"/>
      <c r="C463" s="1344"/>
      <c r="D463" s="1344"/>
      <c r="E463" s="682"/>
      <c r="F463" s="392" t="str">
        <f t="shared" si="7"/>
        <v/>
      </c>
      <c r="G463" s="1347"/>
      <c r="H463" s="1349"/>
      <c r="I463" s="1347"/>
      <c r="J463" s="1347"/>
      <c r="K463" s="1347"/>
      <c r="L463" s="1348"/>
      <c r="M463" s="1347"/>
      <c r="N463" s="1347"/>
    </row>
    <row r="464" spans="1:14" s="647" customFormat="1" ht="15.95" customHeight="1">
      <c r="A464" s="1344"/>
      <c r="B464" s="1344"/>
      <c r="C464" s="1344"/>
      <c r="D464" s="1344"/>
      <c r="E464" s="682"/>
      <c r="F464" s="392" t="str">
        <f t="shared" si="7"/>
        <v/>
      </c>
      <c r="G464" s="1347"/>
      <c r="H464" s="1349"/>
      <c r="I464" s="1347"/>
      <c r="J464" s="1347"/>
      <c r="K464" s="1347"/>
      <c r="L464" s="1348"/>
      <c r="M464" s="1347"/>
      <c r="N464" s="1347"/>
    </row>
    <row r="465" spans="1:14" s="647" customFormat="1" ht="15.95" customHeight="1">
      <c r="A465" s="1344"/>
      <c r="B465" s="1344"/>
      <c r="C465" s="1344"/>
      <c r="D465" s="1344"/>
      <c r="E465" s="682"/>
      <c r="F465" s="392" t="str">
        <f t="shared" si="7"/>
        <v/>
      </c>
      <c r="G465" s="1347"/>
      <c r="H465" s="1349"/>
      <c r="I465" s="1347"/>
      <c r="J465" s="1347"/>
      <c r="K465" s="1347"/>
      <c r="L465" s="1348"/>
      <c r="M465" s="1347"/>
      <c r="N465" s="1347"/>
    </row>
    <row r="466" spans="1:14" s="647" customFormat="1" ht="15.95" customHeight="1">
      <c r="A466" s="1344"/>
      <c r="B466" s="1344"/>
      <c r="C466" s="1344"/>
      <c r="D466" s="1344"/>
      <c r="E466" s="682"/>
      <c r="F466" s="392" t="str">
        <f t="shared" si="7"/>
        <v/>
      </c>
      <c r="G466" s="1347"/>
      <c r="H466" s="1349"/>
      <c r="I466" s="1347"/>
      <c r="J466" s="1347"/>
      <c r="K466" s="1347"/>
      <c r="L466" s="1348"/>
      <c r="M466" s="1347"/>
      <c r="N466" s="1347"/>
    </row>
    <row r="467" spans="1:14" s="647" customFormat="1" ht="15.95" customHeight="1">
      <c r="A467" s="1344"/>
      <c r="B467" s="1344"/>
      <c r="C467" s="1344"/>
      <c r="D467" s="1344"/>
      <c r="E467" s="682"/>
      <c r="F467" s="392" t="str">
        <f t="shared" si="7"/>
        <v/>
      </c>
      <c r="G467" s="1347"/>
      <c r="H467" s="1349"/>
      <c r="I467" s="1347"/>
      <c r="J467" s="1347"/>
      <c r="K467" s="1347"/>
      <c r="L467" s="1348"/>
      <c r="M467" s="1347"/>
      <c r="N467" s="1347"/>
    </row>
    <row r="468" spans="1:14" s="647" customFormat="1" ht="15.95" customHeight="1">
      <c r="A468" s="1344"/>
      <c r="B468" s="1344"/>
      <c r="C468" s="1344"/>
      <c r="D468" s="1344"/>
      <c r="E468" s="682"/>
      <c r="F468" s="392" t="str">
        <f t="shared" si="7"/>
        <v/>
      </c>
      <c r="G468" s="1347"/>
      <c r="H468" s="1349"/>
      <c r="I468" s="1347"/>
      <c r="J468" s="1347"/>
      <c r="K468" s="1347"/>
      <c r="L468" s="1348"/>
      <c r="M468" s="1347"/>
      <c r="N468" s="1347"/>
    </row>
    <row r="469" spans="1:14" s="647" customFormat="1" ht="15.95" customHeight="1">
      <c r="A469" s="1344"/>
      <c r="B469" s="1344"/>
      <c r="C469" s="1344"/>
      <c r="D469" s="1344"/>
      <c r="E469" s="682"/>
      <c r="F469" s="392" t="str">
        <f t="shared" si="7"/>
        <v/>
      </c>
      <c r="G469" s="1347"/>
      <c r="H469" s="1349"/>
      <c r="I469" s="1347"/>
      <c r="J469" s="1347"/>
      <c r="K469" s="1347"/>
      <c r="L469" s="1348"/>
      <c r="M469" s="1347"/>
      <c r="N469" s="1347"/>
    </row>
    <row r="470" spans="1:14" s="647" customFormat="1" ht="15.95" customHeight="1">
      <c r="A470" s="1344"/>
      <c r="B470" s="1344"/>
      <c r="C470" s="1344"/>
      <c r="D470" s="1344"/>
      <c r="E470" s="682"/>
      <c r="F470" s="392" t="str">
        <f t="shared" si="7"/>
        <v/>
      </c>
      <c r="G470" s="1347"/>
      <c r="H470" s="1349"/>
      <c r="I470" s="1347"/>
      <c r="J470" s="1347"/>
      <c r="K470" s="1347"/>
      <c r="L470" s="1348"/>
      <c r="M470" s="1347"/>
      <c r="N470" s="1347"/>
    </row>
    <row r="471" spans="1:14" s="647" customFormat="1" ht="15.95" customHeight="1">
      <c r="A471" s="1344"/>
      <c r="B471" s="1344"/>
      <c r="C471" s="1344"/>
      <c r="D471" s="1344"/>
      <c r="E471" s="682"/>
      <c r="F471" s="392" t="str">
        <f t="shared" si="7"/>
        <v/>
      </c>
      <c r="G471" s="1347"/>
      <c r="H471" s="1349"/>
      <c r="I471" s="1347"/>
      <c r="J471" s="1347"/>
      <c r="K471" s="1347"/>
      <c r="L471" s="1348"/>
      <c r="M471" s="1347"/>
      <c r="N471" s="1347"/>
    </row>
    <row r="472" spans="1:14" s="647" customFormat="1" ht="15.95" customHeight="1">
      <c r="A472" s="1344"/>
      <c r="B472" s="1344"/>
      <c r="C472" s="1344"/>
      <c r="D472" s="1344"/>
      <c r="E472" s="682"/>
      <c r="F472" s="392" t="str">
        <f t="shared" si="7"/>
        <v/>
      </c>
      <c r="G472" s="1347"/>
      <c r="H472" s="1349"/>
      <c r="I472" s="1347"/>
      <c r="J472" s="1347"/>
      <c r="K472" s="1347"/>
      <c r="L472" s="1348"/>
      <c r="M472" s="1347"/>
      <c r="N472" s="1347"/>
    </row>
    <row r="473" spans="1:14" s="647" customFormat="1" ht="15.95" customHeight="1">
      <c r="A473" s="1344"/>
      <c r="B473" s="1344"/>
      <c r="C473" s="1344"/>
      <c r="D473" s="1344"/>
      <c r="E473" s="682"/>
      <c r="F473" s="392" t="str">
        <f t="shared" si="7"/>
        <v/>
      </c>
      <c r="G473" s="1347"/>
      <c r="H473" s="1349"/>
      <c r="I473" s="1347"/>
      <c r="J473" s="1347"/>
      <c r="K473" s="1347"/>
      <c r="L473" s="1348"/>
      <c r="M473" s="1347"/>
      <c r="N473" s="1347"/>
    </row>
    <row r="474" spans="1:14" s="647" customFormat="1" ht="15.95" customHeight="1">
      <c r="A474" s="1344"/>
      <c r="B474" s="1344"/>
      <c r="C474" s="1344"/>
      <c r="D474" s="1344"/>
      <c r="E474" s="682"/>
      <c r="F474" s="392" t="str">
        <f t="shared" si="7"/>
        <v/>
      </c>
      <c r="G474" s="1347"/>
      <c r="H474" s="1349"/>
      <c r="I474" s="1347"/>
      <c r="J474" s="1347"/>
      <c r="K474" s="1347"/>
      <c r="L474" s="1348"/>
      <c r="M474" s="1347"/>
      <c r="N474" s="1347"/>
    </row>
    <row r="475" spans="1:14" s="647" customFormat="1" ht="15.95" customHeight="1">
      <c r="A475" s="1344"/>
      <c r="B475" s="1344"/>
      <c r="C475" s="1344"/>
      <c r="D475" s="1344"/>
      <c r="E475" s="682"/>
      <c r="F475" s="392" t="str">
        <f t="shared" si="7"/>
        <v/>
      </c>
      <c r="G475" s="1347"/>
      <c r="H475" s="1349"/>
      <c r="I475" s="1347"/>
      <c r="J475" s="1347"/>
      <c r="K475" s="1347"/>
      <c r="L475" s="1348"/>
      <c r="M475" s="1347"/>
      <c r="N475" s="1347"/>
    </row>
    <row r="476" spans="1:14" s="647" customFormat="1" ht="15.95" customHeight="1">
      <c r="A476" s="1344"/>
      <c r="B476" s="1344"/>
      <c r="C476" s="1344"/>
      <c r="D476" s="1344"/>
      <c r="E476" s="682"/>
      <c r="F476" s="392" t="str">
        <f t="shared" si="7"/>
        <v/>
      </c>
      <c r="G476" s="1347"/>
      <c r="H476" s="1349"/>
      <c r="I476" s="1347"/>
      <c r="J476" s="1347"/>
      <c r="K476" s="1347"/>
      <c r="L476" s="1348"/>
      <c r="M476" s="1347"/>
      <c r="N476" s="1347"/>
    </row>
    <row r="477" spans="1:14" s="647" customFormat="1" ht="15.95" customHeight="1">
      <c r="A477" s="1344"/>
      <c r="B477" s="1344"/>
      <c r="C477" s="1344"/>
      <c r="D477" s="1344"/>
      <c r="E477" s="682"/>
      <c r="F477" s="392" t="str">
        <f t="shared" si="7"/>
        <v/>
      </c>
      <c r="G477" s="1347"/>
      <c r="H477" s="1349"/>
      <c r="I477" s="1347"/>
      <c r="J477" s="1347"/>
      <c r="K477" s="1347"/>
      <c r="L477" s="1348"/>
      <c r="M477" s="1347"/>
      <c r="N477" s="1347"/>
    </row>
    <row r="478" spans="1:14" s="647" customFormat="1" ht="15.95" customHeight="1">
      <c r="A478" s="1344"/>
      <c r="B478" s="1344"/>
      <c r="C478" s="1344"/>
      <c r="D478" s="1344"/>
      <c r="E478" s="682"/>
      <c r="F478" s="392" t="str">
        <f t="shared" si="7"/>
        <v/>
      </c>
      <c r="G478" s="1347"/>
      <c r="H478" s="1349"/>
      <c r="I478" s="1347"/>
      <c r="J478" s="1347"/>
      <c r="K478" s="1347"/>
      <c r="L478" s="1348"/>
      <c r="M478" s="1347"/>
      <c r="N478" s="1347"/>
    </row>
    <row r="479" spans="1:14" s="647" customFormat="1" ht="15.95" customHeight="1">
      <c r="A479" s="1344"/>
      <c r="B479" s="1344"/>
      <c r="C479" s="1344"/>
      <c r="D479" s="1344"/>
      <c r="E479" s="682"/>
      <c r="F479" s="392" t="str">
        <f t="shared" si="7"/>
        <v/>
      </c>
      <c r="G479" s="1347"/>
      <c r="H479" s="1349"/>
      <c r="I479" s="1347"/>
      <c r="J479" s="1347"/>
      <c r="K479" s="1347"/>
      <c r="L479" s="1348"/>
      <c r="M479" s="1347"/>
      <c r="N479" s="1347"/>
    </row>
    <row r="480" spans="1:14" s="647" customFormat="1" ht="15.95" customHeight="1">
      <c r="A480" s="1344"/>
      <c r="B480" s="1344"/>
      <c r="C480" s="1344"/>
      <c r="D480" s="1344"/>
      <c r="E480" s="682"/>
      <c r="F480" s="392" t="str">
        <f t="shared" si="7"/>
        <v/>
      </c>
      <c r="G480" s="1347"/>
      <c r="H480" s="1349"/>
      <c r="I480" s="1347"/>
      <c r="J480" s="1347"/>
      <c r="K480" s="1347"/>
      <c r="L480" s="1348"/>
      <c r="M480" s="1347"/>
      <c r="N480" s="1347"/>
    </row>
    <row r="481" spans="1:14" s="647" customFormat="1" ht="15.95" customHeight="1">
      <c r="A481" s="1344"/>
      <c r="B481" s="1344"/>
      <c r="C481" s="1344"/>
      <c r="D481" s="1344"/>
      <c r="E481" s="682"/>
      <c r="F481" s="392" t="str">
        <f t="shared" si="7"/>
        <v/>
      </c>
      <c r="G481" s="1347"/>
      <c r="H481" s="1349"/>
      <c r="I481" s="1347"/>
      <c r="J481" s="1347"/>
      <c r="K481" s="1347"/>
      <c r="L481" s="1348"/>
      <c r="M481" s="1347"/>
      <c r="N481" s="1347"/>
    </row>
    <row r="482" spans="1:14" s="647" customFormat="1" ht="15.95" customHeight="1">
      <c r="A482" s="1344"/>
      <c r="B482" s="1344"/>
      <c r="C482" s="1344"/>
      <c r="D482" s="1344"/>
      <c r="E482" s="682"/>
      <c r="F482" s="392" t="str">
        <f t="shared" si="7"/>
        <v/>
      </c>
      <c r="G482" s="1347"/>
      <c r="H482" s="1349"/>
      <c r="I482" s="1347"/>
      <c r="J482" s="1347"/>
      <c r="K482" s="1347"/>
      <c r="L482" s="1348"/>
      <c r="M482" s="1347"/>
      <c r="N482" s="1347"/>
    </row>
    <row r="483" spans="1:14" s="647" customFormat="1" ht="15.95" customHeight="1">
      <c r="A483" s="1344"/>
      <c r="B483" s="1344"/>
      <c r="C483" s="1344"/>
      <c r="D483" s="1344"/>
      <c r="E483" s="682"/>
      <c r="F483" s="392" t="str">
        <f t="shared" si="7"/>
        <v/>
      </c>
      <c r="G483" s="1347"/>
      <c r="H483" s="1349"/>
      <c r="I483" s="1347"/>
      <c r="J483" s="1347"/>
      <c r="K483" s="1347"/>
      <c r="L483" s="1348"/>
      <c r="M483" s="1347"/>
      <c r="N483" s="1347"/>
    </row>
    <row r="484" spans="1:14" s="647" customFormat="1" ht="15.95" customHeight="1">
      <c r="A484" s="1344"/>
      <c r="B484" s="1344"/>
      <c r="C484" s="1344"/>
      <c r="D484" s="1344"/>
      <c r="E484" s="682"/>
      <c r="F484" s="392" t="str">
        <f t="shared" si="7"/>
        <v/>
      </c>
      <c r="G484" s="1347"/>
      <c r="H484" s="1349"/>
      <c r="I484" s="1347"/>
      <c r="J484" s="1347"/>
      <c r="K484" s="1347"/>
      <c r="L484" s="1348"/>
      <c r="M484" s="1347"/>
      <c r="N484" s="1347"/>
    </row>
    <row r="485" spans="1:14" s="647" customFormat="1" ht="15.95" customHeight="1">
      <c r="A485" s="1344"/>
      <c r="B485" s="1344"/>
      <c r="C485" s="1344"/>
      <c r="D485" s="1344"/>
      <c r="E485" s="682"/>
      <c r="F485" s="392" t="str">
        <f t="shared" si="7"/>
        <v/>
      </c>
      <c r="G485" s="1347"/>
      <c r="H485" s="1349"/>
      <c r="I485" s="1347"/>
      <c r="J485" s="1347"/>
      <c r="K485" s="1347"/>
      <c r="L485" s="1348"/>
      <c r="M485" s="1347"/>
      <c r="N485" s="1347"/>
    </row>
    <row r="486" spans="1:14" s="647" customFormat="1" ht="15.95" customHeight="1">
      <c r="A486" s="1344"/>
      <c r="B486" s="1344"/>
      <c r="C486" s="1344"/>
      <c r="D486" s="1344"/>
      <c r="E486" s="682"/>
      <c r="F486" s="392" t="str">
        <f t="shared" si="7"/>
        <v/>
      </c>
      <c r="G486" s="1347"/>
      <c r="H486" s="1349"/>
      <c r="I486" s="1347"/>
      <c r="J486" s="1347"/>
      <c r="K486" s="1347"/>
      <c r="L486" s="1348"/>
      <c r="M486" s="1347"/>
      <c r="N486" s="1347"/>
    </row>
    <row r="487" spans="1:14" s="647" customFormat="1" ht="15.95" customHeight="1">
      <c r="A487" s="1344"/>
      <c r="B487" s="1344"/>
      <c r="C487" s="1344"/>
      <c r="D487" s="1344"/>
      <c r="E487" s="682"/>
      <c r="F487" s="392" t="str">
        <f t="shared" si="7"/>
        <v/>
      </c>
      <c r="G487" s="1347"/>
      <c r="H487" s="1349"/>
      <c r="I487" s="1347"/>
      <c r="J487" s="1347"/>
      <c r="K487" s="1347"/>
      <c r="L487" s="1348"/>
      <c r="M487" s="1347"/>
      <c r="N487" s="1347"/>
    </row>
    <row r="488" spans="1:14" s="647" customFormat="1" ht="15.95" customHeight="1">
      <c r="A488" s="1344"/>
      <c r="B488" s="1344"/>
      <c r="C488" s="1344"/>
      <c r="D488" s="1344"/>
      <c r="E488" s="682"/>
      <c r="F488" s="392" t="str">
        <f t="shared" si="7"/>
        <v/>
      </c>
      <c r="G488" s="1347"/>
      <c r="H488" s="1349"/>
      <c r="I488" s="1347"/>
      <c r="J488" s="1347"/>
      <c r="K488" s="1347"/>
      <c r="L488" s="1348"/>
      <c r="M488" s="1347"/>
      <c r="N488" s="1347"/>
    </row>
    <row r="489" spans="1:14" s="647" customFormat="1" ht="15.95" customHeight="1">
      <c r="A489" s="1344"/>
      <c r="B489" s="1344"/>
      <c r="C489" s="1344"/>
      <c r="D489" s="1344"/>
      <c r="E489" s="682"/>
      <c r="F489" s="392" t="str">
        <f t="shared" si="7"/>
        <v/>
      </c>
      <c r="G489" s="1347"/>
      <c r="H489" s="1349"/>
      <c r="I489" s="1347"/>
      <c r="J489" s="1347"/>
      <c r="K489" s="1347"/>
      <c r="L489" s="1348"/>
      <c r="M489" s="1347"/>
      <c r="N489" s="1347"/>
    </row>
    <row r="490" spans="1:14" s="647" customFormat="1" ht="15.95" customHeight="1">
      <c r="A490" s="1344"/>
      <c r="B490" s="1344"/>
      <c r="C490" s="1344"/>
      <c r="D490" s="1344"/>
      <c r="E490" s="682"/>
      <c r="F490" s="392" t="str">
        <f t="shared" si="7"/>
        <v/>
      </c>
      <c r="G490" s="1347"/>
      <c r="H490" s="1349"/>
      <c r="I490" s="1347"/>
      <c r="J490" s="1347"/>
      <c r="K490" s="1347"/>
      <c r="L490" s="1348"/>
      <c r="M490" s="1347"/>
      <c r="N490" s="1347"/>
    </row>
    <row r="491" spans="1:14" s="647" customFormat="1" ht="15.95" customHeight="1">
      <c r="A491" s="1344"/>
      <c r="B491" s="1344"/>
      <c r="C491" s="1344"/>
      <c r="D491" s="1344"/>
      <c r="E491" s="682"/>
      <c r="F491" s="392" t="str">
        <f t="shared" si="7"/>
        <v/>
      </c>
      <c r="G491" s="1347"/>
      <c r="H491" s="1349"/>
      <c r="I491" s="1347"/>
      <c r="J491" s="1347"/>
      <c r="K491" s="1347"/>
      <c r="L491" s="1348"/>
      <c r="M491" s="1347"/>
      <c r="N491" s="1347"/>
    </row>
    <row r="492" spans="1:14" s="647" customFormat="1" ht="15.95" customHeight="1">
      <c r="A492" s="1344"/>
      <c r="B492" s="1344"/>
      <c r="C492" s="1344"/>
      <c r="D492" s="1344"/>
      <c r="E492" s="682"/>
      <c r="F492" s="392" t="str">
        <f t="shared" si="7"/>
        <v/>
      </c>
      <c r="G492" s="1347"/>
      <c r="H492" s="1349"/>
      <c r="I492" s="1347"/>
      <c r="J492" s="1347"/>
      <c r="K492" s="1347"/>
      <c r="L492" s="1348"/>
      <c r="M492" s="1347"/>
      <c r="N492" s="1347"/>
    </row>
    <row r="493" spans="1:14" s="647" customFormat="1" ht="15.95" customHeight="1">
      <c r="A493" s="1344"/>
      <c r="B493" s="1344"/>
      <c r="C493" s="1344"/>
      <c r="D493" s="1344"/>
      <c r="E493" s="682"/>
      <c r="F493" s="392" t="str">
        <f t="shared" si="7"/>
        <v/>
      </c>
      <c r="G493" s="1347"/>
      <c r="H493" s="1349"/>
      <c r="I493" s="1347"/>
      <c r="J493" s="1347"/>
      <c r="K493" s="1347"/>
      <c r="L493" s="1348"/>
      <c r="M493" s="1347"/>
      <c r="N493" s="1347"/>
    </row>
    <row r="494" spans="1:14" s="647" customFormat="1" ht="15.95" customHeight="1">
      <c r="A494" s="1344"/>
      <c r="B494" s="1344"/>
      <c r="C494" s="1344"/>
      <c r="D494" s="1344"/>
      <c r="E494" s="682"/>
      <c r="F494" s="392" t="str">
        <f t="shared" si="7"/>
        <v/>
      </c>
      <c r="G494" s="1347"/>
      <c r="H494" s="1349"/>
      <c r="I494" s="1347"/>
      <c r="J494" s="1347"/>
      <c r="K494" s="1347"/>
      <c r="L494" s="1348"/>
      <c r="M494" s="1347"/>
      <c r="N494" s="1347"/>
    </row>
    <row r="495" spans="1:14" s="647" customFormat="1" ht="15.95" customHeight="1">
      <c r="A495" s="1344"/>
      <c r="B495" s="1344"/>
      <c r="C495" s="1344"/>
      <c r="D495" s="1344"/>
      <c r="E495" s="682"/>
      <c r="F495" s="392" t="str">
        <f t="shared" si="7"/>
        <v/>
      </c>
      <c r="G495" s="1347"/>
      <c r="H495" s="1349"/>
      <c r="I495" s="1347"/>
      <c r="J495" s="1347"/>
      <c r="K495" s="1347"/>
      <c r="L495" s="1348"/>
      <c r="M495" s="1347"/>
      <c r="N495" s="1347"/>
    </row>
    <row r="496" spans="1:14" s="647" customFormat="1" ht="15.95" customHeight="1">
      <c r="A496" s="1344"/>
      <c r="B496" s="1344"/>
      <c r="C496" s="1344"/>
      <c r="D496" s="1344"/>
      <c r="E496" s="682"/>
      <c r="F496" s="392" t="str">
        <f t="shared" ref="F496:F559" si="8">A496&amp;B496&amp;C496&amp;D496</f>
        <v/>
      </c>
      <c r="G496" s="1347"/>
      <c r="H496" s="1349"/>
      <c r="I496" s="1347"/>
      <c r="J496" s="1347"/>
      <c r="K496" s="1347"/>
      <c r="L496" s="1348"/>
      <c r="M496" s="1347"/>
      <c r="N496" s="1347"/>
    </row>
    <row r="497" spans="1:14" s="647" customFormat="1" ht="15.95" customHeight="1">
      <c r="A497" s="1344"/>
      <c r="B497" s="1344"/>
      <c r="C497" s="1344"/>
      <c r="D497" s="1344"/>
      <c r="E497" s="682"/>
      <c r="F497" s="392" t="str">
        <f t="shared" si="8"/>
        <v/>
      </c>
      <c r="G497" s="1347"/>
      <c r="H497" s="1349"/>
      <c r="I497" s="1347"/>
      <c r="J497" s="1347"/>
      <c r="K497" s="1347"/>
      <c r="L497" s="1348"/>
      <c r="M497" s="1347"/>
      <c r="N497" s="1347"/>
    </row>
    <row r="498" spans="1:14" s="647" customFormat="1" ht="15.95" customHeight="1">
      <c r="A498" s="1344"/>
      <c r="B498" s="1344"/>
      <c r="C498" s="1344"/>
      <c r="D498" s="1344"/>
      <c r="E498" s="682"/>
      <c r="F498" s="392" t="str">
        <f t="shared" si="8"/>
        <v/>
      </c>
      <c r="G498" s="1347"/>
      <c r="H498" s="1349"/>
      <c r="I498" s="1347"/>
      <c r="J498" s="1347"/>
      <c r="K498" s="1347"/>
      <c r="L498" s="1348"/>
      <c r="M498" s="1347"/>
      <c r="N498" s="1347"/>
    </row>
    <row r="499" spans="1:14" s="647" customFormat="1" ht="15.95" customHeight="1">
      <c r="A499" s="1344"/>
      <c r="B499" s="1344"/>
      <c r="C499" s="1344"/>
      <c r="D499" s="1344"/>
      <c r="E499" s="682"/>
      <c r="F499" s="392" t="str">
        <f t="shared" si="8"/>
        <v/>
      </c>
      <c r="G499" s="1347"/>
      <c r="H499" s="1349"/>
      <c r="I499" s="1347"/>
      <c r="J499" s="1347"/>
      <c r="K499" s="1347"/>
      <c r="L499" s="1348"/>
      <c r="M499" s="1347"/>
      <c r="N499" s="1347"/>
    </row>
    <row r="500" spans="1:14" s="647" customFormat="1" ht="15.95" customHeight="1">
      <c r="A500" s="1344"/>
      <c r="B500" s="1344"/>
      <c r="C500" s="1344"/>
      <c r="D500" s="1344"/>
      <c r="E500" s="682"/>
      <c r="F500" s="392" t="str">
        <f t="shared" si="8"/>
        <v/>
      </c>
      <c r="G500" s="1347"/>
      <c r="H500" s="1349"/>
      <c r="I500" s="1347"/>
      <c r="J500" s="1347"/>
      <c r="K500" s="1347"/>
      <c r="L500" s="1348"/>
      <c r="M500" s="1347"/>
      <c r="N500" s="1347"/>
    </row>
    <row r="501" spans="1:14" s="647" customFormat="1" ht="15.95" customHeight="1">
      <c r="A501" s="1344"/>
      <c r="B501" s="1344"/>
      <c r="C501" s="1344"/>
      <c r="D501" s="1344"/>
      <c r="E501" s="682"/>
      <c r="F501" s="392" t="str">
        <f t="shared" si="8"/>
        <v/>
      </c>
      <c r="G501" s="1347"/>
      <c r="H501" s="1349"/>
      <c r="I501" s="1347"/>
      <c r="J501" s="1347"/>
      <c r="K501" s="1347"/>
      <c r="L501" s="1348"/>
      <c r="M501" s="1347"/>
      <c r="N501" s="1347"/>
    </row>
    <row r="502" spans="1:14" s="647" customFormat="1" ht="15.95" customHeight="1">
      <c r="A502" s="1344"/>
      <c r="B502" s="1344"/>
      <c r="C502" s="1344"/>
      <c r="D502" s="1344"/>
      <c r="E502" s="682"/>
      <c r="F502" s="392" t="str">
        <f t="shared" si="8"/>
        <v/>
      </c>
      <c r="G502" s="1347"/>
      <c r="H502" s="1349"/>
      <c r="I502" s="1347"/>
      <c r="J502" s="1347"/>
      <c r="K502" s="1347"/>
      <c r="L502" s="1348"/>
      <c r="M502" s="1347"/>
      <c r="N502" s="1347"/>
    </row>
    <row r="503" spans="1:14" s="647" customFormat="1" ht="15.95" customHeight="1">
      <c r="A503" s="1344"/>
      <c r="B503" s="1344"/>
      <c r="C503" s="1344"/>
      <c r="D503" s="1344"/>
      <c r="E503" s="682"/>
      <c r="F503" s="392" t="str">
        <f t="shared" si="8"/>
        <v/>
      </c>
      <c r="G503" s="1347"/>
      <c r="H503" s="1349"/>
      <c r="I503" s="1347"/>
      <c r="J503" s="1347"/>
      <c r="K503" s="1347"/>
      <c r="L503" s="1348"/>
      <c r="M503" s="1347"/>
      <c r="N503" s="1347"/>
    </row>
    <row r="504" spans="1:14" s="647" customFormat="1" ht="15.95" customHeight="1">
      <c r="A504" s="1344"/>
      <c r="B504" s="1344"/>
      <c r="C504" s="1344"/>
      <c r="D504" s="1344"/>
      <c r="E504" s="682"/>
      <c r="F504" s="392" t="str">
        <f t="shared" si="8"/>
        <v/>
      </c>
      <c r="G504" s="1347"/>
      <c r="H504" s="1349"/>
      <c r="I504" s="1347"/>
      <c r="J504" s="1347"/>
      <c r="K504" s="1347"/>
      <c r="L504" s="1348"/>
      <c r="M504" s="1347"/>
      <c r="N504" s="1347"/>
    </row>
    <row r="505" spans="1:14" s="647" customFormat="1" ht="15.95" customHeight="1">
      <c r="A505" s="1344"/>
      <c r="B505" s="1344"/>
      <c r="C505" s="1344"/>
      <c r="D505" s="1344"/>
      <c r="E505" s="682"/>
      <c r="F505" s="392" t="str">
        <f t="shared" si="8"/>
        <v/>
      </c>
      <c r="G505" s="1347"/>
      <c r="H505" s="1349"/>
      <c r="I505" s="1347"/>
      <c r="J505" s="1347"/>
      <c r="K505" s="1347"/>
      <c r="L505" s="1348"/>
      <c r="M505" s="1347"/>
      <c r="N505" s="1347"/>
    </row>
    <row r="506" spans="1:14" s="647" customFormat="1" ht="15.95" customHeight="1">
      <c r="A506" s="1344"/>
      <c r="B506" s="1344"/>
      <c r="C506" s="1344"/>
      <c r="D506" s="1344"/>
      <c r="E506" s="682"/>
      <c r="F506" s="392" t="str">
        <f t="shared" si="8"/>
        <v/>
      </c>
      <c r="G506" s="1347"/>
      <c r="H506" s="1349"/>
      <c r="I506" s="1347"/>
      <c r="J506" s="1347"/>
      <c r="K506" s="1347"/>
      <c r="L506" s="1348"/>
      <c r="M506" s="1347"/>
      <c r="N506" s="1347"/>
    </row>
    <row r="507" spans="1:14" s="647" customFormat="1" ht="15.95" customHeight="1">
      <c r="A507" s="1344"/>
      <c r="B507" s="1344"/>
      <c r="C507" s="1344"/>
      <c r="D507" s="1344"/>
      <c r="E507" s="682"/>
      <c r="F507" s="392" t="str">
        <f t="shared" si="8"/>
        <v/>
      </c>
      <c r="G507" s="1347"/>
      <c r="H507" s="1349"/>
      <c r="I507" s="1347"/>
      <c r="J507" s="1347"/>
      <c r="K507" s="1347"/>
      <c r="L507" s="1348"/>
      <c r="M507" s="1347"/>
      <c r="N507" s="1347"/>
    </row>
    <row r="508" spans="1:14" s="647" customFormat="1" ht="15.95" customHeight="1">
      <c r="A508" s="1344"/>
      <c r="B508" s="1344"/>
      <c r="C508" s="1344"/>
      <c r="D508" s="1344"/>
      <c r="E508" s="682"/>
      <c r="F508" s="392" t="str">
        <f t="shared" si="8"/>
        <v/>
      </c>
      <c r="G508" s="1347"/>
      <c r="H508" s="1349"/>
      <c r="I508" s="1347"/>
      <c r="J508" s="1347"/>
      <c r="K508" s="1347"/>
      <c r="L508" s="1348"/>
      <c r="M508" s="1347"/>
      <c r="N508" s="1347"/>
    </row>
    <row r="509" spans="1:14" s="647" customFormat="1" ht="15.95" customHeight="1">
      <c r="A509" s="1344"/>
      <c r="B509" s="1344"/>
      <c r="C509" s="1344"/>
      <c r="D509" s="1344"/>
      <c r="E509" s="682"/>
      <c r="F509" s="392" t="str">
        <f t="shared" si="8"/>
        <v/>
      </c>
      <c r="G509" s="1347"/>
      <c r="H509" s="1349"/>
      <c r="I509" s="1347"/>
      <c r="J509" s="1347"/>
      <c r="K509" s="1347"/>
      <c r="L509" s="1348"/>
      <c r="M509" s="1347"/>
      <c r="N509" s="1347"/>
    </row>
    <row r="510" spans="1:14" s="647" customFormat="1" ht="15.95" customHeight="1">
      <c r="A510" s="1344"/>
      <c r="B510" s="1344"/>
      <c r="C510" s="1344"/>
      <c r="D510" s="1344"/>
      <c r="E510" s="682"/>
      <c r="F510" s="392" t="str">
        <f t="shared" si="8"/>
        <v/>
      </c>
      <c r="G510" s="1347"/>
      <c r="H510" s="1349"/>
      <c r="I510" s="1347"/>
      <c r="J510" s="1347"/>
      <c r="K510" s="1347"/>
      <c r="L510" s="1348"/>
      <c r="M510" s="1347"/>
      <c r="N510" s="1347"/>
    </row>
    <row r="511" spans="1:14" s="647" customFormat="1" ht="15.95" customHeight="1">
      <c r="A511" s="1344"/>
      <c r="B511" s="1344"/>
      <c r="C511" s="1344"/>
      <c r="D511" s="1344"/>
      <c r="E511" s="682"/>
      <c r="F511" s="392" t="str">
        <f t="shared" si="8"/>
        <v/>
      </c>
      <c r="G511" s="1347"/>
      <c r="H511" s="1349"/>
      <c r="I511" s="1347"/>
      <c r="J511" s="1347"/>
      <c r="K511" s="1347"/>
      <c r="L511" s="1348"/>
      <c r="M511" s="1347"/>
      <c r="N511" s="1347"/>
    </row>
    <row r="512" spans="1:14" s="647" customFormat="1" ht="15.95" customHeight="1">
      <c r="A512" s="1344"/>
      <c r="B512" s="1344"/>
      <c r="C512" s="1344"/>
      <c r="D512" s="1344"/>
      <c r="E512" s="682"/>
      <c r="F512" s="392" t="str">
        <f t="shared" si="8"/>
        <v/>
      </c>
      <c r="G512" s="1347"/>
      <c r="H512" s="1349"/>
      <c r="I512" s="1347"/>
      <c r="J512" s="1347"/>
      <c r="K512" s="1347"/>
      <c r="L512" s="1348"/>
      <c r="M512" s="1347"/>
      <c r="N512" s="1347"/>
    </row>
    <row r="513" spans="1:14" s="647" customFormat="1" ht="15.95" customHeight="1">
      <c r="A513" s="1344"/>
      <c r="B513" s="1344"/>
      <c r="C513" s="1344"/>
      <c r="D513" s="1344"/>
      <c r="E513" s="682"/>
      <c r="F513" s="392" t="str">
        <f t="shared" si="8"/>
        <v/>
      </c>
      <c r="G513" s="1347"/>
      <c r="H513" s="1349"/>
      <c r="I513" s="1347"/>
      <c r="J513" s="1347"/>
      <c r="K513" s="1347"/>
      <c r="L513" s="1348"/>
      <c r="M513" s="1347"/>
      <c r="N513" s="1347"/>
    </row>
    <row r="514" spans="1:14" s="647" customFormat="1" ht="15.95" customHeight="1">
      <c r="A514" s="1344"/>
      <c r="B514" s="1344"/>
      <c r="C514" s="1344"/>
      <c r="D514" s="1344"/>
      <c r="E514" s="682"/>
      <c r="F514" s="392" t="str">
        <f t="shared" si="8"/>
        <v/>
      </c>
      <c r="G514" s="1347"/>
      <c r="H514" s="1349"/>
      <c r="I514" s="1347"/>
      <c r="J514" s="1347"/>
      <c r="K514" s="1347"/>
      <c r="L514" s="1348"/>
      <c r="M514" s="1347"/>
      <c r="N514" s="1347"/>
    </row>
    <row r="515" spans="1:14" s="647" customFormat="1" ht="15.95" customHeight="1">
      <c r="A515" s="1344"/>
      <c r="B515" s="1344"/>
      <c r="C515" s="1344"/>
      <c r="D515" s="1344"/>
      <c r="E515" s="682"/>
      <c r="F515" s="392" t="str">
        <f t="shared" si="8"/>
        <v/>
      </c>
      <c r="G515" s="1347"/>
      <c r="H515" s="1349"/>
      <c r="I515" s="1347"/>
      <c r="J515" s="1347"/>
      <c r="K515" s="1347"/>
      <c r="L515" s="1348"/>
      <c r="M515" s="1347"/>
      <c r="N515" s="1347"/>
    </row>
    <row r="516" spans="1:14" s="647" customFormat="1" ht="15.95" customHeight="1">
      <c r="A516" s="1344"/>
      <c r="B516" s="1344"/>
      <c r="C516" s="1344"/>
      <c r="D516" s="1344"/>
      <c r="E516" s="682"/>
      <c r="F516" s="392" t="str">
        <f t="shared" si="8"/>
        <v/>
      </c>
      <c r="G516" s="1347"/>
      <c r="H516" s="1349"/>
      <c r="I516" s="1347"/>
      <c r="J516" s="1347"/>
      <c r="K516" s="1347"/>
      <c r="L516" s="1348"/>
      <c r="M516" s="1347"/>
      <c r="N516" s="1347"/>
    </row>
    <row r="517" spans="1:14" s="647" customFormat="1" ht="15.95" customHeight="1">
      <c r="A517" s="1344"/>
      <c r="B517" s="1344"/>
      <c r="C517" s="1344"/>
      <c r="D517" s="1344"/>
      <c r="E517" s="682"/>
      <c r="F517" s="392" t="str">
        <f t="shared" si="8"/>
        <v/>
      </c>
      <c r="G517" s="1347"/>
      <c r="H517" s="1349"/>
      <c r="I517" s="1347"/>
      <c r="J517" s="1347"/>
      <c r="K517" s="1347"/>
      <c r="L517" s="1348"/>
      <c r="M517" s="1347"/>
      <c r="N517" s="1347"/>
    </row>
    <row r="518" spans="1:14" s="647" customFormat="1" ht="15.95" customHeight="1">
      <c r="A518" s="1344"/>
      <c r="B518" s="1344"/>
      <c r="C518" s="1344"/>
      <c r="D518" s="1344"/>
      <c r="E518" s="682"/>
      <c r="F518" s="392" t="str">
        <f t="shared" si="8"/>
        <v/>
      </c>
      <c r="G518" s="1347"/>
      <c r="H518" s="1349"/>
      <c r="I518" s="1347"/>
      <c r="J518" s="1347"/>
      <c r="K518" s="1347"/>
      <c r="L518" s="1348"/>
      <c r="M518" s="1347"/>
      <c r="N518" s="1347"/>
    </row>
    <row r="519" spans="1:14" s="647" customFormat="1" ht="15.95" customHeight="1">
      <c r="A519" s="1344"/>
      <c r="B519" s="1344"/>
      <c r="C519" s="1344"/>
      <c r="D519" s="1344"/>
      <c r="E519" s="682"/>
      <c r="F519" s="392" t="str">
        <f t="shared" si="8"/>
        <v/>
      </c>
      <c r="G519" s="1347"/>
      <c r="H519" s="1349"/>
      <c r="I519" s="1347"/>
      <c r="J519" s="1347"/>
      <c r="K519" s="1347"/>
      <c r="L519" s="1348"/>
      <c r="M519" s="1347"/>
      <c r="N519" s="1347"/>
    </row>
    <row r="520" spans="1:14" s="647" customFormat="1" ht="15.95" customHeight="1">
      <c r="A520" s="1344"/>
      <c r="B520" s="1344"/>
      <c r="C520" s="1344"/>
      <c r="D520" s="1344"/>
      <c r="E520" s="682"/>
      <c r="F520" s="392" t="str">
        <f t="shared" si="8"/>
        <v/>
      </c>
      <c r="G520" s="1347"/>
      <c r="H520" s="1349"/>
      <c r="I520" s="1347"/>
      <c r="J520" s="1347"/>
      <c r="K520" s="1347"/>
      <c r="L520" s="1348"/>
      <c r="M520" s="1347"/>
      <c r="N520" s="1347"/>
    </row>
    <row r="521" spans="1:14" s="647" customFormat="1" ht="15.95" customHeight="1">
      <c r="A521" s="1344"/>
      <c r="B521" s="1344"/>
      <c r="C521" s="1344"/>
      <c r="D521" s="1344"/>
      <c r="E521" s="682"/>
      <c r="F521" s="392" t="str">
        <f t="shared" si="8"/>
        <v/>
      </c>
      <c r="G521" s="1347"/>
      <c r="H521" s="1349"/>
      <c r="I521" s="1347"/>
      <c r="J521" s="1347"/>
      <c r="K521" s="1347"/>
      <c r="L521" s="1348"/>
      <c r="M521" s="1347"/>
      <c r="N521" s="1347"/>
    </row>
    <row r="522" spans="1:14" s="647" customFormat="1" ht="15.95" customHeight="1">
      <c r="A522" s="1344"/>
      <c r="B522" s="1344"/>
      <c r="C522" s="1344"/>
      <c r="D522" s="1344"/>
      <c r="E522" s="682"/>
      <c r="F522" s="392" t="str">
        <f t="shared" si="8"/>
        <v/>
      </c>
      <c r="G522" s="1347"/>
      <c r="H522" s="1349"/>
      <c r="I522" s="1347"/>
      <c r="J522" s="1347"/>
      <c r="K522" s="1347"/>
      <c r="L522" s="1348"/>
      <c r="M522" s="1347"/>
      <c r="N522" s="1347"/>
    </row>
    <row r="523" spans="1:14" s="647" customFormat="1" ht="15.95" customHeight="1">
      <c r="A523" s="1344"/>
      <c r="B523" s="1344"/>
      <c r="C523" s="1344"/>
      <c r="D523" s="1344"/>
      <c r="E523" s="682"/>
      <c r="F523" s="392" t="str">
        <f t="shared" si="8"/>
        <v/>
      </c>
      <c r="G523" s="1347"/>
      <c r="H523" s="1349"/>
      <c r="I523" s="1347"/>
      <c r="J523" s="1347"/>
      <c r="K523" s="1347"/>
      <c r="L523" s="1348"/>
      <c r="M523" s="1347"/>
      <c r="N523" s="1347"/>
    </row>
    <row r="524" spans="1:14" s="647" customFormat="1" ht="15.95" customHeight="1">
      <c r="A524" s="1344"/>
      <c r="B524" s="1344"/>
      <c r="C524" s="1344"/>
      <c r="D524" s="1344"/>
      <c r="E524" s="682"/>
      <c r="F524" s="392" t="str">
        <f t="shared" si="8"/>
        <v/>
      </c>
      <c r="G524" s="1347"/>
      <c r="H524" s="1349"/>
      <c r="I524" s="1347"/>
      <c r="J524" s="1347"/>
      <c r="K524" s="1347"/>
      <c r="L524" s="1348"/>
      <c r="M524" s="1347"/>
      <c r="N524" s="1347"/>
    </row>
    <row r="525" spans="1:14" s="647" customFormat="1" ht="15.95" customHeight="1">
      <c r="A525" s="1344"/>
      <c r="B525" s="1344"/>
      <c r="C525" s="1344"/>
      <c r="D525" s="1344"/>
      <c r="E525" s="682"/>
      <c r="F525" s="392" t="str">
        <f t="shared" si="8"/>
        <v/>
      </c>
      <c r="G525" s="1347"/>
      <c r="H525" s="1349"/>
      <c r="I525" s="1347"/>
      <c r="J525" s="1347"/>
      <c r="K525" s="1347"/>
      <c r="L525" s="1348"/>
      <c r="M525" s="1347"/>
      <c r="N525" s="1347"/>
    </row>
    <row r="526" spans="1:14" s="647" customFormat="1" ht="15.95" customHeight="1">
      <c r="A526" s="1344"/>
      <c r="B526" s="1344"/>
      <c r="C526" s="1344"/>
      <c r="D526" s="1344"/>
      <c r="E526" s="682"/>
      <c r="F526" s="392" t="str">
        <f t="shared" si="8"/>
        <v/>
      </c>
      <c r="G526" s="1347"/>
      <c r="H526" s="1349"/>
      <c r="I526" s="1347"/>
      <c r="J526" s="1347"/>
      <c r="K526" s="1347"/>
      <c r="L526" s="1348"/>
      <c r="M526" s="1347"/>
      <c r="N526" s="1347"/>
    </row>
    <row r="527" spans="1:14" s="647" customFormat="1" ht="15.95" customHeight="1">
      <c r="A527" s="1344"/>
      <c r="B527" s="1344"/>
      <c r="C527" s="1344"/>
      <c r="D527" s="1344"/>
      <c r="E527" s="682"/>
      <c r="F527" s="392" t="str">
        <f t="shared" si="8"/>
        <v/>
      </c>
      <c r="G527" s="1347"/>
      <c r="H527" s="1349"/>
      <c r="I527" s="1347"/>
      <c r="J527" s="1347"/>
      <c r="K527" s="1347"/>
      <c r="L527" s="1348"/>
      <c r="M527" s="1347"/>
      <c r="N527" s="1347"/>
    </row>
    <row r="528" spans="1:14" s="647" customFormat="1" ht="15.95" customHeight="1">
      <c r="A528" s="1344"/>
      <c r="B528" s="1344"/>
      <c r="C528" s="1344"/>
      <c r="D528" s="1344"/>
      <c r="E528" s="682"/>
      <c r="F528" s="392" t="str">
        <f t="shared" si="8"/>
        <v/>
      </c>
      <c r="G528" s="1347"/>
      <c r="H528" s="1349"/>
      <c r="I528" s="1347"/>
      <c r="J528" s="1347"/>
      <c r="K528" s="1347"/>
      <c r="L528" s="1348"/>
      <c r="M528" s="1347"/>
      <c r="N528" s="1347"/>
    </row>
    <row r="529" spans="1:14" s="647" customFormat="1" ht="15.95" customHeight="1">
      <c r="A529" s="1344"/>
      <c r="B529" s="1344"/>
      <c r="C529" s="1344"/>
      <c r="D529" s="1344"/>
      <c r="E529" s="682"/>
      <c r="F529" s="392" t="str">
        <f t="shared" si="8"/>
        <v/>
      </c>
      <c r="G529" s="1347"/>
      <c r="H529" s="1349"/>
      <c r="I529" s="1347"/>
      <c r="J529" s="1347"/>
      <c r="K529" s="1347"/>
      <c r="L529" s="1348"/>
      <c r="M529" s="1347"/>
      <c r="N529" s="1347"/>
    </row>
    <row r="530" spans="1:14" s="647" customFormat="1" ht="15.95" customHeight="1">
      <c r="A530" s="1344"/>
      <c r="B530" s="1344"/>
      <c r="C530" s="1344"/>
      <c r="D530" s="1344"/>
      <c r="E530" s="682"/>
      <c r="F530" s="392" t="str">
        <f t="shared" si="8"/>
        <v/>
      </c>
      <c r="G530" s="1347"/>
      <c r="H530" s="1349"/>
      <c r="I530" s="1347"/>
      <c r="J530" s="1347"/>
      <c r="K530" s="1347"/>
      <c r="L530" s="1348"/>
      <c r="M530" s="1347"/>
      <c r="N530" s="1347"/>
    </row>
    <row r="531" spans="1:14" s="647" customFormat="1" ht="15.95" customHeight="1">
      <c r="A531" s="1344"/>
      <c r="B531" s="1344"/>
      <c r="C531" s="1344"/>
      <c r="D531" s="1344"/>
      <c r="E531" s="682"/>
      <c r="F531" s="392" t="str">
        <f t="shared" si="8"/>
        <v/>
      </c>
      <c r="G531" s="1347"/>
      <c r="H531" s="1349"/>
      <c r="I531" s="1347"/>
      <c r="J531" s="1347"/>
      <c r="K531" s="1347"/>
      <c r="L531" s="1348"/>
      <c r="M531" s="1347"/>
      <c r="N531" s="1347"/>
    </row>
    <row r="532" spans="1:14" s="647" customFormat="1" ht="15.95" customHeight="1">
      <c r="A532" s="1344"/>
      <c r="B532" s="1344"/>
      <c r="C532" s="1344"/>
      <c r="D532" s="1344"/>
      <c r="E532" s="682"/>
      <c r="F532" s="392" t="str">
        <f t="shared" si="8"/>
        <v/>
      </c>
      <c r="G532" s="1347"/>
      <c r="H532" s="1349"/>
      <c r="I532" s="1347"/>
      <c r="J532" s="1347"/>
      <c r="K532" s="1347"/>
      <c r="L532" s="1348"/>
      <c r="M532" s="1347"/>
      <c r="N532" s="1347"/>
    </row>
    <row r="533" spans="1:14" s="647" customFormat="1" ht="15.95" customHeight="1">
      <c r="A533" s="1344"/>
      <c r="B533" s="1344"/>
      <c r="C533" s="1344"/>
      <c r="D533" s="1344"/>
      <c r="E533" s="682"/>
      <c r="F533" s="392" t="str">
        <f t="shared" si="8"/>
        <v/>
      </c>
      <c r="G533" s="1347"/>
      <c r="H533" s="1349"/>
      <c r="I533" s="1347"/>
      <c r="J533" s="1347"/>
      <c r="K533" s="1347"/>
      <c r="L533" s="1348"/>
      <c r="M533" s="1347"/>
      <c r="N533" s="1347"/>
    </row>
    <row r="534" spans="1:14" s="647" customFormat="1" ht="15.95" customHeight="1">
      <c r="A534" s="1344"/>
      <c r="B534" s="1344"/>
      <c r="C534" s="1344"/>
      <c r="D534" s="1344"/>
      <c r="E534" s="682"/>
      <c r="F534" s="392" t="str">
        <f t="shared" si="8"/>
        <v/>
      </c>
      <c r="G534" s="1347"/>
      <c r="H534" s="1349"/>
      <c r="I534" s="1347"/>
      <c r="J534" s="1347"/>
      <c r="K534" s="1347"/>
      <c r="L534" s="1348"/>
      <c r="M534" s="1347"/>
      <c r="N534" s="1347"/>
    </row>
    <row r="535" spans="1:14" s="647" customFormat="1" ht="15.95" customHeight="1">
      <c r="A535" s="1344"/>
      <c r="B535" s="1344"/>
      <c r="C535" s="1344"/>
      <c r="D535" s="1344"/>
      <c r="E535" s="682"/>
      <c r="F535" s="392" t="str">
        <f t="shared" si="8"/>
        <v/>
      </c>
      <c r="G535" s="1347"/>
      <c r="H535" s="1349"/>
      <c r="I535" s="1347"/>
      <c r="J535" s="1347"/>
      <c r="K535" s="1347"/>
      <c r="L535" s="1348"/>
      <c r="M535" s="1347"/>
      <c r="N535" s="1347"/>
    </row>
    <row r="536" spans="1:14" s="647" customFormat="1" ht="15.95" customHeight="1">
      <c r="A536" s="1344"/>
      <c r="B536" s="1344"/>
      <c r="C536" s="1344"/>
      <c r="D536" s="1344"/>
      <c r="E536" s="682"/>
      <c r="F536" s="392" t="str">
        <f t="shared" si="8"/>
        <v/>
      </c>
      <c r="G536" s="1347"/>
      <c r="H536" s="1349"/>
      <c r="I536" s="1347"/>
      <c r="J536" s="1347"/>
      <c r="K536" s="1347"/>
      <c r="L536" s="1348"/>
      <c r="M536" s="1347"/>
      <c r="N536" s="1347"/>
    </row>
    <row r="537" spans="1:14" s="647" customFormat="1" ht="15.95" customHeight="1">
      <c r="A537" s="1344"/>
      <c r="B537" s="1344"/>
      <c r="C537" s="1344"/>
      <c r="D537" s="1344"/>
      <c r="E537" s="682"/>
      <c r="F537" s="392" t="str">
        <f t="shared" si="8"/>
        <v/>
      </c>
      <c r="G537" s="1347"/>
      <c r="H537" s="1349"/>
      <c r="I537" s="1347"/>
      <c r="J537" s="1347"/>
      <c r="K537" s="1347"/>
      <c r="L537" s="1348"/>
      <c r="M537" s="1347"/>
      <c r="N537" s="1347"/>
    </row>
    <row r="538" spans="1:14" s="647" customFormat="1" ht="15.95" customHeight="1">
      <c r="A538" s="1344"/>
      <c r="B538" s="1344"/>
      <c r="C538" s="1344"/>
      <c r="D538" s="1344"/>
      <c r="E538" s="682"/>
      <c r="F538" s="392" t="str">
        <f t="shared" si="8"/>
        <v/>
      </c>
      <c r="G538" s="1347"/>
      <c r="H538" s="1349"/>
      <c r="I538" s="1347"/>
      <c r="J538" s="1347"/>
      <c r="K538" s="1347"/>
      <c r="L538" s="1348"/>
      <c r="M538" s="1347"/>
      <c r="N538" s="1347"/>
    </row>
    <row r="539" spans="1:14" s="647" customFormat="1" ht="15.95" customHeight="1">
      <c r="A539" s="1344"/>
      <c r="B539" s="1344"/>
      <c r="C539" s="1344"/>
      <c r="D539" s="1344"/>
      <c r="E539" s="682"/>
      <c r="F539" s="392" t="str">
        <f t="shared" si="8"/>
        <v/>
      </c>
      <c r="G539" s="1347"/>
      <c r="H539" s="1349"/>
      <c r="I539" s="1347"/>
      <c r="J539" s="1347"/>
      <c r="K539" s="1347"/>
      <c r="L539" s="1348"/>
      <c r="M539" s="1347"/>
      <c r="N539" s="1347"/>
    </row>
    <row r="540" spans="1:14" s="647" customFormat="1" ht="15.95" customHeight="1">
      <c r="A540" s="1344"/>
      <c r="B540" s="1344"/>
      <c r="C540" s="1344"/>
      <c r="D540" s="1344"/>
      <c r="E540" s="682"/>
      <c r="F540" s="392" t="str">
        <f t="shared" si="8"/>
        <v/>
      </c>
      <c r="G540" s="1347"/>
      <c r="H540" s="1349"/>
      <c r="I540" s="1347"/>
      <c r="J540" s="1347"/>
      <c r="K540" s="1347"/>
      <c r="L540" s="1348"/>
      <c r="M540" s="1347"/>
      <c r="N540" s="1347"/>
    </row>
    <row r="541" spans="1:14" s="647" customFormat="1" ht="15.95" customHeight="1">
      <c r="A541" s="1344"/>
      <c r="B541" s="1344"/>
      <c r="C541" s="1344"/>
      <c r="D541" s="1344"/>
      <c r="E541" s="682"/>
      <c r="F541" s="392" t="str">
        <f t="shared" si="8"/>
        <v/>
      </c>
      <c r="G541" s="1347"/>
      <c r="H541" s="1349"/>
      <c r="I541" s="1347"/>
      <c r="J541" s="1347"/>
      <c r="K541" s="1347"/>
      <c r="L541" s="1348"/>
      <c r="M541" s="1347"/>
      <c r="N541" s="1347"/>
    </row>
    <row r="542" spans="1:14" s="647" customFormat="1" ht="15.95" customHeight="1">
      <c r="A542" s="1344"/>
      <c r="B542" s="1344"/>
      <c r="C542" s="1344"/>
      <c r="D542" s="1344"/>
      <c r="E542" s="682"/>
      <c r="F542" s="392" t="str">
        <f t="shared" si="8"/>
        <v/>
      </c>
      <c r="G542" s="1347"/>
      <c r="H542" s="1349"/>
      <c r="I542" s="1347"/>
      <c r="J542" s="1347"/>
      <c r="K542" s="1347"/>
      <c r="L542" s="1348"/>
      <c r="M542" s="1347"/>
      <c r="N542" s="1347"/>
    </row>
    <row r="543" spans="1:14" s="647" customFormat="1" ht="15.95" customHeight="1">
      <c r="A543" s="1344"/>
      <c r="B543" s="1344"/>
      <c r="C543" s="1344"/>
      <c r="D543" s="1344"/>
      <c r="E543" s="682"/>
      <c r="F543" s="392" t="str">
        <f t="shared" si="8"/>
        <v/>
      </c>
      <c r="G543" s="1347"/>
      <c r="H543" s="1349"/>
      <c r="I543" s="1347"/>
      <c r="J543" s="1347"/>
      <c r="K543" s="1347"/>
      <c r="L543" s="1348"/>
      <c r="M543" s="1347"/>
      <c r="N543" s="1347"/>
    </row>
    <row r="544" spans="1:14" s="647" customFormat="1" ht="15.95" customHeight="1">
      <c r="A544" s="1344"/>
      <c r="B544" s="1344"/>
      <c r="C544" s="1344"/>
      <c r="D544" s="1344"/>
      <c r="E544" s="682"/>
      <c r="F544" s="392" t="str">
        <f t="shared" si="8"/>
        <v/>
      </c>
      <c r="G544" s="1347"/>
      <c r="H544" s="1349"/>
      <c r="I544" s="1347"/>
      <c r="J544" s="1347"/>
      <c r="K544" s="1347"/>
      <c r="L544" s="1348"/>
      <c r="M544" s="1347"/>
      <c r="N544" s="1347"/>
    </row>
    <row r="545" spans="1:14" s="647" customFormat="1" ht="15.95" customHeight="1">
      <c r="A545" s="1344"/>
      <c r="B545" s="1344"/>
      <c r="C545" s="1344"/>
      <c r="D545" s="1344"/>
      <c r="E545" s="682"/>
      <c r="F545" s="392" t="str">
        <f t="shared" si="8"/>
        <v/>
      </c>
      <c r="G545" s="1347"/>
      <c r="H545" s="1349"/>
      <c r="I545" s="1347"/>
      <c r="J545" s="1347"/>
      <c r="K545" s="1347"/>
      <c r="L545" s="1348"/>
      <c r="M545" s="1347"/>
      <c r="N545" s="1347"/>
    </row>
    <row r="546" spans="1:14" s="647" customFormat="1" ht="15.95" customHeight="1">
      <c r="A546" s="1344"/>
      <c r="B546" s="1344"/>
      <c r="C546" s="1344"/>
      <c r="D546" s="1344"/>
      <c r="E546" s="682"/>
      <c r="F546" s="392" t="str">
        <f t="shared" si="8"/>
        <v/>
      </c>
      <c r="G546" s="1347"/>
      <c r="H546" s="1349"/>
      <c r="I546" s="1347"/>
      <c r="J546" s="1347"/>
      <c r="K546" s="1347"/>
      <c r="L546" s="1348"/>
      <c r="M546" s="1347"/>
      <c r="N546" s="1347"/>
    </row>
    <row r="547" spans="1:14" s="647" customFormat="1" ht="15.95" customHeight="1">
      <c r="A547" s="1344"/>
      <c r="B547" s="1344"/>
      <c r="C547" s="1344"/>
      <c r="D547" s="1344"/>
      <c r="E547" s="682"/>
      <c r="F547" s="392" t="str">
        <f t="shared" si="8"/>
        <v/>
      </c>
      <c r="G547" s="1347"/>
      <c r="H547" s="1349"/>
      <c r="I547" s="1347"/>
      <c r="J547" s="1347"/>
      <c r="K547" s="1347"/>
      <c r="L547" s="1348"/>
      <c r="M547" s="1347"/>
      <c r="N547" s="1347"/>
    </row>
    <row r="548" spans="1:14" s="647" customFormat="1" ht="15.95" customHeight="1">
      <c r="A548" s="1344"/>
      <c r="B548" s="1344"/>
      <c r="C548" s="1344"/>
      <c r="D548" s="1344"/>
      <c r="E548" s="682"/>
      <c r="F548" s="392" t="str">
        <f t="shared" si="8"/>
        <v/>
      </c>
      <c r="G548" s="1347"/>
      <c r="H548" s="1349"/>
      <c r="I548" s="1347"/>
      <c r="J548" s="1347"/>
      <c r="K548" s="1347"/>
      <c r="L548" s="1348"/>
      <c r="M548" s="1347"/>
      <c r="N548" s="1347"/>
    </row>
    <row r="549" spans="1:14" s="647" customFormat="1" ht="15.95" customHeight="1">
      <c r="A549" s="1344"/>
      <c r="B549" s="1344"/>
      <c r="C549" s="1344"/>
      <c r="D549" s="1344"/>
      <c r="E549" s="682"/>
      <c r="F549" s="392" t="str">
        <f t="shared" si="8"/>
        <v/>
      </c>
      <c r="G549" s="1347"/>
      <c r="H549" s="1349"/>
      <c r="I549" s="1347"/>
      <c r="J549" s="1347"/>
      <c r="K549" s="1347"/>
      <c r="L549" s="1348"/>
      <c r="M549" s="1347"/>
      <c r="N549" s="1347"/>
    </row>
    <row r="550" spans="1:14" s="647" customFormat="1" ht="15.95" customHeight="1">
      <c r="A550" s="1344"/>
      <c r="B550" s="1344"/>
      <c r="C550" s="1344"/>
      <c r="D550" s="1344"/>
      <c r="E550" s="682"/>
      <c r="F550" s="392" t="str">
        <f t="shared" si="8"/>
        <v/>
      </c>
      <c r="G550" s="1347"/>
      <c r="H550" s="1349"/>
      <c r="I550" s="1347"/>
      <c r="J550" s="1347"/>
      <c r="K550" s="1347"/>
      <c r="L550" s="1348"/>
      <c r="M550" s="1347"/>
      <c r="N550" s="1347"/>
    </row>
    <row r="551" spans="1:14" s="647" customFormat="1" ht="15.95" customHeight="1">
      <c r="A551" s="1344"/>
      <c r="B551" s="1344"/>
      <c r="C551" s="1344"/>
      <c r="D551" s="1344"/>
      <c r="E551" s="682"/>
      <c r="F551" s="392" t="str">
        <f t="shared" si="8"/>
        <v/>
      </c>
      <c r="G551" s="1347"/>
      <c r="H551" s="1349"/>
      <c r="I551" s="1347"/>
      <c r="J551" s="1347"/>
      <c r="K551" s="1347"/>
      <c r="L551" s="1348"/>
      <c r="M551" s="1347"/>
      <c r="N551" s="1347"/>
    </row>
    <row r="552" spans="1:14" s="647" customFormat="1" ht="15.95" customHeight="1">
      <c r="A552" s="1344"/>
      <c r="B552" s="1344"/>
      <c r="C552" s="1344"/>
      <c r="D552" s="1344"/>
      <c r="E552" s="682"/>
      <c r="F552" s="392" t="str">
        <f t="shared" si="8"/>
        <v/>
      </c>
      <c r="G552" s="1347"/>
      <c r="H552" s="1349"/>
      <c r="I552" s="1347"/>
      <c r="J552" s="1347"/>
      <c r="K552" s="1347"/>
      <c r="L552" s="1348"/>
      <c r="M552" s="1347"/>
      <c r="N552" s="1347"/>
    </row>
    <row r="553" spans="1:14" s="647" customFormat="1" ht="15.95" customHeight="1">
      <c r="A553" s="1344"/>
      <c r="B553" s="1344"/>
      <c r="C553" s="1344"/>
      <c r="D553" s="1344"/>
      <c r="E553" s="682"/>
      <c r="F553" s="392" t="str">
        <f t="shared" si="8"/>
        <v/>
      </c>
      <c r="G553" s="1347"/>
      <c r="H553" s="1349"/>
      <c r="I553" s="1347"/>
      <c r="J553" s="1347"/>
      <c r="K553" s="1347"/>
      <c r="L553" s="1348"/>
      <c r="M553" s="1347"/>
      <c r="N553" s="1347"/>
    </row>
    <row r="554" spans="1:14" s="647" customFormat="1" ht="15.95" customHeight="1">
      <c r="A554" s="1344"/>
      <c r="B554" s="1344"/>
      <c r="C554" s="1344"/>
      <c r="D554" s="1344"/>
      <c r="E554" s="682"/>
      <c r="F554" s="392" t="str">
        <f t="shared" si="8"/>
        <v/>
      </c>
      <c r="G554" s="1347"/>
      <c r="H554" s="1349"/>
      <c r="I554" s="1347"/>
      <c r="J554" s="1347"/>
      <c r="K554" s="1347"/>
      <c r="L554" s="1348"/>
      <c r="M554" s="1347"/>
      <c r="N554" s="1347"/>
    </row>
    <row r="555" spans="1:14" s="647" customFormat="1" ht="15.95" customHeight="1">
      <c r="A555" s="1344"/>
      <c r="B555" s="1344"/>
      <c r="C555" s="1344"/>
      <c r="D555" s="1344"/>
      <c r="E555" s="682"/>
      <c r="F555" s="392" t="str">
        <f t="shared" si="8"/>
        <v/>
      </c>
      <c r="G555" s="1347"/>
      <c r="H555" s="1349"/>
      <c r="I555" s="1347"/>
      <c r="J555" s="1347"/>
      <c r="K555" s="1347"/>
      <c r="L555" s="1348"/>
      <c r="M555" s="1347"/>
      <c r="N555" s="1347"/>
    </row>
    <row r="556" spans="1:14" s="647" customFormat="1" ht="15.95" customHeight="1">
      <c r="A556" s="1344"/>
      <c r="B556" s="1344"/>
      <c r="C556" s="1344"/>
      <c r="D556" s="1344"/>
      <c r="E556" s="682"/>
      <c r="F556" s="392" t="str">
        <f t="shared" si="8"/>
        <v/>
      </c>
      <c r="G556" s="1347"/>
      <c r="H556" s="1349"/>
      <c r="I556" s="1347"/>
      <c r="J556" s="1347"/>
      <c r="K556" s="1347"/>
      <c r="L556" s="1348"/>
      <c r="M556" s="1347"/>
      <c r="N556" s="1347"/>
    </row>
    <row r="557" spans="1:14" s="647" customFormat="1" ht="15.95" customHeight="1">
      <c r="A557" s="1344"/>
      <c r="B557" s="1344"/>
      <c r="C557" s="1344"/>
      <c r="D557" s="1344"/>
      <c r="E557" s="682"/>
      <c r="F557" s="392" t="str">
        <f t="shared" si="8"/>
        <v/>
      </c>
      <c r="G557" s="1347"/>
      <c r="H557" s="1349"/>
      <c r="I557" s="1347"/>
      <c r="J557" s="1347"/>
      <c r="K557" s="1347"/>
      <c r="L557" s="1348"/>
      <c r="M557" s="1347"/>
      <c r="N557" s="1347"/>
    </row>
    <row r="558" spans="1:14" s="647" customFormat="1" ht="15.95" customHeight="1">
      <c r="A558" s="1344"/>
      <c r="B558" s="1344"/>
      <c r="C558" s="1344"/>
      <c r="D558" s="1344"/>
      <c r="E558" s="682"/>
      <c r="F558" s="392" t="str">
        <f t="shared" si="8"/>
        <v/>
      </c>
      <c r="G558" s="1347"/>
      <c r="H558" s="1349"/>
      <c r="I558" s="1347"/>
      <c r="J558" s="1347"/>
      <c r="K558" s="1347"/>
      <c r="L558" s="1348"/>
      <c r="M558" s="1347"/>
      <c r="N558" s="1347"/>
    </row>
    <row r="559" spans="1:14" s="647" customFormat="1" ht="15.95" customHeight="1">
      <c r="A559" s="1344"/>
      <c r="B559" s="1344"/>
      <c r="C559" s="1344"/>
      <c r="D559" s="1344"/>
      <c r="E559" s="682"/>
      <c r="F559" s="392" t="str">
        <f t="shared" si="8"/>
        <v/>
      </c>
      <c r="G559" s="1347"/>
      <c r="H559" s="1349"/>
      <c r="I559" s="1347"/>
      <c r="J559" s="1347"/>
      <c r="K559" s="1347"/>
      <c r="L559" s="1348"/>
      <c r="M559" s="1347"/>
      <c r="N559" s="1347"/>
    </row>
    <row r="560" spans="1:14" s="647" customFormat="1" ht="15.95" customHeight="1">
      <c r="A560" s="1344"/>
      <c r="B560" s="1344"/>
      <c r="C560" s="1344"/>
      <c r="D560" s="1344"/>
      <c r="E560" s="682"/>
      <c r="F560" s="392" t="str">
        <f t="shared" ref="F560:F623" si="9">A560&amp;B560&amp;C560&amp;D560</f>
        <v/>
      </c>
      <c r="G560" s="1347"/>
      <c r="H560" s="1349"/>
      <c r="I560" s="1347"/>
      <c r="J560" s="1347"/>
      <c r="K560" s="1347"/>
      <c r="L560" s="1348"/>
      <c r="M560" s="1347"/>
      <c r="N560" s="1347"/>
    </row>
    <row r="561" spans="1:14" s="647" customFormat="1" ht="15.95" customHeight="1">
      <c r="A561" s="1344"/>
      <c r="B561" s="1344"/>
      <c r="C561" s="1344"/>
      <c r="D561" s="1344"/>
      <c r="E561" s="682"/>
      <c r="F561" s="392" t="str">
        <f t="shared" si="9"/>
        <v/>
      </c>
      <c r="G561" s="1347"/>
      <c r="H561" s="1349"/>
      <c r="I561" s="1347"/>
      <c r="J561" s="1347"/>
      <c r="K561" s="1347"/>
      <c r="L561" s="1348"/>
      <c r="M561" s="1347"/>
      <c r="N561" s="1347"/>
    </row>
    <row r="562" spans="1:14" s="647" customFormat="1" ht="15.95" customHeight="1">
      <c r="A562" s="1344"/>
      <c r="B562" s="1344"/>
      <c r="C562" s="1344"/>
      <c r="D562" s="1344"/>
      <c r="E562" s="682"/>
      <c r="F562" s="392" t="str">
        <f t="shared" si="9"/>
        <v/>
      </c>
      <c r="G562" s="1347"/>
      <c r="H562" s="1349"/>
      <c r="I562" s="1347"/>
      <c r="J562" s="1347"/>
      <c r="K562" s="1347"/>
      <c r="L562" s="1348"/>
      <c r="M562" s="1347"/>
      <c r="N562" s="1347"/>
    </row>
    <row r="563" spans="1:14" s="647" customFormat="1" ht="15.95" customHeight="1">
      <c r="A563" s="1344"/>
      <c r="B563" s="1344"/>
      <c r="C563" s="1344"/>
      <c r="D563" s="1344"/>
      <c r="E563" s="682"/>
      <c r="F563" s="392" t="str">
        <f t="shared" si="9"/>
        <v/>
      </c>
      <c r="G563" s="1347"/>
      <c r="H563" s="1349"/>
      <c r="I563" s="1347"/>
      <c r="J563" s="1347"/>
      <c r="K563" s="1347"/>
      <c r="L563" s="1348"/>
      <c r="M563" s="1347"/>
      <c r="N563" s="1347"/>
    </row>
    <row r="564" spans="1:14" s="647" customFormat="1" ht="15.95" customHeight="1">
      <c r="A564" s="1344"/>
      <c r="B564" s="1344"/>
      <c r="C564" s="1344"/>
      <c r="D564" s="1344"/>
      <c r="E564" s="682"/>
      <c r="F564" s="392" t="str">
        <f t="shared" si="9"/>
        <v/>
      </c>
      <c r="G564" s="1347"/>
      <c r="H564" s="1349"/>
      <c r="I564" s="1347"/>
      <c r="J564" s="1347"/>
      <c r="K564" s="1347"/>
      <c r="L564" s="1348"/>
      <c r="M564" s="1347"/>
      <c r="N564" s="1347"/>
    </row>
    <row r="565" spans="1:14" s="647" customFormat="1" ht="15.95" customHeight="1">
      <c r="A565" s="1344"/>
      <c r="B565" s="1344"/>
      <c r="C565" s="1344"/>
      <c r="D565" s="1344"/>
      <c r="E565" s="682"/>
      <c r="F565" s="392" t="str">
        <f t="shared" si="9"/>
        <v/>
      </c>
      <c r="G565" s="1347"/>
      <c r="H565" s="1349"/>
      <c r="I565" s="1347"/>
      <c r="J565" s="1347"/>
      <c r="K565" s="1347"/>
      <c r="L565" s="1348"/>
      <c r="M565" s="1347"/>
      <c r="N565" s="1347"/>
    </row>
    <row r="566" spans="1:14" s="647" customFormat="1" ht="15.95" customHeight="1">
      <c r="A566" s="1344"/>
      <c r="B566" s="1344"/>
      <c r="C566" s="1344"/>
      <c r="D566" s="1344"/>
      <c r="E566" s="682"/>
      <c r="F566" s="392" t="str">
        <f t="shared" si="9"/>
        <v/>
      </c>
      <c r="G566" s="1347"/>
      <c r="H566" s="1349"/>
      <c r="I566" s="1347"/>
      <c r="J566" s="1347"/>
      <c r="K566" s="1347"/>
      <c r="L566" s="1348"/>
      <c r="M566" s="1347"/>
      <c r="N566" s="1347"/>
    </row>
    <row r="567" spans="1:14" s="647" customFormat="1" ht="15.95" customHeight="1">
      <c r="A567" s="1344"/>
      <c r="B567" s="1344"/>
      <c r="C567" s="1344"/>
      <c r="D567" s="1344"/>
      <c r="E567" s="682"/>
      <c r="F567" s="392" t="str">
        <f t="shared" si="9"/>
        <v/>
      </c>
      <c r="G567" s="1347"/>
      <c r="H567" s="1349"/>
      <c r="I567" s="1347"/>
      <c r="J567" s="1347"/>
      <c r="K567" s="1347"/>
      <c r="L567" s="1348"/>
      <c r="M567" s="1347"/>
      <c r="N567" s="1347"/>
    </row>
    <row r="568" spans="1:14" s="647" customFormat="1" ht="15.95" customHeight="1">
      <c r="A568" s="1344"/>
      <c r="B568" s="1344"/>
      <c r="C568" s="1344"/>
      <c r="D568" s="1344"/>
      <c r="E568" s="682"/>
      <c r="F568" s="392" t="str">
        <f t="shared" si="9"/>
        <v/>
      </c>
      <c r="G568" s="1347"/>
      <c r="H568" s="1349"/>
      <c r="I568" s="1347"/>
      <c r="J568" s="1347"/>
      <c r="K568" s="1347"/>
      <c r="L568" s="1348"/>
      <c r="M568" s="1347"/>
      <c r="N568" s="1347"/>
    </row>
    <row r="569" spans="1:14" s="647" customFormat="1" ht="15.95" customHeight="1">
      <c r="A569" s="1344"/>
      <c r="B569" s="1344"/>
      <c r="C569" s="1344"/>
      <c r="D569" s="1344"/>
      <c r="E569" s="682"/>
      <c r="F569" s="392" t="str">
        <f t="shared" si="9"/>
        <v/>
      </c>
      <c r="G569" s="1347"/>
      <c r="H569" s="1349"/>
      <c r="I569" s="1347"/>
      <c r="J569" s="1347"/>
      <c r="K569" s="1347"/>
      <c r="L569" s="1348"/>
      <c r="M569" s="1347"/>
      <c r="N569" s="1347"/>
    </row>
    <row r="570" spans="1:14" s="647" customFormat="1" ht="15.95" customHeight="1">
      <c r="A570" s="1344"/>
      <c r="B570" s="1344"/>
      <c r="C570" s="1344"/>
      <c r="D570" s="1344"/>
      <c r="E570" s="682"/>
      <c r="F570" s="392" t="str">
        <f t="shared" si="9"/>
        <v/>
      </c>
      <c r="G570" s="1347"/>
      <c r="H570" s="1349"/>
      <c r="I570" s="1347"/>
      <c r="J570" s="1347"/>
      <c r="K570" s="1347"/>
      <c r="L570" s="1348"/>
      <c r="M570" s="1347"/>
      <c r="N570" s="1347"/>
    </row>
    <row r="571" spans="1:14" s="647" customFormat="1" ht="15.95" customHeight="1">
      <c r="A571" s="1344"/>
      <c r="B571" s="1344"/>
      <c r="C571" s="1344"/>
      <c r="D571" s="1344"/>
      <c r="E571" s="682"/>
      <c r="F571" s="392" t="str">
        <f t="shared" si="9"/>
        <v/>
      </c>
      <c r="G571" s="1347"/>
      <c r="H571" s="1349"/>
      <c r="I571" s="1347"/>
      <c r="J571" s="1347"/>
      <c r="K571" s="1347"/>
      <c r="L571" s="1348"/>
      <c r="M571" s="1347"/>
      <c r="N571" s="1347"/>
    </row>
    <row r="572" spans="1:14" s="647" customFormat="1" ht="15.95" customHeight="1">
      <c r="A572" s="1344"/>
      <c r="B572" s="1344"/>
      <c r="C572" s="1344"/>
      <c r="D572" s="1344"/>
      <c r="E572" s="682"/>
      <c r="F572" s="392" t="str">
        <f t="shared" si="9"/>
        <v/>
      </c>
      <c r="G572" s="1347"/>
      <c r="H572" s="1349"/>
      <c r="I572" s="1347"/>
      <c r="J572" s="1347"/>
      <c r="K572" s="1347"/>
      <c r="L572" s="1348"/>
      <c r="M572" s="1347"/>
      <c r="N572" s="1347"/>
    </row>
    <row r="573" spans="1:14" s="647" customFormat="1" ht="15.95" customHeight="1">
      <c r="A573" s="1344"/>
      <c r="B573" s="1344"/>
      <c r="C573" s="1344"/>
      <c r="D573" s="1344"/>
      <c r="E573" s="682"/>
      <c r="F573" s="392" t="str">
        <f t="shared" si="9"/>
        <v/>
      </c>
      <c r="G573" s="1347"/>
      <c r="H573" s="1349"/>
      <c r="I573" s="1347"/>
      <c r="J573" s="1347"/>
      <c r="K573" s="1347"/>
      <c r="L573" s="1348"/>
      <c r="M573" s="1347"/>
      <c r="N573" s="1347"/>
    </row>
    <row r="574" spans="1:14" s="647" customFormat="1" ht="15.95" customHeight="1">
      <c r="A574" s="1344"/>
      <c r="B574" s="1344"/>
      <c r="C574" s="1344"/>
      <c r="D574" s="1344"/>
      <c r="E574" s="682"/>
      <c r="F574" s="392" t="str">
        <f t="shared" si="9"/>
        <v/>
      </c>
      <c r="G574" s="1347"/>
      <c r="H574" s="1349"/>
      <c r="I574" s="1347"/>
      <c r="J574" s="1347"/>
      <c r="K574" s="1347"/>
      <c r="L574" s="1348"/>
      <c r="M574" s="1347"/>
      <c r="N574" s="1347"/>
    </row>
    <row r="575" spans="1:14" s="647" customFormat="1" ht="15.95" customHeight="1">
      <c r="A575" s="1344"/>
      <c r="B575" s="1344"/>
      <c r="C575" s="1344"/>
      <c r="D575" s="1344"/>
      <c r="E575" s="682"/>
      <c r="F575" s="392" t="str">
        <f t="shared" si="9"/>
        <v/>
      </c>
      <c r="G575" s="1347"/>
      <c r="H575" s="1349"/>
      <c r="I575" s="1347"/>
      <c r="J575" s="1347"/>
      <c r="K575" s="1347"/>
      <c r="L575" s="1348"/>
      <c r="M575" s="1347"/>
      <c r="N575" s="1347"/>
    </row>
    <row r="576" spans="1:14" s="647" customFormat="1" ht="15.95" customHeight="1">
      <c r="A576" s="1344"/>
      <c r="B576" s="1344"/>
      <c r="C576" s="1344"/>
      <c r="D576" s="1344"/>
      <c r="E576" s="682"/>
      <c r="F576" s="392" t="str">
        <f t="shared" si="9"/>
        <v/>
      </c>
      <c r="G576" s="1347"/>
      <c r="H576" s="1349"/>
      <c r="I576" s="1347"/>
      <c r="J576" s="1347"/>
      <c r="K576" s="1347"/>
      <c r="L576" s="1348"/>
      <c r="M576" s="1347"/>
      <c r="N576" s="1347"/>
    </row>
    <row r="577" spans="1:14" s="647" customFormat="1" ht="15.95" customHeight="1">
      <c r="A577" s="1344"/>
      <c r="B577" s="1344"/>
      <c r="C577" s="1344"/>
      <c r="D577" s="1344"/>
      <c r="E577" s="682"/>
      <c r="F577" s="392" t="str">
        <f t="shared" si="9"/>
        <v/>
      </c>
      <c r="G577" s="1347"/>
      <c r="H577" s="1349"/>
      <c r="I577" s="1347"/>
      <c r="J577" s="1347"/>
      <c r="K577" s="1347"/>
      <c r="L577" s="1348"/>
      <c r="M577" s="1347"/>
      <c r="N577" s="1347"/>
    </row>
    <row r="578" spans="1:14" s="647" customFormat="1" ht="15.95" customHeight="1">
      <c r="A578" s="1344"/>
      <c r="B578" s="1344"/>
      <c r="C578" s="1344"/>
      <c r="D578" s="1344"/>
      <c r="E578" s="682"/>
      <c r="F578" s="392" t="str">
        <f t="shared" si="9"/>
        <v/>
      </c>
      <c r="G578" s="1347"/>
      <c r="H578" s="1349"/>
      <c r="I578" s="1347"/>
      <c r="J578" s="1347"/>
      <c r="K578" s="1347"/>
      <c r="L578" s="1348"/>
      <c r="M578" s="1347"/>
      <c r="N578" s="1347"/>
    </row>
    <row r="579" spans="1:14" s="647" customFormat="1" ht="15.95" customHeight="1">
      <c r="A579" s="1344"/>
      <c r="B579" s="1344"/>
      <c r="C579" s="1344"/>
      <c r="D579" s="1344"/>
      <c r="E579" s="682"/>
      <c r="F579" s="392" t="str">
        <f t="shared" si="9"/>
        <v/>
      </c>
      <c r="G579" s="1347"/>
      <c r="H579" s="1349"/>
      <c r="I579" s="1347"/>
      <c r="J579" s="1347"/>
      <c r="K579" s="1347"/>
      <c r="L579" s="1348"/>
      <c r="M579" s="1347"/>
      <c r="N579" s="1347"/>
    </row>
    <row r="580" spans="1:14" s="647" customFormat="1" ht="15.95" customHeight="1">
      <c r="A580" s="1344"/>
      <c r="B580" s="1344"/>
      <c r="C580" s="1344"/>
      <c r="D580" s="1344"/>
      <c r="E580" s="682"/>
      <c r="F580" s="392" t="str">
        <f t="shared" si="9"/>
        <v/>
      </c>
      <c r="G580" s="1347"/>
      <c r="H580" s="1349"/>
      <c r="I580" s="1347"/>
      <c r="J580" s="1347"/>
      <c r="K580" s="1347"/>
      <c r="L580" s="1348"/>
      <c r="M580" s="1347"/>
      <c r="N580" s="1347"/>
    </row>
    <row r="581" spans="1:14" s="647" customFormat="1" ht="15.95" customHeight="1">
      <c r="A581" s="1344"/>
      <c r="B581" s="1344"/>
      <c r="C581" s="1344"/>
      <c r="D581" s="1344"/>
      <c r="E581" s="682"/>
      <c r="F581" s="392" t="str">
        <f t="shared" si="9"/>
        <v/>
      </c>
      <c r="G581" s="1347"/>
      <c r="H581" s="1349"/>
      <c r="I581" s="1347"/>
      <c r="J581" s="1347"/>
      <c r="K581" s="1347"/>
      <c r="L581" s="1348"/>
      <c r="M581" s="1347"/>
      <c r="N581" s="1347"/>
    </row>
    <row r="582" spans="1:14" s="647" customFormat="1" ht="15.95" customHeight="1">
      <c r="A582" s="1344"/>
      <c r="B582" s="1344"/>
      <c r="C582" s="1344"/>
      <c r="D582" s="1344"/>
      <c r="E582" s="682"/>
      <c r="F582" s="392" t="str">
        <f t="shared" si="9"/>
        <v/>
      </c>
      <c r="G582" s="1347"/>
      <c r="H582" s="1349"/>
      <c r="I582" s="1347"/>
      <c r="J582" s="1347"/>
      <c r="K582" s="1347"/>
      <c r="L582" s="1348"/>
      <c r="M582" s="1347"/>
      <c r="N582" s="1347"/>
    </row>
    <row r="583" spans="1:14" s="647" customFormat="1" ht="15.95" customHeight="1">
      <c r="A583" s="1344"/>
      <c r="B583" s="1344"/>
      <c r="C583" s="1344"/>
      <c r="D583" s="1344"/>
      <c r="E583" s="682"/>
      <c r="F583" s="392" t="str">
        <f t="shared" si="9"/>
        <v/>
      </c>
      <c r="G583" s="1347"/>
      <c r="H583" s="1349"/>
      <c r="I583" s="1347"/>
      <c r="J583" s="1347"/>
      <c r="K583" s="1347"/>
      <c r="L583" s="1348"/>
      <c r="M583" s="1347"/>
      <c r="N583" s="1347"/>
    </row>
    <row r="584" spans="1:14" s="647" customFormat="1" ht="15.95" customHeight="1">
      <c r="A584" s="1344"/>
      <c r="B584" s="1344"/>
      <c r="C584" s="1344"/>
      <c r="D584" s="1344"/>
      <c r="E584" s="682"/>
      <c r="F584" s="392" t="str">
        <f t="shared" si="9"/>
        <v/>
      </c>
      <c r="G584" s="1347"/>
      <c r="H584" s="1349"/>
      <c r="I584" s="1347"/>
      <c r="J584" s="1347"/>
      <c r="K584" s="1347"/>
      <c r="L584" s="1348"/>
      <c r="M584" s="1347"/>
      <c r="N584" s="1347"/>
    </row>
    <row r="585" spans="1:14" s="647" customFormat="1" ht="15.95" customHeight="1">
      <c r="A585" s="1344"/>
      <c r="B585" s="1344"/>
      <c r="C585" s="1344"/>
      <c r="D585" s="1344"/>
      <c r="E585" s="682"/>
      <c r="F585" s="392" t="str">
        <f t="shared" si="9"/>
        <v/>
      </c>
      <c r="G585" s="1347"/>
      <c r="H585" s="1349"/>
      <c r="I585" s="1347"/>
      <c r="J585" s="1347"/>
      <c r="K585" s="1347"/>
      <c r="L585" s="1348"/>
      <c r="M585" s="1347"/>
      <c r="N585" s="1347"/>
    </row>
    <row r="586" spans="1:14" s="647" customFormat="1" ht="15.95" customHeight="1">
      <c r="A586" s="1344"/>
      <c r="B586" s="1344"/>
      <c r="C586" s="1344"/>
      <c r="D586" s="1344"/>
      <c r="E586" s="682"/>
      <c r="F586" s="392" t="str">
        <f t="shared" si="9"/>
        <v/>
      </c>
      <c r="G586" s="1347"/>
      <c r="H586" s="1349"/>
      <c r="I586" s="1347"/>
      <c r="J586" s="1347"/>
      <c r="K586" s="1347"/>
      <c r="L586" s="1348"/>
      <c r="M586" s="1347"/>
      <c r="N586" s="1347"/>
    </row>
    <row r="587" spans="1:14" s="647" customFormat="1" ht="15.95" customHeight="1">
      <c r="A587" s="1344"/>
      <c r="B587" s="1344"/>
      <c r="C587" s="1344"/>
      <c r="D587" s="1344"/>
      <c r="E587" s="682"/>
      <c r="F587" s="392" t="str">
        <f t="shared" si="9"/>
        <v/>
      </c>
      <c r="G587" s="1347"/>
      <c r="H587" s="1349"/>
      <c r="I587" s="1347"/>
      <c r="J587" s="1347"/>
      <c r="K587" s="1347"/>
      <c r="L587" s="1348"/>
      <c r="M587" s="1347"/>
      <c r="N587" s="1347"/>
    </row>
    <row r="588" spans="1:14" s="647" customFormat="1" ht="15.95" customHeight="1">
      <c r="A588" s="1344"/>
      <c r="B588" s="1344"/>
      <c r="C588" s="1344"/>
      <c r="D588" s="1344"/>
      <c r="E588" s="682"/>
      <c r="F588" s="392" t="str">
        <f t="shared" si="9"/>
        <v/>
      </c>
      <c r="G588" s="1347"/>
      <c r="H588" s="1349"/>
      <c r="I588" s="1347"/>
      <c r="J588" s="1347"/>
      <c r="K588" s="1347"/>
      <c r="L588" s="1348"/>
      <c r="M588" s="1347"/>
      <c r="N588" s="1347"/>
    </row>
    <row r="589" spans="1:14" s="647" customFormat="1" ht="15.95" customHeight="1">
      <c r="A589" s="1344"/>
      <c r="B589" s="1344"/>
      <c r="C589" s="1344"/>
      <c r="D589" s="1344"/>
      <c r="E589" s="682"/>
      <c r="F589" s="392" t="str">
        <f t="shared" si="9"/>
        <v/>
      </c>
      <c r="G589" s="1347"/>
      <c r="H589" s="1349"/>
      <c r="I589" s="1347"/>
      <c r="J589" s="1347"/>
      <c r="K589" s="1347"/>
      <c r="L589" s="1348"/>
      <c r="M589" s="1347"/>
      <c r="N589" s="1347"/>
    </row>
    <row r="590" spans="1:14" s="647" customFormat="1" ht="15.95" customHeight="1">
      <c r="A590" s="1344"/>
      <c r="B590" s="1344"/>
      <c r="C590" s="1344"/>
      <c r="D590" s="1344"/>
      <c r="E590" s="682"/>
      <c r="F590" s="392" t="str">
        <f t="shared" si="9"/>
        <v/>
      </c>
      <c r="G590" s="1347"/>
      <c r="H590" s="1349"/>
      <c r="I590" s="1347"/>
      <c r="J590" s="1347"/>
      <c r="K590" s="1347"/>
      <c r="L590" s="1348"/>
      <c r="M590" s="1347"/>
      <c r="N590" s="1347"/>
    </row>
    <row r="591" spans="1:14" s="647" customFormat="1" ht="15.95" customHeight="1">
      <c r="A591" s="1344"/>
      <c r="B591" s="1344"/>
      <c r="C591" s="1344"/>
      <c r="D591" s="1344"/>
      <c r="E591" s="682"/>
      <c r="F591" s="392" t="str">
        <f t="shared" si="9"/>
        <v/>
      </c>
      <c r="G591" s="1347"/>
      <c r="H591" s="1349"/>
      <c r="I591" s="1347"/>
      <c r="J591" s="1347"/>
      <c r="K591" s="1347"/>
      <c r="L591" s="1348"/>
      <c r="M591" s="1347"/>
      <c r="N591" s="1347"/>
    </row>
    <row r="592" spans="1:14" s="647" customFormat="1" ht="15.95" customHeight="1">
      <c r="A592" s="1344"/>
      <c r="B592" s="1344"/>
      <c r="C592" s="1344"/>
      <c r="D592" s="1344"/>
      <c r="E592" s="682"/>
      <c r="F592" s="392" t="str">
        <f t="shared" si="9"/>
        <v/>
      </c>
      <c r="G592" s="1347"/>
      <c r="H592" s="1349"/>
      <c r="I592" s="1347"/>
      <c r="J592" s="1347"/>
      <c r="K592" s="1347"/>
      <c r="L592" s="1348"/>
      <c r="M592" s="1347"/>
      <c r="N592" s="1347"/>
    </row>
    <row r="593" spans="1:14" s="647" customFormat="1" ht="15.95" customHeight="1">
      <c r="A593" s="1344"/>
      <c r="B593" s="1344"/>
      <c r="C593" s="1344"/>
      <c r="D593" s="1344"/>
      <c r="E593" s="682"/>
      <c r="F593" s="392" t="str">
        <f t="shared" si="9"/>
        <v/>
      </c>
      <c r="G593" s="1347"/>
      <c r="H593" s="1349"/>
      <c r="I593" s="1347"/>
      <c r="J593" s="1347"/>
      <c r="K593" s="1347"/>
      <c r="L593" s="1348"/>
      <c r="M593" s="1347"/>
      <c r="N593" s="1347"/>
    </row>
    <row r="594" spans="1:14" s="647" customFormat="1" ht="15.95" customHeight="1">
      <c r="A594" s="1344"/>
      <c r="B594" s="1344"/>
      <c r="C594" s="1344"/>
      <c r="D594" s="1344"/>
      <c r="E594" s="682"/>
      <c r="F594" s="392" t="str">
        <f t="shared" si="9"/>
        <v/>
      </c>
      <c r="G594" s="1347"/>
      <c r="H594" s="1349"/>
      <c r="I594" s="1347"/>
      <c r="J594" s="1347"/>
      <c r="K594" s="1347"/>
      <c r="L594" s="1348"/>
      <c r="M594" s="1347"/>
      <c r="N594" s="1347"/>
    </row>
    <row r="595" spans="1:14" s="647" customFormat="1" ht="15.95" customHeight="1">
      <c r="A595" s="1344"/>
      <c r="B595" s="1344"/>
      <c r="C595" s="1344"/>
      <c r="D595" s="1344"/>
      <c r="E595" s="682"/>
      <c r="F595" s="392" t="str">
        <f t="shared" si="9"/>
        <v/>
      </c>
      <c r="G595" s="1347"/>
      <c r="H595" s="1349"/>
      <c r="I595" s="1347"/>
      <c r="J595" s="1347"/>
      <c r="K595" s="1347"/>
      <c r="L595" s="1348"/>
      <c r="M595" s="1347"/>
      <c r="N595" s="1347"/>
    </row>
    <row r="596" spans="1:14" s="647" customFormat="1" ht="15.95" customHeight="1">
      <c r="A596" s="1344"/>
      <c r="B596" s="1344"/>
      <c r="C596" s="1344"/>
      <c r="D596" s="1344"/>
      <c r="E596" s="682"/>
      <c r="F596" s="392" t="str">
        <f t="shared" si="9"/>
        <v/>
      </c>
      <c r="G596" s="1347"/>
      <c r="H596" s="1349"/>
      <c r="I596" s="1347"/>
      <c r="J596" s="1347"/>
      <c r="K596" s="1347"/>
      <c r="L596" s="1348"/>
      <c r="M596" s="1347"/>
      <c r="N596" s="1347"/>
    </row>
    <row r="597" spans="1:14" s="647" customFormat="1" ht="15.95" customHeight="1">
      <c r="A597" s="1344"/>
      <c r="B597" s="1344"/>
      <c r="C597" s="1344"/>
      <c r="D597" s="1344"/>
      <c r="E597" s="682"/>
      <c r="F597" s="392" t="str">
        <f t="shared" si="9"/>
        <v/>
      </c>
      <c r="G597" s="1347"/>
      <c r="H597" s="1349"/>
      <c r="I597" s="1347"/>
      <c r="J597" s="1347"/>
      <c r="K597" s="1347"/>
      <c r="L597" s="1348"/>
      <c r="M597" s="1347"/>
      <c r="N597" s="1347"/>
    </row>
    <row r="598" spans="1:14" s="647" customFormat="1" ht="15.95" customHeight="1">
      <c r="A598" s="1344"/>
      <c r="B598" s="1344"/>
      <c r="C598" s="1344"/>
      <c r="D598" s="1344"/>
      <c r="E598" s="682"/>
      <c r="F598" s="392" t="str">
        <f t="shared" si="9"/>
        <v/>
      </c>
      <c r="G598" s="1347"/>
      <c r="H598" s="1349"/>
      <c r="I598" s="1347"/>
      <c r="J598" s="1347"/>
      <c r="K598" s="1347"/>
      <c r="L598" s="1348"/>
      <c r="M598" s="1347"/>
      <c r="N598" s="1347"/>
    </row>
    <row r="599" spans="1:14" s="647" customFormat="1" ht="15.95" customHeight="1">
      <c r="A599" s="1344"/>
      <c r="B599" s="1344"/>
      <c r="C599" s="1344"/>
      <c r="D599" s="1344"/>
      <c r="E599" s="682"/>
      <c r="F599" s="392" t="str">
        <f t="shared" si="9"/>
        <v/>
      </c>
      <c r="G599" s="1347"/>
      <c r="H599" s="1349"/>
      <c r="I599" s="1347"/>
      <c r="J599" s="1347"/>
      <c r="K599" s="1347"/>
      <c r="L599" s="1348"/>
      <c r="M599" s="1347"/>
      <c r="N599" s="1347"/>
    </row>
    <row r="600" spans="1:14" s="647" customFormat="1" ht="15.95" customHeight="1">
      <c r="A600" s="1344"/>
      <c r="B600" s="1344"/>
      <c r="C600" s="1344"/>
      <c r="D600" s="1344"/>
      <c r="E600" s="682"/>
      <c r="F600" s="392" t="str">
        <f t="shared" si="9"/>
        <v/>
      </c>
      <c r="G600" s="1347"/>
      <c r="H600" s="1349"/>
      <c r="I600" s="1347"/>
      <c r="J600" s="1347"/>
      <c r="K600" s="1347"/>
      <c r="L600" s="1348"/>
      <c r="M600" s="1347"/>
      <c r="N600" s="1347"/>
    </row>
    <row r="601" spans="1:14" s="647" customFormat="1" ht="15.95" customHeight="1">
      <c r="A601" s="1344"/>
      <c r="B601" s="1344"/>
      <c r="C601" s="1344"/>
      <c r="D601" s="1344"/>
      <c r="E601" s="682"/>
      <c r="F601" s="392" t="str">
        <f t="shared" si="9"/>
        <v/>
      </c>
      <c r="G601" s="1347"/>
      <c r="H601" s="1349"/>
      <c r="I601" s="1347"/>
      <c r="J601" s="1347"/>
      <c r="K601" s="1347"/>
      <c r="L601" s="1348"/>
      <c r="M601" s="1347"/>
      <c r="N601" s="1347"/>
    </row>
    <row r="602" spans="1:14" s="647" customFormat="1" ht="15.95" customHeight="1">
      <c r="A602" s="1344"/>
      <c r="B602" s="1344"/>
      <c r="C602" s="1344"/>
      <c r="D602" s="1344"/>
      <c r="E602" s="682"/>
      <c r="F602" s="392" t="str">
        <f t="shared" si="9"/>
        <v/>
      </c>
      <c r="G602" s="1347"/>
      <c r="H602" s="1349"/>
      <c r="I602" s="1347"/>
      <c r="J602" s="1347"/>
      <c r="K602" s="1347"/>
      <c r="L602" s="1348"/>
      <c r="M602" s="1347"/>
      <c r="N602" s="1347"/>
    </row>
    <row r="603" spans="1:14" s="647" customFormat="1" ht="15.95" customHeight="1">
      <c r="A603" s="1344"/>
      <c r="B603" s="1344"/>
      <c r="C603" s="1344"/>
      <c r="D603" s="1344"/>
      <c r="E603" s="682"/>
      <c r="F603" s="392" t="str">
        <f t="shared" si="9"/>
        <v/>
      </c>
      <c r="G603" s="1347"/>
      <c r="H603" s="1349"/>
      <c r="I603" s="1347"/>
      <c r="J603" s="1347"/>
      <c r="K603" s="1347"/>
      <c r="L603" s="1348"/>
      <c r="M603" s="1347"/>
      <c r="N603" s="1347"/>
    </row>
    <row r="604" spans="1:14" s="647" customFormat="1" ht="15.95" customHeight="1">
      <c r="A604" s="1344"/>
      <c r="B604" s="1344"/>
      <c r="C604" s="1344"/>
      <c r="D604" s="1344"/>
      <c r="E604" s="682"/>
      <c r="F604" s="392" t="str">
        <f t="shared" si="9"/>
        <v/>
      </c>
      <c r="G604" s="1347"/>
      <c r="H604" s="1349"/>
      <c r="I604" s="1347"/>
      <c r="J604" s="1347"/>
      <c r="K604" s="1347"/>
      <c r="L604" s="1348"/>
      <c r="M604" s="1347"/>
      <c r="N604" s="1347"/>
    </row>
    <row r="605" spans="1:14" s="647" customFormat="1" ht="15.95" customHeight="1">
      <c r="A605" s="1344"/>
      <c r="B605" s="1344"/>
      <c r="C605" s="1344"/>
      <c r="D605" s="1344"/>
      <c r="E605" s="682"/>
      <c r="F605" s="392" t="str">
        <f t="shared" si="9"/>
        <v/>
      </c>
      <c r="G605" s="1347"/>
      <c r="H605" s="1349"/>
      <c r="I605" s="1347"/>
      <c r="J605" s="1347"/>
      <c r="K605" s="1347"/>
      <c r="L605" s="1348"/>
      <c r="M605" s="1347"/>
      <c r="N605" s="1347"/>
    </row>
    <row r="606" spans="1:14" s="647" customFormat="1" ht="15.95" customHeight="1">
      <c r="A606" s="1344"/>
      <c r="B606" s="1344"/>
      <c r="C606" s="1344"/>
      <c r="D606" s="1344"/>
      <c r="E606" s="682"/>
      <c r="F606" s="392" t="str">
        <f t="shared" si="9"/>
        <v/>
      </c>
      <c r="G606" s="1347"/>
      <c r="H606" s="1349"/>
      <c r="I606" s="1347"/>
      <c r="J606" s="1347"/>
      <c r="K606" s="1347"/>
      <c r="L606" s="1348"/>
      <c r="M606" s="1347"/>
      <c r="N606" s="1347"/>
    </row>
    <row r="607" spans="1:14" s="647" customFormat="1" ht="15.95" customHeight="1">
      <c r="A607" s="1344"/>
      <c r="B607" s="1344"/>
      <c r="C607" s="1344"/>
      <c r="D607" s="1344"/>
      <c r="E607" s="682"/>
      <c r="F607" s="392" t="str">
        <f t="shared" si="9"/>
        <v/>
      </c>
      <c r="G607" s="1347"/>
      <c r="H607" s="1349"/>
      <c r="I607" s="1347"/>
      <c r="J607" s="1347"/>
      <c r="K607" s="1347"/>
      <c r="L607" s="1348"/>
      <c r="M607" s="1347"/>
      <c r="N607" s="1347"/>
    </row>
    <row r="608" spans="1:14" s="647" customFormat="1" ht="15.95" customHeight="1">
      <c r="A608" s="1344"/>
      <c r="B608" s="1344"/>
      <c r="C608" s="1344"/>
      <c r="D608" s="1344"/>
      <c r="E608" s="682"/>
      <c r="F608" s="392" t="str">
        <f t="shared" si="9"/>
        <v/>
      </c>
      <c r="G608" s="1347"/>
      <c r="H608" s="1349"/>
      <c r="I608" s="1347"/>
      <c r="J608" s="1347"/>
      <c r="K608" s="1347"/>
      <c r="L608" s="1348"/>
      <c r="M608" s="1347"/>
      <c r="N608" s="1347"/>
    </row>
    <row r="609" spans="1:14" s="647" customFormat="1" ht="15.95" customHeight="1">
      <c r="A609" s="1344"/>
      <c r="B609" s="1344"/>
      <c r="C609" s="1344"/>
      <c r="D609" s="1344"/>
      <c r="E609" s="682"/>
      <c r="F609" s="392" t="str">
        <f t="shared" si="9"/>
        <v/>
      </c>
      <c r="G609" s="1347"/>
      <c r="H609" s="1349"/>
      <c r="I609" s="1347"/>
      <c r="J609" s="1347"/>
      <c r="K609" s="1347"/>
      <c r="L609" s="1348"/>
      <c r="M609" s="1347"/>
      <c r="N609" s="1347"/>
    </row>
    <row r="610" spans="1:14" s="647" customFormat="1" ht="15.95" customHeight="1">
      <c r="A610" s="1344"/>
      <c r="B610" s="1344"/>
      <c r="C610" s="1344"/>
      <c r="D610" s="1344"/>
      <c r="E610" s="682"/>
      <c r="F610" s="392" t="str">
        <f t="shared" si="9"/>
        <v/>
      </c>
      <c r="G610" s="1347"/>
      <c r="H610" s="1349"/>
      <c r="I610" s="1347"/>
      <c r="J610" s="1347"/>
      <c r="K610" s="1347"/>
      <c r="L610" s="1348"/>
      <c r="M610" s="1347"/>
      <c r="N610" s="1347"/>
    </row>
    <row r="611" spans="1:14" s="647" customFormat="1" ht="15.95" customHeight="1">
      <c r="A611" s="1344"/>
      <c r="B611" s="1344"/>
      <c r="C611" s="1344"/>
      <c r="D611" s="1344"/>
      <c r="E611" s="682"/>
      <c r="F611" s="392" t="str">
        <f t="shared" si="9"/>
        <v/>
      </c>
      <c r="G611" s="1347"/>
      <c r="H611" s="1349"/>
      <c r="I611" s="1347"/>
      <c r="J611" s="1347"/>
      <c r="K611" s="1347"/>
      <c r="L611" s="1348"/>
      <c r="M611" s="1347"/>
      <c r="N611" s="1347"/>
    </row>
    <row r="612" spans="1:14" s="647" customFormat="1" ht="15.95" customHeight="1">
      <c r="A612" s="1344"/>
      <c r="B612" s="1344"/>
      <c r="C612" s="1344"/>
      <c r="D612" s="1344"/>
      <c r="E612" s="682"/>
      <c r="F612" s="392" t="str">
        <f t="shared" si="9"/>
        <v/>
      </c>
      <c r="G612" s="1347"/>
      <c r="H612" s="1349"/>
      <c r="I612" s="1347"/>
      <c r="J612" s="1347"/>
      <c r="K612" s="1347"/>
      <c r="L612" s="1348"/>
      <c r="M612" s="1347"/>
      <c r="N612" s="1347"/>
    </row>
    <row r="613" spans="1:14" s="647" customFormat="1" ht="15.95" customHeight="1">
      <c r="A613" s="1344"/>
      <c r="B613" s="1344"/>
      <c r="C613" s="1344"/>
      <c r="D613" s="1344"/>
      <c r="E613" s="682"/>
      <c r="F613" s="392" t="str">
        <f t="shared" si="9"/>
        <v/>
      </c>
      <c r="G613" s="1347"/>
      <c r="H613" s="1349"/>
      <c r="I613" s="1347"/>
      <c r="J613" s="1347"/>
      <c r="K613" s="1347"/>
      <c r="L613" s="1348"/>
      <c r="M613" s="1347"/>
      <c r="N613" s="1347"/>
    </row>
    <row r="614" spans="1:14" s="647" customFormat="1" ht="15.95" customHeight="1">
      <c r="A614" s="1344"/>
      <c r="B614" s="1344"/>
      <c r="C614" s="1344"/>
      <c r="D614" s="1344"/>
      <c r="E614" s="682"/>
      <c r="F614" s="392" t="str">
        <f t="shared" si="9"/>
        <v/>
      </c>
      <c r="G614" s="1347"/>
      <c r="H614" s="1349"/>
      <c r="I614" s="1347"/>
      <c r="J614" s="1347"/>
      <c r="K614" s="1347"/>
      <c r="L614" s="1348"/>
      <c r="M614" s="1347"/>
      <c r="N614" s="1347"/>
    </row>
    <row r="615" spans="1:14" s="647" customFormat="1" ht="15.95" customHeight="1">
      <c r="A615" s="1344"/>
      <c r="B615" s="1344"/>
      <c r="C615" s="1344"/>
      <c r="D615" s="1344"/>
      <c r="E615" s="682"/>
      <c r="F615" s="392" t="str">
        <f t="shared" si="9"/>
        <v/>
      </c>
      <c r="G615" s="1347"/>
      <c r="H615" s="1349"/>
      <c r="I615" s="1347"/>
      <c r="J615" s="1347"/>
      <c r="K615" s="1347"/>
      <c r="L615" s="1348"/>
      <c r="M615" s="1347"/>
      <c r="N615" s="1347"/>
    </row>
    <row r="616" spans="1:14" s="647" customFormat="1" ht="15.95" customHeight="1">
      <c r="A616" s="1344"/>
      <c r="B616" s="1344"/>
      <c r="C616" s="1344"/>
      <c r="D616" s="1344"/>
      <c r="E616" s="682"/>
      <c r="F616" s="392" t="str">
        <f t="shared" si="9"/>
        <v/>
      </c>
      <c r="G616" s="1347"/>
      <c r="H616" s="1349"/>
      <c r="I616" s="1347"/>
      <c r="J616" s="1347"/>
      <c r="K616" s="1347"/>
      <c r="L616" s="1348"/>
      <c r="M616" s="1347"/>
      <c r="N616" s="1347"/>
    </row>
    <row r="617" spans="1:14" s="647" customFormat="1" ht="15.95" customHeight="1">
      <c r="A617" s="1344"/>
      <c r="B617" s="1344"/>
      <c r="C617" s="1344"/>
      <c r="D617" s="1344"/>
      <c r="E617" s="682"/>
      <c r="F617" s="392" t="str">
        <f t="shared" si="9"/>
        <v/>
      </c>
      <c r="G617" s="1347"/>
      <c r="H617" s="1349"/>
      <c r="I617" s="1347"/>
      <c r="J617" s="1347"/>
      <c r="K617" s="1347"/>
      <c r="L617" s="1348"/>
      <c r="M617" s="1347"/>
      <c r="N617" s="1347"/>
    </row>
    <row r="618" spans="1:14" s="647" customFormat="1" ht="15.95" customHeight="1">
      <c r="A618" s="1344"/>
      <c r="B618" s="1344"/>
      <c r="C618" s="1344"/>
      <c r="D618" s="1344"/>
      <c r="E618" s="682"/>
      <c r="F618" s="392" t="str">
        <f t="shared" si="9"/>
        <v/>
      </c>
      <c r="G618" s="1347"/>
      <c r="H618" s="1349"/>
      <c r="I618" s="1347"/>
      <c r="J618" s="1347"/>
      <c r="K618" s="1347"/>
      <c r="L618" s="1348"/>
      <c r="M618" s="1347"/>
      <c r="N618" s="1347"/>
    </row>
    <row r="619" spans="1:14" s="647" customFormat="1" ht="15.95" customHeight="1">
      <c r="A619" s="1344"/>
      <c r="B619" s="1344"/>
      <c r="C619" s="1344"/>
      <c r="D619" s="1344"/>
      <c r="E619" s="682"/>
      <c r="F619" s="392" t="str">
        <f t="shared" si="9"/>
        <v/>
      </c>
      <c r="G619" s="1347"/>
      <c r="H619" s="1349"/>
      <c r="I619" s="1347"/>
      <c r="J619" s="1347"/>
      <c r="K619" s="1347"/>
      <c r="L619" s="1348"/>
      <c r="M619" s="1347"/>
      <c r="N619" s="1347"/>
    </row>
    <row r="620" spans="1:14" s="647" customFormat="1" ht="15.95" customHeight="1">
      <c r="A620" s="1344"/>
      <c r="B620" s="1344"/>
      <c r="C620" s="1344"/>
      <c r="D620" s="1344"/>
      <c r="E620" s="682"/>
      <c r="F620" s="392" t="str">
        <f t="shared" si="9"/>
        <v/>
      </c>
      <c r="G620" s="1347"/>
      <c r="H620" s="1349"/>
      <c r="I620" s="1347"/>
      <c r="J620" s="1347"/>
      <c r="K620" s="1347"/>
      <c r="L620" s="1348"/>
      <c r="M620" s="1347"/>
      <c r="N620" s="1347"/>
    </row>
    <row r="621" spans="1:14" s="647" customFormat="1" ht="15.95" customHeight="1">
      <c r="A621" s="1344"/>
      <c r="B621" s="1344"/>
      <c r="C621" s="1344"/>
      <c r="D621" s="1344"/>
      <c r="E621" s="682"/>
      <c r="F621" s="392" t="str">
        <f t="shared" si="9"/>
        <v/>
      </c>
      <c r="G621" s="1347"/>
      <c r="H621" s="1349"/>
      <c r="I621" s="1347"/>
      <c r="J621" s="1347"/>
      <c r="K621" s="1347"/>
      <c r="L621" s="1348"/>
      <c r="M621" s="1347"/>
      <c r="N621" s="1347"/>
    </row>
    <row r="622" spans="1:14" s="647" customFormat="1" ht="15.95" customHeight="1">
      <c r="A622" s="1344"/>
      <c r="B622" s="1344"/>
      <c r="C622" s="1344"/>
      <c r="D622" s="1344"/>
      <c r="E622" s="682"/>
      <c r="F622" s="392" t="str">
        <f t="shared" si="9"/>
        <v/>
      </c>
      <c r="G622" s="1347"/>
      <c r="H622" s="1349"/>
      <c r="I622" s="1347"/>
      <c r="J622" s="1347"/>
      <c r="K622" s="1347"/>
      <c r="L622" s="1348"/>
      <c r="M622" s="1347"/>
      <c r="N622" s="1347"/>
    </row>
    <row r="623" spans="1:14" s="647" customFormat="1" ht="15.95" customHeight="1">
      <c r="A623" s="1344"/>
      <c r="B623" s="1344"/>
      <c r="C623" s="1344"/>
      <c r="D623" s="1344"/>
      <c r="E623" s="682"/>
      <c r="F623" s="392" t="str">
        <f t="shared" si="9"/>
        <v/>
      </c>
      <c r="G623" s="1347"/>
      <c r="H623" s="1349"/>
      <c r="I623" s="1347"/>
      <c r="J623" s="1347"/>
      <c r="K623" s="1347"/>
      <c r="L623" s="1348"/>
      <c r="M623" s="1347"/>
      <c r="N623" s="1347"/>
    </row>
    <row r="624" spans="1:14" s="647" customFormat="1" ht="15.95" customHeight="1">
      <c r="A624" s="1344"/>
      <c r="B624" s="1344"/>
      <c r="C624" s="1344"/>
      <c r="D624" s="1344"/>
      <c r="E624" s="682"/>
      <c r="F624" s="392" t="str">
        <f t="shared" ref="F624:F644" si="10">A624&amp;B624&amp;C624&amp;D624</f>
        <v/>
      </c>
      <c r="G624" s="1347"/>
      <c r="H624" s="1349"/>
      <c r="I624" s="1347"/>
      <c r="J624" s="1347"/>
      <c r="K624" s="1347"/>
      <c r="L624" s="1348"/>
      <c r="M624" s="1347"/>
      <c r="N624" s="1347"/>
    </row>
    <row r="625" spans="1:14" s="647" customFormat="1" ht="15.95" customHeight="1">
      <c r="A625" s="1344"/>
      <c r="B625" s="1344"/>
      <c r="C625" s="1344"/>
      <c r="D625" s="1344"/>
      <c r="E625" s="682"/>
      <c r="F625" s="392" t="str">
        <f t="shared" si="10"/>
        <v/>
      </c>
      <c r="G625" s="1347"/>
      <c r="H625" s="1349"/>
      <c r="I625" s="1347"/>
      <c r="J625" s="1347"/>
      <c r="K625" s="1347"/>
      <c r="L625" s="1348"/>
      <c r="M625" s="1347"/>
      <c r="N625" s="1347"/>
    </row>
    <row r="626" spans="1:14" s="647" customFormat="1" ht="15.95" customHeight="1">
      <c r="A626" s="1344"/>
      <c r="B626" s="1344"/>
      <c r="C626" s="1344"/>
      <c r="D626" s="1344"/>
      <c r="E626" s="682"/>
      <c r="F626" s="392" t="str">
        <f t="shared" si="10"/>
        <v/>
      </c>
      <c r="G626" s="1347"/>
      <c r="H626" s="1349"/>
      <c r="I626" s="1347"/>
      <c r="J626" s="1347"/>
      <c r="K626" s="1347"/>
      <c r="L626" s="1348"/>
      <c r="M626" s="1347"/>
      <c r="N626" s="1347"/>
    </row>
    <row r="627" spans="1:14" s="647" customFormat="1" ht="15.95" customHeight="1">
      <c r="A627" s="1344"/>
      <c r="B627" s="1344"/>
      <c r="C627" s="1344"/>
      <c r="D627" s="1344"/>
      <c r="E627" s="682"/>
      <c r="F627" s="392" t="str">
        <f t="shared" si="10"/>
        <v/>
      </c>
      <c r="G627" s="1347"/>
      <c r="H627" s="1349"/>
      <c r="I627" s="1347"/>
      <c r="J627" s="1347"/>
      <c r="K627" s="1347"/>
      <c r="L627" s="1348"/>
      <c r="M627" s="1347"/>
      <c r="N627" s="1347"/>
    </row>
    <row r="628" spans="1:14" s="647" customFormat="1" ht="15.95" customHeight="1">
      <c r="A628" s="1344"/>
      <c r="B628" s="1344"/>
      <c r="C628" s="1344"/>
      <c r="D628" s="1344"/>
      <c r="E628" s="682"/>
      <c r="F628" s="392" t="str">
        <f t="shared" si="10"/>
        <v/>
      </c>
      <c r="G628" s="1347"/>
      <c r="H628" s="1349"/>
      <c r="I628" s="1347"/>
      <c r="J628" s="1347"/>
      <c r="K628" s="1347"/>
      <c r="L628" s="1348"/>
      <c r="M628" s="1347"/>
      <c r="N628" s="1347"/>
    </row>
    <row r="629" spans="1:14" s="647" customFormat="1" ht="15.95" customHeight="1">
      <c r="A629" s="1344"/>
      <c r="B629" s="1344"/>
      <c r="C629" s="1344"/>
      <c r="D629" s="1344"/>
      <c r="E629" s="682"/>
      <c r="F629" s="392" t="str">
        <f t="shared" si="10"/>
        <v/>
      </c>
      <c r="G629" s="1347"/>
      <c r="H629" s="1349"/>
      <c r="I629" s="1347"/>
      <c r="J629" s="1347"/>
      <c r="K629" s="1347"/>
      <c r="L629" s="1348"/>
      <c r="M629" s="1347"/>
      <c r="N629" s="1347"/>
    </row>
    <row r="630" spans="1:14" s="647" customFormat="1" ht="15.95" customHeight="1">
      <c r="A630" s="1344"/>
      <c r="B630" s="1344"/>
      <c r="C630" s="1344"/>
      <c r="D630" s="1344"/>
      <c r="E630" s="682"/>
      <c r="F630" s="392" t="str">
        <f t="shared" si="10"/>
        <v/>
      </c>
      <c r="G630" s="1347"/>
      <c r="H630" s="1349"/>
      <c r="I630" s="1347"/>
      <c r="J630" s="1347"/>
      <c r="K630" s="1347"/>
      <c r="L630" s="1348"/>
      <c r="M630" s="1347"/>
      <c r="N630" s="1347"/>
    </row>
    <row r="631" spans="1:14" s="647" customFormat="1" ht="15.95" customHeight="1">
      <c r="A631" s="1344"/>
      <c r="B631" s="1344"/>
      <c r="C631" s="1344"/>
      <c r="D631" s="1344"/>
      <c r="E631" s="682"/>
      <c r="F631" s="392" t="str">
        <f t="shared" si="10"/>
        <v/>
      </c>
      <c r="G631" s="1347"/>
      <c r="H631" s="1349"/>
      <c r="I631" s="1347"/>
      <c r="J631" s="1347"/>
      <c r="K631" s="1347"/>
      <c r="L631" s="1348"/>
      <c r="M631" s="1347"/>
      <c r="N631" s="1347"/>
    </row>
    <row r="632" spans="1:14" s="647" customFormat="1" ht="15.95" customHeight="1">
      <c r="A632" s="1344"/>
      <c r="B632" s="1344"/>
      <c r="C632" s="1344"/>
      <c r="D632" s="1344"/>
      <c r="E632" s="682"/>
      <c r="F632" s="392" t="str">
        <f t="shared" si="10"/>
        <v/>
      </c>
      <c r="G632" s="1347"/>
      <c r="H632" s="1349"/>
      <c r="I632" s="1347"/>
      <c r="J632" s="1347"/>
      <c r="K632" s="1347"/>
      <c r="L632" s="1348"/>
      <c r="M632" s="1347"/>
      <c r="N632" s="1347"/>
    </row>
    <row r="633" spans="1:14" s="647" customFormat="1" ht="15.95" customHeight="1">
      <c r="A633" s="1344"/>
      <c r="B633" s="1344"/>
      <c r="C633" s="1344"/>
      <c r="D633" s="1344"/>
      <c r="E633" s="682"/>
      <c r="F633" s="392" t="str">
        <f t="shared" si="10"/>
        <v/>
      </c>
      <c r="G633" s="1347"/>
      <c r="H633" s="1349"/>
      <c r="I633" s="1347"/>
      <c r="J633" s="1347"/>
      <c r="K633" s="1347"/>
      <c r="L633" s="1348"/>
      <c r="M633" s="1347"/>
      <c r="N633" s="1347"/>
    </row>
    <row r="634" spans="1:14" s="647" customFormat="1" ht="15.95" customHeight="1">
      <c r="A634" s="1344"/>
      <c r="B634" s="1344"/>
      <c r="C634" s="1344"/>
      <c r="D634" s="1344"/>
      <c r="E634" s="682"/>
      <c r="F634" s="392" t="str">
        <f t="shared" si="10"/>
        <v/>
      </c>
      <c r="G634" s="1347"/>
      <c r="H634" s="1349"/>
      <c r="I634" s="1347"/>
      <c r="J634" s="1347"/>
      <c r="K634" s="1347"/>
      <c r="L634" s="1348"/>
      <c r="M634" s="1347"/>
      <c r="N634" s="1347"/>
    </row>
    <row r="635" spans="1:14" s="647" customFormat="1" ht="15.95" customHeight="1">
      <c r="A635" s="1344"/>
      <c r="B635" s="1344"/>
      <c r="C635" s="1344"/>
      <c r="D635" s="1344"/>
      <c r="E635" s="682"/>
      <c r="F635" s="392" t="str">
        <f t="shared" si="10"/>
        <v/>
      </c>
      <c r="G635" s="1347"/>
      <c r="H635" s="1349"/>
      <c r="I635" s="1347"/>
      <c r="J635" s="1347"/>
      <c r="K635" s="1347"/>
      <c r="L635" s="1348"/>
      <c r="M635" s="1347"/>
      <c r="N635" s="1347"/>
    </row>
    <row r="636" spans="1:14" s="647" customFormat="1" ht="15.95" customHeight="1">
      <c r="A636" s="1344"/>
      <c r="B636" s="1344"/>
      <c r="C636" s="1344"/>
      <c r="D636" s="1344"/>
      <c r="E636" s="682"/>
      <c r="F636" s="392" t="str">
        <f t="shared" si="10"/>
        <v/>
      </c>
      <c r="G636" s="1347"/>
      <c r="H636" s="1349"/>
      <c r="I636" s="1347"/>
      <c r="J636" s="1347"/>
      <c r="K636" s="1347"/>
      <c r="L636" s="1348"/>
      <c r="M636" s="1347"/>
      <c r="N636" s="1347"/>
    </row>
    <row r="637" spans="1:14" s="647" customFormat="1" ht="15.95" customHeight="1">
      <c r="A637" s="1344"/>
      <c r="B637" s="1344"/>
      <c r="C637" s="1344"/>
      <c r="D637" s="1344"/>
      <c r="E637" s="682"/>
      <c r="F637" s="392" t="str">
        <f t="shared" si="10"/>
        <v/>
      </c>
      <c r="G637" s="1347"/>
      <c r="H637" s="1349"/>
      <c r="I637" s="1347"/>
      <c r="J637" s="1347"/>
      <c r="K637" s="1347"/>
      <c r="L637" s="1348"/>
      <c r="M637" s="1347"/>
      <c r="N637" s="1347"/>
    </row>
    <row r="638" spans="1:14" s="647" customFormat="1" ht="15.95" customHeight="1">
      <c r="A638" s="1344"/>
      <c r="B638" s="1344"/>
      <c r="C638" s="1344"/>
      <c r="D638" s="1344"/>
      <c r="E638" s="682"/>
      <c r="F638" s="392" t="str">
        <f t="shared" si="10"/>
        <v/>
      </c>
      <c r="G638" s="1347"/>
      <c r="H638" s="1349"/>
      <c r="I638" s="1347"/>
      <c r="J638" s="1347"/>
      <c r="K638" s="1347"/>
      <c r="L638" s="1348"/>
      <c r="M638" s="1347"/>
      <c r="N638" s="1347"/>
    </row>
    <row r="639" spans="1:14" s="647" customFormat="1" ht="15.95" customHeight="1">
      <c r="A639" s="1344"/>
      <c r="B639" s="1344"/>
      <c r="C639" s="1344"/>
      <c r="D639" s="1344"/>
      <c r="E639" s="682"/>
      <c r="F639" s="392" t="str">
        <f t="shared" si="10"/>
        <v/>
      </c>
      <c r="G639" s="1347"/>
      <c r="H639" s="1349"/>
      <c r="I639" s="1347"/>
      <c r="J639" s="1347"/>
      <c r="K639" s="1347"/>
      <c r="L639" s="1348"/>
      <c r="M639" s="1347"/>
      <c r="N639" s="1347"/>
    </row>
    <row r="640" spans="1:14" s="647" customFormat="1" ht="15.95" customHeight="1">
      <c r="A640" s="1344"/>
      <c r="B640" s="1344"/>
      <c r="C640" s="1344"/>
      <c r="D640" s="1344"/>
      <c r="E640" s="682"/>
      <c r="F640" s="392" t="str">
        <f t="shared" si="10"/>
        <v/>
      </c>
      <c r="G640" s="1347"/>
      <c r="H640" s="1349"/>
      <c r="I640" s="1347"/>
      <c r="J640" s="1347"/>
      <c r="K640" s="1347"/>
      <c r="L640" s="1348"/>
      <c r="M640" s="1347"/>
      <c r="N640" s="1347"/>
    </row>
    <row r="641" spans="1:14" s="647" customFormat="1" ht="15.95" customHeight="1">
      <c r="A641" s="1344"/>
      <c r="B641" s="1344"/>
      <c r="C641" s="1344"/>
      <c r="D641" s="1344"/>
      <c r="E641" s="682"/>
      <c r="F641" s="392" t="str">
        <f t="shared" si="10"/>
        <v/>
      </c>
      <c r="G641" s="1347"/>
      <c r="H641" s="1349"/>
      <c r="I641" s="1347"/>
      <c r="J641" s="1347"/>
      <c r="K641" s="1347"/>
      <c r="L641" s="1348"/>
      <c r="M641" s="1347"/>
      <c r="N641" s="1347"/>
    </row>
    <row r="642" spans="1:14" s="647" customFormat="1" ht="15.95" customHeight="1">
      <c r="A642" s="1344"/>
      <c r="B642" s="1344"/>
      <c r="C642" s="1344"/>
      <c r="D642" s="1344"/>
      <c r="E642" s="682"/>
      <c r="F642" s="392" t="str">
        <f t="shared" si="10"/>
        <v/>
      </c>
      <c r="G642" s="1347"/>
      <c r="H642" s="1349"/>
      <c r="I642" s="1347"/>
      <c r="J642" s="1347"/>
      <c r="K642" s="1347"/>
      <c r="L642" s="1348"/>
      <c r="M642" s="1347"/>
      <c r="N642" s="1347"/>
    </row>
    <row r="643" spans="1:14" s="647" customFormat="1" ht="15.95" customHeight="1">
      <c r="A643" s="1344"/>
      <c r="B643" s="1344"/>
      <c r="C643" s="1344"/>
      <c r="D643" s="1344"/>
      <c r="E643" s="682"/>
      <c r="F643" s="392" t="str">
        <f t="shared" si="10"/>
        <v/>
      </c>
      <c r="G643" s="1347"/>
      <c r="H643" s="1349"/>
      <c r="I643" s="1347"/>
      <c r="J643" s="1347"/>
      <c r="K643" s="1347"/>
      <c r="L643" s="1348"/>
      <c r="M643" s="1347"/>
      <c r="N643" s="1347"/>
    </row>
    <row r="644" spans="1:14" s="647" customFormat="1" ht="15.95" customHeight="1">
      <c r="A644" s="1344"/>
      <c r="B644" s="1344"/>
      <c r="C644" s="1344"/>
      <c r="D644" s="1344"/>
      <c r="E644" s="682"/>
      <c r="F644" s="392" t="str">
        <f t="shared" si="10"/>
        <v/>
      </c>
      <c r="G644" s="1347"/>
      <c r="H644" s="1349"/>
      <c r="I644" s="1347"/>
      <c r="J644" s="1347"/>
      <c r="K644" s="1347"/>
      <c r="L644" s="1348"/>
      <c r="M644" s="1347"/>
      <c r="N644" s="1347"/>
    </row>
  </sheetData>
  <autoFilter ref="A3:N644" xr:uid="{00000000-0009-0000-0000-000017000000}"/>
  <mergeCells count="4">
    <mergeCell ref="B2:B3"/>
    <mergeCell ref="A2:A3"/>
    <mergeCell ref="C2:D2"/>
    <mergeCell ref="G2:N2"/>
  </mergeCells>
  <phoneticPr fontId="125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/>
  <dimension ref="A1:Q143"/>
  <sheetViews>
    <sheetView workbookViewId="0">
      <selection activeCell="F17" sqref="F17"/>
    </sheetView>
  </sheetViews>
  <sheetFormatPr defaultRowHeight="12.75"/>
  <cols>
    <col min="1" max="1" width="3.7109375" style="755" customWidth="1"/>
    <col min="2" max="2" width="7.7109375" style="755" customWidth="1"/>
    <col min="3" max="3" width="12.5703125" style="755" customWidth="1"/>
    <col min="4" max="4" width="13.140625" style="755" customWidth="1"/>
    <col min="5" max="6" width="11.7109375" style="755" customWidth="1"/>
    <col min="7" max="14" width="11.7109375" style="755" hidden="1" customWidth="1"/>
    <col min="15" max="15" width="9.140625" style="755"/>
    <col min="16" max="16" width="18.140625" style="755" customWidth="1"/>
    <col min="17" max="17" width="18.7109375" style="755" customWidth="1"/>
    <col min="18" max="256" width="9.140625" style="755"/>
    <col min="257" max="257" width="3.7109375" style="755" customWidth="1"/>
    <col min="258" max="258" width="7.7109375" style="755" customWidth="1"/>
    <col min="259" max="259" width="12.5703125" style="755" customWidth="1"/>
    <col min="260" max="260" width="13.140625" style="755" customWidth="1"/>
    <col min="261" max="270" width="11.7109375" style="755" customWidth="1"/>
    <col min="271" max="271" width="9.140625" style="755"/>
    <col min="272" max="272" width="18.140625" style="755" customWidth="1"/>
    <col min="273" max="273" width="18.7109375" style="755" customWidth="1"/>
    <col min="274" max="512" width="9.140625" style="755"/>
    <col min="513" max="513" width="3.7109375" style="755" customWidth="1"/>
    <col min="514" max="514" width="7.7109375" style="755" customWidth="1"/>
    <col min="515" max="515" width="12.5703125" style="755" customWidth="1"/>
    <col min="516" max="516" width="13.140625" style="755" customWidth="1"/>
    <col min="517" max="526" width="11.7109375" style="755" customWidth="1"/>
    <col min="527" max="527" width="9.140625" style="755"/>
    <col min="528" max="528" width="18.140625" style="755" customWidth="1"/>
    <col min="529" max="529" width="18.7109375" style="755" customWidth="1"/>
    <col min="530" max="768" width="9.140625" style="755"/>
    <col min="769" max="769" width="3.7109375" style="755" customWidth="1"/>
    <col min="770" max="770" width="7.7109375" style="755" customWidth="1"/>
    <col min="771" max="771" width="12.5703125" style="755" customWidth="1"/>
    <col min="772" max="772" width="13.140625" style="755" customWidth="1"/>
    <col min="773" max="782" width="11.7109375" style="755" customWidth="1"/>
    <col min="783" max="783" width="9.140625" style="755"/>
    <col min="784" max="784" width="18.140625" style="755" customWidth="1"/>
    <col min="785" max="785" width="18.7109375" style="755" customWidth="1"/>
    <col min="786" max="1024" width="9.140625" style="755"/>
    <col min="1025" max="1025" width="3.7109375" style="755" customWidth="1"/>
    <col min="1026" max="1026" width="7.7109375" style="755" customWidth="1"/>
    <col min="1027" max="1027" width="12.5703125" style="755" customWidth="1"/>
    <col min="1028" max="1028" width="13.140625" style="755" customWidth="1"/>
    <col min="1029" max="1038" width="11.7109375" style="755" customWidth="1"/>
    <col min="1039" max="1039" width="9.140625" style="755"/>
    <col min="1040" max="1040" width="18.140625" style="755" customWidth="1"/>
    <col min="1041" max="1041" width="18.7109375" style="755" customWidth="1"/>
    <col min="1042" max="1280" width="9.140625" style="755"/>
    <col min="1281" max="1281" width="3.7109375" style="755" customWidth="1"/>
    <col min="1282" max="1282" width="7.7109375" style="755" customWidth="1"/>
    <col min="1283" max="1283" width="12.5703125" style="755" customWidth="1"/>
    <col min="1284" max="1284" width="13.140625" style="755" customWidth="1"/>
    <col min="1285" max="1294" width="11.7109375" style="755" customWidth="1"/>
    <col min="1295" max="1295" width="9.140625" style="755"/>
    <col min="1296" max="1296" width="18.140625" style="755" customWidth="1"/>
    <col min="1297" max="1297" width="18.7109375" style="755" customWidth="1"/>
    <col min="1298" max="1536" width="9.140625" style="755"/>
    <col min="1537" max="1537" width="3.7109375" style="755" customWidth="1"/>
    <col min="1538" max="1538" width="7.7109375" style="755" customWidth="1"/>
    <col min="1539" max="1539" width="12.5703125" style="755" customWidth="1"/>
    <col min="1540" max="1540" width="13.140625" style="755" customWidth="1"/>
    <col min="1541" max="1550" width="11.7109375" style="755" customWidth="1"/>
    <col min="1551" max="1551" width="9.140625" style="755"/>
    <col min="1552" max="1552" width="18.140625" style="755" customWidth="1"/>
    <col min="1553" max="1553" width="18.7109375" style="755" customWidth="1"/>
    <col min="1554" max="1792" width="9.140625" style="755"/>
    <col min="1793" max="1793" width="3.7109375" style="755" customWidth="1"/>
    <col min="1794" max="1794" width="7.7109375" style="755" customWidth="1"/>
    <col min="1795" max="1795" width="12.5703125" style="755" customWidth="1"/>
    <col min="1796" max="1796" width="13.140625" style="755" customWidth="1"/>
    <col min="1797" max="1806" width="11.7109375" style="755" customWidth="1"/>
    <col min="1807" max="1807" width="9.140625" style="755"/>
    <col min="1808" max="1808" width="18.140625" style="755" customWidth="1"/>
    <col min="1809" max="1809" width="18.7109375" style="755" customWidth="1"/>
    <col min="1810" max="2048" width="9.140625" style="755"/>
    <col min="2049" max="2049" width="3.7109375" style="755" customWidth="1"/>
    <col min="2050" max="2050" width="7.7109375" style="755" customWidth="1"/>
    <col min="2051" max="2051" width="12.5703125" style="755" customWidth="1"/>
    <col min="2052" max="2052" width="13.140625" style="755" customWidth="1"/>
    <col min="2053" max="2062" width="11.7109375" style="755" customWidth="1"/>
    <col min="2063" max="2063" width="9.140625" style="755"/>
    <col min="2064" max="2064" width="18.140625" style="755" customWidth="1"/>
    <col min="2065" max="2065" width="18.7109375" style="755" customWidth="1"/>
    <col min="2066" max="2304" width="9.140625" style="755"/>
    <col min="2305" max="2305" width="3.7109375" style="755" customWidth="1"/>
    <col min="2306" max="2306" width="7.7109375" style="755" customWidth="1"/>
    <col min="2307" max="2307" width="12.5703125" style="755" customWidth="1"/>
    <col min="2308" max="2308" width="13.140625" style="755" customWidth="1"/>
    <col min="2309" max="2318" width="11.7109375" style="755" customWidth="1"/>
    <col min="2319" max="2319" width="9.140625" style="755"/>
    <col min="2320" max="2320" width="18.140625" style="755" customWidth="1"/>
    <col min="2321" max="2321" width="18.7109375" style="755" customWidth="1"/>
    <col min="2322" max="2560" width="9.140625" style="755"/>
    <col min="2561" max="2561" width="3.7109375" style="755" customWidth="1"/>
    <col min="2562" max="2562" width="7.7109375" style="755" customWidth="1"/>
    <col min="2563" max="2563" width="12.5703125" style="755" customWidth="1"/>
    <col min="2564" max="2564" width="13.140625" style="755" customWidth="1"/>
    <col min="2565" max="2574" width="11.7109375" style="755" customWidth="1"/>
    <col min="2575" max="2575" width="9.140625" style="755"/>
    <col min="2576" max="2576" width="18.140625" style="755" customWidth="1"/>
    <col min="2577" max="2577" width="18.7109375" style="755" customWidth="1"/>
    <col min="2578" max="2816" width="9.140625" style="755"/>
    <col min="2817" max="2817" width="3.7109375" style="755" customWidth="1"/>
    <col min="2818" max="2818" width="7.7109375" style="755" customWidth="1"/>
    <col min="2819" max="2819" width="12.5703125" style="755" customWidth="1"/>
    <col min="2820" max="2820" width="13.140625" style="755" customWidth="1"/>
    <col min="2821" max="2830" width="11.7109375" style="755" customWidth="1"/>
    <col min="2831" max="2831" width="9.140625" style="755"/>
    <col min="2832" max="2832" width="18.140625" style="755" customWidth="1"/>
    <col min="2833" max="2833" width="18.7109375" style="755" customWidth="1"/>
    <col min="2834" max="3072" width="9.140625" style="755"/>
    <col min="3073" max="3073" width="3.7109375" style="755" customWidth="1"/>
    <col min="3074" max="3074" width="7.7109375" style="755" customWidth="1"/>
    <col min="3075" max="3075" width="12.5703125" style="755" customWidth="1"/>
    <col min="3076" max="3076" width="13.140625" style="755" customWidth="1"/>
    <col min="3077" max="3086" width="11.7109375" style="755" customWidth="1"/>
    <col min="3087" max="3087" width="9.140625" style="755"/>
    <col min="3088" max="3088" width="18.140625" style="755" customWidth="1"/>
    <col min="3089" max="3089" width="18.7109375" style="755" customWidth="1"/>
    <col min="3090" max="3328" width="9.140625" style="755"/>
    <col min="3329" max="3329" width="3.7109375" style="755" customWidth="1"/>
    <col min="3330" max="3330" width="7.7109375" style="755" customWidth="1"/>
    <col min="3331" max="3331" width="12.5703125" style="755" customWidth="1"/>
    <col min="3332" max="3332" width="13.140625" style="755" customWidth="1"/>
    <col min="3333" max="3342" width="11.7109375" style="755" customWidth="1"/>
    <col min="3343" max="3343" width="9.140625" style="755"/>
    <col min="3344" max="3344" width="18.140625" style="755" customWidth="1"/>
    <col min="3345" max="3345" width="18.7109375" style="755" customWidth="1"/>
    <col min="3346" max="3584" width="9.140625" style="755"/>
    <col min="3585" max="3585" width="3.7109375" style="755" customWidth="1"/>
    <col min="3586" max="3586" width="7.7109375" style="755" customWidth="1"/>
    <col min="3587" max="3587" width="12.5703125" style="755" customWidth="1"/>
    <col min="3588" max="3588" width="13.140625" style="755" customWidth="1"/>
    <col min="3589" max="3598" width="11.7109375" style="755" customWidth="1"/>
    <col min="3599" max="3599" width="9.140625" style="755"/>
    <col min="3600" max="3600" width="18.140625" style="755" customWidth="1"/>
    <col min="3601" max="3601" width="18.7109375" style="755" customWidth="1"/>
    <col min="3602" max="3840" width="9.140625" style="755"/>
    <col min="3841" max="3841" width="3.7109375" style="755" customWidth="1"/>
    <col min="3842" max="3842" width="7.7109375" style="755" customWidth="1"/>
    <col min="3843" max="3843" width="12.5703125" style="755" customWidth="1"/>
    <col min="3844" max="3844" width="13.140625" style="755" customWidth="1"/>
    <col min="3845" max="3854" width="11.7109375" style="755" customWidth="1"/>
    <col min="3855" max="3855" width="9.140625" style="755"/>
    <col min="3856" max="3856" width="18.140625" style="755" customWidth="1"/>
    <col min="3857" max="3857" width="18.7109375" style="755" customWidth="1"/>
    <col min="3858" max="4096" width="9.140625" style="755"/>
    <col min="4097" max="4097" width="3.7109375" style="755" customWidth="1"/>
    <col min="4098" max="4098" width="7.7109375" style="755" customWidth="1"/>
    <col min="4099" max="4099" width="12.5703125" style="755" customWidth="1"/>
    <col min="4100" max="4100" width="13.140625" style="755" customWidth="1"/>
    <col min="4101" max="4110" width="11.7109375" style="755" customWidth="1"/>
    <col min="4111" max="4111" width="9.140625" style="755"/>
    <col min="4112" max="4112" width="18.140625" style="755" customWidth="1"/>
    <col min="4113" max="4113" width="18.7109375" style="755" customWidth="1"/>
    <col min="4114" max="4352" width="9.140625" style="755"/>
    <col min="4353" max="4353" width="3.7109375" style="755" customWidth="1"/>
    <col min="4354" max="4354" width="7.7109375" style="755" customWidth="1"/>
    <col min="4355" max="4355" width="12.5703125" style="755" customWidth="1"/>
    <col min="4356" max="4356" width="13.140625" style="755" customWidth="1"/>
    <col min="4357" max="4366" width="11.7109375" style="755" customWidth="1"/>
    <col min="4367" max="4367" width="9.140625" style="755"/>
    <col min="4368" max="4368" width="18.140625" style="755" customWidth="1"/>
    <col min="4369" max="4369" width="18.7109375" style="755" customWidth="1"/>
    <col min="4370" max="4608" width="9.140625" style="755"/>
    <col min="4609" max="4609" width="3.7109375" style="755" customWidth="1"/>
    <col min="4610" max="4610" width="7.7109375" style="755" customWidth="1"/>
    <col min="4611" max="4611" width="12.5703125" style="755" customWidth="1"/>
    <col min="4612" max="4612" width="13.140625" style="755" customWidth="1"/>
    <col min="4613" max="4622" width="11.7109375" style="755" customWidth="1"/>
    <col min="4623" max="4623" width="9.140625" style="755"/>
    <col min="4624" max="4624" width="18.140625" style="755" customWidth="1"/>
    <col min="4625" max="4625" width="18.7109375" style="755" customWidth="1"/>
    <col min="4626" max="4864" width="9.140625" style="755"/>
    <col min="4865" max="4865" width="3.7109375" style="755" customWidth="1"/>
    <col min="4866" max="4866" width="7.7109375" style="755" customWidth="1"/>
    <col min="4867" max="4867" width="12.5703125" style="755" customWidth="1"/>
    <col min="4868" max="4868" width="13.140625" style="755" customWidth="1"/>
    <col min="4869" max="4878" width="11.7109375" style="755" customWidth="1"/>
    <col min="4879" max="4879" width="9.140625" style="755"/>
    <col min="4880" max="4880" width="18.140625" style="755" customWidth="1"/>
    <col min="4881" max="4881" width="18.7109375" style="755" customWidth="1"/>
    <col min="4882" max="5120" width="9.140625" style="755"/>
    <col min="5121" max="5121" width="3.7109375" style="755" customWidth="1"/>
    <col min="5122" max="5122" width="7.7109375" style="755" customWidth="1"/>
    <col min="5123" max="5123" width="12.5703125" style="755" customWidth="1"/>
    <col min="5124" max="5124" width="13.140625" style="755" customWidth="1"/>
    <col min="5125" max="5134" width="11.7109375" style="755" customWidth="1"/>
    <col min="5135" max="5135" width="9.140625" style="755"/>
    <col min="5136" max="5136" width="18.140625" style="755" customWidth="1"/>
    <col min="5137" max="5137" width="18.7109375" style="755" customWidth="1"/>
    <col min="5138" max="5376" width="9.140625" style="755"/>
    <col min="5377" max="5377" width="3.7109375" style="755" customWidth="1"/>
    <col min="5378" max="5378" width="7.7109375" style="755" customWidth="1"/>
    <col min="5379" max="5379" width="12.5703125" style="755" customWidth="1"/>
    <col min="5380" max="5380" width="13.140625" style="755" customWidth="1"/>
    <col min="5381" max="5390" width="11.7109375" style="755" customWidth="1"/>
    <col min="5391" max="5391" width="9.140625" style="755"/>
    <col min="5392" max="5392" width="18.140625" style="755" customWidth="1"/>
    <col min="5393" max="5393" width="18.7109375" style="755" customWidth="1"/>
    <col min="5394" max="5632" width="9.140625" style="755"/>
    <col min="5633" max="5633" width="3.7109375" style="755" customWidth="1"/>
    <col min="5634" max="5634" width="7.7109375" style="755" customWidth="1"/>
    <col min="5635" max="5635" width="12.5703125" style="755" customWidth="1"/>
    <col min="5636" max="5636" width="13.140625" style="755" customWidth="1"/>
    <col min="5637" max="5646" width="11.7109375" style="755" customWidth="1"/>
    <col min="5647" max="5647" width="9.140625" style="755"/>
    <col min="5648" max="5648" width="18.140625" style="755" customWidth="1"/>
    <col min="5649" max="5649" width="18.7109375" style="755" customWidth="1"/>
    <col min="5650" max="5888" width="9.140625" style="755"/>
    <col min="5889" max="5889" width="3.7109375" style="755" customWidth="1"/>
    <col min="5890" max="5890" width="7.7109375" style="755" customWidth="1"/>
    <col min="5891" max="5891" width="12.5703125" style="755" customWidth="1"/>
    <col min="5892" max="5892" width="13.140625" style="755" customWidth="1"/>
    <col min="5893" max="5902" width="11.7109375" style="755" customWidth="1"/>
    <col min="5903" max="5903" width="9.140625" style="755"/>
    <col min="5904" max="5904" width="18.140625" style="755" customWidth="1"/>
    <col min="5905" max="5905" width="18.7109375" style="755" customWidth="1"/>
    <col min="5906" max="6144" width="9.140625" style="755"/>
    <col min="6145" max="6145" width="3.7109375" style="755" customWidth="1"/>
    <col min="6146" max="6146" width="7.7109375" style="755" customWidth="1"/>
    <col min="6147" max="6147" width="12.5703125" style="755" customWidth="1"/>
    <col min="6148" max="6148" width="13.140625" style="755" customWidth="1"/>
    <col min="6149" max="6158" width="11.7109375" style="755" customWidth="1"/>
    <col min="6159" max="6159" width="9.140625" style="755"/>
    <col min="6160" max="6160" width="18.140625" style="755" customWidth="1"/>
    <col min="6161" max="6161" width="18.7109375" style="755" customWidth="1"/>
    <col min="6162" max="6400" width="9.140625" style="755"/>
    <col min="6401" max="6401" width="3.7109375" style="755" customWidth="1"/>
    <col min="6402" max="6402" width="7.7109375" style="755" customWidth="1"/>
    <col min="6403" max="6403" width="12.5703125" style="755" customWidth="1"/>
    <col min="6404" max="6404" width="13.140625" style="755" customWidth="1"/>
    <col min="6405" max="6414" width="11.7109375" style="755" customWidth="1"/>
    <col min="6415" max="6415" width="9.140625" style="755"/>
    <col min="6416" max="6416" width="18.140625" style="755" customWidth="1"/>
    <col min="6417" max="6417" width="18.7109375" style="755" customWidth="1"/>
    <col min="6418" max="6656" width="9.140625" style="755"/>
    <col min="6657" max="6657" width="3.7109375" style="755" customWidth="1"/>
    <col min="6658" max="6658" width="7.7109375" style="755" customWidth="1"/>
    <col min="6659" max="6659" width="12.5703125" style="755" customWidth="1"/>
    <col min="6660" max="6660" width="13.140625" style="755" customWidth="1"/>
    <col min="6661" max="6670" width="11.7109375" style="755" customWidth="1"/>
    <col min="6671" max="6671" width="9.140625" style="755"/>
    <col min="6672" max="6672" width="18.140625" style="755" customWidth="1"/>
    <col min="6673" max="6673" width="18.7109375" style="755" customWidth="1"/>
    <col min="6674" max="6912" width="9.140625" style="755"/>
    <col min="6913" max="6913" width="3.7109375" style="755" customWidth="1"/>
    <col min="6914" max="6914" width="7.7109375" style="755" customWidth="1"/>
    <col min="6915" max="6915" width="12.5703125" style="755" customWidth="1"/>
    <col min="6916" max="6916" width="13.140625" style="755" customWidth="1"/>
    <col min="6917" max="6926" width="11.7109375" style="755" customWidth="1"/>
    <col min="6927" max="6927" width="9.140625" style="755"/>
    <col min="6928" max="6928" width="18.140625" style="755" customWidth="1"/>
    <col min="6929" max="6929" width="18.7109375" style="755" customWidth="1"/>
    <col min="6930" max="7168" width="9.140625" style="755"/>
    <col min="7169" max="7169" width="3.7109375" style="755" customWidth="1"/>
    <col min="7170" max="7170" width="7.7109375" style="755" customWidth="1"/>
    <col min="7171" max="7171" width="12.5703125" style="755" customWidth="1"/>
    <col min="7172" max="7172" width="13.140625" style="755" customWidth="1"/>
    <col min="7173" max="7182" width="11.7109375" style="755" customWidth="1"/>
    <col min="7183" max="7183" width="9.140625" style="755"/>
    <col min="7184" max="7184" width="18.140625" style="755" customWidth="1"/>
    <col min="7185" max="7185" width="18.7109375" style="755" customWidth="1"/>
    <col min="7186" max="7424" width="9.140625" style="755"/>
    <col min="7425" max="7425" width="3.7109375" style="755" customWidth="1"/>
    <col min="7426" max="7426" width="7.7109375" style="755" customWidth="1"/>
    <col min="7427" max="7427" width="12.5703125" style="755" customWidth="1"/>
    <col min="7428" max="7428" width="13.140625" style="755" customWidth="1"/>
    <col min="7429" max="7438" width="11.7109375" style="755" customWidth="1"/>
    <col min="7439" max="7439" width="9.140625" style="755"/>
    <col min="7440" max="7440" width="18.140625" style="755" customWidth="1"/>
    <col min="7441" max="7441" width="18.7109375" style="755" customWidth="1"/>
    <col min="7442" max="7680" width="9.140625" style="755"/>
    <col min="7681" max="7681" width="3.7109375" style="755" customWidth="1"/>
    <col min="7682" max="7682" width="7.7109375" style="755" customWidth="1"/>
    <col min="7683" max="7683" width="12.5703125" style="755" customWidth="1"/>
    <col min="7684" max="7684" width="13.140625" style="755" customWidth="1"/>
    <col min="7685" max="7694" width="11.7109375" style="755" customWidth="1"/>
    <col min="7695" max="7695" width="9.140625" style="755"/>
    <col min="7696" max="7696" width="18.140625" style="755" customWidth="1"/>
    <col min="7697" max="7697" width="18.7109375" style="755" customWidth="1"/>
    <col min="7698" max="7936" width="9.140625" style="755"/>
    <col min="7937" max="7937" width="3.7109375" style="755" customWidth="1"/>
    <col min="7938" max="7938" width="7.7109375" style="755" customWidth="1"/>
    <col min="7939" max="7939" width="12.5703125" style="755" customWidth="1"/>
    <col min="7940" max="7940" width="13.140625" style="755" customWidth="1"/>
    <col min="7941" max="7950" width="11.7109375" style="755" customWidth="1"/>
    <col min="7951" max="7951" width="9.140625" style="755"/>
    <col min="7952" max="7952" width="18.140625" style="755" customWidth="1"/>
    <col min="7953" max="7953" width="18.7109375" style="755" customWidth="1"/>
    <col min="7954" max="8192" width="9.140625" style="755"/>
    <col min="8193" max="8193" width="3.7109375" style="755" customWidth="1"/>
    <col min="8194" max="8194" width="7.7109375" style="755" customWidth="1"/>
    <col min="8195" max="8195" width="12.5703125" style="755" customWidth="1"/>
    <col min="8196" max="8196" width="13.140625" style="755" customWidth="1"/>
    <col min="8197" max="8206" width="11.7109375" style="755" customWidth="1"/>
    <col min="8207" max="8207" width="9.140625" style="755"/>
    <col min="8208" max="8208" width="18.140625" style="755" customWidth="1"/>
    <col min="8209" max="8209" width="18.7109375" style="755" customWidth="1"/>
    <col min="8210" max="8448" width="9.140625" style="755"/>
    <col min="8449" max="8449" width="3.7109375" style="755" customWidth="1"/>
    <col min="8450" max="8450" width="7.7109375" style="755" customWidth="1"/>
    <col min="8451" max="8451" width="12.5703125" style="755" customWidth="1"/>
    <col min="8452" max="8452" width="13.140625" style="755" customWidth="1"/>
    <col min="8453" max="8462" width="11.7109375" style="755" customWidth="1"/>
    <col min="8463" max="8463" width="9.140625" style="755"/>
    <col min="8464" max="8464" width="18.140625" style="755" customWidth="1"/>
    <col min="8465" max="8465" width="18.7109375" style="755" customWidth="1"/>
    <col min="8466" max="8704" width="9.140625" style="755"/>
    <col min="8705" max="8705" width="3.7109375" style="755" customWidth="1"/>
    <col min="8706" max="8706" width="7.7109375" style="755" customWidth="1"/>
    <col min="8707" max="8707" width="12.5703125" style="755" customWidth="1"/>
    <col min="8708" max="8708" width="13.140625" style="755" customWidth="1"/>
    <col min="8709" max="8718" width="11.7109375" style="755" customWidth="1"/>
    <col min="8719" max="8719" width="9.140625" style="755"/>
    <col min="8720" max="8720" width="18.140625" style="755" customWidth="1"/>
    <col min="8721" max="8721" width="18.7109375" style="755" customWidth="1"/>
    <col min="8722" max="8960" width="9.140625" style="755"/>
    <col min="8961" max="8961" width="3.7109375" style="755" customWidth="1"/>
    <col min="8962" max="8962" width="7.7109375" style="755" customWidth="1"/>
    <col min="8963" max="8963" width="12.5703125" style="755" customWidth="1"/>
    <col min="8964" max="8964" width="13.140625" style="755" customWidth="1"/>
    <col min="8965" max="8974" width="11.7109375" style="755" customWidth="1"/>
    <col min="8975" max="8975" width="9.140625" style="755"/>
    <col min="8976" max="8976" width="18.140625" style="755" customWidth="1"/>
    <col min="8977" max="8977" width="18.7109375" style="755" customWidth="1"/>
    <col min="8978" max="9216" width="9.140625" style="755"/>
    <col min="9217" max="9217" width="3.7109375" style="755" customWidth="1"/>
    <col min="9218" max="9218" width="7.7109375" style="755" customWidth="1"/>
    <col min="9219" max="9219" width="12.5703125" style="755" customWidth="1"/>
    <col min="9220" max="9220" width="13.140625" style="755" customWidth="1"/>
    <col min="9221" max="9230" width="11.7109375" style="755" customWidth="1"/>
    <col min="9231" max="9231" width="9.140625" style="755"/>
    <col min="9232" max="9232" width="18.140625" style="755" customWidth="1"/>
    <col min="9233" max="9233" width="18.7109375" style="755" customWidth="1"/>
    <col min="9234" max="9472" width="9.140625" style="755"/>
    <col min="9473" max="9473" width="3.7109375" style="755" customWidth="1"/>
    <col min="9474" max="9474" width="7.7109375" style="755" customWidth="1"/>
    <col min="9475" max="9475" width="12.5703125" style="755" customWidth="1"/>
    <col min="9476" max="9476" width="13.140625" style="755" customWidth="1"/>
    <col min="9477" max="9486" width="11.7109375" style="755" customWidth="1"/>
    <col min="9487" max="9487" width="9.140625" style="755"/>
    <col min="9488" max="9488" width="18.140625" style="755" customWidth="1"/>
    <col min="9489" max="9489" width="18.7109375" style="755" customWidth="1"/>
    <col min="9490" max="9728" width="9.140625" style="755"/>
    <col min="9729" max="9729" width="3.7109375" style="755" customWidth="1"/>
    <col min="9730" max="9730" width="7.7109375" style="755" customWidth="1"/>
    <col min="9731" max="9731" width="12.5703125" style="755" customWidth="1"/>
    <col min="9732" max="9732" width="13.140625" style="755" customWidth="1"/>
    <col min="9733" max="9742" width="11.7109375" style="755" customWidth="1"/>
    <col min="9743" max="9743" width="9.140625" style="755"/>
    <col min="9744" max="9744" width="18.140625" style="755" customWidth="1"/>
    <col min="9745" max="9745" width="18.7109375" style="755" customWidth="1"/>
    <col min="9746" max="9984" width="9.140625" style="755"/>
    <col min="9985" max="9985" width="3.7109375" style="755" customWidth="1"/>
    <col min="9986" max="9986" width="7.7109375" style="755" customWidth="1"/>
    <col min="9987" max="9987" width="12.5703125" style="755" customWidth="1"/>
    <col min="9988" max="9988" width="13.140625" style="755" customWidth="1"/>
    <col min="9989" max="9998" width="11.7109375" style="755" customWidth="1"/>
    <col min="9999" max="9999" width="9.140625" style="755"/>
    <col min="10000" max="10000" width="18.140625" style="755" customWidth="1"/>
    <col min="10001" max="10001" width="18.7109375" style="755" customWidth="1"/>
    <col min="10002" max="10240" width="9.140625" style="755"/>
    <col min="10241" max="10241" width="3.7109375" style="755" customWidth="1"/>
    <col min="10242" max="10242" width="7.7109375" style="755" customWidth="1"/>
    <col min="10243" max="10243" width="12.5703125" style="755" customWidth="1"/>
    <col min="10244" max="10244" width="13.140625" style="755" customWidth="1"/>
    <col min="10245" max="10254" width="11.7109375" style="755" customWidth="1"/>
    <col min="10255" max="10255" width="9.140625" style="755"/>
    <col min="10256" max="10256" width="18.140625" style="755" customWidth="1"/>
    <col min="10257" max="10257" width="18.7109375" style="755" customWidth="1"/>
    <col min="10258" max="10496" width="9.140625" style="755"/>
    <col min="10497" max="10497" width="3.7109375" style="755" customWidth="1"/>
    <col min="10498" max="10498" width="7.7109375" style="755" customWidth="1"/>
    <col min="10499" max="10499" width="12.5703125" style="755" customWidth="1"/>
    <col min="10500" max="10500" width="13.140625" style="755" customWidth="1"/>
    <col min="10501" max="10510" width="11.7109375" style="755" customWidth="1"/>
    <col min="10511" max="10511" width="9.140625" style="755"/>
    <col min="10512" max="10512" width="18.140625" style="755" customWidth="1"/>
    <col min="10513" max="10513" width="18.7109375" style="755" customWidth="1"/>
    <col min="10514" max="10752" width="9.140625" style="755"/>
    <col min="10753" max="10753" width="3.7109375" style="755" customWidth="1"/>
    <col min="10754" max="10754" width="7.7109375" style="755" customWidth="1"/>
    <col min="10755" max="10755" width="12.5703125" style="755" customWidth="1"/>
    <col min="10756" max="10756" width="13.140625" style="755" customWidth="1"/>
    <col min="10757" max="10766" width="11.7109375" style="755" customWidth="1"/>
    <col min="10767" max="10767" width="9.140625" style="755"/>
    <col min="10768" max="10768" width="18.140625" style="755" customWidth="1"/>
    <col min="10769" max="10769" width="18.7109375" style="755" customWidth="1"/>
    <col min="10770" max="11008" width="9.140625" style="755"/>
    <col min="11009" max="11009" width="3.7109375" style="755" customWidth="1"/>
    <col min="11010" max="11010" width="7.7109375" style="755" customWidth="1"/>
    <col min="11011" max="11011" width="12.5703125" style="755" customWidth="1"/>
    <col min="11012" max="11012" width="13.140625" style="755" customWidth="1"/>
    <col min="11013" max="11022" width="11.7109375" style="755" customWidth="1"/>
    <col min="11023" max="11023" width="9.140625" style="755"/>
    <col min="11024" max="11024" width="18.140625" style="755" customWidth="1"/>
    <col min="11025" max="11025" width="18.7109375" style="755" customWidth="1"/>
    <col min="11026" max="11264" width="9.140625" style="755"/>
    <col min="11265" max="11265" width="3.7109375" style="755" customWidth="1"/>
    <col min="11266" max="11266" width="7.7109375" style="755" customWidth="1"/>
    <col min="11267" max="11267" width="12.5703125" style="755" customWidth="1"/>
    <col min="11268" max="11268" width="13.140625" style="755" customWidth="1"/>
    <col min="11269" max="11278" width="11.7109375" style="755" customWidth="1"/>
    <col min="11279" max="11279" width="9.140625" style="755"/>
    <col min="11280" max="11280" width="18.140625" style="755" customWidth="1"/>
    <col min="11281" max="11281" width="18.7109375" style="755" customWidth="1"/>
    <col min="11282" max="11520" width="9.140625" style="755"/>
    <col min="11521" max="11521" width="3.7109375" style="755" customWidth="1"/>
    <col min="11522" max="11522" width="7.7109375" style="755" customWidth="1"/>
    <col min="11523" max="11523" width="12.5703125" style="755" customWidth="1"/>
    <col min="11524" max="11524" width="13.140625" style="755" customWidth="1"/>
    <col min="11525" max="11534" width="11.7109375" style="755" customWidth="1"/>
    <col min="11535" max="11535" width="9.140625" style="755"/>
    <col min="11536" max="11536" width="18.140625" style="755" customWidth="1"/>
    <col min="11537" max="11537" width="18.7109375" style="755" customWidth="1"/>
    <col min="11538" max="11776" width="9.140625" style="755"/>
    <col min="11777" max="11777" width="3.7109375" style="755" customWidth="1"/>
    <col min="11778" max="11778" width="7.7109375" style="755" customWidth="1"/>
    <col min="11779" max="11779" width="12.5703125" style="755" customWidth="1"/>
    <col min="11780" max="11780" width="13.140625" style="755" customWidth="1"/>
    <col min="11781" max="11790" width="11.7109375" style="755" customWidth="1"/>
    <col min="11791" max="11791" width="9.140625" style="755"/>
    <col min="11792" max="11792" width="18.140625" style="755" customWidth="1"/>
    <col min="11793" max="11793" width="18.7109375" style="755" customWidth="1"/>
    <col min="11794" max="12032" width="9.140625" style="755"/>
    <col min="12033" max="12033" width="3.7109375" style="755" customWidth="1"/>
    <col min="12034" max="12034" width="7.7109375" style="755" customWidth="1"/>
    <col min="12035" max="12035" width="12.5703125" style="755" customWidth="1"/>
    <col min="12036" max="12036" width="13.140625" style="755" customWidth="1"/>
    <col min="12037" max="12046" width="11.7109375" style="755" customWidth="1"/>
    <col min="12047" max="12047" width="9.140625" style="755"/>
    <col min="12048" max="12048" width="18.140625" style="755" customWidth="1"/>
    <col min="12049" max="12049" width="18.7109375" style="755" customWidth="1"/>
    <col min="12050" max="12288" width="9.140625" style="755"/>
    <col min="12289" max="12289" width="3.7109375" style="755" customWidth="1"/>
    <col min="12290" max="12290" width="7.7109375" style="755" customWidth="1"/>
    <col min="12291" max="12291" width="12.5703125" style="755" customWidth="1"/>
    <col min="12292" max="12292" width="13.140625" style="755" customWidth="1"/>
    <col min="12293" max="12302" width="11.7109375" style="755" customWidth="1"/>
    <col min="12303" max="12303" width="9.140625" style="755"/>
    <col min="12304" max="12304" width="18.140625" style="755" customWidth="1"/>
    <col min="12305" max="12305" width="18.7109375" style="755" customWidth="1"/>
    <col min="12306" max="12544" width="9.140625" style="755"/>
    <col min="12545" max="12545" width="3.7109375" style="755" customWidth="1"/>
    <col min="12546" max="12546" width="7.7109375" style="755" customWidth="1"/>
    <col min="12547" max="12547" width="12.5703125" style="755" customWidth="1"/>
    <col min="12548" max="12548" width="13.140625" style="755" customWidth="1"/>
    <col min="12549" max="12558" width="11.7109375" style="755" customWidth="1"/>
    <col min="12559" max="12559" width="9.140625" style="755"/>
    <col min="12560" max="12560" width="18.140625" style="755" customWidth="1"/>
    <col min="12561" max="12561" width="18.7109375" style="755" customWidth="1"/>
    <col min="12562" max="12800" width="9.140625" style="755"/>
    <col min="12801" max="12801" width="3.7109375" style="755" customWidth="1"/>
    <col min="12802" max="12802" width="7.7109375" style="755" customWidth="1"/>
    <col min="12803" max="12803" width="12.5703125" style="755" customWidth="1"/>
    <col min="12804" max="12804" width="13.140625" style="755" customWidth="1"/>
    <col min="12805" max="12814" width="11.7109375" style="755" customWidth="1"/>
    <col min="12815" max="12815" width="9.140625" style="755"/>
    <col min="12816" max="12816" width="18.140625" style="755" customWidth="1"/>
    <col min="12817" max="12817" width="18.7109375" style="755" customWidth="1"/>
    <col min="12818" max="13056" width="9.140625" style="755"/>
    <col min="13057" max="13057" width="3.7109375" style="755" customWidth="1"/>
    <col min="13058" max="13058" width="7.7109375" style="755" customWidth="1"/>
    <col min="13059" max="13059" width="12.5703125" style="755" customWidth="1"/>
    <col min="13060" max="13060" width="13.140625" style="755" customWidth="1"/>
    <col min="13061" max="13070" width="11.7109375" style="755" customWidth="1"/>
    <col min="13071" max="13071" width="9.140625" style="755"/>
    <col min="13072" max="13072" width="18.140625" style="755" customWidth="1"/>
    <col min="13073" max="13073" width="18.7109375" style="755" customWidth="1"/>
    <col min="13074" max="13312" width="9.140625" style="755"/>
    <col min="13313" max="13313" width="3.7109375" style="755" customWidth="1"/>
    <col min="13314" max="13314" width="7.7109375" style="755" customWidth="1"/>
    <col min="13315" max="13315" width="12.5703125" style="755" customWidth="1"/>
    <col min="13316" max="13316" width="13.140625" style="755" customWidth="1"/>
    <col min="13317" max="13326" width="11.7109375" style="755" customWidth="1"/>
    <col min="13327" max="13327" width="9.140625" style="755"/>
    <col min="13328" max="13328" width="18.140625" style="755" customWidth="1"/>
    <col min="13329" max="13329" width="18.7109375" style="755" customWidth="1"/>
    <col min="13330" max="13568" width="9.140625" style="755"/>
    <col min="13569" max="13569" width="3.7109375" style="755" customWidth="1"/>
    <col min="13570" max="13570" width="7.7109375" style="755" customWidth="1"/>
    <col min="13571" max="13571" width="12.5703125" style="755" customWidth="1"/>
    <col min="13572" max="13572" width="13.140625" style="755" customWidth="1"/>
    <col min="13573" max="13582" width="11.7109375" style="755" customWidth="1"/>
    <col min="13583" max="13583" width="9.140625" style="755"/>
    <col min="13584" max="13584" width="18.140625" style="755" customWidth="1"/>
    <col min="13585" max="13585" width="18.7109375" style="755" customWidth="1"/>
    <col min="13586" max="13824" width="9.140625" style="755"/>
    <col min="13825" max="13825" width="3.7109375" style="755" customWidth="1"/>
    <col min="13826" max="13826" width="7.7109375" style="755" customWidth="1"/>
    <col min="13827" max="13827" width="12.5703125" style="755" customWidth="1"/>
    <col min="13828" max="13828" width="13.140625" style="755" customWidth="1"/>
    <col min="13829" max="13838" width="11.7109375" style="755" customWidth="1"/>
    <col min="13839" max="13839" width="9.140625" style="755"/>
    <col min="13840" max="13840" width="18.140625" style="755" customWidth="1"/>
    <col min="13841" max="13841" width="18.7109375" style="755" customWidth="1"/>
    <col min="13842" max="14080" width="9.140625" style="755"/>
    <col min="14081" max="14081" width="3.7109375" style="755" customWidth="1"/>
    <col min="14082" max="14082" width="7.7109375" style="755" customWidth="1"/>
    <col min="14083" max="14083" width="12.5703125" style="755" customWidth="1"/>
    <col min="14084" max="14084" width="13.140625" style="755" customWidth="1"/>
    <col min="14085" max="14094" width="11.7109375" style="755" customWidth="1"/>
    <col min="14095" max="14095" width="9.140625" style="755"/>
    <col min="14096" max="14096" width="18.140625" style="755" customWidth="1"/>
    <col min="14097" max="14097" width="18.7109375" style="755" customWidth="1"/>
    <col min="14098" max="14336" width="9.140625" style="755"/>
    <col min="14337" max="14337" width="3.7109375" style="755" customWidth="1"/>
    <col min="14338" max="14338" width="7.7109375" style="755" customWidth="1"/>
    <col min="14339" max="14339" width="12.5703125" style="755" customWidth="1"/>
    <col min="14340" max="14340" width="13.140625" style="755" customWidth="1"/>
    <col min="14341" max="14350" width="11.7109375" style="755" customWidth="1"/>
    <col min="14351" max="14351" width="9.140625" style="755"/>
    <col min="14352" max="14352" width="18.140625" style="755" customWidth="1"/>
    <col min="14353" max="14353" width="18.7109375" style="755" customWidth="1"/>
    <col min="14354" max="14592" width="9.140625" style="755"/>
    <col min="14593" max="14593" width="3.7109375" style="755" customWidth="1"/>
    <col min="14594" max="14594" width="7.7109375" style="755" customWidth="1"/>
    <col min="14595" max="14595" width="12.5703125" style="755" customWidth="1"/>
    <col min="14596" max="14596" width="13.140625" style="755" customWidth="1"/>
    <col min="14597" max="14606" width="11.7109375" style="755" customWidth="1"/>
    <col min="14607" max="14607" width="9.140625" style="755"/>
    <col min="14608" max="14608" width="18.140625" style="755" customWidth="1"/>
    <col min="14609" max="14609" width="18.7109375" style="755" customWidth="1"/>
    <col min="14610" max="14848" width="9.140625" style="755"/>
    <col min="14849" max="14849" width="3.7109375" style="755" customWidth="1"/>
    <col min="14850" max="14850" width="7.7109375" style="755" customWidth="1"/>
    <col min="14851" max="14851" width="12.5703125" style="755" customWidth="1"/>
    <col min="14852" max="14852" width="13.140625" style="755" customWidth="1"/>
    <col min="14853" max="14862" width="11.7109375" style="755" customWidth="1"/>
    <col min="14863" max="14863" width="9.140625" style="755"/>
    <col min="14864" max="14864" width="18.140625" style="755" customWidth="1"/>
    <col min="14865" max="14865" width="18.7109375" style="755" customWidth="1"/>
    <col min="14866" max="15104" width="9.140625" style="755"/>
    <col min="15105" max="15105" width="3.7109375" style="755" customWidth="1"/>
    <col min="15106" max="15106" width="7.7109375" style="755" customWidth="1"/>
    <col min="15107" max="15107" width="12.5703125" style="755" customWidth="1"/>
    <col min="15108" max="15108" width="13.140625" style="755" customWidth="1"/>
    <col min="15109" max="15118" width="11.7109375" style="755" customWidth="1"/>
    <col min="15119" max="15119" width="9.140625" style="755"/>
    <col min="15120" max="15120" width="18.140625" style="755" customWidth="1"/>
    <col min="15121" max="15121" width="18.7109375" style="755" customWidth="1"/>
    <col min="15122" max="15360" width="9.140625" style="755"/>
    <col min="15361" max="15361" width="3.7109375" style="755" customWidth="1"/>
    <col min="15362" max="15362" width="7.7109375" style="755" customWidth="1"/>
    <col min="15363" max="15363" width="12.5703125" style="755" customWidth="1"/>
    <col min="15364" max="15364" width="13.140625" style="755" customWidth="1"/>
    <col min="15365" max="15374" width="11.7109375" style="755" customWidth="1"/>
    <col min="15375" max="15375" width="9.140625" style="755"/>
    <col min="15376" max="15376" width="18.140625" style="755" customWidth="1"/>
    <col min="15377" max="15377" width="18.7109375" style="755" customWidth="1"/>
    <col min="15378" max="15616" width="9.140625" style="755"/>
    <col min="15617" max="15617" width="3.7109375" style="755" customWidth="1"/>
    <col min="15618" max="15618" width="7.7109375" style="755" customWidth="1"/>
    <col min="15619" max="15619" width="12.5703125" style="755" customWidth="1"/>
    <col min="15620" max="15620" width="13.140625" style="755" customWidth="1"/>
    <col min="15621" max="15630" width="11.7109375" style="755" customWidth="1"/>
    <col min="15631" max="15631" width="9.140625" style="755"/>
    <col min="15632" max="15632" width="18.140625" style="755" customWidth="1"/>
    <col min="15633" max="15633" width="18.7109375" style="755" customWidth="1"/>
    <col min="15634" max="15872" width="9.140625" style="755"/>
    <col min="15873" max="15873" width="3.7109375" style="755" customWidth="1"/>
    <col min="15874" max="15874" width="7.7109375" style="755" customWidth="1"/>
    <col min="15875" max="15875" width="12.5703125" style="755" customWidth="1"/>
    <col min="15876" max="15876" width="13.140625" style="755" customWidth="1"/>
    <col min="15877" max="15886" width="11.7109375" style="755" customWidth="1"/>
    <col min="15887" max="15887" width="9.140625" style="755"/>
    <col min="15888" max="15888" width="18.140625" style="755" customWidth="1"/>
    <col min="15889" max="15889" width="18.7109375" style="755" customWidth="1"/>
    <col min="15890" max="16128" width="9.140625" style="755"/>
    <col min="16129" max="16129" width="3.7109375" style="755" customWidth="1"/>
    <col min="16130" max="16130" width="7.7109375" style="755" customWidth="1"/>
    <col min="16131" max="16131" width="12.5703125" style="755" customWidth="1"/>
    <col min="16132" max="16132" width="13.140625" style="755" customWidth="1"/>
    <col min="16133" max="16142" width="11.7109375" style="755" customWidth="1"/>
    <col min="16143" max="16143" width="9.140625" style="755"/>
    <col min="16144" max="16144" width="18.140625" style="755" customWidth="1"/>
    <col min="16145" max="16145" width="18.7109375" style="755" customWidth="1"/>
    <col min="16146" max="16384" width="9.140625" style="755"/>
  </cols>
  <sheetData>
    <row r="1" spans="1:17">
      <c r="B1" s="756" t="s">
        <v>156</v>
      </c>
      <c r="D1" s="275">
        <f>'Estimate Summary'!AT5</f>
        <v>0</v>
      </c>
    </row>
    <row r="2" spans="1:17">
      <c r="B2" s="756" t="s">
        <v>227</v>
      </c>
      <c r="D2" s="275">
        <f>'Estimate Summary'!AT6</f>
        <v>0</v>
      </c>
    </row>
    <row r="3" spans="1:17">
      <c r="B3" s="756" t="s">
        <v>230</v>
      </c>
      <c r="D3" s="696">
        <f>'Estimate Summary'!AT7</f>
        <v>0</v>
      </c>
    </row>
    <row r="4" spans="1:17">
      <c r="B4" s="756" t="s">
        <v>232</v>
      </c>
      <c r="D4" s="275">
        <f>'Estimate Summary'!AT8</f>
        <v>0</v>
      </c>
    </row>
    <row r="5" spans="1:17" ht="13.5" thickBot="1">
      <c r="A5" s="277"/>
      <c r="C5" s="757"/>
      <c r="D5" s="757"/>
      <c r="E5" s="757"/>
      <c r="F5" s="757"/>
      <c r="G5" s="757"/>
      <c r="H5" s="757"/>
    </row>
    <row r="6" spans="1:17" ht="18">
      <c r="A6" s="758"/>
      <c r="B6" s="759"/>
      <c r="C6" s="757"/>
      <c r="D6" s="757"/>
      <c r="E6" s="760" t="s">
        <v>369</v>
      </c>
      <c r="F6" s="757"/>
      <c r="G6" s="757"/>
      <c r="H6" s="757"/>
    </row>
    <row r="7" spans="1:17">
      <c r="A7" s="761"/>
      <c r="B7" s="757"/>
      <c r="C7" s="757"/>
      <c r="D7" s="757"/>
      <c r="E7" s="757"/>
      <c r="F7" s="757"/>
      <c r="G7" s="757"/>
      <c r="H7" s="757"/>
    </row>
    <row r="8" spans="1:17">
      <c r="A8" s="761"/>
      <c r="B8" s="757"/>
      <c r="C8" s="757" t="s">
        <v>370</v>
      </c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</row>
    <row r="9" spans="1:17">
      <c r="A9" s="761"/>
      <c r="B9" s="762" t="s">
        <v>371</v>
      </c>
      <c r="C9" s="763">
        <f>+Consolidated!F19</f>
        <v>169.08558792062516</v>
      </c>
      <c r="D9" s="764"/>
      <c r="E9" s="765"/>
      <c r="F9" s="757"/>
      <c r="N9" s="757"/>
    </row>
    <row r="10" spans="1:17">
      <c r="A10" s="766"/>
      <c r="B10" s="767" t="s">
        <v>372</v>
      </c>
      <c r="C10" s="763" t="e">
        <f ca="1">SUM(E10,G10,I10,K10,M10)</f>
        <v>#N/A</v>
      </c>
      <c r="D10" s="764" t="s">
        <v>373</v>
      </c>
      <c r="E10" s="765" t="e">
        <f ca="1">'Offshore CF'!I4</f>
        <v>#N/A</v>
      </c>
      <c r="F10" s="757"/>
      <c r="G10" s="768"/>
      <c r="H10" s="757"/>
      <c r="I10" s="768"/>
      <c r="J10" s="757"/>
      <c r="K10" s="768">
        <v>0</v>
      </c>
      <c r="L10" s="757"/>
      <c r="M10" s="768">
        <v>0</v>
      </c>
      <c r="N10" s="757"/>
      <c r="P10" s="769" t="s">
        <v>374</v>
      </c>
      <c r="Q10" s="769"/>
    </row>
    <row r="11" spans="1:17" ht="45.75" customHeight="1">
      <c r="A11" s="770"/>
      <c r="B11" s="771"/>
      <c r="C11" s="772" t="s">
        <v>375</v>
      </c>
      <c r="D11" s="773"/>
      <c r="E11" s="774" t="s">
        <v>376</v>
      </c>
      <c r="F11" s="775"/>
      <c r="G11" s="776"/>
      <c r="H11" s="757"/>
      <c r="I11" s="777"/>
      <c r="J11" s="775"/>
      <c r="K11" s="776"/>
      <c r="L11" s="757"/>
      <c r="M11" s="777"/>
      <c r="N11" s="775"/>
      <c r="P11" s="778" t="s">
        <v>377</v>
      </c>
      <c r="Q11" s="778" t="s">
        <v>378</v>
      </c>
    </row>
    <row r="12" spans="1:17" ht="39" thickBot="1">
      <c r="A12" s="779" t="s">
        <v>23</v>
      </c>
      <c r="B12" s="298" t="s">
        <v>93</v>
      </c>
      <c r="C12" s="780" t="s">
        <v>379</v>
      </c>
      <c r="D12" s="780" t="s">
        <v>380</v>
      </c>
      <c r="E12" s="781" t="s">
        <v>379</v>
      </c>
      <c r="F12" s="782" t="s">
        <v>380</v>
      </c>
      <c r="G12" s="783" t="s">
        <v>379</v>
      </c>
      <c r="H12" s="783" t="s">
        <v>380</v>
      </c>
      <c r="I12" s="781" t="s">
        <v>379</v>
      </c>
      <c r="J12" s="782" t="s">
        <v>380</v>
      </c>
      <c r="K12" s="783" t="s">
        <v>379</v>
      </c>
      <c r="L12" s="783" t="s">
        <v>380</v>
      </c>
      <c r="M12" s="781" t="s">
        <v>379</v>
      </c>
      <c r="N12" s="782" t="s">
        <v>380</v>
      </c>
      <c r="P12" s="778" t="s">
        <v>381</v>
      </c>
      <c r="Q12" s="778" t="s">
        <v>382</v>
      </c>
    </row>
    <row r="13" spans="1:17">
      <c r="A13" s="784">
        <f>'Offshore CF'!B24</f>
        <v>1</v>
      </c>
      <c r="B13" s="310">
        <f>'Offshore CF'!C24</f>
        <v>43471</v>
      </c>
      <c r="C13" s="785" t="e">
        <f ca="1">D13/C$10</f>
        <v>#DIV/0!</v>
      </c>
      <c r="D13" s="765" t="e">
        <f t="shared" ref="D13:D76" ca="1" si="0">SUM(F13,H13,J13,L13,N13)</f>
        <v>#DIV/0!</v>
      </c>
      <c r="E13" s="786" t="e">
        <f ca="1">'WBC Cancellation'!E24</f>
        <v>#DIV/0!</v>
      </c>
      <c r="F13" s="787" t="e">
        <f t="shared" ref="F13:F76" ca="1" si="1">E13*E$10</f>
        <v>#DIV/0!</v>
      </c>
      <c r="G13" s="788"/>
      <c r="H13" s="765">
        <f>G13*G$10</f>
        <v>0</v>
      </c>
      <c r="I13" s="789"/>
      <c r="J13" s="787">
        <f>I13*I$10</f>
        <v>0</v>
      </c>
      <c r="K13" s="788"/>
      <c r="L13" s="765">
        <f t="shared" ref="L13:L76" si="2">K13*K$10</f>
        <v>0</v>
      </c>
      <c r="M13" s="789"/>
      <c r="N13" s="787">
        <f t="shared" ref="N13:N76" si="3">M13*K$9</f>
        <v>0</v>
      </c>
      <c r="P13" s="790">
        <f ca="1">'Offshore INT'!G13</f>
        <v>0</v>
      </c>
      <c r="Q13" s="790" t="e">
        <f ca="1">D13-P13</f>
        <v>#DIV/0!</v>
      </c>
    </row>
    <row r="14" spans="1:17">
      <c r="A14" s="784">
        <f>'Offshore CF'!B25</f>
        <v>-2</v>
      </c>
      <c r="B14" s="310">
        <f>'Offshore CF'!C25</f>
        <v>43501</v>
      </c>
      <c r="C14" s="785" t="e">
        <f t="shared" ref="C14:C77" ca="1" si="4">D14/C$10</f>
        <v>#DIV/0!</v>
      </c>
      <c r="D14" s="765" t="e">
        <f t="shared" ca="1" si="0"/>
        <v>#DIV/0!</v>
      </c>
      <c r="E14" s="786" t="e">
        <f ca="1">'WBC Cancellation'!E25</f>
        <v>#DIV/0!</v>
      </c>
      <c r="F14" s="787" t="e">
        <f t="shared" ca="1" si="1"/>
        <v>#DIV/0!</v>
      </c>
      <c r="G14" s="788"/>
      <c r="H14" s="765">
        <f t="shared" ref="H14:H77" si="5">G14*G$10</f>
        <v>0</v>
      </c>
      <c r="I14" s="789"/>
      <c r="J14" s="787">
        <f t="shared" ref="J14:J77" si="6">I14*I$10</f>
        <v>0</v>
      </c>
      <c r="K14" s="788"/>
      <c r="L14" s="765">
        <f t="shared" si="2"/>
        <v>0</v>
      </c>
      <c r="M14" s="789"/>
      <c r="N14" s="787">
        <f t="shared" si="3"/>
        <v>0</v>
      </c>
      <c r="P14" s="790">
        <f ca="1">'Offshore INT'!G14</f>
        <v>0</v>
      </c>
      <c r="Q14" s="790" t="e">
        <f t="shared" ref="Q14:Q77" ca="1" si="7">D14-P14</f>
        <v>#DIV/0!</v>
      </c>
    </row>
    <row r="15" spans="1:17">
      <c r="A15" s="784">
        <f>'Offshore CF'!B26</f>
        <v>-1</v>
      </c>
      <c r="B15" s="310">
        <f>'Offshore CF'!C26</f>
        <v>43531</v>
      </c>
      <c r="C15" s="785" t="e">
        <f t="shared" ca="1" si="4"/>
        <v>#DIV/0!</v>
      </c>
      <c r="D15" s="765" t="e">
        <f t="shared" ca="1" si="0"/>
        <v>#DIV/0!</v>
      </c>
      <c r="E15" s="786" t="e">
        <f ca="1">'WBC Cancellation'!E26</f>
        <v>#DIV/0!</v>
      </c>
      <c r="F15" s="787" t="e">
        <f t="shared" ca="1" si="1"/>
        <v>#DIV/0!</v>
      </c>
      <c r="G15" s="788"/>
      <c r="H15" s="765">
        <f t="shared" si="5"/>
        <v>0</v>
      </c>
      <c r="I15" s="789"/>
      <c r="J15" s="787">
        <f t="shared" si="6"/>
        <v>0</v>
      </c>
      <c r="K15" s="788"/>
      <c r="L15" s="765">
        <f t="shared" si="2"/>
        <v>0</v>
      </c>
      <c r="M15" s="789"/>
      <c r="N15" s="787">
        <f t="shared" si="3"/>
        <v>0</v>
      </c>
      <c r="P15" s="790">
        <f ca="1">'Offshore INT'!G15</f>
        <v>0</v>
      </c>
      <c r="Q15" s="790" t="e">
        <f t="shared" ca="1" si="7"/>
        <v>#DIV/0!</v>
      </c>
    </row>
    <row r="16" spans="1:17">
      <c r="A16" s="784">
        <f>'Offshore CF'!B27</f>
        <v>0</v>
      </c>
      <c r="B16" s="310">
        <f>'Offshore CF'!C27</f>
        <v>43561</v>
      </c>
      <c r="C16" s="785" t="e">
        <f t="shared" ca="1" si="4"/>
        <v>#DIV/0!</v>
      </c>
      <c r="D16" s="765" t="e">
        <f t="shared" ca="1" si="0"/>
        <v>#DIV/0!</v>
      </c>
      <c r="E16" s="786" t="e">
        <f ca="1">'WBC Cancellation'!E27</f>
        <v>#DIV/0!</v>
      </c>
      <c r="F16" s="787" t="e">
        <f t="shared" ca="1" si="1"/>
        <v>#DIV/0!</v>
      </c>
      <c r="G16" s="788"/>
      <c r="H16" s="765">
        <f t="shared" si="5"/>
        <v>0</v>
      </c>
      <c r="I16" s="789"/>
      <c r="J16" s="787">
        <f t="shared" si="6"/>
        <v>0</v>
      </c>
      <c r="K16" s="788"/>
      <c r="L16" s="765">
        <f t="shared" si="2"/>
        <v>0</v>
      </c>
      <c r="M16" s="789"/>
      <c r="N16" s="787">
        <f t="shared" si="3"/>
        <v>0</v>
      </c>
      <c r="P16" s="790">
        <f ca="1">'Offshore INT'!G16</f>
        <v>0</v>
      </c>
      <c r="Q16" s="790" t="e">
        <f t="shared" ca="1" si="7"/>
        <v>#DIV/0!</v>
      </c>
    </row>
    <row r="17" spans="1:17">
      <c r="A17" s="784">
        <f>'Offshore CF'!B28</f>
        <v>1</v>
      </c>
      <c r="B17" s="310">
        <f>'Offshore CF'!C28</f>
        <v>43591</v>
      </c>
      <c r="C17" s="785" t="e">
        <f t="shared" ca="1" si="4"/>
        <v>#DIV/0!</v>
      </c>
      <c r="D17" s="765" t="e">
        <f t="shared" ca="1" si="0"/>
        <v>#DIV/0!</v>
      </c>
      <c r="E17" s="786" t="e">
        <f ca="1">'WBC Cancellation'!E28</f>
        <v>#DIV/0!</v>
      </c>
      <c r="F17" s="787" t="e">
        <f t="shared" ca="1" si="1"/>
        <v>#DIV/0!</v>
      </c>
      <c r="G17" s="788"/>
      <c r="H17" s="765">
        <f t="shared" si="5"/>
        <v>0</v>
      </c>
      <c r="I17" s="789"/>
      <c r="J17" s="787">
        <f t="shared" si="6"/>
        <v>0</v>
      </c>
      <c r="K17" s="788"/>
      <c r="L17" s="765">
        <f t="shared" si="2"/>
        <v>0</v>
      </c>
      <c r="M17" s="789"/>
      <c r="N17" s="787">
        <f t="shared" si="3"/>
        <v>0</v>
      </c>
      <c r="P17" s="790">
        <f ca="1">'Offshore INT'!G17</f>
        <v>0</v>
      </c>
      <c r="Q17" s="790" t="e">
        <f t="shared" ca="1" si="7"/>
        <v>#DIV/0!</v>
      </c>
    </row>
    <row r="18" spans="1:17">
      <c r="A18" s="784">
        <f>'Offshore CF'!B29</f>
        <v>2</v>
      </c>
      <c r="B18" s="310">
        <f>'Offshore CF'!C29</f>
        <v>43621.416700000002</v>
      </c>
      <c r="C18" s="785" t="e">
        <f t="shared" ca="1" si="4"/>
        <v>#DIV/0!</v>
      </c>
      <c r="D18" s="765" t="e">
        <f t="shared" ca="1" si="0"/>
        <v>#DIV/0!</v>
      </c>
      <c r="E18" s="786" t="e">
        <f ca="1">'WBC Cancellation'!E29</f>
        <v>#DIV/0!</v>
      </c>
      <c r="F18" s="787" t="e">
        <f t="shared" ca="1" si="1"/>
        <v>#DIV/0!</v>
      </c>
      <c r="G18" s="788"/>
      <c r="H18" s="765">
        <f t="shared" si="5"/>
        <v>0</v>
      </c>
      <c r="I18" s="789"/>
      <c r="J18" s="787">
        <f t="shared" si="6"/>
        <v>0</v>
      </c>
      <c r="K18" s="788"/>
      <c r="L18" s="765">
        <f t="shared" si="2"/>
        <v>0</v>
      </c>
      <c r="M18" s="789"/>
      <c r="N18" s="787">
        <f t="shared" si="3"/>
        <v>0</v>
      </c>
      <c r="P18" s="790">
        <f ca="1">'Offshore INT'!G18</f>
        <v>0</v>
      </c>
      <c r="Q18" s="790" t="e">
        <f t="shared" ca="1" si="7"/>
        <v>#DIV/0!</v>
      </c>
    </row>
    <row r="19" spans="1:17">
      <c r="A19" s="784">
        <f>'Offshore CF'!B30</f>
        <v>3</v>
      </c>
      <c r="B19" s="310">
        <f>'Offshore CF'!C30</f>
        <v>43651.833400000003</v>
      </c>
      <c r="C19" s="785" t="e">
        <f t="shared" ca="1" si="4"/>
        <v>#DIV/0!</v>
      </c>
      <c r="D19" s="765" t="e">
        <f t="shared" ca="1" si="0"/>
        <v>#DIV/0!</v>
      </c>
      <c r="E19" s="786" t="e">
        <f ca="1">'WBC Cancellation'!E30</f>
        <v>#DIV/0!</v>
      </c>
      <c r="F19" s="787" t="e">
        <f t="shared" ca="1" si="1"/>
        <v>#DIV/0!</v>
      </c>
      <c r="G19" s="788"/>
      <c r="H19" s="765">
        <f t="shared" si="5"/>
        <v>0</v>
      </c>
      <c r="I19" s="789"/>
      <c r="J19" s="787">
        <f t="shared" si="6"/>
        <v>0</v>
      </c>
      <c r="K19" s="788"/>
      <c r="L19" s="765">
        <f t="shared" si="2"/>
        <v>0</v>
      </c>
      <c r="M19" s="789"/>
      <c r="N19" s="787">
        <f t="shared" si="3"/>
        <v>0</v>
      </c>
      <c r="P19" s="790">
        <f ca="1">'Offshore INT'!G19</f>
        <v>0</v>
      </c>
      <c r="Q19" s="790" t="e">
        <f t="shared" ca="1" si="7"/>
        <v>#DIV/0!</v>
      </c>
    </row>
    <row r="20" spans="1:17">
      <c r="A20" s="784">
        <f>'Offshore CF'!B31</f>
        <v>4</v>
      </c>
      <c r="B20" s="310">
        <f>'Offshore CF'!C31</f>
        <v>43682.250100000005</v>
      </c>
      <c r="C20" s="785" t="e">
        <f t="shared" ca="1" si="4"/>
        <v>#DIV/0!</v>
      </c>
      <c r="D20" s="765" t="e">
        <f t="shared" ca="1" si="0"/>
        <v>#DIV/0!</v>
      </c>
      <c r="E20" s="786" t="e">
        <f ca="1">'WBC Cancellation'!E31</f>
        <v>#DIV/0!</v>
      </c>
      <c r="F20" s="787" t="e">
        <f t="shared" ca="1" si="1"/>
        <v>#DIV/0!</v>
      </c>
      <c r="G20" s="788"/>
      <c r="H20" s="765">
        <f t="shared" si="5"/>
        <v>0</v>
      </c>
      <c r="I20" s="789"/>
      <c r="J20" s="787">
        <f t="shared" si="6"/>
        <v>0</v>
      </c>
      <c r="K20" s="788"/>
      <c r="L20" s="765">
        <f t="shared" si="2"/>
        <v>0</v>
      </c>
      <c r="M20" s="789"/>
      <c r="N20" s="787">
        <f t="shared" si="3"/>
        <v>0</v>
      </c>
      <c r="P20" s="790">
        <f ca="1">'Offshore INT'!G20</f>
        <v>0</v>
      </c>
      <c r="Q20" s="790" t="e">
        <f t="shared" ca="1" si="7"/>
        <v>#DIV/0!</v>
      </c>
    </row>
    <row r="21" spans="1:17">
      <c r="A21" s="784">
        <f>'Offshore CF'!B32</f>
        <v>5</v>
      </c>
      <c r="B21" s="310">
        <f>'Offshore CF'!C32</f>
        <v>43712.666800000006</v>
      </c>
      <c r="C21" s="785" t="e">
        <f t="shared" ca="1" si="4"/>
        <v>#DIV/0!</v>
      </c>
      <c r="D21" s="765" t="e">
        <f t="shared" ca="1" si="0"/>
        <v>#DIV/0!</v>
      </c>
      <c r="E21" s="786" t="e">
        <f ca="1">'WBC Cancellation'!E32</f>
        <v>#DIV/0!</v>
      </c>
      <c r="F21" s="787" t="e">
        <f t="shared" ca="1" si="1"/>
        <v>#DIV/0!</v>
      </c>
      <c r="G21" s="788"/>
      <c r="H21" s="765">
        <f t="shared" si="5"/>
        <v>0</v>
      </c>
      <c r="I21" s="789"/>
      <c r="J21" s="787">
        <f t="shared" si="6"/>
        <v>0</v>
      </c>
      <c r="K21" s="788"/>
      <c r="L21" s="765">
        <f t="shared" si="2"/>
        <v>0</v>
      </c>
      <c r="M21" s="789"/>
      <c r="N21" s="787">
        <f t="shared" si="3"/>
        <v>0</v>
      </c>
      <c r="P21" s="790">
        <f ca="1">'Offshore INT'!G21</f>
        <v>0</v>
      </c>
      <c r="Q21" s="790" t="e">
        <f t="shared" ca="1" si="7"/>
        <v>#DIV/0!</v>
      </c>
    </row>
    <row r="22" spans="1:17">
      <c r="A22" s="784">
        <f>'Offshore CF'!B33</f>
        <v>6</v>
      </c>
      <c r="B22" s="310">
        <f>'Offshore CF'!C33</f>
        <v>43743.083500000008</v>
      </c>
      <c r="C22" s="785" t="e">
        <f t="shared" ca="1" si="4"/>
        <v>#DIV/0!</v>
      </c>
      <c r="D22" s="765" t="e">
        <f t="shared" ca="1" si="0"/>
        <v>#DIV/0!</v>
      </c>
      <c r="E22" s="786" t="e">
        <f ca="1">'WBC Cancellation'!E33</f>
        <v>#DIV/0!</v>
      </c>
      <c r="F22" s="787" t="e">
        <f t="shared" ca="1" si="1"/>
        <v>#DIV/0!</v>
      </c>
      <c r="G22" s="788"/>
      <c r="H22" s="765">
        <f t="shared" si="5"/>
        <v>0</v>
      </c>
      <c r="I22" s="789"/>
      <c r="J22" s="787">
        <f t="shared" si="6"/>
        <v>0</v>
      </c>
      <c r="K22" s="788"/>
      <c r="L22" s="765">
        <f t="shared" si="2"/>
        <v>0</v>
      </c>
      <c r="M22" s="789"/>
      <c r="N22" s="787">
        <f t="shared" si="3"/>
        <v>0</v>
      </c>
      <c r="P22" s="790">
        <f ca="1">'Offshore INT'!G22</f>
        <v>0</v>
      </c>
      <c r="Q22" s="790" t="e">
        <f t="shared" ca="1" si="7"/>
        <v>#DIV/0!</v>
      </c>
    </row>
    <row r="23" spans="1:17">
      <c r="A23" s="784">
        <f>'Offshore CF'!B34</f>
        <v>7</v>
      </c>
      <c r="B23" s="310">
        <f>'Offshore CF'!C34</f>
        <v>43773.500200000009</v>
      </c>
      <c r="C23" s="785" t="e">
        <f t="shared" ca="1" si="4"/>
        <v>#DIV/0!</v>
      </c>
      <c r="D23" s="765" t="e">
        <f t="shared" ca="1" si="0"/>
        <v>#DIV/0!</v>
      </c>
      <c r="E23" s="786" t="e">
        <f ca="1">'WBC Cancellation'!E34</f>
        <v>#DIV/0!</v>
      </c>
      <c r="F23" s="787" t="e">
        <f t="shared" ca="1" si="1"/>
        <v>#DIV/0!</v>
      </c>
      <c r="G23" s="788"/>
      <c r="H23" s="765">
        <f t="shared" si="5"/>
        <v>0</v>
      </c>
      <c r="I23" s="789"/>
      <c r="J23" s="787">
        <f t="shared" si="6"/>
        <v>0</v>
      </c>
      <c r="K23" s="788"/>
      <c r="L23" s="765">
        <f t="shared" si="2"/>
        <v>0</v>
      </c>
      <c r="M23" s="789"/>
      <c r="N23" s="787">
        <f t="shared" si="3"/>
        <v>0</v>
      </c>
      <c r="P23" s="790">
        <f ca="1">'Offshore INT'!G23</f>
        <v>0</v>
      </c>
      <c r="Q23" s="790" t="e">
        <f ca="1">D23-P23</f>
        <v>#DIV/0!</v>
      </c>
    </row>
    <row r="24" spans="1:17">
      <c r="A24" s="784">
        <f>'Offshore CF'!B35</f>
        <v>8</v>
      </c>
      <c r="B24" s="310">
        <f>'Offshore CF'!C35</f>
        <v>43803.916900000011</v>
      </c>
      <c r="C24" s="785" t="e">
        <f t="shared" ca="1" si="4"/>
        <v>#DIV/0!</v>
      </c>
      <c r="D24" s="765" t="e">
        <f t="shared" ca="1" si="0"/>
        <v>#DIV/0!</v>
      </c>
      <c r="E24" s="786" t="e">
        <f ca="1">'WBC Cancellation'!E35</f>
        <v>#DIV/0!</v>
      </c>
      <c r="F24" s="787" t="e">
        <f t="shared" ca="1" si="1"/>
        <v>#DIV/0!</v>
      </c>
      <c r="G24" s="788"/>
      <c r="H24" s="765">
        <f t="shared" si="5"/>
        <v>0</v>
      </c>
      <c r="I24" s="789"/>
      <c r="J24" s="787">
        <f t="shared" si="6"/>
        <v>0</v>
      </c>
      <c r="K24" s="788"/>
      <c r="L24" s="765">
        <f t="shared" si="2"/>
        <v>0</v>
      </c>
      <c r="M24" s="789"/>
      <c r="N24" s="787">
        <f t="shared" si="3"/>
        <v>0</v>
      </c>
      <c r="P24" s="790">
        <f ca="1">'Offshore INT'!G24</f>
        <v>0</v>
      </c>
      <c r="Q24" s="790" t="e">
        <f t="shared" ca="1" si="7"/>
        <v>#DIV/0!</v>
      </c>
    </row>
    <row r="25" spans="1:17">
      <c r="A25" s="784">
        <f>'Offshore CF'!B36</f>
        <v>9</v>
      </c>
      <c r="B25" s="310">
        <f>'Offshore CF'!C36</f>
        <v>43834.333600000013</v>
      </c>
      <c r="C25" s="785" t="e">
        <f t="shared" ca="1" si="4"/>
        <v>#DIV/0!</v>
      </c>
      <c r="D25" s="765" t="e">
        <f t="shared" ca="1" si="0"/>
        <v>#DIV/0!</v>
      </c>
      <c r="E25" s="786" t="e">
        <f ca="1">'WBC Cancellation'!E36</f>
        <v>#DIV/0!</v>
      </c>
      <c r="F25" s="787" t="e">
        <f t="shared" ca="1" si="1"/>
        <v>#DIV/0!</v>
      </c>
      <c r="G25" s="788"/>
      <c r="H25" s="765">
        <f t="shared" si="5"/>
        <v>0</v>
      </c>
      <c r="I25" s="789"/>
      <c r="J25" s="787">
        <f t="shared" si="6"/>
        <v>0</v>
      </c>
      <c r="K25" s="788"/>
      <c r="L25" s="765">
        <f t="shared" si="2"/>
        <v>0</v>
      </c>
      <c r="M25" s="789"/>
      <c r="N25" s="787">
        <f t="shared" si="3"/>
        <v>0</v>
      </c>
      <c r="P25" s="790">
        <f ca="1">'Offshore INT'!G25</f>
        <v>0</v>
      </c>
      <c r="Q25" s="790" t="e">
        <f t="shared" ca="1" si="7"/>
        <v>#DIV/0!</v>
      </c>
    </row>
    <row r="26" spans="1:17">
      <c r="A26" s="784">
        <f>'Offshore CF'!B37</f>
        <v>10</v>
      </c>
      <c r="B26" s="310">
        <f>'Offshore CF'!C37</f>
        <v>43864.750300000014</v>
      </c>
      <c r="C26" s="785" t="e">
        <f t="shared" ca="1" si="4"/>
        <v>#DIV/0!</v>
      </c>
      <c r="D26" s="765" t="e">
        <f t="shared" ca="1" si="0"/>
        <v>#DIV/0!</v>
      </c>
      <c r="E26" s="786" t="e">
        <f ca="1">'WBC Cancellation'!E37</f>
        <v>#DIV/0!</v>
      </c>
      <c r="F26" s="787" t="e">
        <f t="shared" ca="1" si="1"/>
        <v>#DIV/0!</v>
      </c>
      <c r="G26" s="788"/>
      <c r="H26" s="765">
        <f t="shared" si="5"/>
        <v>0</v>
      </c>
      <c r="I26" s="789"/>
      <c r="J26" s="787">
        <f t="shared" si="6"/>
        <v>0</v>
      </c>
      <c r="K26" s="788"/>
      <c r="L26" s="765">
        <f t="shared" si="2"/>
        <v>0</v>
      </c>
      <c r="M26" s="789"/>
      <c r="N26" s="787">
        <f t="shared" si="3"/>
        <v>0</v>
      </c>
      <c r="P26" s="790">
        <f ca="1">'Offshore INT'!G26</f>
        <v>0</v>
      </c>
      <c r="Q26" s="790" t="e">
        <f t="shared" ca="1" si="7"/>
        <v>#DIV/0!</v>
      </c>
    </row>
    <row r="27" spans="1:17">
      <c r="A27" s="784">
        <f>'Offshore CF'!B38</f>
        <v>11</v>
      </c>
      <c r="B27" s="310">
        <f>'Offshore CF'!C38</f>
        <v>43895.167000000016</v>
      </c>
      <c r="C27" s="785" t="e">
        <f t="shared" ca="1" si="4"/>
        <v>#DIV/0!</v>
      </c>
      <c r="D27" s="765" t="e">
        <f t="shared" ca="1" si="0"/>
        <v>#DIV/0!</v>
      </c>
      <c r="E27" s="786" t="e">
        <f ca="1">'WBC Cancellation'!E38</f>
        <v>#DIV/0!</v>
      </c>
      <c r="F27" s="787" t="e">
        <f t="shared" ca="1" si="1"/>
        <v>#DIV/0!</v>
      </c>
      <c r="G27" s="788"/>
      <c r="H27" s="765">
        <f t="shared" si="5"/>
        <v>0</v>
      </c>
      <c r="I27" s="789"/>
      <c r="J27" s="787">
        <f t="shared" si="6"/>
        <v>0</v>
      </c>
      <c r="K27" s="788"/>
      <c r="L27" s="765">
        <f t="shared" si="2"/>
        <v>0</v>
      </c>
      <c r="M27" s="789"/>
      <c r="N27" s="787">
        <f t="shared" si="3"/>
        <v>0</v>
      </c>
      <c r="P27" s="790">
        <f ca="1">'Offshore INT'!G27</f>
        <v>0</v>
      </c>
      <c r="Q27" s="790" t="e">
        <f t="shared" ca="1" si="7"/>
        <v>#DIV/0!</v>
      </c>
    </row>
    <row r="28" spans="1:17">
      <c r="A28" s="784">
        <f>'Offshore CF'!B39</f>
        <v>12</v>
      </c>
      <c r="B28" s="310">
        <f>'Offshore CF'!C39</f>
        <v>43925.583700000017</v>
      </c>
      <c r="C28" s="785" t="e">
        <f t="shared" ca="1" si="4"/>
        <v>#DIV/0!</v>
      </c>
      <c r="D28" s="765" t="e">
        <f t="shared" ca="1" si="0"/>
        <v>#DIV/0!</v>
      </c>
      <c r="E28" s="786" t="e">
        <f ca="1">'WBC Cancellation'!E39</f>
        <v>#DIV/0!</v>
      </c>
      <c r="F28" s="787" t="e">
        <f t="shared" ca="1" si="1"/>
        <v>#DIV/0!</v>
      </c>
      <c r="G28" s="788"/>
      <c r="H28" s="765">
        <f t="shared" si="5"/>
        <v>0</v>
      </c>
      <c r="I28" s="789"/>
      <c r="J28" s="787">
        <f t="shared" si="6"/>
        <v>0</v>
      </c>
      <c r="K28" s="788"/>
      <c r="L28" s="765">
        <f t="shared" si="2"/>
        <v>0</v>
      </c>
      <c r="M28" s="789"/>
      <c r="N28" s="787">
        <f t="shared" si="3"/>
        <v>0</v>
      </c>
      <c r="P28" s="790">
        <f ca="1">'Offshore INT'!G28</f>
        <v>0</v>
      </c>
      <c r="Q28" s="790" t="e">
        <f t="shared" ca="1" si="7"/>
        <v>#DIV/0!</v>
      </c>
    </row>
    <row r="29" spans="1:17">
      <c r="A29" s="784">
        <f>'Offshore CF'!B40</f>
        <v>13</v>
      </c>
      <c r="B29" s="310">
        <f>'Offshore CF'!C40</f>
        <v>43956.000400000019</v>
      </c>
      <c r="C29" s="785" t="e">
        <f t="shared" ca="1" si="4"/>
        <v>#DIV/0!</v>
      </c>
      <c r="D29" s="765" t="e">
        <f t="shared" ca="1" si="0"/>
        <v>#DIV/0!</v>
      </c>
      <c r="E29" s="786" t="e">
        <f ca="1">'WBC Cancellation'!E40</f>
        <v>#DIV/0!</v>
      </c>
      <c r="F29" s="787" t="e">
        <f t="shared" ca="1" si="1"/>
        <v>#DIV/0!</v>
      </c>
      <c r="G29" s="788"/>
      <c r="H29" s="765">
        <f t="shared" si="5"/>
        <v>0</v>
      </c>
      <c r="I29" s="789"/>
      <c r="J29" s="787">
        <f t="shared" si="6"/>
        <v>0</v>
      </c>
      <c r="K29" s="788"/>
      <c r="L29" s="765">
        <f t="shared" si="2"/>
        <v>0</v>
      </c>
      <c r="M29" s="789"/>
      <c r="N29" s="787">
        <f t="shared" si="3"/>
        <v>0</v>
      </c>
      <c r="P29" s="790">
        <f ca="1">'Offshore INT'!G29</f>
        <v>0</v>
      </c>
      <c r="Q29" s="790" t="e">
        <f t="shared" ca="1" si="7"/>
        <v>#DIV/0!</v>
      </c>
    </row>
    <row r="30" spans="1:17">
      <c r="A30" s="784">
        <f>'Offshore CF'!B41</f>
        <v>14</v>
      </c>
      <c r="B30" s="310">
        <f>'Offshore CF'!C41</f>
        <v>43986.417100000021</v>
      </c>
      <c r="C30" s="785" t="e">
        <f t="shared" ca="1" si="4"/>
        <v>#DIV/0!</v>
      </c>
      <c r="D30" s="765" t="e">
        <f t="shared" ca="1" si="0"/>
        <v>#DIV/0!</v>
      </c>
      <c r="E30" s="786" t="e">
        <f ca="1">'WBC Cancellation'!E41</f>
        <v>#DIV/0!</v>
      </c>
      <c r="F30" s="787" t="e">
        <f t="shared" ca="1" si="1"/>
        <v>#DIV/0!</v>
      </c>
      <c r="G30" s="788"/>
      <c r="H30" s="765">
        <f t="shared" si="5"/>
        <v>0</v>
      </c>
      <c r="I30" s="789"/>
      <c r="J30" s="787">
        <f t="shared" si="6"/>
        <v>0</v>
      </c>
      <c r="K30" s="788"/>
      <c r="L30" s="765">
        <f t="shared" si="2"/>
        <v>0</v>
      </c>
      <c r="M30" s="789"/>
      <c r="N30" s="787">
        <f t="shared" si="3"/>
        <v>0</v>
      </c>
      <c r="P30" s="790">
        <f ca="1">'Offshore INT'!G30</f>
        <v>0</v>
      </c>
      <c r="Q30" s="790" t="e">
        <f t="shared" ca="1" si="7"/>
        <v>#DIV/0!</v>
      </c>
    </row>
    <row r="31" spans="1:17">
      <c r="A31" s="784">
        <f>'Offshore CF'!B42</f>
        <v>15</v>
      </c>
      <c r="B31" s="310">
        <f>'Offshore CF'!C42</f>
        <v>44016.833800000022</v>
      </c>
      <c r="C31" s="785" t="e">
        <f t="shared" ca="1" si="4"/>
        <v>#DIV/0!</v>
      </c>
      <c r="D31" s="765" t="e">
        <f t="shared" ca="1" si="0"/>
        <v>#DIV/0!</v>
      </c>
      <c r="E31" s="786" t="e">
        <f ca="1">'WBC Cancellation'!E42</f>
        <v>#DIV/0!</v>
      </c>
      <c r="F31" s="787" t="e">
        <f t="shared" ca="1" si="1"/>
        <v>#DIV/0!</v>
      </c>
      <c r="G31" s="788"/>
      <c r="H31" s="765">
        <f t="shared" si="5"/>
        <v>0</v>
      </c>
      <c r="I31" s="789"/>
      <c r="J31" s="787">
        <f t="shared" si="6"/>
        <v>0</v>
      </c>
      <c r="K31" s="788"/>
      <c r="L31" s="765">
        <f t="shared" si="2"/>
        <v>0</v>
      </c>
      <c r="M31" s="789"/>
      <c r="N31" s="787">
        <f t="shared" si="3"/>
        <v>0</v>
      </c>
      <c r="P31" s="790">
        <f ca="1">'Offshore INT'!G31</f>
        <v>0</v>
      </c>
      <c r="Q31" s="790" t="e">
        <f t="shared" ca="1" si="7"/>
        <v>#DIV/0!</v>
      </c>
    </row>
    <row r="32" spans="1:17">
      <c r="A32" s="784">
        <f>'Offshore CF'!B43</f>
        <v>16</v>
      </c>
      <c r="B32" s="310">
        <f>'Offshore CF'!C43</f>
        <v>44047.250500000024</v>
      </c>
      <c r="C32" s="785" t="e">
        <f t="shared" ca="1" si="4"/>
        <v>#DIV/0!</v>
      </c>
      <c r="D32" s="765" t="e">
        <f t="shared" ca="1" si="0"/>
        <v>#DIV/0!</v>
      </c>
      <c r="E32" s="786" t="e">
        <f ca="1">'WBC Cancellation'!E43</f>
        <v>#DIV/0!</v>
      </c>
      <c r="F32" s="787" t="e">
        <f t="shared" ca="1" si="1"/>
        <v>#DIV/0!</v>
      </c>
      <c r="G32" s="788"/>
      <c r="H32" s="765">
        <f t="shared" si="5"/>
        <v>0</v>
      </c>
      <c r="I32" s="789"/>
      <c r="J32" s="787">
        <f t="shared" si="6"/>
        <v>0</v>
      </c>
      <c r="K32" s="788"/>
      <c r="L32" s="765">
        <f t="shared" si="2"/>
        <v>0</v>
      </c>
      <c r="M32" s="789"/>
      <c r="N32" s="787">
        <f t="shared" si="3"/>
        <v>0</v>
      </c>
      <c r="P32" s="790">
        <f ca="1">'Offshore INT'!G32</f>
        <v>0</v>
      </c>
      <c r="Q32" s="790" t="e">
        <f t="shared" ca="1" si="7"/>
        <v>#DIV/0!</v>
      </c>
    </row>
    <row r="33" spans="1:17">
      <c r="A33" s="784">
        <f>'Offshore CF'!B44</f>
        <v>17</v>
      </c>
      <c r="B33" s="310">
        <f>'Offshore CF'!C44</f>
        <v>44077.667200000025</v>
      </c>
      <c r="C33" s="785" t="e">
        <f t="shared" ca="1" si="4"/>
        <v>#DIV/0!</v>
      </c>
      <c r="D33" s="765" t="e">
        <f t="shared" ca="1" si="0"/>
        <v>#DIV/0!</v>
      </c>
      <c r="E33" s="786" t="e">
        <f ca="1">'WBC Cancellation'!E44</f>
        <v>#DIV/0!</v>
      </c>
      <c r="F33" s="787" t="e">
        <f t="shared" ca="1" si="1"/>
        <v>#DIV/0!</v>
      </c>
      <c r="G33" s="788"/>
      <c r="H33" s="765">
        <f t="shared" si="5"/>
        <v>0</v>
      </c>
      <c r="I33" s="789"/>
      <c r="J33" s="787">
        <f t="shared" si="6"/>
        <v>0</v>
      </c>
      <c r="K33" s="788"/>
      <c r="L33" s="765">
        <f t="shared" si="2"/>
        <v>0</v>
      </c>
      <c r="M33" s="789"/>
      <c r="N33" s="787">
        <f t="shared" si="3"/>
        <v>0</v>
      </c>
      <c r="P33" s="790">
        <f ca="1">'Offshore INT'!G33</f>
        <v>0</v>
      </c>
      <c r="Q33" s="790" t="e">
        <f t="shared" ca="1" si="7"/>
        <v>#DIV/0!</v>
      </c>
    </row>
    <row r="34" spans="1:17">
      <c r="A34" s="784">
        <f>'Offshore CF'!B45</f>
        <v>18</v>
      </c>
      <c r="B34" s="310">
        <f>'Offshore CF'!C45</f>
        <v>44108.083900000027</v>
      </c>
      <c r="C34" s="785" t="e">
        <f t="shared" ca="1" si="4"/>
        <v>#DIV/0!</v>
      </c>
      <c r="D34" s="765" t="e">
        <f t="shared" ca="1" si="0"/>
        <v>#DIV/0!</v>
      </c>
      <c r="E34" s="786" t="e">
        <f ca="1">'WBC Cancellation'!E45</f>
        <v>#DIV/0!</v>
      </c>
      <c r="F34" s="787" t="e">
        <f t="shared" ca="1" si="1"/>
        <v>#DIV/0!</v>
      </c>
      <c r="G34" s="788"/>
      <c r="H34" s="765">
        <f t="shared" si="5"/>
        <v>0</v>
      </c>
      <c r="I34" s="789"/>
      <c r="J34" s="787">
        <f t="shared" si="6"/>
        <v>0</v>
      </c>
      <c r="K34" s="788"/>
      <c r="L34" s="765">
        <f t="shared" si="2"/>
        <v>0</v>
      </c>
      <c r="M34" s="789"/>
      <c r="N34" s="787">
        <f t="shared" si="3"/>
        <v>0</v>
      </c>
      <c r="P34" s="790">
        <f ca="1">'Offshore INT'!G34</f>
        <v>0</v>
      </c>
      <c r="Q34" s="790" t="e">
        <f t="shared" ca="1" si="7"/>
        <v>#DIV/0!</v>
      </c>
    </row>
    <row r="35" spans="1:17">
      <c r="A35" s="784">
        <f>'Offshore CF'!B46</f>
        <v>19</v>
      </c>
      <c r="B35" s="310">
        <f>'Offshore CF'!C46</f>
        <v>44138.500600000028</v>
      </c>
      <c r="C35" s="785" t="e">
        <f t="shared" ca="1" si="4"/>
        <v>#DIV/0!</v>
      </c>
      <c r="D35" s="765" t="e">
        <f t="shared" ca="1" si="0"/>
        <v>#DIV/0!</v>
      </c>
      <c r="E35" s="786" t="e">
        <f ca="1">'WBC Cancellation'!E46</f>
        <v>#DIV/0!</v>
      </c>
      <c r="F35" s="787" t="e">
        <f t="shared" ca="1" si="1"/>
        <v>#DIV/0!</v>
      </c>
      <c r="G35" s="788"/>
      <c r="H35" s="765">
        <f t="shared" si="5"/>
        <v>0</v>
      </c>
      <c r="I35" s="789"/>
      <c r="J35" s="787">
        <f t="shared" si="6"/>
        <v>0</v>
      </c>
      <c r="K35" s="788"/>
      <c r="L35" s="765">
        <f t="shared" si="2"/>
        <v>0</v>
      </c>
      <c r="M35" s="789"/>
      <c r="N35" s="787">
        <f t="shared" si="3"/>
        <v>0</v>
      </c>
      <c r="P35" s="790">
        <f ca="1">'Offshore INT'!G35</f>
        <v>0</v>
      </c>
      <c r="Q35" s="790" t="e">
        <f t="shared" ca="1" si="7"/>
        <v>#DIV/0!</v>
      </c>
    </row>
    <row r="36" spans="1:17">
      <c r="A36" s="784">
        <f>'Offshore CF'!B47</f>
        <v>20</v>
      </c>
      <c r="B36" s="310">
        <f>'Offshore CF'!C47</f>
        <v>44168.91730000003</v>
      </c>
      <c r="C36" s="785" t="e">
        <f t="shared" ca="1" si="4"/>
        <v>#DIV/0!</v>
      </c>
      <c r="D36" s="765" t="e">
        <f t="shared" ca="1" si="0"/>
        <v>#DIV/0!</v>
      </c>
      <c r="E36" s="786" t="e">
        <f ca="1">'WBC Cancellation'!E47</f>
        <v>#DIV/0!</v>
      </c>
      <c r="F36" s="787" t="e">
        <f t="shared" ca="1" si="1"/>
        <v>#DIV/0!</v>
      </c>
      <c r="G36" s="788"/>
      <c r="H36" s="765">
        <f t="shared" si="5"/>
        <v>0</v>
      </c>
      <c r="I36" s="789"/>
      <c r="J36" s="787">
        <f t="shared" si="6"/>
        <v>0</v>
      </c>
      <c r="K36" s="788"/>
      <c r="L36" s="765">
        <f t="shared" si="2"/>
        <v>0</v>
      </c>
      <c r="M36" s="789"/>
      <c r="N36" s="787">
        <f t="shared" si="3"/>
        <v>0</v>
      </c>
      <c r="P36" s="790">
        <f ca="1">'Offshore INT'!G36</f>
        <v>0</v>
      </c>
      <c r="Q36" s="790" t="e">
        <f t="shared" ca="1" si="7"/>
        <v>#DIV/0!</v>
      </c>
    </row>
    <row r="37" spans="1:17">
      <c r="A37" s="784">
        <f>'Offshore CF'!B48</f>
        <v>21</v>
      </c>
      <c r="B37" s="310">
        <f>'Offshore CF'!C48</f>
        <v>44199.334000000032</v>
      </c>
      <c r="C37" s="785" t="e">
        <f t="shared" ca="1" si="4"/>
        <v>#DIV/0!</v>
      </c>
      <c r="D37" s="765" t="e">
        <f t="shared" ca="1" si="0"/>
        <v>#DIV/0!</v>
      </c>
      <c r="E37" s="786" t="e">
        <f ca="1">'WBC Cancellation'!E48</f>
        <v>#DIV/0!</v>
      </c>
      <c r="F37" s="787" t="e">
        <f t="shared" ca="1" si="1"/>
        <v>#DIV/0!</v>
      </c>
      <c r="G37" s="788"/>
      <c r="H37" s="765">
        <f t="shared" si="5"/>
        <v>0</v>
      </c>
      <c r="I37" s="789"/>
      <c r="J37" s="787">
        <f t="shared" si="6"/>
        <v>0</v>
      </c>
      <c r="K37" s="788"/>
      <c r="L37" s="765">
        <f t="shared" si="2"/>
        <v>0</v>
      </c>
      <c r="M37" s="789"/>
      <c r="N37" s="787">
        <f t="shared" si="3"/>
        <v>0</v>
      </c>
      <c r="P37" s="790">
        <f ca="1">'Offshore INT'!G37</f>
        <v>0</v>
      </c>
      <c r="Q37" s="790" t="e">
        <f t="shared" ca="1" si="7"/>
        <v>#DIV/0!</v>
      </c>
    </row>
    <row r="38" spans="1:17">
      <c r="A38" s="784">
        <f>'Offshore CF'!B49</f>
        <v>22</v>
      </c>
      <c r="B38" s="310">
        <f>'Offshore CF'!C49</f>
        <v>44229.750700000033</v>
      </c>
      <c r="C38" s="785" t="e">
        <f t="shared" ca="1" si="4"/>
        <v>#DIV/0!</v>
      </c>
      <c r="D38" s="765" t="e">
        <f t="shared" ca="1" si="0"/>
        <v>#DIV/0!</v>
      </c>
      <c r="E38" s="786" t="e">
        <f ca="1">'WBC Cancellation'!E49</f>
        <v>#DIV/0!</v>
      </c>
      <c r="F38" s="787" t="e">
        <f t="shared" ca="1" si="1"/>
        <v>#DIV/0!</v>
      </c>
      <c r="G38" s="788"/>
      <c r="H38" s="765">
        <f t="shared" si="5"/>
        <v>0</v>
      </c>
      <c r="I38" s="789"/>
      <c r="J38" s="787">
        <f t="shared" si="6"/>
        <v>0</v>
      </c>
      <c r="K38" s="788"/>
      <c r="L38" s="765">
        <f t="shared" si="2"/>
        <v>0</v>
      </c>
      <c r="M38" s="789"/>
      <c r="N38" s="787">
        <f t="shared" si="3"/>
        <v>0</v>
      </c>
      <c r="P38" s="790">
        <f ca="1">'Offshore INT'!G38</f>
        <v>0</v>
      </c>
      <c r="Q38" s="790" t="e">
        <f t="shared" ca="1" si="7"/>
        <v>#DIV/0!</v>
      </c>
    </row>
    <row r="39" spans="1:17">
      <c r="A39" s="784">
        <f>'Offshore CF'!B50</f>
        <v>23</v>
      </c>
      <c r="B39" s="310">
        <f>'Offshore CF'!C50</f>
        <v>44260.167400000035</v>
      </c>
      <c r="C39" s="785" t="e">
        <f t="shared" ca="1" si="4"/>
        <v>#DIV/0!</v>
      </c>
      <c r="D39" s="765" t="e">
        <f t="shared" ca="1" si="0"/>
        <v>#DIV/0!</v>
      </c>
      <c r="E39" s="786" t="e">
        <f ca="1">'WBC Cancellation'!E50</f>
        <v>#DIV/0!</v>
      </c>
      <c r="F39" s="787" t="e">
        <f t="shared" ca="1" si="1"/>
        <v>#DIV/0!</v>
      </c>
      <c r="G39" s="788"/>
      <c r="H39" s="765">
        <f t="shared" si="5"/>
        <v>0</v>
      </c>
      <c r="I39" s="789"/>
      <c r="J39" s="787">
        <f t="shared" si="6"/>
        <v>0</v>
      </c>
      <c r="K39" s="788"/>
      <c r="L39" s="765">
        <f t="shared" si="2"/>
        <v>0</v>
      </c>
      <c r="M39" s="789"/>
      <c r="N39" s="787">
        <f t="shared" si="3"/>
        <v>0</v>
      </c>
      <c r="P39" s="790">
        <f ca="1">'Offshore INT'!G39</f>
        <v>0</v>
      </c>
      <c r="Q39" s="790" t="e">
        <f t="shared" ca="1" si="7"/>
        <v>#DIV/0!</v>
      </c>
    </row>
    <row r="40" spans="1:17">
      <c r="A40" s="784">
        <f>'Offshore CF'!B51</f>
        <v>24</v>
      </c>
      <c r="B40" s="310">
        <f>'Offshore CF'!C51</f>
        <v>44290.584100000036</v>
      </c>
      <c r="C40" s="785" t="e">
        <f t="shared" ca="1" si="4"/>
        <v>#DIV/0!</v>
      </c>
      <c r="D40" s="765" t="e">
        <f t="shared" ca="1" si="0"/>
        <v>#DIV/0!</v>
      </c>
      <c r="E40" s="786" t="e">
        <f ca="1">'WBC Cancellation'!E51</f>
        <v>#DIV/0!</v>
      </c>
      <c r="F40" s="787" t="e">
        <f t="shared" ca="1" si="1"/>
        <v>#DIV/0!</v>
      </c>
      <c r="G40" s="788"/>
      <c r="H40" s="765">
        <f t="shared" si="5"/>
        <v>0</v>
      </c>
      <c r="I40" s="789"/>
      <c r="J40" s="787">
        <f t="shared" si="6"/>
        <v>0</v>
      </c>
      <c r="K40" s="788"/>
      <c r="L40" s="765">
        <f t="shared" si="2"/>
        <v>0</v>
      </c>
      <c r="M40" s="789"/>
      <c r="N40" s="787">
        <f t="shared" si="3"/>
        <v>0</v>
      </c>
      <c r="P40" s="790">
        <f ca="1">'Offshore INT'!G40</f>
        <v>0</v>
      </c>
      <c r="Q40" s="790" t="e">
        <f t="shared" ca="1" si="7"/>
        <v>#DIV/0!</v>
      </c>
    </row>
    <row r="41" spans="1:17">
      <c r="A41" s="784">
        <f>'Offshore CF'!B52</f>
        <v>25</v>
      </c>
      <c r="B41" s="310">
        <f>'Offshore CF'!C52</f>
        <v>44321.000800000038</v>
      </c>
      <c r="C41" s="785" t="e">
        <f t="shared" ca="1" si="4"/>
        <v>#DIV/0!</v>
      </c>
      <c r="D41" s="765" t="e">
        <f t="shared" ca="1" si="0"/>
        <v>#DIV/0!</v>
      </c>
      <c r="E41" s="786" t="e">
        <f ca="1">'WBC Cancellation'!E52</f>
        <v>#DIV/0!</v>
      </c>
      <c r="F41" s="787" t="e">
        <f t="shared" ca="1" si="1"/>
        <v>#DIV/0!</v>
      </c>
      <c r="G41" s="788"/>
      <c r="H41" s="765">
        <f t="shared" si="5"/>
        <v>0</v>
      </c>
      <c r="I41" s="789"/>
      <c r="J41" s="787">
        <f t="shared" si="6"/>
        <v>0</v>
      </c>
      <c r="K41" s="788"/>
      <c r="L41" s="765">
        <f t="shared" si="2"/>
        <v>0</v>
      </c>
      <c r="M41" s="789"/>
      <c r="N41" s="787">
        <f t="shared" si="3"/>
        <v>0</v>
      </c>
      <c r="P41" s="790">
        <f ca="1">'Offshore INT'!G41</f>
        <v>0</v>
      </c>
      <c r="Q41" s="790" t="e">
        <f t="shared" ca="1" si="7"/>
        <v>#DIV/0!</v>
      </c>
    </row>
    <row r="42" spans="1:17">
      <c r="A42" s="784">
        <f>'Offshore CF'!B53</f>
        <v>26</v>
      </c>
      <c r="B42" s="310">
        <f>'Offshore CF'!C53</f>
        <v>44351.41750000004</v>
      </c>
      <c r="C42" s="785" t="e">
        <f t="shared" ca="1" si="4"/>
        <v>#DIV/0!</v>
      </c>
      <c r="D42" s="765" t="e">
        <f t="shared" ca="1" si="0"/>
        <v>#DIV/0!</v>
      </c>
      <c r="E42" s="786" t="e">
        <f ca="1">'WBC Cancellation'!E53</f>
        <v>#DIV/0!</v>
      </c>
      <c r="F42" s="787" t="e">
        <f t="shared" ca="1" si="1"/>
        <v>#DIV/0!</v>
      </c>
      <c r="G42" s="788"/>
      <c r="H42" s="765">
        <f t="shared" si="5"/>
        <v>0</v>
      </c>
      <c r="I42" s="789"/>
      <c r="J42" s="787">
        <f t="shared" si="6"/>
        <v>0</v>
      </c>
      <c r="K42" s="788"/>
      <c r="L42" s="765">
        <f t="shared" si="2"/>
        <v>0</v>
      </c>
      <c r="M42" s="789"/>
      <c r="N42" s="787">
        <f t="shared" si="3"/>
        <v>0</v>
      </c>
      <c r="P42" s="790">
        <f ca="1">'Offshore INT'!G42</f>
        <v>0</v>
      </c>
      <c r="Q42" s="790" t="e">
        <f t="shared" ca="1" si="7"/>
        <v>#DIV/0!</v>
      </c>
    </row>
    <row r="43" spans="1:17">
      <c r="A43" s="784">
        <f>'Offshore CF'!B54</f>
        <v>27</v>
      </c>
      <c r="B43" s="310">
        <f>'Offshore CF'!C54</f>
        <v>44381.834200000041</v>
      </c>
      <c r="C43" s="785" t="e">
        <f t="shared" ca="1" si="4"/>
        <v>#DIV/0!</v>
      </c>
      <c r="D43" s="765" t="e">
        <f t="shared" ca="1" si="0"/>
        <v>#DIV/0!</v>
      </c>
      <c r="E43" s="786" t="e">
        <f ca="1">'WBC Cancellation'!E54</f>
        <v>#DIV/0!</v>
      </c>
      <c r="F43" s="787" t="e">
        <f t="shared" ca="1" si="1"/>
        <v>#DIV/0!</v>
      </c>
      <c r="G43" s="788"/>
      <c r="H43" s="765">
        <f t="shared" si="5"/>
        <v>0</v>
      </c>
      <c r="I43" s="789"/>
      <c r="J43" s="787">
        <f t="shared" si="6"/>
        <v>0</v>
      </c>
      <c r="K43" s="788"/>
      <c r="L43" s="765">
        <f t="shared" si="2"/>
        <v>0</v>
      </c>
      <c r="M43" s="789"/>
      <c r="N43" s="787">
        <f t="shared" si="3"/>
        <v>0</v>
      </c>
      <c r="P43" s="790">
        <f ca="1">'Offshore INT'!G43</f>
        <v>0</v>
      </c>
      <c r="Q43" s="790" t="e">
        <f t="shared" ca="1" si="7"/>
        <v>#DIV/0!</v>
      </c>
    </row>
    <row r="44" spans="1:17">
      <c r="A44" s="784">
        <f>'Offshore CF'!B55</f>
        <v>28</v>
      </c>
      <c r="B44" s="310">
        <f>'Offshore CF'!C55</f>
        <v>44412.250900000043</v>
      </c>
      <c r="C44" s="785" t="e">
        <f t="shared" ca="1" si="4"/>
        <v>#DIV/0!</v>
      </c>
      <c r="D44" s="765" t="e">
        <f t="shared" ca="1" si="0"/>
        <v>#DIV/0!</v>
      </c>
      <c r="E44" s="786" t="e">
        <f ca="1">'WBC Cancellation'!E55</f>
        <v>#DIV/0!</v>
      </c>
      <c r="F44" s="787" t="e">
        <f t="shared" ca="1" si="1"/>
        <v>#DIV/0!</v>
      </c>
      <c r="G44" s="788"/>
      <c r="H44" s="765">
        <f t="shared" si="5"/>
        <v>0</v>
      </c>
      <c r="I44" s="789"/>
      <c r="J44" s="787">
        <f t="shared" si="6"/>
        <v>0</v>
      </c>
      <c r="K44" s="788"/>
      <c r="L44" s="765">
        <f t="shared" si="2"/>
        <v>0</v>
      </c>
      <c r="M44" s="789"/>
      <c r="N44" s="787">
        <f t="shared" si="3"/>
        <v>0</v>
      </c>
      <c r="P44" s="790">
        <f ca="1">'Offshore INT'!G44</f>
        <v>0</v>
      </c>
      <c r="Q44" s="790" t="e">
        <f t="shared" ca="1" si="7"/>
        <v>#DIV/0!</v>
      </c>
    </row>
    <row r="45" spans="1:17">
      <c r="A45" s="784">
        <f>'Offshore CF'!B56</f>
        <v>29</v>
      </c>
      <c r="B45" s="310">
        <f>'Offshore CF'!C56</f>
        <v>44442.667600000044</v>
      </c>
      <c r="C45" s="785" t="e">
        <f t="shared" ca="1" si="4"/>
        <v>#DIV/0!</v>
      </c>
      <c r="D45" s="765" t="e">
        <f t="shared" ca="1" si="0"/>
        <v>#DIV/0!</v>
      </c>
      <c r="E45" s="786" t="e">
        <f ca="1">'WBC Cancellation'!E56</f>
        <v>#DIV/0!</v>
      </c>
      <c r="F45" s="787" t="e">
        <f t="shared" ca="1" si="1"/>
        <v>#DIV/0!</v>
      </c>
      <c r="G45" s="788"/>
      <c r="H45" s="765">
        <f t="shared" si="5"/>
        <v>0</v>
      </c>
      <c r="I45" s="789"/>
      <c r="J45" s="787">
        <f t="shared" si="6"/>
        <v>0</v>
      </c>
      <c r="K45" s="788"/>
      <c r="L45" s="765">
        <f t="shared" si="2"/>
        <v>0</v>
      </c>
      <c r="M45" s="789"/>
      <c r="N45" s="787">
        <f t="shared" si="3"/>
        <v>0</v>
      </c>
      <c r="P45" s="790">
        <f ca="1">'Offshore INT'!G45</f>
        <v>0</v>
      </c>
      <c r="Q45" s="790" t="e">
        <f t="shared" ca="1" si="7"/>
        <v>#DIV/0!</v>
      </c>
    </row>
    <row r="46" spans="1:17">
      <c r="A46" s="784">
        <f>'Offshore CF'!B57</f>
        <v>30</v>
      </c>
      <c r="B46" s="310">
        <f>'Offshore CF'!C57</f>
        <v>44473.084300000046</v>
      </c>
      <c r="C46" s="785" t="e">
        <f t="shared" ca="1" si="4"/>
        <v>#DIV/0!</v>
      </c>
      <c r="D46" s="765" t="e">
        <f t="shared" ca="1" si="0"/>
        <v>#DIV/0!</v>
      </c>
      <c r="E46" s="786" t="e">
        <f ca="1">'WBC Cancellation'!E57</f>
        <v>#DIV/0!</v>
      </c>
      <c r="F46" s="787" t="e">
        <f t="shared" ca="1" si="1"/>
        <v>#DIV/0!</v>
      </c>
      <c r="G46" s="788"/>
      <c r="H46" s="765">
        <f t="shared" si="5"/>
        <v>0</v>
      </c>
      <c r="I46" s="789"/>
      <c r="J46" s="787">
        <f t="shared" si="6"/>
        <v>0</v>
      </c>
      <c r="K46" s="788"/>
      <c r="L46" s="765">
        <f t="shared" si="2"/>
        <v>0</v>
      </c>
      <c r="M46" s="789"/>
      <c r="N46" s="787">
        <f t="shared" si="3"/>
        <v>0</v>
      </c>
      <c r="P46" s="790">
        <f ca="1">'Offshore INT'!G46</f>
        <v>0</v>
      </c>
      <c r="Q46" s="790" t="e">
        <f t="shared" ca="1" si="7"/>
        <v>#DIV/0!</v>
      </c>
    </row>
    <row r="47" spans="1:17">
      <c r="A47" s="784">
        <f>'Offshore CF'!B58</f>
        <v>31</v>
      </c>
      <c r="B47" s="310">
        <f>'Offshore CF'!C58</f>
        <v>44503.501000000047</v>
      </c>
      <c r="C47" s="785" t="e">
        <f t="shared" ca="1" si="4"/>
        <v>#DIV/0!</v>
      </c>
      <c r="D47" s="765" t="e">
        <f t="shared" ca="1" si="0"/>
        <v>#DIV/0!</v>
      </c>
      <c r="E47" s="786" t="e">
        <f ca="1">'WBC Cancellation'!E58</f>
        <v>#DIV/0!</v>
      </c>
      <c r="F47" s="787" t="e">
        <f t="shared" ca="1" si="1"/>
        <v>#DIV/0!</v>
      </c>
      <c r="G47" s="788"/>
      <c r="H47" s="765">
        <f t="shared" si="5"/>
        <v>0</v>
      </c>
      <c r="I47" s="789"/>
      <c r="J47" s="787">
        <f t="shared" si="6"/>
        <v>0</v>
      </c>
      <c r="K47" s="788"/>
      <c r="L47" s="765">
        <f t="shared" si="2"/>
        <v>0</v>
      </c>
      <c r="M47" s="789"/>
      <c r="N47" s="787">
        <f t="shared" si="3"/>
        <v>0</v>
      </c>
      <c r="P47" s="790">
        <f ca="1">'Offshore INT'!G47</f>
        <v>0</v>
      </c>
      <c r="Q47" s="790" t="e">
        <f t="shared" ca="1" si="7"/>
        <v>#DIV/0!</v>
      </c>
    </row>
    <row r="48" spans="1:17">
      <c r="A48" s="784">
        <f>'Offshore CF'!B59</f>
        <v>32</v>
      </c>
      <c r="B48" s="310">
        <f>'Offshore CF'!C59</f>
        <v>44533.917700000049</v>
      </c>
      <c r="C48" s="785" t="e">
        <f t="shared" ca="1" si="4"/>
        <v>#DIV/0!</v>
      </c>
      <c r="D48" s="765" t="e">
        <f t="shared" ca="1" si="0"/>
        <v>#DIV/0!</v>
      </c>
      <c r="E48" s="786" t="e">
        <f ca="1">'WBC Cancellation'!E59</f>
        <v>#DIV/0!</v>
      </c>
      <c r="F48" s="787" t="e">
        <f t="shared" ca="1" si="1"/>
        <v>#DIV/0!</v>
      </c>
      <c r="G48" s="788"/>
      <c r="H48" s="765">
        <f t="shared" si="5"/>
        <v>0</v>
      </c>
      <c r="I48" s="789"/>
      <c r="J48" s="787">
        <f t="shared" si="6"/>
        <v>0</v>
      </c>
      <c r="K48" s="788"/>
      <c r="L48" s="765">
        <f t="shared" si="2"/>
        <v>0</v>
      </c>
      <c r="M48" s="789"/>
      <c r="N48" s="787">
        <f t="shared" si="3"/>
        <v>0</v>
      </c>
      <c r="P48" s="790">
        <f ca="1">'Offshore INT'!G48</f>
        <v>0</v>
      </c>
      <c r="Q48" s="790" t="e">
        <f t="shared" ca="1" si="7"/>
        <v>#DIV/0!</v>
      </c>
    </row>
    <row r="49" spans="1:17">
      <c r="A49" s="784">
        <f>'Offshore CF'!B60</f>
        <v>33</v>
      </c>
      <c r="B49" s="310">
        <f>'Offshore CF'!C60</f>
        <v>44564.334400000051</v>
      </c>
      <c r="C49" s="785" t="e">
        <f t="shared" ca="1" si="4"/>
        <v>#DIV/0!</v>
      </c>
      <c r="D49" s="765" t="e">
        <f t="shared" ca="1" si="0"/>
        <v>#DIV/0!</v>
      </c>
      <c r="E49" s="786" t="e">
        <f ca="1">'WBC Cancellation'!E60</f>
        <v>#DIV/0!</v>
      </c>
      <c r="F49" s="787" t="e">
        <f t="shared" ca="1" si="1"/>
        <v>#DIV/0!</v>
      </c>
      <c r="G49" s="788"/>
      <c r="H49" s="765">
        <f t="shared" si="5"/>
        <v>0</v>
      </c>
      <c r="I49" s="789"/>
      <c r="J49" s="787">
        <f t="shared" si="6"/>
        <v>0</v>
      </c>
      <c r="K49" s="788"/>
      <c r="L49" s="765">
        <f t="shared" si="2"/>
        <v>0</v>
      </c>
      <c r="M49" s="789"/>
      <c r="N49" s="787">
        <f t="shared" si="3"/>
        <v>0</v>
      </c>
      <c r="P49" s="790">
        <f ca="1">'Offshore INT'!G49</f>
        <v>0</v>
      </c>
      <c r="Q49" s="790" t="e">
        <f t="shared" ca="1" si="7"/>
        <v>#DIV/0!</v>
      </c>
    </row>
    <row r="50" spans="1:17">
      <c r="A50" s="784">
        <f>'Offshore CF'!B61</f>
        <v>34</v>
      </c>
      <c r="B50" s="310">
        <f>'Offshore CF'!C61</f>
        <v>44594.751100000052</v>
      </c>
      <c r="C50" s="785" t="e">
        <f t="shared" ca="1" si="4"/>
        <v>#DIV/0!</v>
      </c>
      <c r="D50" s="765" t="e">
        <f t="shared" ca="1" si="0"/>
        <v>#DIV/0!</v>
      </c>
      <c r="E50" s="786" t="e">
        <f ca="1">'WBC Cancellation'!E61</f>
        <v>#DIV/0!</v>
      </c>
      <c r="F50" s="787" t="e">
        <f t="shared" ca="1" si="1"/>
        <v>#DIV/0!</v>
      </c>
      <c r="G50" s="788"/>
      <c r="H50" s="765">
        <f t="shared" si="5"/>
        <v>0</v>
      </c>
      <c r="I50" s="789"/>
      <c r="J50" s="787">
        <f t="shared" si="6"/>
        <v>0</v>
      </c>
      <c r="K50" s="788"/>
      <c r="L50" s="765">
        <f t="shared" si="2"/>
        <v>0</v>
      </c>
      <c r="M50" s="789"/>
      <c r="N50" s="787">
        <f t="shared" si="3"/>
        <v>0</v>
      </c>
      <c r="P50" s="790">
        <f ca="1">'Offshore INT'!G50</f>
        <v>0</v>
      </c>
      <c r="Q50" s="790" t="e">
        <f t="shared" ca="1" si="7"/>
        <v>#DIV/0!</v>
      </c>
    </row>
    <row r="51" spans="1:17">
      <c r="A51" s="784">
        <f>'Offshore CF'!B62</f>
        <v>35</v>
      </c>
      <c r="B51" s="310">
        <f>'Offshore CF'!C62</f>
        <v>44625.167800000054</v>
      </c>
      <c r="C51" s="785" t="e">
        <f t="shared" ca="1" si="4"/>
        <v>#DIV/0!</v>
      </c>
      <c r="D51" s="765" t="e">
        <f t="shared" ca="1" si="0"/>
        <v>#DIV/0!</v>
      </c>
      <c r="E51" s="786" t="e">
        <f ca="1">'WBC Cancellation'!E62</f>
        <v>#DIV/0!</v>
      </c>
      <c r="F51" s="787" t="e">
        <f t="shared" ca="1" si="1"/>
        <v>#DIV/0!</v>
      </c>
      <c r="G51" s="788"/>
      <c r="H51" s="765">
        <f t="shared" si="5"/>
        <v>0</v>
      </c>
      <c r="I51" s="789"/>
      <c r="J51" s="787">
        <f t="shared" si="6"/>
        <v>0</v>
      </c>
      <c r="K51" s="788"/>
      <c r="L51" s="765">
        <f t="shared" si="2"/>
        <v>0</v>
      </c>
      <c r="M51" s="789"/>
      <c r="N51" s="787">
        <f t="shared" si="3"/>
        <v>0</v>
      </c>
      <c r="P51" s="790">
        <f ca="1">'Offshore INT'!G51</f>
        <v>0</v>
      </c>
      <c r="Q51" s="790" t="e">
        <f t="shared" ca="1" si="7"/>
        <v>#DIV/0!</v>
      </c>
    </row>
    <row r="52" spans="1:17">
      <c r="A52" s="784">
        <f>'Offshore CF'!B63</f>
        <v>36</v>
      </c>
      <c r="B52" s="310">
        <f>'Offshore CF'!C63</f>
        <v>44655.584500000055</v>
      </c>
      <c r="C52" s="785" t="e">
        <f t="shared" ca="1" si="4"/>
        <v>#DIV/0!</v>
      </c>
      <c r="D52" s="765" t="e">
        <f t="shared" ca="1" si="0"/>
        <v>#DIV/0!</v>
      </c>
      <c r="E52" s="786" t="e">
        <f ca="1">'WBC Cancellation'!E63</f>
        <v>#DIV/0!</v>
      </c>
      <c r="F52" s="787" t="e">
        <f t="shared" ca="1" si="1"/>
        <v>#DIV/0!</v>
      </c>
      <c r="G52" s="788"/>
      <c r="H52" s="765">
        <f t="shared" si="5"/>
        <v>0</v>
      </c>
      <c r="I52" s="789"/>
      <c r="J52" s="787">
        <f t="shared" si="6"/>
        <v>0</v>
      </c>
      <c r="K52" s="788"/>
      <c r="L52" s="765">
        <f t="shared" si="2"/>
        <v>0</v>
      </c>
      <c r="M52" s="789"/>
      <c r="N52" s="787">
        <f t="shared" si="3"/>
        <v>0</v>
      </c>
      <c r="P52" s="790">
        <f ca="1">'Offshore INT'!G52</f>
        <v>0</v>
      </c>
      <c r="Q52" s="790" t="e">
        <f t="shared" ca="1" si="7"/>
        <v>#DIV/0!</v>
      </c>
    </row>
    <row r="53" spans="1:17">
      <c r="A53" s="784">
        <f>'Offshore CF'!B64</f>
        <v>37</v>
      </c>
      <c r="B53" s="310">
        <f>'Offshore CF'!C64</f>
        <v>44686.001200000057</v>
      </c>
      <c r="C53" s="785" t="e">
        <f t="shared" ca="1" si="4"/>
        <v>#DIV/0!</v>
      </c>
      <c r="D53" s="765" t="e">
        <f t="shared" ca="1" si="0"/>
        <v>#DIV/0!</v>
      </c>
      <c r="E53" s="786" t="e">
        <f ca="1">'WBC Cancellation'!E64</f>
        <v>#DIV/0!</v>
      </c>
      <c r="F53" s="787" t="e">
        <f t="shared" ca="1" si="1"/>
        <v>#DIV/0!</v>
      </c>
      <c r="G53" s="788"/>
      <c r="H53" s="765">
        <f t="shared" si="5"/>
        <v>0</v>
      </c>
      <c r="I53" s="789"/>
      <c r="J53" s="787">
        <f t="shared" si="6"/>
        <v>0</v>
      </c>
      <c r="K53" s="788"/>
      <c r="L53" s="765">
        <f t="shared" si="2"/>
        <v>0</v>
      </c>
      <c r="M53" s="789"/>
      <c r="N53" s="787">
        <f t="shared" si="3"/>
        <v>0</v>
      </c>
      <c r="P53" s="790">
        <f ca="1">'Offshore INT'!G53</f>
        <v>0</v>
      </c>
      <c r="Q53" s="790" t="e">
        <f t="shared" ca="1" si="7"/>
        <v>#DIV/0!</v>
      </c>
    </row>
    <row r="54" spans="1:17">
      <c r="A54" s="784">
        <f>'Offshore CF'!B65</f>
        <v>38</v>
      </c>
      <c r="B54" s="310">
        <f>'Offshore CF'!C65</f>
        <v>44716.417900000059</v>
      </c>
      <c r="C54" s="785" t="e">
        <f t="shared" ca="1" si="4"/>
        <v>#DIV/0!</v>
      </c>
      <c r="D54" s="765" t="e">
        <f t="shared" ca="1" si="0"/>
        <v>#DIV/0!</v>
      </c>
      <c r="E54" s="786" t="e">
        <f ca="1">'WBC Cancellation'!E65</f>
        <v>#DIV/0!</v>
      </c>
      <c r="F54" s="787" t="e">
        <f t="shared" ca="1" si="1"/>
        <v>#DIV/0!</v>
      </c>
      <c r="G54" s="788"/>
      <c r="H54" s="765">
        <f t="shared" si="5"/>
        <v>0</v>
      </c>
      <c r="I54" s="789"/>
      <c r="J54" s="787">
        <f t="shared" si="6"/>
        <v>0</v>
      </c>
      <c r="K54" s="788"/>
      <c r="L54" s="765">
        <f t="shared" si="2"/>
        <v>0</v>
      </c>
      <c r="M54" s="789"/>
      <c r="N54" s="787">
        <f t="shared" si="3"/>
        <v>0</v>
      </c>
      <c r="P54" s="790">
        <f ca="1">'Offshore INT'!G54</f>
        <v>0</v>
      </c>
      <c r="Q54" s="790" t="e">
        <f t="shared" ca="1" si="7"/>
        <v>#DIV/0!</v>
      </c>
    </row>
    <row r="55" spans="1:17">
      <c r="A55" s="784">
        <f>'Offshore CF'!B66</f>
        <v>39</v>
      </c>
      <c r="B55" s="310">
        <f>'Offshore CF'!C66</f>
        <v>44746.83460000006</v>
      </c>
      <c r="C55" s="785" t="e">
        <f t="shared" ca="1" si="4"/>
        <v>#DIV/0!</v>
      </c>
      <c r="D55" s="765" t="e">
        <f t="shared" ca="1" si="0"/>
        <v>#DIV/0!</v>
      </c>
      <c r="E55" s="786" t="e">
        <f ca="1">'WBC Cancellation'!E66</f>
        <v>#DIV/0!</v>
      </c>
      <c r="F55" s="787" t="e">
        <f t="shared" ca="1" si="1"/>
        <v>#DIV/0!</v>
      </c>
      <c r="G55" s="788"/>
      <c r="H55" s="765">
        <f t="shared" si="5"/>
        <v>0</v>
      </c>
      <c r="I55" s="789"/>
      <c r="J55" s="787">
        <f t="shared" si="6"/>
        <v>0</v>
      </c>
      <c r="K55" s="788"/>
      <c r="L55" s="765">
        <f t="shared" si="2"/>
        <v>0</v>
      </c>
      <c r="M55" s="789"/>
      <c r="N55" s="787">
        <f t="shared" si="3"/>
        <v>0</v>
      </c>
      <c r="P55" s="790">
        <f ca="1">'Offshore INT'!G55</f>
        <v>0</v>
      </c>
      <c r="Q55" s="790" t="e">
        <f t="shared" ca="1" si="7"/>
        <v>#DIV/0!</v>
      </c>
    </row>
    <row r="56" spans="1:17">
      <c r="A56" s="784">
        <f>'Offshore CF'!B67</f>
        <v>40</v>
      </c>
      <c r="B56" s="310">
        <f>'Offshore CF'!C67</f>
        <v>44777.251300000062</v>
      </c>
      <c r="C56" s="785" t="e">
        <f t="shared" ca="1" si="4"/>
        <v>#DIV/0!</v>
      </c>
      <c r="D56" s="765" t="e">
        <f t="shared" ca="1" si="0"/>
        <v>#DIV/0!</v>
      </c>
      <c r="E56" s="786" t="e">
        <f ca="1">'WBC Cancellation'!E67</f>
        <v>#DIV/0!</v>
      </c>
      <c r="F56" s="787" t="e">
        <f t="shared" ca="1" si="1"/>
        <v>#DIV/0!</v>
      </c>
      <c r="G56" s="788"/>
      <c r="H56" s="765">
        <f t="shared" si="5"/>
        <v>0</v>
      </c>
      <c r="I56" s="789"/>
      <c r="J56" s="787">
        <f t="shared" si="6"/>
        <v>0</v>
      </c>
      <c r="K56" s="788"/>
      <c r="L56" s="765">
        <f t="shared" si="2"/>
        <v>0</v>
      </c>
      <c r="M56" s="789"/>
      <c r="N56" s="787">
        <f t="shared" si="3"/>
        <v>0</v>
      </c>
      <c r="P56" s="790">
        <f ca="1">'Offshore INT'!G56</f>
        <v>0</v>
      </c>
      <c r="Q56" s="790" t="e">
        <f t="shared" ca="1" si="7"/>
        <v>#DIV/0!</v>
      </c>
    </row>
    <row r="57" spans="1:17">
      <c r="A57" s="784">
        <f>'Offshore CF'!B68</f>
        <v>41</v>
      </c>
      <c r="B57" s="310">
        <f>'Offshore CF'!C68</f>
        <v>44807.668000000063</v>
      </c>
      <c r="C57" s="785" t="e">
        <f t="shared" ca="1" si="4"/>
        <v>#DIV/0!</v>
      </c>
      <c r="D57" s="765" t="e">
        <f t="shared" ca="1" si="0"/>
        <v>#DIV/0!</v>
      </c>
      <c r="E57" s="786" t="e">
        <f ca="1">'WBC Cancellation'!E68</f>
        <v>#DIV/0!</v>
      </c>
      <c r="F57" s="787" t="e">
        <f t="shared" ca="1" si="1"/>
        <v>#DIV/0!</v>
      </c>
      <c r="G57" s="788"/>
      <c r="H57" s="765">
        <f t="shared" si="5"/>
        <v>0</v>
      </c>
      <c r="I57" s="789"/>
      <c r="J57" s="787">
        <f t="shared" si="6"/>
        <v>0</v>
      </c>
      <c r="K57" s="788"/>
      <c r="L57" s="765">
        <f t="shared" si="2"/>
        <v>0</v>
      </c>
      <c r="M57" s="789"/>
      <c r="N57" s="787">
        <f t="shared" si="3"/>
        <v>0</v>
      </c>
      <c r="P57" s="790">
        <f ca="1">'Offshore INT'!G57</f>
        <v>0</v>
      </c>
      <c r="Q57" s="790" t="e">
        <f t="shared" ca="1" si="7"/>
        <v>#DIV/0!</v>
      </c>
    </row>
    <row r="58" spans="1:17">
      <c r="A58" s="784">
        <f>'Offshore CF'!B69</f>
        <v>42</v>
      </c>
      <c r="B58" s="310">
        <f>'Offshore CF'!C69</f>
        <v>44838.084700000065</v>
      </c>
      <c r="C58" s="785" t="e">
        <f t="shared" ca="1" si="4"/>
        <v>#DIV/0!</v>
      </c>
      <c r="D58" s="765" t="e">
        <f t="shared" ca="1" si="0"/>
        <v>#DIV/0!</v>
      </c>
      <c r="E58" s="786" t="e">
        <f ca="1">'WBC Cancellation'!E69</f>
        <v>#DIV/0!</v>
      </c>
      <c r="F58" s="787" t="e">
        <f t="shared" ca="1" si="1"/>
        <v>#DIV/0!</v>
      </c>
      <c r="G58" s="788"/>
      <c r="H58" s="765">
        <f t="shared" si="5"/>
        <v>0</v>
      </c>
      <c r="I58" s="789"/>
      <c r="J58" s="787">
        <f t="shared" si="6"/>
        <v>0</v>
      </c>
      <c r="K58" s="788"/>
      <c r="L58" s="765">
        <f t="shared" si="2"/>
        <v>0</v>
      </c>
      <c r="M58" s="789"/>
      <c r="N58" s="787">
        <f t="shared" si="3"/>
        <v>0</v>
      </c>
      <c r="P58" s="790">
        <f ca="1">'Offshore INT'!G58</f>
        <v>0</v>
      </c>
      <c r="Q58" s="790" t="e">
        <f t="shared" ca="1" si="7"/>
        <v>#DIV/0!</v>
      </c>
    </row>
    <row r="59" spans="1:17">
      <c r="A59" s="784">
        <f>'Offshore CF'!B70</f>
        <v>43</v>
      </c>
      <c r="B59" s="310">
        <f>'Offshore CF'!C70</f>
        <v>44868.501400000066</v>
      </c>
      <c r="C59" s="785" t="e">
        <f t="shared" ca="1" si="4"/>
        <v>#DIV/0!</v>
      </c>
      <c r="D59" s="765" t="e">
        <f t="shared" ca="1" si="0"/>
        <v>#DIV/0!</v>
      </c>
      <c r="E59" s="786" t="e">
        <f ca="1">'WBC Cancellation'!E70</f>
        <v>#DIV/0!</v>
      </c>
      <c r="F59" s="787" t="e">
        <f t="shared" ca="1" si="1"/>
        <v>#DIV/0!</v>
      </c>
      <c r="G59" s="788"/>
      <c r="H59" s="765">
        <f t="shared" si="5"/>
        <v>0</v>
      </c>
      <c r="I59" s="789"/>
      <c r="J59" s="787">
        <f t="shared" si="6"/>
        <v>0</v>
      </c>
      <c r="K59" s="788"/>
      <c r="L59" s="765">
        <f t="shared" si="2"/>
        <v>0</v>
      </c>
      <c r="M59" s="789"/>
      <c r="N59" s="787">
        <f t="shared" si="3"/>
        <v>0</v>
      </c>
      <c r="P59" s="790">
        <f ca="1">'Offshore INT'!G59</f>
        <v>0</v>
      </c>
      <c r="Q59" s="790" t="e">
        <f t="shared" ca="1" si="7"/>
        <v>#DIV/0!</v>
      </c>
    </row>
    <row r="60" spans="1:17">
      <c r="A60" s="784">
        <f>'Offshore CF'!B71</f>
        <v>44</v>
      </c>
      <c r="B60" s="310">
        <f>'Offshore CF'!C71</f>
        <v>44898.918100000068</v>
      </c>
      <c r="C60" s="785" t="e">
        <f t="shared" ca="1" si="4"/>
        <v>#DIV/0!</v>
      </c>
      <c r="D60" s="765" t="e">
        <f t="shared" ca="1" si="0"/>
        <v>#DIV/0!</v>
      </c>
      <c r="E60" s="786" t="e">
        <f ca="1">'WBC Cancellation'!E71</f>
        <v>#DIV/0!</v>
      </c>
      <c r="F60" s="787" t="e">
        <f t="shared" ca="1" si="1"/>
        <v>#DIV/0!</v>
      </c>
      <c r="G60" s="788"/>
      <c r="H60" s="765">
        <f t="shared" si="5"/>
        <v>0</v>
      </c>
      <c r="I60" s="789"/>
      <c r="J60" s="787">
        <f t="shared" si="6"/>
        <v>0</v>
      </c>
      <c r="K60" s="788"/>
      <c r="L60" s="765">
        <f t="shared" si="2"/>
        <v>0</v>
      </c>
      <c r="M60" s="789"/>
      <c r="N60" s="787">
        <f t="shared" si="3"/>
        <v>0</v>
      </c>
      <c r="P60" s="790">
        <f ca="1">'Offshore INT'!G60</f>
        <v>0</v>
      </c>
      <c r="Q60" s="790" t="e">
        <f t="shared" ca="1" si="7"/>
        <v>#DIV/0!</v>
      </c>
    </row>
    <row r="61" spans="1:17">
      <c r="A61" s="784">
        <f>'Offshore CF'!B72</f>
        <v>45</v>
      </c>
      <c r="B61" s="310">
        <f>'Offshore CF'!C72</f>
        <v>44929.33480000007</v>
      </c>
      <c r="C61" s="785" t="e">
        <f t="shared" ca="1" si="4"/>
        <v>#DIV/0!</v>
      </c>
      <c r="D61" s="765" t="e">
        <f t="shared" ca="1" si="0"/>
        <v>#DIV/0!</v>
      </c>
      <c r="E61" s="786" t="e">
        <f ca="1">'WBC Cancellation'!E72</f>
        <v>#DIV/0!</v>
      </c>
      <c r="F61" s="787" t="e">
        <f t="shared" ca="1" si="1"/>
        <v>#DIV/0!</v>
      </c>
      <c r="G61" s="788"/>
      <c r="H61" s="765">
        <f t="shared" si="5"/>
        <v>0</v>
      </c>
      <c r="I61" s="789"/>
      <c r="J61" s="787">
        <f t="shared" si="6"/>
        <v>0</v>
      </c>
      <c r="K61" s="788"/>
      <c r="L61" s="765">
        <f t="shared" si="2"/>
        <v>0</v>
      </c>
      <c r="M61" s="789"/>
      <c r="N61" s="787">
        <f t="shared" si="3"/>
        <v>0</v>
      </c>
      <c r="P61" s="790">
        <f ca="1">'Offshore INT'!G61</f>
        <v>0</v>
      </c>
      <c r="Q61" s="790" t="e">
        <f t="shared" ca="1" si="7"/>
        <v>#DIV/0!</v>
      </c>
    </row>
    <row r="62" spans="1:17">
      <c r="A62" s="784">
        <f>'Offshore CF'!B73</f>
        <v>46</v>
      </c>
      <c r="B62" s="310">
        <f>'Offshore CF'!C73</f>
        <v>44959.751500000071</v>
      </c>
      <c r="C62" s="785" t="e">
        <f t="shared" ca="1" si="4"/>
        <v>#DIV/0!</v>
      </c>
      <c r="D62" s="765" t="e">
        <f t="shared" ca="1" si="0"/>
        <v>#DIV/0!</v>
      </c>
      <c r="E62" s="786" t="e">
        <f ca="1">'WBC Cancellation'!E73</f>
        <v>#DIV/0!</v>
      </c>
      <c r="F62" s="787" t="e">
        <f t="shared" ca="1" si="1"/>
        <v>#DIV/0!</v>
      </c>
      <c r="G62" s="788"/>
      <c r="H62" s="765">
        <f t="shared" si="5"/>
        <v>0</v>
      </c>
      <c r="I62" s="789"/>
      <c r="J62" s="787">
        <f t="shared" si="6"/>
        <v>0</v>
      </c>
      <c r="K62" s="788"/>
      <c r="L62" s="765">
        <f t="shared" si="2"/>
        <v>0</v>
      </c>
      <c r="M62" s="789"/>
      <c r="N62" s="787">
        <f t="shared" si="3"/>
        <v>0</v>
      </c>
      <c r="P62" s="790">
        <f ca="1">'Offshore INT'!G62</f>
        <v>0</v>
      </c>
      <c r="Q62" s="790" t="e">
        <f t="shared" ca="1" si="7"/>
        <v>#DIV/0!</v>
      </c>
    </row>
    <row r="63" spans="1:17">
      <c r="A63" s="784">
        <f>'Offshore CF'!B74</f>
        <v>47</v>
      </c>
      <c r="B63" s="310">
        <f>'Offshore CF'!C74</f>
        <v>44990.168200000073</v>
      </c>
      <c r="C63" s="785" t="e">
        <f t="shared" ca="1" si="4"/>
        <v>#DIV/0!</v>
      </c>
      <c r="D63" s="765" t="e">
        <f t="shared" ca="1" si="0"/>
        <v>#DIV/0!</v>
      </c>
      <c r="E63" s="786" t="e">
        <f ca="1">'WBC Cancellation'!E74</f>
        <v>#DIV/0!</v>
      </c>
      <c r="F63" s="787" t="e">
        <f t="shared" ca="1" si="1"/>
        <v>#DIV/0!</v>
      </c>
      <c r="G63" s="788"/>
      <c r="H63" s="765">
        <f t="shared" si="5"/>
        <v>0</v>
      </c>
      <c r="I63" s="789"/>
      <c r="J63" s="787">
        <f t="shared" si="6"/>
        <v>0</v>
      </c>
      <c r="K63" s="788"/>
      <c r="L63" s="765">
        <f t="shared" si="2"/>
        <v>0</v>
      </c>
      <c r="M63" s="789"/>
      <c r="N63" s="787">
        <f t="shared" si="3"/>
        <v>0</v>
      </c>
      <c r="P63" s="790">
        <f ca="1">'Offshore INT'!G63</f>
        <v>0</v>
      </c>
      <c r="Q63" s="790" t="e">
        <f t="shared" ca="1" si="7"/>
        <v>#DIV/0!</v>
      </c>
    </row>
    <row r="64" spans="1:17">
      <c r="A64" s="784">
        <f>'Offshore CF'!B75</f>
        <v>48</v>
      </c>
      <c r="B64" s="310">
        <f>'Offshore CF'!C75</f>
        <v>45020.584900000074</v>
      </c>
      <c r="C64" s="785" t="e">
        <f t="shared" ca="1" si="4"/>
        <v>#DIV/0!</v>
      </c>
      <c r="D64" s="765" t="e">
        <f t="shared" ca="1" si="0"/>
        <v>#DIV/0!</v>
      </c>
      <c r="E64" s="786" t="e">
        <f ca="1">'WBC Cancellation'!E75</f>
        <v>#DIV/0!</v>
      </c>
      <c r="F64" s="787" t="e">
        <f t="shared" ca="1" si="1"/>
        <v>#DIV/0!</v>
      </c>
      <c r="G64" s="788"/>
      <c r="H64" s="765">
        <f t="shared" si="5"/>
        <v>0</v>
      </c>
      <c r="I64" s="789"/>
      <c r="J64" s="787">
        <f t="shared" si="6"/>
        <v>0</v>
      </c>
      <c r="K64" s="788"/>
      <c r="L64" s="765">
        <f t="shared" si="2"/>
        <v>0</v>
      </c>
      <c r="M64" s="789"/>
      <c r="N64" s="787">
        <f t="shared" si="3"/>
        <v>0</v>
      </c>
      <c r="P64" s="790">
        <f ca="1">'Offshore INT'!G64</f>
        <v>0</v>
      </c>
      <c r="Q64" s="790" t="e">
        <f t="shared" ca="1" si="7"/>
        <v>#DIV/0!</v>
      </c>
    </row>
    <row r="65" spans="1:17">
      <c r="A65" s="784">
        <f>'Offshore CF'!B76</f>
        <v>49</v>
      </c>
      <c r="B65" s="310">
        <f>'Offshore CF'!C76</f>
        <v>45051.001600000076</v>
      </c>
      <c r="C65" s="785" t="e">
        <f t="shared" ca="1" si="4"/>
        <v>#DIV/0!</v>
      </c>
      <c r="D65" s="765" t="e">
        <f t="shared" ca="1" si="0"/>
        <v>#DIV/0!</v>
      </c>
      <c r="E65" s="786" t="e">
        <f ca="1">'WBC Cancellation'!E76</f>
        <v>#DIV/0!</v>
      </c>
      <c r="F65" s="787" t="e">
        <f t="shared" ca="1" si="1"/>
        <v>#DIV/0!</v>
      </c>
      <c r="G65" s="788"/>
      <c r="H65" s="765">
        <f t="shared" si="5"/>
        <v>0</v>
      </c>
      <c r="I65" s="789"/>
      <c r="J65" s="787">
        <f t="shared" si="6"/>
        <v>0</v>
      </c>
      <c r="K65" s="788"/>
      <c r="L65" s="765">
        <f t="shared" si="2"/>
        <v>0</v>
      </c>
      <c r="M65" s="789"/>
      <c r="N65" s="787">
        <f t="shared" si="3"/>
        <v>0</v>
      </c>
      <c r="P65" s="790">
        <f ca="1">'Offshore INT'!G65</f>
        <v>0</v>
      </c>
      <c r="Q65" s="790" t="e">
        <f t="shared" ca="1" si="7"/>
        <v>#DIV/0!</v>
      </c>
    </row>
    <row r="66" spans="1:17">
      <c r="A66" s="784">
        <f>'Offshore CF'!B77</f>
        <v>50</v>
      </c>
      <c r="B66" s="310">
        <f>'Offshore CF'!C77</f>
        <v>45081.418300000078</v>
      </c>
      <c r="C66" s="785" t="e">
        <f t="shared" ca="1" si="4"/>
        <v>#DIV/0!</v>
      </c>
      <c r="D66" s="765" t="e">
        <f t="shared" ca="1" si="0"/>
        <v>#DIV/0!</v>
      </c>
      <c r="E66" s="786" t="e">
        <f ca="1">'WBC Cancellation'!E77</f>
        <v>#DIV/0!</v>
      </c>
      <c r="F66" s="787" t="e">
        <f t="shared" ca="1" si="1"/>
        <v>#DIV/0!</v>
      </c>
      <c r="G66" s="788"/>
      <c r="H66" s="765">
        <f t="shared" si="5"/>
        <v>0</v>
      </c>
      <c r="I66" s="789"/>
      <c r="J66" s="787">
        <f t="shared" si="6"/>
        <v>0</v>
      </c>
      <c r="K66" s="788"/>
      <c r="L66" s="765">
        <f t="shared" si="2"/>
        <v>0</v>
      </c>
      <c r="M66" s="789"/>
      <c r="N66" s="787">
        <f t="shared" si="3"/>
        <v>0</v>
      </c>
      <c r="P66" s="790">
        <f ca="1">'Offshore INT'!G66</f>
        <v>0</v>
      </c>
      <c r="Q66" s="790" t="e">
        <f t="shared" ca="1" si="7"/>
        <v>#DIV/0!</v>
      </c>
    </row>
    <row r="67" spans="1:17">
      <c r="A67" s="784">
        <f>'Offshore CF'!B78</f>
        <v>51</v>
      </c>
      <c r="B67" s="310">
        <f>'Offshore CF'!C78</f>
        <v>45111.835000000079</v>
      </c>
      <c r="C67" s="785" t="e">
        <f t="shared" ca="1" si="4"/>
        <v>#DIV/0!</v>
      </c>
      <c r="D67" s="765" t="e">
        <f t="shared" ca="1" si="0"/>
        <v>#DIV/0!</v>
      </c>
      <c r="E67" s="786" t="e">
        <f ca="1">'WBC Cancellation'!E78</f>
        <v>#DIV/0!</v>
      </c>
      <c r="F67" s="787" t="e">
        <f t="shared" ca="1" si="1"/>
        <v>#DIV/0!</v>
      </c>
      <c r="G67" s="788"/>
      <c r="H67" s="765">
        <f t="shared" si="5"/>
        <v>0</v>
      </c>
      <c r="I67" s="789"/>
      <c r="J67" s="787">
        <f t="shared" si="6"/>
        <v>0</v>
      </c>
      <c r="K67" s="788"/>
      <c r="L67" s="765">
        <f t="shared" si="2"/>
        <v>0</v>
      </c>
      <c r="M67" s="789"/>
      <c r="N67" s="787">
        <f t="shared" si="3"/>
        <v>0</v>
      </c>
      <c r="P67" s="790">
        <f ca="1">'Offshore INT'!G67</f>
        <v>0</v>
      </c>
      <c r="Q67" s="790" t="e">
        <f t="shared" ca="1" si="7"/>
        <v>#DIV/0!</v>
      </c>
    </row>
    <row r="68" spans="1:17">
      <c r="A68" s="784">
        <f>'Offshore CF'!B79</f>
        <v>52</v>
      </c>
      <c r="B68" s="310">
        <f>'Offshore CF'!C79</f>
        <v>45142.251700000081</v>
      </c>
      <c r="C68" s="785" t="e">
        <f t="shared" ca="1" si="4"/>
        <v>#DIV/0!</v>
      </c>
      <c r="D68" s="765" t="e">
        <f t="shared" ca="1" si="0"/>
        <v>#DIV/0!</v>
      </c>
      <c r="E68" s="786" t="e">
        <f ca="1">'WBC Cancellation'!E79</f>
        <v>#DIV/0!</v>
      </c>
      <c r="F68" s="787" t="e">
        <f t="shared" ca="1" si="1"/>
        <v>#DIV/0!</v>
      </c>
      <c r="G68" s="788"/>
      <c r="H68" s="765">
        <f t="shared" si="5"/>
        <v>0</v>
      </c>
      <c r="I68" s="789"/>
      <c r="J68" s="787">
        <f t="shared" si="6"/>
        <v>0</v>
      </c>
      <c r="K68" s="788"/>
      <c r="L68" s="765">
        <f t="shared" si="2"/>
        <v>0</v>
      </c>
      <c r="M68" s="789"/>
      <c r="N68" s="787">
        <f t="shared" si="3"/>
        <v>0</v>
      </c>
      <c r="P68" s="790">
        <f ca="1">'Offshore INT'!G68</f>
        <v>0</v>
      </c>
      <c r="Q68" s="790" t="e">
        <f t="shared" ca="1" si="7"/>
        <v>#DIV/0!</v>
      </c>
    </row>
    <row r="69" spans="1:17">
      <c r="A69" s="784">
        <f>'Offshore CF'!B80</f>
        <v>53</v>
      </c>
      <c r="B69" s="310">
        <f>'Offshore CF'!C80</f>
        <v>45172.668400000082</v>
      </c>
      <c r="C69" s="785" t="e">
        <f t="shared" ca="1" si="4"/>
        <v>#DIV/0!</v>
      </c>
      <c r="D69" s="765" t="e">
        <f t="shared" ca="1" si="0"/>
        <v>#DIV/0!</v>
      </c>
      <c r="E69" s="786" t="e">
        <f ca="1">'WBC Cancellation'!E80</f>
        <v>#DIV/0!</v>
      </c>
      <c r="F69" s="787" t="e">
        <f t="shared" ca="1" si="1"/>
        <v>#DIV/0!</v>
      </c>
      <c r="G69" s="788"/>
      <c r="H69" s="765">
        <f t="shared" si="5"/>
        <v>0</v>
      </c>
      <c r="I69" s="789"/>
      <c r="J69" s="787">
        <f t="shared" si="6"/>
        <v>0</v>
      </c>
      <c r="K69" s="788"/>
      <c r="L69" s="765">
        <f t="shared" si="2"/>
        <v>0</v>
      </c>
      <c r="M69" s="789"/>
      <c r="N69" s="787">
        <f t="shared" si="3"/>
        <v>0</v>
      </c>
      <c r="P69" s="790">
        <f ca="1">'Offshore INT'!G69</f>
        <v>0</v>
      </c>
      <c r="Q69" s="790" t="e">
        <f t="shared" ca="1" si="7"/>
        <v>#DIV/0!</v>
      </c>
    </row>
    <row r="70" spans="1:17">
      <c r="A70" s="784">
        <f>'Offshore CF'!B81</f>
        <v>54</v>
      </c>
      <c r="B70" s="310">
        <f>'Offshore CF'!C81</f>
        <v>45203.085100000084</v>
      </c>
      <c r="C70" s="785" t="e">
        <f t="shared" ca="1" si="4"/>
        <v>#DIV/0!</v>
      </c>
      <c r="D70" s="765" t="e">
        <f t="shared" ca="1" si="0"/>
        <v>#DIV/0!</v>
      </c>
      <c r="E70" s="786" t="e">
        <f ca="1">'WBC Cancellation'!E81</f>
        <v>#DIV/0!</v>
      </c>
      <c r="F70" s="787" t="e">
        <f t="shared" ca="1" si="1"/>
        <v>#DIV/0!</v>
      </c>
      <c r="G70" s="788"/>
      <c r="H70" s="765">
        <f t="shared" si="5"/>
        <v>0</v>
      </c>
      <c r="I70" s="789"/>
      <c r="J70" s="787">
        <f t="shared" si="6"/>
        <v>0</v>
      </c>
      <c r="K70" s="788"/>
      <c r="L70" s="765">
        <f t="shared" si="2"/>
        <v>0</v>
      </c>
      <c r="M70" s="789"/>
      <c r="N70" s="787">
        <f t="shared" si="3"/>
        <v>0</v>
      </c>
      <c r="P70" s="790">
        <f ca="1">'Offshore INT'!G70</f>
        <v>0</v>
      </c>
      <c r="Q70" s="790" t="e">
        <f t="shared" ca="1" si="7"/>
        <v>#DIV/0!</v>
      </c>
    </row>
    <row r="71" spans="1:17">
      <c r="A71" s="784">
        <f>'Offshore CF'!B82</f>
        <v>55</v>
      </c>
      <c r="B71" s="310">
        <f>'Offshore CF'!C82</f>
        <v>45233.501800000085</v>
      </c>
      <c r="C71" s="785" t="e">
        <f t="shared" ca="1" si="4"/>
        <v>#DIV/0!</v>
      </c>
      <c r="D71" s="765" t="e">
        <f t="shared" ca="1" si="0"/>
        <v>#DIV/0!</v>
      </c>
      <c r="E71" s="786" t="e">
        <f ca="1">'WBC Cancellation'!E82</f>
        <v>#DIV/0!</v>
      </c>
      <c r="F71" s="787" t="e">
        <f t="shared" ca="1" si="1"/>
        <v>#DIV/0!</v>
      </c>
      <c r="G71" s="788"/>
      <c r="H71" s="765">
        <f t="shared" si="5"/>
        <v>0</v>
      </c>
      <c r="I71" s="789"/>
      <c r="J71" s="787">
        <f t="shared" si="6"/>
        <v>0</v>
      </c>
      <c r="K71" s="788"/>
      <c r="L71" s="765">
        <f t="shared" si="2"/>
        <v>0</v>
      </c>
      <c r="M71" s="789"/>
      <c r="N71" s="787">
        <f t="shared" si="3"/>
        <v>0</v>
      </c>
      <c r="P71" s="790">
        <f ca="1">'Offshore INT'!G71</f>
        <v>0</v>
      </c>
      <c r="Q71" s="790" t="e">
        <f t="shared" ca="1" si="7"/>
        <v>#DIV/0!</v>
      </c>
    </row>
    <row r="72" spans="1:17">
      <c r="A72" s="784">
        <f>'Offshore CF'!B83</f>
        <v>56</v>
      </c>
      <c r="B72" s="310">
        <f>'Offshore CF'!C83</f>
        <v>45263.918500000087</v>
      </c>
      <c r="C72" s="785" t="e">
        <f t="shared" ca="1" si="4"/>
        <v>#DIV/0!</v>
      </c>
      <c r="D72" s="765" t="e">
        <f t="shared" ca="1" si="0"/>
        <v>#DIV/0!</v>
      </c>
      <c r="E72" s="786" t="e">
        <f ca="1">'WBC Cancellation'!E83</f>
        <v>#DIV/0!</v>
      </c>
      <c r="F72" s="787" t="e">
        <f t="shared" ca="1" si="1"/>
        <v>#DIV/0!</v>
      </c>
      <c r="G72" s="788"/>
      <c r="H72" s="765">
        <f t="shared" si="5"/>
        <v>0</v>
      </c>
      <c r="I72" s="789"/>
      <c r="J72" s="787">
        <f t="shared" si="6"/>
        <v>0</v>
      </c>
      <c r="K72" s="788"/>
      <c r="L72" s="765">
        <f t="shared" si="2"/>
        <v>0</v>
      </c>
      <c r="M72" s="789"/>
      <c r="N72" s="787">
        <f t="shared" si="3"/>
        <v>0</v>
      </c>
      <c r="P72" s="790">
        <f ca="1">'Offshore INT'!G72</f>
        <v>0</v>
      </c>
      <c r="Q72" s="790" t="e">
        <f t="shared" ca="1" si="7"/>
        <v>#DIV/0!</v>
      </c>
    </row>
    <row r="73" spans="1:17">
      <c r="A73" s="784">
        <f>'Offshore CF'!B84</f>
        <v>57</v>
      </c>
      <c r="B73" s="310">
        <f>'Offshore CF'!C84</f>
        <v>45294.335200000089</v>
      </c>
      <c r="C73" s="785" t="e">
        <f t="shared" ca="1" si="4"/>
        <v>#DIV/0!</v>
      </c>
      <c r="D73" s="765" t="e">
        <f t="shared" ca="1" si="0"/>
        <v>#DIV/0!</v>
      </c>
      <c r="E73" s="786" t="e">
        <f ca="1">'WBC Cancellation'!E84</f>
        <v>#DIV/0!</v>
      </c>
      <c r="F73" s="787" t="e">
        <f t="shared" ca="1" si="1"/>
        <v>#DIV/0!</v>
      </c>
      <c r="G73" s="788"/>
      <c r="H73" s="765">
        <f t="shared" si="5"/>
        <v>0</v>
      </c>
      <c r="I73" s="789"/>
      <c r="J73" s="787">
        <f t="shared" si="6"/>
        <v>0</v>
      </c>
      <c r="K73" s="788"/>
      <c r="L73" s="765">
        <f t="shared" si="2"/>
        <v>0</v>
      </c>
      <c r="M73" s="789"/>
      <c r="N73" s="787">
        <f t="shared" si="3"/>
        <v>0</v>
      </c>
      <c r="P73" s="790">
        <f ca="1">'Offshore INT'!G73</f>
        <v>0</v>
      </c>
      <c r="Q73" s="790" t="e">
        <f t="shared" ca="1" si="7"/>
        <v>#DIV/0!</v>
      </c>
    </row>
    <row r="74" spans="1:17">
      <c r="A74" s="784">
        <f>'Offshore CF'!B85</f>
        <v>58</v>
      </c>
      <c r="B74" s="310">
        <f>'Offshore CF'!C85</f>
        <v>45324.75190000009</v>
      </c>
      <c r="C74" s="785" t="e">
        <f t="shared" ca="1" si="4"/>
        <v>#DIV/0!</v>
      </c>
      <c r="D74" s="765" t="e">
        <f t="shared" ca="1" si="0"/>
        <v>#DIV/0!</v>
      </c>
      <c r="E74" s="786" t="e">
        <f ca="1">'WBC Cancellation'!E85</f>
        <v>#DIV/0!</v>
      </c>
      <c r="F74" s="787" t="e">
        <f t="shared" ca="1" si="1"/>
        <v>#DIV/0!</v>
      </c>
      <c r="G74" s="788"/>
      <c r="H74" s="765">
        <f t="shared" si="5"/>
        <v>0</v>
      </c>
      <c r="I74" s="789"/>
      <c r="J74" s="787">
        <f t="shared" si="6"/>
        <v>0</v>
      </c>
      <c r="K74" s="788"/>
      <c r="L74" s="765">
        <f t="shared" si="2"/>
        <v>0</v>
      </c>
      <c r="M74" s="789"/>
      <c r="N74" s="787">
        <f t="shared" si="3"/>
        <v>0</v>
      </c>
      <c r="P74" s="790">
        <f ca="1">'Offshore INT'!G74</f>
        <v>0</v>
      </c>
      <c r="Q74" s="790" t="e">
        <f t="shared" ca="1" si="7"/>
        <v>#DIV/0!</v>
      </c>
    </row>
    <row r="75" spans="1:17">
      <c r="A75" s="784">
        <f>'Offshore CF'!B86</f>
        <v>59</v>
      </c>
      <c r="B75" s="310">
        <f>'Offshore CF'!C86</f>
        <v>45355.168600000092</v>
      </c>
      <c r="C75" s="785" t="e">
        <f t="shared" ca="1" si="4"/>
        <v>#DIV/0!</v>
      </c>
      <c r="D75" s="765" t="e">
        <f t="shared" ca="1" si="0"/>
        <v>#DIV/0!</v>
      </c>
      <c r="E75" s="786" t="e">
        <f ca="1">'WBC Cancellation'!E86</f>
        <v>#DIV/0!</v>
      </c>
      <c r="F75" s="787" t="e">
        <f t="shared" ca="1" si="1"/>
        <v>#DIV/0!</v>
      </c>
      <c r="G75" s="788"/>
      <c r="H75" s="765">
        <f t="shared" si="5"/>
        <v>0</v>
      </c>
      <c r="I75" s="789"/>
      <c r="J75" s="787">
        <f t="shared" si="6"/>
        <v>0</v>
      </c>
      <c r="K75" s="788"/>
      <c r="L75" s="765">
        <f t="shared" si="2"/>
        <v>0</v>
      </c>
      <c r="M75" s="789"/>
      <c r="N75" s="787">
        <f t="shared" si="3"/>
        <v>0</v>
      </c>
      <c r="P75" s="790">
        <f ca="1">'Offshore INT'!G75</f>
        <v>0</v>
      </c>
      <c r="Q75" s="790" t="e">
        <f t="shared" ca="1" si="7"/>
        <v>#DIV/0!</v>
      </c>
    </row>
    <row r="76" spans="1:17">
      <c r="A76" s="784">
        <f>'Offshore CF'!B87</f>
        <v>60</v>
      </c>
      <c r="B76" s="310">
        <f>'Offshore CF'!C87</f>
        <v>45385.585300000093</v>
      </c>
      <c r="C76" s="785" t="e">
        <f t="shared" ca="1" si="4"/>
        <v>#DIV/0!</v>
      </c>
      <c r="D76" s="765" t="e">
        <f t="shared" ca="1" si="0"/>
        <v>#DIV/0!</v>
      </c>
      <c r="E76" s="786" t="e">
        <f ca="1">'WBC Cancellation'!E87</f>
        <v>#DIV/0!</v>
      </c>
      <c r="F76" s="787" t="e">
        <f t="shared" ca="1" si="1"/>
        <v>#DIV/0!</v>
      </c>
      <c r="G76" s="788"/>
      <c r="H76" s="765">
        <f t="shared" si="5"/>
        <v>0</v>
      </c>
      <c r="I76" s="789"/>
      <c r="J76" s="787">
        <f t="shared" si="6"/>
        <v>0</v>
      </c>
      <c r="K76" s="788"/>
      <c r="L76" s="765">
        <f t="shared" si="2"/>
        <v>0</v>
      </c>
      <c r="M76" s="789"/>
      <c r="N76" s="787">
        <f t="shared" si="3"/>
        <v>0</v>
      </c>
      <c r="P76" s="790">
        <f ca="1">'Offshore INT'!G76</f>
        <v>0</v>
      </c>
      <c r="Q76" s="790" t="e">
        <f t="shared" ca="1" si="7"/>
        <v>#DIV/0!</v>
      </c>
    </row>
    <row r="77" spans="1:17">
      <c r="A77" s="784">
        <f>'Offshore CF'!B88</f>
        <v>61</v>
      </c>
      <c r="B77" s="310">
        <f>'Offshore CF'!C88</f>
        <v>45416.002000000095</v>
      </c>
      <c r="C77" s="785" t="e">
        <f t="shared" ca="1" si="4"/>
        <v>#DIV/0!</v>
      </c>
      <c r="D77" s="765" t="e">
        <f t="shared" ref="D77:D140" ca="1" si="8">SUM(F77,H77,J77,L77,N77)</f>
        <v>#DIV/0!</v>
      </c>
      <c r="E77" s="786" t="e">
        <f ca="1">'WBC Cancellation'!E88</f>
        <v>#DIV/0!</v>
      </c>
      <c r="F77" s="787" t="e">
        <f t="shared" ref="F77:F140" ca="1" si="9">E77*E$10</f>
        <v>#DIV/0!</v>
      </c>
      <c r="G77" s="788"/>
      <c r="H77" s="765">
        <f t="shared" si="5"/>
        <v>0</v>
      </c>
      <c r="I77" s="789"/>
      <c r="J77" s="787">
        <f t="shared" si="6"/>
        <v>0</v>
      </c>
      <c r="K77" s="788"/>
      <c r="L77" s="765">
        <f t="shared" ref="L77:L140" si="10">K77*K$10</f>
        <v>0</v>
      </c>
      <c r="M77" s="789"/>
      <c r="N77" s="787">
        <f t="shared" ref="N77:N140" si="11">M77*K$9</f>
        <v>0</v>
      </c>
      <c r="P77" s="790">
        <f ca="1">'Offshore INT'!G77</f>
        <v>0</v>
      </c>
      <c r="Q77" s="790" t="e">
        <f t="shared" ca="1" si="7"/>
        <v>#DIV/0!</v>
      </c>
    </row>
    <row r="78" spans="1:17">
      <c r="A78" s="784">
        <f>'Offshore CF'!B89</f>
        <v>62</v>
      </c>
      <c r="B78" s="310">
        <f>'Offshore CF'!C89</f>
        <v>45446.418700000097</v>
      </c>
      <c r="C78" s="785" t="e">
        <f t="shared" ref="C78:C140" ca="1" si="12">D78/C$10</f>
        <v>#DIV/0!</v>
      </c>
      <c r="D78" s="765" t="e">
        <f t="shared" ca="1" si="8"/>
        <v>#DIV/0!</v>
      </c>
      <c r="E78" s="786" t="e">
        <f ca="1">'WBC Cancellation'!E89</f>
        <v>#DIV/0!</v>
      </c>
      <c r="F78" s="787" t="e">
        <f t="shared" ca="1" si="9"/>
        <v>#DIV/0!</v>
      </c>
      <c r="G78" s="788"/>
      <c r="H78" s="765">
        <f t="shared" ref="H78:H140" si="13">G78*G$10</f>
        <v>0</v>
      </c>
      <c r="I78" s="789"/>
      <c r="J78" s="787">
        <f t="shared" ref="J78:J140" si="14">I78*I$10</f>
        <v>0</v>
      </c>
      <c r="K78" s="788"/>
      <c r="L78" s="765">
        <f t="shared" si="10"/>
        <v>0</v>
      </c>
      <c r="M78" s="789"/>
      <c r="N78" s="787">
        <f t="shared" si="11"/>
        <v>0</v>
      </c>
      <c r="P78" s="790">
        <f ca="1">'Offshore INT'!G78</f>
        <v>0</v>
      </c>
      <c r="Q78" s="790" t="e">
        <f t="shared" ref="Q78:Q141" ca="1" si="15">D78-P78</f>
        <v>#DIV/0!</v>
      </c>
    </row>
    <row r="79" spans="1:17">
      <c r="A79" s="784">
        <f>'Offshore CF'!B90</f>
        <v>63</v>
      </c>
      <c r="B79" s="310">
        <f>'Offshore CF'!C90</f>
        <v>45476.835400000098</v>
      </c>
      <c r="C79" s="785" t="e">
        <f t="shared" ca="1" si="12"/>
        <v>#DIV/0!</v>
      </c>
      <c r="D79" s="765" t="e">
        <f t="shared" ca="1" si="8"/>
        <v>#DIV/0!</v>
      </c>
      <c r="E79" s="786" t="e">
        <f ca="1">'WBC Cancellation'!E90</f>
        <v>#DIV/0!</v>
      </c>
      <c r="F79" s="787" t="e">
        <f t="shared" ca="1" si="9"/>
        <v>#DIV/0!</v>
      </c>
      <c r="G79" s="788"/>
      <c r="H79" s="765">
        <f t="shared" si="13"/>
        <v>0</v>
      </c>
      <c r="I79" s="789"/>
      <c r="J79" s="787">
        <f t="shared" si="14"/>
        <v>0</v>
      </c>
      <c r="K79" s="788"/>
      <c r="L79" s="765">
        <f t="shared" si="10"/>
        <v>0</v>
      </c>
      <c r="M79" s="789"/>
      <c r="N79" s="787">
        <f t="shared" si="11"/>
        <v>0</v>
      </c>
      <c r="P79" s="790">
        <f ca="1">'Offshore INT'!G79</f>
        <v>0</v>
      </c>
      <c r="Q79" s="790" t="e">
        <f t="shared" ca="1" si="15"/>
        <v>#DIV/0!</v>
      </c>
    </row>
    <row r="80" spans="1:17">
      <c r="A80" s="784">
        <f>'Offshore CF'!B91</f>
        <v>64</v>
      </c>
      <c r="B80" s="310">
        <f>'Offshore CF'!C91</f>
        <v>45507.2521000001</v>
      </c>
      <c r="C80" s="785" t="e">
        <f t="shared" ca="1" si="12"/>
        <v>#DIV/0!</v>
      </c>
      <c r="D80" s="765" t="e">
        <f t="shared" ca="1" si="8"/>
        <v>#DIV/0!</v>
      </c>
      <c r="E80" s="786" t="e">
        <f ca="1">'WBC Cancellation'!E91</f>
        <v>#DIV/0!</v>
      </c>
      <c r="F80" s="787" t="e">
        <f t="shared" ca="1" si="9"/>
        <v>#DIV/0!</v>
      </c>
      <c r="G80" s="788"/>
      <c r="H80" s="765">
        <f t="shared" si="13"/>
        <v>0</v>
      </c>
      <c r="I80" s="789"/>
      <c r="J80" s="787">
        <f t="shared" si="14"/>
        <v>0</v>
      </c>
      <c r="K80" s="788"/>
      <c r="L80" s="765">
        <f t="shared" si="10"/>
        <v>0</v>
      </c>
      <c r="M80" s="789"/>
      <c r="N80" s="787">
        <f t="shared" si="11"/>
        <v>0</v>
      </c>
      <c r="P80" s="790">
        <f ca="1">'Offshore INT'!G80</f>
        <v>0</v>
      </c>
      <c r="Q80" s="790" t="e">
        <f t="shared" ca="1" si="15"/>
        <v>#DIV/0!</v>
      </c>
    </row>
    <row r="81" spans="1:17">
      <c r="A81" s="784">
        <f>'Offshore CF'!B92</f>
        <v>65</v>
      </c>
      <c r="B81" s="310">
        <f>'Offshore CF'!C92</f>
        <v>45537.668800000101</v>
      </c>
      <c r="C81" s="785" t="e">
        <f t="shared" ca="1" si="12"/>
        <v>#DIV/0!</v>
      </c>
      <c r="D81" s="765" t="e">
        <f t="shared" ca="1" si="8"/>
        <v>#DIV/0!</v>
      </c>
      <c r="E81" s="786" t="e">
        <f ca="1">'WBC Cancellation'!E92</f>
        <v>#DIV/0!</v>
      </c>
      <c r="F81" s="787" t="e">
        <f t="shared" ca="1" si="9"/>
        <v>#DIV/0!</v>
      </c>
      <c r="G81" s="788"/>
      <c r="H81" s="765">
        <f t="shared" si="13"/>
        <v>0</v>
      </c>
      <c r="I81" s="789"/>
      <c r="J81" s="787">
        <f t="shared" si="14"/>
        <v>0</v>
      </c>
      <c r="K81" s="788"/>
      <c r="L81" s="765">
        <f t="shared" si="10"/>
        <v>0</v>
      </c>
      <c r="M81" s="789"/>
      <c r="N81" s="787">
        <f t="shared" si="11"/>
        <v>0</v>
      </c>
      <c r="P81" s="790">
        <f ca="1">'Offshore INT'!G81</f>
        <v>0</v>
      </c>
      <c r="Q81" s="790" t="e">
        <f t="shared" ca="1" si="15"/>
        <v>#DIV/0!</v>
      </c>
    </row>
    <row r="82" spans="1:17">
      <c r="A82" s="784">
        <f>'Offshore CF'!B93</f>
        <v>66</v>
      </c>
      <c r="B82" s="310">
        <f>'Offshore CF'!C93</f>
        <v>45568.085500000103</v>
      </c>
      <c r="C82" s="785" t="e">
        <f t="shared" ca="1" si="12"/>
        <v>#DIV/0!</v>
      </c>
      <c r="D82" s="765" t="e">
        <f t="shared" ca="1" si="8"/>
        <v>#DIV/0!</v>
      </c>
      <c r="E82" s="786" t="e">
        <f ca="1">'WBC Cancellation'!E93</f>
        <v>#DIV/0!</v>
      </c>
      <c r="F82" s="787" t="e">
        <f t="shared" ca="1" si="9"/>
        <v>#DIV/0!</v>
      </c>
      <c r="G82" s="788"/>
      <c r="H82" s="765">
        <f t="shared" si="13"/>
        <v>0</v>
      </c>
      <c r="I82" s="789"/>
      <c r="J82" s="787">
        <f t="shared" si="14"/>
        <v>0</v>
      </c>
      <c r="K82" s="788"/>
      <c r="L82" s="765">
        <f t="shared" si="10"/>
        <v>0</v>
      </c>
      <c r="M82" s="789"/>
      <c r="N82" s="787">
        <f t="shared" si="11"/>
        <v>0</v>
      </c>
      <c r="P82" s="790">
        <f ca="1">'Offshore INT'!G82</f>
        <v>0</v>
      </c>
      <c r="Q82" s="790" t="e">
        <f t="shared" ca="1" si="15"/>
        <v>#DIV/0!</v>
      </c>
    </row>
    <row r="83" spans="1:17">
      <c r="A83" s="784">
        <f>'Offshore CF'!B94</f>
        <v>67</v>
      </c>
      <c r="B83" s="310">
        <f>'Offshore CF'!C94</f>
        <v>45598.502200000104</v>
      </c>
      <c r="C83" s="785" t="e">
        <f t="shared" ca="1" si="12"/>
        <v>#DIV/0!</v>
      </c>
      <c r="D83" s="765" t="e">
        <f t="shared" ca="1" si="8"/>
        <v>#DIV/0!</v>
      </c>
      <c r="E83" s="786" t="e">
        <f ca="1">'WBC Cancellation'!E94</f>
        <v>#DIV/0!</v>
      </c>
      <c r="F83" s="787" t="e">
        <f t="shared" ca="1" si="9"/>
        <v>#DIV/0!</v>
      </c>
      <c r="G83" s="788"/>
      <c r="H83" s="765">
        <f t="shared" si="13"/>
        <v>0</v>
      </c>
      <c r="I83" s="789"/>
      <c r="J83" s="787">
        <f t="shared" si="14"/>
        <v>0</v>
      </c>
      <c r="K83" s="788"/>
      <c r="L83" s="765">
        <f t="shared" si="10"/>
        <v>0</v>
      </c>
      <c r="M83" s="789"/>
      <c r="N83" s="787">
        <f t="shared" si="11"/>
        <v>0</v>
      </c>
      <c r="P83" s="790">
        <f ca="1">'Offshore INT'!G83</f>
        <v>0</v>
      </c>
      <c r="Q83" s="790" t="e">
        <f t="shared" ca="1" si="15"/>
        <v>#DIV/0!</v>
      </c>
    </row>
    <row r="84" spans="1:17">
      <c r="A84" s="784">
        <f>'Offshore CF'!B95</f>
        <v>68</v>
      </c>
      <c r="B84" s="310">
        <f>'Offshore CF'!C95</f>
        <v>45628.918900000106</v>
      </c>
      <c r="C84" s="785" t="e">
        <f t="shared" ca="1" si="12"/>
        <v>#DIV/0!</v>
      </c>
      <c r="D84" s="765" t="e">
        <f t="shared" ca="1" si="8"/>
        <v>#DIV/0!</v>
      </c>
      <c r="E84" s="786" t="e">
        <f ca="1">'WBC Cancellation'!E95</f>
        <v>#DIV/0!</v>
      </c>
      <c r="F84" s="787" t="e">
        <f t="shared" ca="1" si="9"/>
        <v>#DIV/0!</v>
      </c>
      <c r="G84" s="788"/>
      <c r="H84" s="765">
        <f t="shared" si="13"/>
        <v>0</v>
      </c>
      <c r="I84" s="789"/>
      <c r="J84" s="787">
        <f t="shared" si="14"/>
        <v>0</v>
      </c>
      <c r="K84" s="788"/>
      <c r="L84" s="765">
        <f t="shared" si="10"/>
        <v>0</v>
      </c>
      <c r="M84" s="789"/>
      <c r="N84" s="787">
        <f t="shared" si="11"/>
        <v>0</v>
      </c>
      <c r="P84" s="790">
        <f ca="1">'Offshore INT'!G84</f>
        <v>0</v>
      </c>
      <c r="Q84" s="790" t="e">
        <f t="shared" ca="1" si="15"/>
        <v>#DIV/0!</v>
      </c>
    </row>
    <row r="85" spans="1:17">
      <c r="A85" s="784">
        <f>'Offshore CF'!B96</f>
        <v>69</v>
      </c>
      <c r="B85" s="310">
        <f>'Offshore CF'!C96</f>
        <v>45659.335600000108</v>
      </c>
      <c r="C85" s="785" t="e">
        <f t="shared" ca="1" si="12"/>
        <v>#DIV/0!</v>
      </c>
      <c r="D85" s="765" t="e">
        <f t="shared" ca="1" si="8"/>
        <v>#DIV/0!</v>
      </c>
      <c r="E85" s="786" t="e">
        <f ca="1">'WBC Cancellation'!E96</f>
        <v>#DIV/0!</v>
      </c>
      <c r="F85" s="787" t="e">
        <f t="shared" ca="1" si="9"/>
        <v>#DIV/0!</v>
      </c>
      <c r="G85" s="788"/>
      <c r="H85" s="765">
        <f t="shared" si="13"/>
        <v>0</v>
      </c>
      <c r="I85" s="789"/>
      <c r="J85" s="787">
        <f t="shared" si="14"/>
        <v>0</v>
      </c>
      <c r="K85" s="788"/>
      <c r="L85" s="765">
        <f t="shared" si="10"/>
        <v>0</v>
      </c>
      <c r="M85" s="789"/>
      <c r="N85" s="787">
        <f t="shared" si="11"/>
        <v>0</v>
      </c>
      <c r="P85" s="790">
        <f ca="1">'Offshore INT'!G85</f>
        <v>0</v>
      </c>
      <c r="Q85" s="790" t="e">
        <f t="shared" ca="1" si="15"/>
        <v>#DIV/0!</v>
      </c>
    </row>
    <row r="86" spans="1:17">
      <c r="A86" s="784">
        <f>'Offshore CF'!B97</f>
        <v>70</v>
      </c>
      <c r="B86" s="310">
        <f>'Offshore CF'!C97</f>
        <v>45689.752300000109</v>
      </c>
      <c r="C86" s="785" t="e">
        <f t="shared" ca="1" si="12"/>
        <v>#DIV/0!</v>
      </c>
      <c r="D86" s="765" t="e">
        <f t="shared" ca="1" si="8"/>
        <v>#DIV/0!</v>
      </c>
      <c r="E86" s="786" t="e">
        <f ca="1">'WBC Cancellation'!E97</f>
        <v>#DIV/0!</v>
      </c>
      <c r="F86" s="787" t="e">
        <f t="shared" ca="1" si="9"/>
        <v>#DIV/0!</v>
      </c>
      <c r="G86" s="788"/>
      <c r="H86" s="765">
        <f t="shared" si="13"/>
        <v>0</v>
      </c>
      <c r="I86" s="789"/>
      <c r="J86" s="787">
        <f t="shared" si="14"/>
        <v>0</v>
      </c>
      <c r="K86" s="788"/>
      <c r="L86" s="765">
        <f t="shared" si="10"/>
        <v>0</v>
      </c>
      <c r="M86" s="789"/>
      <c r="N86" s="787">
        <f t="shared" si="11"/>
        <v>0</v>
      </c>
      <c r="P86" s="790">
        <f ca="1">'Offshore INT'!G86</f>
        <v>0</v>
      </c>
      <c r="Q86" s="790" t="e">
        <f t="shared" ca="1" si="15"/>
        <v>#DIV/0!</v>
      </c>
    </row>
    <row r="87" spans="1:17">
      <c r="A87" s="784">
        <f>'Offshore CF'!B98</f>
        <v>71</v>
      </c>
      <c r="B87" s="310">
        <f>'Offshore CF'!C98</f>
        <v>45720.169000000111</v>
      </c>
      <c r="C87" s="785" t="e">
        <f t="shared" ca="1" si="12"/>
        <v>#DIV/0!</v>
      </c>
      <c r="D87" s="765" t="e">
        <f t="shared" ca="1" si="8"/>
        <v>#DIV/0!</v>
      </c>
      <c r="E87" s="786" t="e">
        <f ca="1">'WBC Cancellation'!E98</f>
        <v>#DIV/0!</v>
      </c>
      <c r="F87" s="787" t="e">
        <f t="shared" ca="1" si="9"/>
        <v>#DIV/0!</v>
      </c>
      <c r="G87" s="788"/>
      <c r="H87" s="765">
        <f t="shared" si="13"/>
        <v>0</v>
      </c>
      <c r="I87" s="789"/>
      <c r="J87" s="787">
        <f t="shared" si="14"/>
        <v>0</v>
      </c>
      <c r="K87" s="788"/>
      <c r="L87" s="765">
        <f t="shared" si="10"/>
        <v>0</v>
      </c>
      <c r="M87" s="789"/>
      <c r="N87" s="787">
        <f t="shared" si="11"/>
        <v>0</v>
      </c>
      <c r="P87" s="790">
        <f ca="1">'Offshore INT'!G87</f>
        <v>0</v>
      </c>
      <c r="Q87" s="790" t="e">
        <f t="shared" ca="1" si="15"/>
        <v>#DIV/0!</v>
      </c>
    </row>
    <row r="88" spans="1:17">
      <c r="A88" s="784">
        <f>'Offshore CF'!B99</f>
        <v>72</v>
      </c>
      <c r="B88" s="310">
        <f>'Offshore CF'!C99</f>
        <v>45750.585700000112</v>
      </c>
      <c r="C88" s="785" t="e">
        <f t="shared" ca="1" si="12"/>
        <v>#DIV/0!</v>
      </c>
      <c r="D88" s="765" t="e">
        <f t="shared" ca="1" si="8"/>
        <v>#DIV/0!</v>
      </c>
      <c r="E88" s="786" t="e">
        <f ca="1">'WBC Cancellation'!E99</f>
        <v>#DIV/0!</v>
      </c>
      <c r="F88" s="787" t="e">
        <f t="shared" ca="1" si="9"/>
        <v>#DIV/0!</v>
      </c>
      <c r="G88" s="788"/>
      <c r="H88" s="765">
        <f t="shared" si="13"/>
        <v>0</v>
      </c>
      <c r="I88" s="789"/>
      <c r="J88" s="787">
        <f t="shared" si="14"/>
        <v>0</v>
      </c>
      <c r="K88" s="788"/>
      <c r="L88" s="765">
        <f t="shared" si="10"/>
        <v>0</v>
      </c>
      <c r="M88" s="789"/>
      <c r="N88" s="787">
        <f t="shared" si="11"/>
        <v>0</v>
      </c>
      <c r="P88" s="790">
        <f ca="1">'Offshore INT'!G88</f>
        <v>0</v>
      </c>
      <c r="Q88" s="790" t="e">
        <f t="shared" ca="1" si="15"/>
        <v>#DIV/0!</v>
      </c>
    </row>
    <row r="89" spans="1:17">
      <c r="A89" s="784">
        <f>'Offshore CF'!B100</f>
        <v>73</v>
      </c>
      <c r="B89" s="310">
        <f>'Offshore CF'!C100</f>
        <v>45781.002400000114</v>
      </c>
      <c r="C89" s="785" t="e">
        <f t="shared" ca="1" si="12"/>
        <v>#DIV/0!</v>
      </c>
      <c r="D89" s="765" t="e">
        <f t="shared" ca="1" si="8"/>
        <v>#DIV/0!</v>
      </c>
      <c r="E89" s="786" t="e">
        <f ca="1">'WBC Cancellation'!E100</f>
        <v>#DIV/0!</v>
      </c>
      <c r="F89" s="787" t="e">
        <f t="shared" ca="1" si="9"/>
        <v>#DIV/0!</v>
      </c>
      <c r="G89" s="788"/>
      <c r="H89" s="765">
        <f t="shared" si="13"/>
        <v>0</v>
      </c>
      <c r="I89" s="789"/>
      <c r="J89" s="787">
        <f t="shared" si="14"/>
        <v>0</v>
      </c>
      <c r="K89" s="788"/>
      <c r="L89" s="765">
        <f t="shared" si="10"/>
        <v>0</v>
      </c>
      <c r="M89" s="789"/>
      <c r="N89" s="787">
        <f t="shared" si="11"/>
        <v>0</v>
      </c>
      <c r="P89" s="790">
        <f ca="1">'Offshore INT'!G89</f>
        <v>0</v>
      </c>
      <c r="Q89" s="790" t="e">
        <f t="shared" ca="1" si="15"/>
        <v>#DIV/0!</v>
      </c>
    </row>
    <row r="90" spans="1:17">
      <c r="A90" s="784">
        <f>'Offshore CF'!B101</f>
        <v>74</v>
      </c>
      <c r="B90" s="310">
        <f>'Offshore CF'!C101</f>
        <v>45811.419100000116</v>
      </c>
      <c r="C90" s="785" t="e">
        <f t="shared" ca="1" si="12"/>
        <v>#DIV/0!</v>
      </c>
      <c r="D90" s="765" t="e">
        <f t="shared" ca="1" si="8"/>
        <v>#DIV/0!</v>
      </c>
      <c r="E90" s="786" t="e">
        <f ca="1">'WBC Cancellation'!E101</f>
        <v>#DIV/0!</v>
      </c>
      <c r="F90" s="787" t="e">
        <f t="shared" ca="1" si="9"/>
        <v>#DIV/0!</v>
      </c>
      <c r="G90" s="788"/>
      <c r="H90" s="765">
        <f t="shared" si="13"/>
        <v>0</v>
      </c>
      <c r="I90" s="789"/>
      <c r="J90" s="787">
        <f t="shared" si="14"/>
        <v>0</v>
      </c>
      <c r="K90" s="788"/>
      <c r="L90" s="765">
        <f t="shared" si="10"/>
        <v>0</v>
      </c>
      <c r="M90" s="789"/>
      <c r="N90" s="787">
        <f t="shared" si="11"/>
        <v>0</v>
      </c>
      <c r="P90" s="790">
        <f ca="1">'Offshore INT'!G90</f>
        <v>0</v>
      </c>
      <c r="Q90" s="790" t="e">
        <f t="shared" ca="1" si="15"/>
        <v>#DIV/0!</v>
      </c>
    </row>
    <row r="91" spans="1:17">
      <c r="A91" s="784">
        <f>'Offshore CF'!B102</f>
        <v>75</v>
      </c>
      <c r="B91" s="310">
        <f>'Offshore CF'!C102</f>
        <v>45841.835800000117</v>
      </c>
      <c r="C91" s="785" t="e">
        <f t="shared" ca="1" si="12"/>
        <v>#DIV/0!</v>
      </c>
      <c r="D91" s="765" t="e">
        <f t="shared" ca="1" si="8"/>
        <v>#DIV/0!</v>
      </c>
      <c r="E91" s="786" t="e">
        <f ca="1">'WBC Cancellation'!E102</f>
        <v>#DIV/0!</v>
      </c>
      <c r="F91" s="787" t="e">
        <f t="shared" ca="1" si="9"/>
        <v>#DIV/0!</v>
      </c>
      <c r="G91" s="788"/>
      <c r="H91" s="765">
        <f t="shared" si="13"/>
        <v>0</v>
      </c>
      <c r="I91" s="789"/>
      <c r="J91" s="787">
        <f t="shared" si="14"/>
        <v>0</v>
      </c>
      <c r="K91" s="788"/>
      <c r="L91" s="765">
        <f t="shared" si="10"/>
        <v>0</v>
      </c>
      <c r="M91" s="789"/>
      <c r="N91" s="787">
        <f t="shared" si="11"/>
        <v>0</v>
      </c>
      <c r="P91" s="790">
        <f ca="1">'Offshore INT'!G91</f>
        <v>0</v>
      </c>
      <c r="Q91" s="790" t="e">
        <f t="shared" ca="1" si="15"/>
        <v>#DIV/0!</v>
      </c>
    </row>
    <row r="92" spans="1:17">
      <c r="A92" s="784">
        <f>'Offshore CF'!B103</f>
        <v>76</v>
      </c>
      <c r="B92" s="310">
        <f>'Offshore CF'!C103</f>
        <v>45872.252500000119</v>
      </c>
      <c r="C92" s="785" t="e">
        <f t="shared" ca="1" si="12"/>
        <v>#DIV/0!</v>
      </c>
      <c r="D92" s="765" t="e">
        <f t="shared" ca="1" si="8"/>
        <v>#DIV/0!</v>
      </c>
      <c r="E92" s="786" t="e">
        <f ca="1">'WBC Cancellation'!E103</f>
        <v>#DIV/0!</v>
      </c>
      <c r="F92" s="787" t="e">
        <f t="shared" ca="1" si="9"/>
        <v>#DIV/0!</v>
      </c>
      <c r="G92" s="788"/>
      <c r="H92" s="765">
        <f t="shared" si="13"/>
        <v>0</v>
      </c>
      <c r="I92" s="789"/>
      <c r="J92" s="787">
        <f t="shared" si="14"/>
        <v>0</v>
      </c>
      <c r="K92" s="788"/>
      <c r="L92" s="765">
        <f t="shared" si="10"/>
        <v>0</v>
      </c>
      <c r="M92" s="789"/>
      <c r="N92" s="787">
        <f t="shared" si="11"/>
        <v>0</v>
      </c>
      <c r="P92" s="790">
        <f ca="1">'Offshore INT'!G92</f>
        <v>0</v>
      </c>
      <c r="Q92" s="790" t="e">
        <f t="shared" ca="1" si="15"/>
        <v>#DIV/0!</v>
      </c>
    </row>
    <row r="93" spans="1:17">
      <c r="A93" s="784">
        <f>'Offshore CF'!B104</f>
        <v>77</v>
      </c>
      <c r="B93" s="310">
        <f>'Offshore CF'!C104</f>
        <v>45902.66920000012</v>
      </c>
      <c r="C93" s="785" t="e">
        <f t="shared" ca="1" si="12"/>
        <v>#DIV/0!</v>
      </c>
      <c r="D93" s="765" t="e">
        <f t="shared" ca="1" si="8"/>
        <v>#DIV/0!</v>
      </c>
      <c r="E93" s="786" t="e">
        <f ca="1">'WBC Cancellation'!E104</f>
        <v>#DIV/0!</v>
      </c>
      <c r="F93" s="787" t="e">
        <f t="shared" ca="1" si="9"/>
        <v>#DIV/0!</v>
      </c>
      <c r="G93" s="788"/>
      <c r="H93" s="765">
        <f t="shared" si="13"/>
        <v>0</v>
      </c>
      <c r="I93" s="789"/>
      <c r="J93" s="787">
        <f t="shared" si="14"/>
        <v>0</v>
      </c>
      <c r="K93" s="788"/>
      <c r="L93" s="765">
        <f t="shared" si="10"/>
        <v>0</v>
      </c>
      <c r="M93" s="789"/>
      <c r="N93" s="787">
        <f t="shared" si="11"/>
        <v>0</v>
      </c>
      <c r="P93" s="790">
        <f ca="1">'Offshore INT'!G93</f>
        <v>0</v>
      </c>
      <c r="Q93" s="790" t="e">
        <f t="shared" ca="1" si="15"/>
        <v>#DIV/0!</v>
      </c>
    </row>
    <row r="94" spans="1:17">
      <c r="A94" s="784">
        <f>'Offshore CF'!B105</f>
        <v>78</v>
      </c>
      <c r="B94" s="310">
        <f>'Offshore CF'!C105</f>
        <v>45933.085900000122</v>
      </c>
      <c r="C94" s="785" t="e">
        <f t="shared" ca="1" si="12"/>
        <v>#DIV/0!</v>
      </c>
      <c r="D94" s="765" t="e">
        <f t="shared" ca="1" si="8"/>
        <v>#DIV/0!</v>
      </c>
      <c r="E94" s="786" t="e">
        <f ca="1">'WBC Cancellation'!E105</f>
        <v>#DIV/0!</v>
      </c>
      <c r="F94" s="787" t="e">
        <f t="shared" ca="1" si="9"/>
        <v>#DIV/0!</v>
      </c>
      <c r="G94" s="788"/>
      <c r="H94" s="765">
        <f t="shared" si="13"/>
        <v>0</v>
      </c>
      <c r="I94" s="789"/>
      <c r="J94" s="787">
        <f t="shared" si="14"/>
        <v>0</v>
      </c>
      <c r="K94" s="788"/>
      <c r="L94" s="765">
        <f t="shared" si="10"/>
        <v>0</v>
      </c>
      <c r="M94" s="789"/>
      <c r="N94" s="787">
        <f t="shared" si="11"/>
        <v>0</v>
      </c>
      <c r="P94" s="790">
        <f ca="1">'Offshore INT'!G94</f>
        <v>0</v>
      </c>
      <c r="Q94" s="790" t="e">
        <f t="shared" ca="1" si="15"/>
        <v>#DIV/0!</v>
      </c>
    </row>
    <row r="95" spans="1:17">
      <c r="A95" s="784">
        <f>'Offshore CF'!B106</f>
        <v>79</v>
      </c>
      <c r="B95" s="310">
        <f>'Offshore CF'!C106</f>
        <v>45963.502600000123</v>
      </c>
      <c r="C95" s="785" t="e">
        <f t="shared" ca="1" si="12"/>
        <v>#DIV/0!</v>
      </c>
      <c r="D95" s="765" t="e">
        <f t="shared" ca="1" si="8"/>
        <v>#DIV/0!</v>
      </c>
      <c r="E95" s="786" t="e">
        <f ca="1">'WBC Cancellation'!E106</f>
        <v>#DIV/0!</v>
      </c>
      <c r="F95" s="787" t="e">
        <f t="shared" ca="1" si="9"/>
        <v>#DIV/0!</v>
      </c>
      <c r="G95" s="788"/>
      <c r="H95" s="765">
        <f t="shared" si="13"/>
        <v>0</v>
      </c>
      <c r="I95" s="789"/>
      <c r="J95" s="787">
        <f t="shared" si="14"/>
        <v>0</v>
      </c>
      <c r="K95" s="788"/>
      <c r="L95" s="765">
        <f t="shared" si="10"/>
        <v>0</v>
      </c>
      <c r="M95" s="789"/>
      <c r="N95" s="787">
        <f t="shared" si="11"/>
        <v>0</v>
      </c>
      <c r="P95" s="790">
        <f ca="1">'Offshore INT'!G95</f>
        <v>0</v>
      </c>
      <c r="Q95" s="790" t="e">
        <f t="shared" ca="1" si="15"/>
        <v>#DIV/0!</v>
      </c>
    </row>
    <row r="96" spans="1:17">
      <c r="A96" s="784">
        <f>'Offshore CF'!B107</f>
        <v>80</v>
      </c>
      <c r="B96" s="310">
        <f>'Offshore CF'!C107</f>
        <v>45993.919300000125</v>
      </c>
      <c r="C96" s="785" t="e">
        <f t="shared" ca="1" si="12"/>
        <v>#DIV/0!</v>
      </c>
      <c r="D96" s="765" t="e">
        <f t="shared" ca="1" si="8"/>
        <v>#DIV/0!</v>
      </c>
      <c r="E96" s="786" t="e">
        <f ca="1">'WBC Cancellation'!E107</f>
        <v>#DIV/0!</v>
      </c>
      <c r="F96" s="787" t="e">
        <f t="shared" ca="1" si="9"/>
        <v>#DIV/0!</v>
      </c>
      <c r="G96" s="788"/>
      <c r="H96" s="765">
        <f t="shared" si="13"/>
        <v>0</v>
      </c>
      <c r="I96" s="789"/>
      <c r="J96" s="787">
        <f t="shared" si="14"/>
        <v>0</v>
      </c>
      <c r="K96" s="788"/>
      <c r="L96" s="765">
        <f t="shared" si="10"/>
        <v>0</v>
      </c>
      <c r="M96" s="789"/>
      <c r="N96" s="787">
        <f t="shared" si="11"/>
        <v>0</v>
      </c>
      <c r="P96" s="790">
        <f ca="1">'Offshore INT'!G96</f>
        <v>0</v>
      </c>
      <c r="Q96" s="790" t="e">
        <f t="shared" ca="1" si="15"/>
        <v>#DIV/0!</v>
      </c>
    </row>
    <row r="97" spans="1:17">
      <c r="A97" s="784">
        <f>'Offshore CF'!B108</f>
        <v>81</v>
      </c>
      <c r="B97" s="310">
        <f>'Offshore CF'!C108</f>
        <v>46024.336000000127</v>
      </c>
      <c r="C97" s="785" t="e">
        <f t="shared" ca="1" si="12"/>
        <v>#DIV/0!</v>
      </c>
      <c r="D97" s="765" t="e">
        <f t="shared" ca="1" si="8"/>
        <v>#DIV/0!</v>
      </c>
      <c r="E97" s="786" t="e">
        <f ca="1">'WBC Cancellation'!E108</f>
        <v>#DIV/0!</v>
      </c>
      <c r="F97" s="787" t="e">
        <f t="shared" ca="1" si="9"/>
        <v>#DIV/0!</v>
      </c>
      <c r="G97" s="788"/>
      <c r="H97" s="765">
        <f t="shared" si="13"/>
        <v>0</v>
      </c>
      <c r="I97" s="789"/>
      <c r="J97" s="787">
        <f t="shared" si="14"/>
        <v>0</v>
      </c>
      <c r="K97" s="788"/>
      <c r="L97" s="765">
        <f t="shared" si="10"/>
        <v>0</v>
      </c>
      <c r="M97" s="789"/>
      <c r="N97" s="787">
        <f t="shared" si="11"/>
        <v>0</v>
      </c>
      <c r="P97" s="790">
        <f ca="1">'Offshore INT'!G97</f>
        <v>0</v>
      </c>
      <c r="Q97" s="790" t="e">
        <f t="shared" ca="1" si="15"/>
        <v>#DIV/0!</v>
      </c>
    </row>
    <row r="98" spans="1:17">
      <c r="A98" s="784">
        <f>'Offshore CF'!B109</f>
        <v>82</v>
      </c>
      <c r="B98" s="310">
        <f>'Offshore CF'!C109</f>
        <v>46054.752700000128</v>
      </c>
      <c r="C98" s="785" t="e">
        <f t="shared" ca="1" si="12"/>
        <v>#DIV/0!</v>
      </c>
      <c r="D98" s="765" t="e">
        <f t="shared" ca="1" si="8"/>
        <v>#DIV/0!</v>
      </c>
      <c r="E98" s="786" t="e">
        <f ca="1">'WBC Cancellation'!E109</f>
        <v>#DIV/0!</v>
      </c>
      <c r="F98" s="787" t="e">
        <f t="shared" ca="1" si="9"/>
        <v>#DIV/0!</v>
      </c>
      <c r="G98" s="788"/>
      <c r="H98" s="765">
        <f t="shared" si="13"/>
        <v>0</v>
      </c>
      <c r="I98" s="789"/>
      <c r="J98" s="787">
        <f t="shared" si="14"/>
        <v>0</v>
      </c>
      <c r="K98" s="788"/>
      <c r="L98" s="765">
        <f t="shared" si="10"/>
        <v>0</v>
      </c>
      <c r="M98" s="789"/>
      <c r="N98" s="787">
        <f t="shared" si="11"/>
        <v>0</v>
      </c>
      <c r="P98" s="790">
        <f ca="1">'Offshore INT'!G98</f>
        <v>0</v>
      </c>
      <c r="Q98" s="790" t="e">
        <f t="shared" ca="1" si="15"/>
        <v>#DIV/0!</v>
      </c>
    </row>
    <row r="99" spans="1:17">
      <c r="A99" s="784">
        <f>'Offshore CF'!B110</f>
        <v>83</v>
      </c>
      <c r="B99" s="310">
        <f>'Offshore CF'!C110</f>
        <v>46085.16940000013</v>
      </c>
      <c r="C99" s="785" t="e">
        <f t="shared" ca="1" si="12"/>
        <v>#DIV/0!</v>
      </c>
      <c r="D99" s="765" t="e">
        <f t="shared" ca="1" si="8"/>
        <v>#DIV/0!</v>
      </c>
      <c r="E99" s="786" t="e">
        <f ca="1">'WBC Cancellation'!E110</f>
        <v>#DIV/0!</v>
      </c>
      <c r="F99" s="787" t="e">
        <f t="shared" ca="1" si="9"/>
        <v>#DIV/0!</v>
      </c>
      <c r="G99" s="788"/>
      <c r="H99" s="765">
        <f t="shared" si="13"/>
        <v>0</v>
      </c>
      <c r="I99" s="789"/>
      <c r="J99" s="787">
        <f t="shared" si="14"/>
        <v>0</v>
      </c>
      <c r="K99" s="788"/>
      <c r="L99" s="765">
        <f t="shared" si="10"/>
        <v>0</v>
      </c>
      <c r="M99" s="789"/>
      <c r="N99" s="787">
        <f t="shared" si="11"/>
        <v>0</v>
      </c>
      <c r="P99" s="790">
        <f ca="1">'Offshore INT'!G99</f>
        <v>0</v>
      </c>
      <c r="Q99" s="790" t="e">
        <f t="shared" ca="1" si="15"/>
        <v>#DIV/0!</v>
      </c>
    </row>
    <row r="100" spans="1:17">
      <c r="A100" s="784">
        <f>'Offshore CF'!B111</f>
        <v>84</v>
      </c>
      <c r="B100" s="310">
        <f>'Offshore CF'!C111</f>
        <v>46115.586100000131</v>
      </c>
      <c r="C100" s="785" t="e">
        <f t="shared" ca="1" si="12"/>
        <v>#DIV/0!</v>
      </c>
      <c r="D100" s="765" t="e">
        <f t="shared" ca="1" si="8"/>
        <v>#DIV/0!</v>
      </c>
      <c r="E100" s="786" t="e">
        <f ca="1">'WBC Cancellation'!E111</f>
        <v>#DIV/0!</v>
      </c>
      <c r="F100" s="787" t="e">
        <f t="shared" ca="1" si="9"/>
        <v>#DIV/0!</v>
      </c>
      <c r="G100" s="788"/>
      <c r="H100" s="765">
        <f t="shared" si="13"/>
        <v>0</v>
      </c>
      <c r="I100" s="789"/>
      <c r="J100" s="787">
        <f t="shared" si="14"/>
        <v>0</v>
      </c>
      <c r="K100" s="788"/>
      <c r="L100" s="765">
        <f t="shared" si="10"/>
        <v>0</v>
      </c>
      <c r="M100" s="789"/>
      <c r="N100" s="787">
        <f t="shared" si="11"/>
        <v>0</v>
      </c>
      <c r="P100" s="790">
        <f ca="1">'Offshore INT'!G100</f>
        <v>0</v>
      </c>
      <c r="Q100" s="790" t="e">
        <f t="shared" ca="1" si="15"/>
        <v>#DIV/0!</v>
      </c>
    </row>
    <row r="101" spans="1:17">
      <c r="A101" s="784">
        <f>'Offshore CF'!B112</f>
        <v>85</v>
      </c>
      <c r="B101" s="310">
        <f>'Offshore CF'!C112</f>
        <v>46146.002800000133</v>
      </c>
      <c r="C101" s="785" t="e">
        <f t="shared" ca="1" si="12"/>
        <v>#DIV/0!</v>
      </c>
      <c r="D101" s="765" t="e">
        <f t="shared" ca="1" si="8"/>
        <v>#DIV/0!</v>
      </c>
      <c r="E101" s="786" t="e">
        <f ca="1">'WBC Cancellation'!E112</f>
        <v>#DIV/0!</v>
      </c>
      <c r="F101" s="787" t="e">
        <f t="shared" ca="1" si="9"/>
        <v>#DIV/0!</v>
      </c>
      <c r="G101" s="788"/>
      <c r="H101" s="765">
        <f t="shared" si="13"/>
        <v>0</v>
      </c>
      <c r="I101" s="789"/>
      <c r="J101" s="787">
        <f t="shared" si="14"/>
        <v>0</v>
      </c>
      <c r="K101" s="788"/>
      <c r="L101" s="765">
        <f t="shared" si="10"/>
        <v>0</v>
      </c>
      <c r="M101" s="789"/>
      <c r="N101" s="787">
        <f t="shared" si="11"/>
        <v>0</v>
      </c>
      <c r="P101" s="790">
        <f ca="1">'Offshore INT'!G101</f>
        <v>0</v>
      </c>
      <c r="Q101" s="790" t="e">
        <f t="shared" ca="1" si="15"/>
        <v>#DIV/0!</v>
      </c>
    </row>
    <row r="102" spans="1:17">
      <c r="A102" s="784">
        <f>'Offshore CF'!B113</f>
        <v>86</v>
      </c>
      <c r="B102" s="310">
        <f>'Offshore CF'!C113</f>
        <v>46176.419500000135</v>
      </c>
      <c r="C102" s="785" t="e">
        <f t="shared" ca="1" si="12"/>
        <v>#DIV/0!</v>
      </c>
      <c r="D102" s="765" t="e">
        <f t="shared" ca="1" si="8"/>
        <v>#DIV/0!</v>
      </c>
      <c r="E102" s="786" t="e">
        <f ca="1">'WBC Cancellation'!E113</f>
        <v>#DIV/0!</v>
      </c>
      <c r="F102" s="787" t="e">
        <f t="shared" ca="1" si="9"/>
        <v>#DIV/0!</v>
      </c>
      <c r="G102" s="788"/>
      <c r="H102" s="765">
        <f t="shared" si="13"/>
        <v>0</v>
      </c>
      <c r="I102" s="789"/>
      <c r="J102" s="787">
        <f t="shared" si="14"/>
        <v>0</v>
      </c>
      <c r="K102" s="788"/>
      <c r="L102" s="765">
        <f t="shared" si="10"/>
        <v>0</v>
      </c>
      <c r="M102" s="789"/>
      <c r="N102" s="787">
        <f t="shared" si="11"/>
        <v>0</v>
      </c>
      <c r="P102" s="790">
        <f ca="1">'Offshore INT'!G102</f>
        <v>0</v>
      </c>
      <c r="Q102" s="790" t="e">
        <f t="shared" ca="1" si="15"/>
        <v>#DIV/0!</v>
      </c>
    </row>
    <row r="103" spans="1:17">
      <c r="A103" s="784">
        <f>'Offshore CF'!B114</f>
        <v>87</v>
      </c>
      <c r="B103" s="310">
        <f>'Offshore CF'!C114</f>
        <v>46206.836200000136</v>
      </c>
      <c r="C103" s="785" t="e">
        <f t="shared" ca="1" si="12"/>
        <v>#DIV/0!</v>
      </c>
      <c r="D103" s="765" t="e">
        <f t="shared" ca="1" si="8"/>
        <v>#DIV/0!</v>
      </c>
      <c r="E103" s="786" t="e">
        <f ca="1">'WBC Cancellation'!E114</f>
        <v>#DIV/0!</v>
      </c>
      <c r="F103" s="787" t="e">
        <f t="shared" ca="1" si="9"/>
        <v>#DIV/0!</v>
      </c>
      <c r="G103" s="788"/>
      <c r="H103" s="765">
        <f t="shared" si="13"/>
        <v>0</v>
      </c>
      <c r="I103" s="789"/>
      <c r="J103" s="787">
        <f t="shared" si="14"/>
        <v>0</v>
      </c>
      <c r="K103" s="788"/>
      <c r="L103" s="765">
        <f t="shared" si="10"/>
        <v>0</v>
      </c>
      <c r="M103" s="789"/>
      <c r="N103" s="787">
        <f t="shared" si="11"/>
        <v>0</v>
      </c>
      <c r="P103" s="790">
        <f ca="1">'Offshore INT'!G103</f>
        <v>0</v>
      </c>
      <c r="Q103" s="790" t="e">
        <f t="shared" ca="1" si="15"/>
        <v>#DIV/0!</v>
      </c>
    </row>
    <row r="104" spans="1:17">
      <c r="A104" s="784">
        <f>'Offshore CF'!B115</f>
        <v>88</v>
      </c>
      <c r="B104" s="310">
        <f>'Offshore CF'!C115</f>
        <v>46237.252900000138</v>
      </c>
      <c r="C104" s="785" t="e">
        <f t="shared" ca="1" si="12"/>
        <v>#DIV/0!</v>
      </c>
      <c r="D104" s="765" t="e">
        <f t="shared" ca="1" si="8"/>
        <v>#DIV/0!</v>
      </c>
      <c r="E104" s="786" t="e">
        <f ca="1">'WBC Cancellation'!E115</f>
        <v>#DIV/0!</v>
      </c>
      <c r="F104" s="787" t="e">
        <f t="shared" ca="1" si="9"/>
        <v>#DIV/0!</v>
      </c>
      <c r="G104" s="788"/>
      <c r="H104" s="765">
        <f t="shared" si="13"/>
        <v>0</v>
      </c>
      <c r="I104" s="789"/>
      <c r="J104" s="787">
        <f t="shared" si="14"/>
        <v>0</v>
      </c>
      <c r="K104" s="788"/>
      <c r="L104" s="765">
        <f t="shared" si="10"/>
        <v>0</v>
      </c>
      <c r="M104" s="789"/>
      <c r="N104" s="787">
        <f t="shared" si="11"/>
        <v>0</v>
      </c>
      <c r="P104" s="790">
        <f ca="1">'Offshore INT'!G104</f>
        <v>0</v>
      </c>
      <c r="Q104" s="790" t="e">
        <f t="shared" ca="1" si="15"/>
        <v>#DIV/0!</v>
      </c>
    </row>
    <row r="105" spans="1:17">
      <c r="A105" s="784">
        <f>'Offshore CF'!B116</f>
        <v>89</v>
      </c>
      <c r="B105" s="310">
        <f>'Offshore CF'!C116</f>
        <v>46267.669600000139</v>
      </c>
      <c r="C105" s="785" t="e">
        <f t="shared" ca="1" si="12"/>
        <v>#DIV/0!</v>
      </c>
      <c r="D105" s="765" t="e">
        <f t="shared" ca="1" si="8"/>
        <v>#DIV/0!</v>
      </c>
      <c r="E105" s="786" t="e">
        <f ca="1">'WBC Cancellation'!E116</f>
        <v>#DIV/0!</v>
      </c>
      <c r="F105" s="787" t="e">
        <f t="shared" ca="1" si="9"/>
        <v>#DIV/0!</v>
      </c>
      <c r="G105" s="788"/>
      <c r="H105" s="765">
        <f t="shared" si="13"/>
        <v>0</v>
      </c>
      <c r="I105" s="789"/>
      <c r="J105" s="787">
        <f t="shared" si="14"/>
        <v>0</v>
      </c>
      <c r="K105" s="788"/>
      <c r="L105" s="765">
        <f t="shared" si="10"/>
        <v>0</v>
      </c>
      <c r="M105" s="789"/>
      <c r="N105" s="787">
        <f t="shared" si="11"/>
        <v>0</v>
      </c>
      <c r="P105" s="790">
        <f ca="1">'Offshore INT'!G105</f>
        <v>0</v>
      </c>
      <c r="Q105" s="790" t="e">
        <f t="shared" ca="1" si="15"/>
        <v>#DIV/0!</v>
      </c>
    </row>
    <row r="106" spans="1:17">
      <c r="A106" s="784">
        <f>'Offshore CF'!B117</f>
        <v>90</v>
      </c>
      <c r="B106" s="310">
        <f>'Offshore CF'!C117</f>
        <v>46298.086300000141</v>
      </c>
      <c r="C106" s="785" t="e">
        <f t="shared" ca="1" si="12"/>
        <v>#DIV/0!</v>
      </c>
      <c r="D106" s="765" t="e">
        <f t="shared" ca="1" si="8"/>
        <v>#DIV/0!</v>
      </c>
      <c r="E106" s="786" t="e">
        <f ca="1">'WBC Cancellation'!E117</f>
        <v>#DIV/0!</v>
      </c>
      <c r="F106" s="787" t="e">
        <f t="shared" ca="1" si="9"/>
        <v>#DIV/0!</v>
      </c>
      <c r="G106" s="788"/>
      <c r="H106" s="765">
        <f t="shared" si="13"/>
        <v>0</v>
      </c>
      <c r="I106" s="789"/>
      <c r="J106" s="787">
        <f t="shared" si="14"/>
        <v>0</v>
      </c>
      <c r="K106" s="788"/>
      <c r="L106" s="765">
        <f t="shared" si="10"/>
        <v>0</v>
      </c>
      <c r="M106" s="789"/>
      <c r="N106" s="787">
        <f t="shared" si="11"/>
        <v>0</v>
      </c>
      <c r="P106" s="790">
        <f ca="1">'Offshore INT'!G106</f>
        <v>0</v>
      </c>
      <c r="Q106" s="790" t="e">
        <f t="shared" ca="1" si="15"/>
        <v>#DIV/0!</v>
      </c>
    </row>
    <row r="107" spans="1:17">
      <c r="A107" s="784">
        <f>'Offshore CF'!B118</f>
        <v>91</v>
      </c>
      <c r="B107" s="310">
        <f>'Offshore CF'!C118</f>
        <v>46328.503000000142</v>
      </c>
      <c r="C107" s="785" t="e">
        <f t="shared" ca="1" si="12"/>
        <v>#DIV/0!</v>
      </c>
      <c r="D107" s="765" t="e">
        <f t="shared" ca="1" si="8"/>
        <v>#DIV/0!</v>
      </c>
      <c r="E107" s="786" t="e">
        <f ca="1">'WBC Cancellation'!E118</f>
        <v>#DIV/0!</v>
      </c>
      <c r="F107" s="787" t="e">
        <f t="shared" ca="1" si="9"/>
        <v>#DIV/0!</v>
      </c>
      <c r="G107" s="788"/>
      <c r="H107" s="765">
        <f t="shared" si="13"/>
        <v>0</v>
      </c>
      <c r="I107" s="789"/>
      <c r="J107" s="787">
        <f t="shared" si="14"/>
        <v>0</v>
      </c>
      <c r="K107" s="788"/>
      <c r="L107" s="765">
        <f t="shared" si="10"/>
        <v>0</v>
      </c>
      <c r="M107" s="789"/>
      <c r="N107" s="787">
        <f t="shared" si="11"/>
        <v>0</v>
      </c>
      <c r="P107" s="790">
        <f ca="1">'Offshore INT'!G107</f>
        <v>0</v>
      </c>
      <c r="Q107" s="790" t="e">
        <f t="shared" ca="1" si="15"/>
        <v>#DIV/0!</v>
      </c>
    </row>
    <row r="108" spans="1:17">
      <c r="A108" s="784">
        <f>'Offshore CF'!B119</f>
        <v>92</v>
      </c>
      <c r="B108" s="310">
        <f>'Offshore CF'!C119</f>
        <v>46358.919700000144</v>
      </c>
      <c r="C108" s="785" t="e">
        <f t="shared" ca="1" si="12"/>
        <v>#DIV/0!</v>
      </c>
      <c r="D108" s="765" t="e">
        <f t="shared" ca="1" si="8"/>
        <v>#DIV/0!</v>
      </c>
      <c r="E108" s="786" t="e">
        <f ca="1">'WBC Cancellation'!E119</f>
        <v>#DIV/0!</v>
      </c>
      <c r="F108" s="787" t="e">
        <f t="shared" ca="1" si="9"/>
        <v>#DIV/0!</v>
      </c>
      <c r="G108" s="788"/>
      <c r="H108" s="765">
        <f t="shared" si="13"/>
        <v>0</v>
      </c>
      <c r="I108" s="789"/>
      <c r="J108" s="787">
        <f t="shared" si="14"/>
        <v>0</v>
      </c>
      <c r="K108" s="788"/>
      <c r="L108" s="765">
        <f t="shared" si="10"/>
        <v>0</v>
      </c>
      <c r="M108" s="789"/>
      <c r="N108" s="787">
        <f t="shared" si="11"/>
        <v>0</v>
      </c>
      <c r="P108" s="790">
        <f ca="1">'Offshore INT'!G108</f>
        <v>0</v>
      </c>
      <c r="Q108" s="790" t="e">
        <f t="shared" ca="1" si="15"/>
        <v>#DIV/0!</v>
      </c>
    </row>
    <row r="109" spans="1:17">
      <c r="A109" s="784">
        <f>'Offshore CF'!B120</f>
        <v>93</v>
      </c>
      <c r="B109" s="310">
        <f>'Offshore CF'!C120</f>
        <v>46389.336400000146</v>
      </c>
      <c r="C109" s="785" t="e">
        <f t="shared" ca="1" si="12"/>
        <v>#DIV/0!</v>
      </c>
      <c r="D109" s="765" t="e">
        <f t="shared" ca="1" si="8"/>
        <v>#DIV/0!</v>
      </c>
      <c r="E109" s="786" t="e">
        <f ca="1">'WBC Cancellation'!E120</f>
        <v>#DIV/0!</v>
      </c>
      <c r="F109" s="787" t="e">
        <f t="shared" ca="1" si="9"/>
        <v>#DIV/0!</v>
      </c>
      <c r="G109" s="788"/>
      <c r="H109" s="765">
        <f t="shared" si="13"/>
        <v>0</v>
      </c>
      <c r="I109" s="789"/>
      <c r="J109" s="787">
        <f t="shared" si="14"/>
        <v>0</v>
      </c>
      <c r="K109" s="788"/>
      <c r="L109" s="765">
        <f t="shared" si="10"/>
        <v>0</v>
      </c>
      <c r="M109" s="789"/>
      <c r="N109" s="787">
        <f t="shared" si="11"/>
        <v>0</v>
      </c>
      <c r="P109" s="790">
        <f ca="1">'Offshore INT'!G109</f>
        <v>0</v>
      </c>
      <c r="Q109" s="790" t="e">
        <f t="shared" ca="1" si="15"/>
        <v>#DIV/0!</v>
      </c>
    </row>
    <row r="110" spans="1:17">
      <c r="A110" s="784">
        <f>'Offshore CF'!B121</f>
        <v>94</v>
      </c>
      <c r="B110" s="310">
        <f>'Offshore CF'!C121</f>
        <v>46419.753100000147</v>
      </c>
      <c r="C110" s="785" t="e">
        <f t="shared" ca="1" si="12"/>
        <v>#DIV/0!</v>
      </c>
      <c r="D110" s="765" t="e">
        <f t="shared" ca="1" si="8"/>
        <v>#DIV/0!</v>
      </c>
      <c r="E110" s="786" t="e">
        <f ca="1">'WBC Cancellation'!E121</f>
        <v>#DIV/0!</v>
      </c>
      <c r="F110" s="787" t="e">
        <f t="shared" ca="1" si="9"/>
        <v>#DIV/0!</v>
      </c>
      <c r="G110" s="788"/>
      <c r="H110" s="765">
        <f t="shared" si="13"/>
        <v>0</v>
      </c>
      <c r="I110" s="789"/>
      <c r="J110" s="787">
        <f t="shared" si="14"/>
        <v>0</v>
      </c>
      <c r="K110" s="788"/>
      <c r="L110" s="765">
        <f t="shared" si="10"/>
        <v>0</v>
      </c>
      <c r="M110" s="789"/>
      <c r="N110" s="787">
        <f t="shared" si="11"/>
        <v>0</v>
      </c>
      <c r="P110" s="790">
        <f ca="1">'Offshore INT'!G110</f>
        <v>0</v>
      </c>
      <c r="Q110" s="790" t="e">
        <f t="shared" ca="1" si="15"/>
        <v>#DIV/0!</v>
      </c>
    </row>
    <row r="111" spans="1:17">
      <c r="A111" s="784">
        <f>'Offshore CF'!B122</f>
        <v>95</v>
      </c>
      <c r="B111" s="310">
        <f>'Offshore CF'!C122</f>
        <v>46450.169800000149</v>
      </c>
      <c r="C111" s="785" t="e">
        <f t="shared" ca="1" si="12"/>
        <v>#DIV/0!</v>
      </c>
      <c r="D111" s="765" t="e">
        <f t="shared" ca="1" si="8"/>
        <v>#DIV/0!</v>
      </c>
      <c r="E111" s="786" t="e">
        <f ca="1">'WBC Cancellation'!E122</f>
        <v>#DIV/0!</v>
      </c>
      <c r="F111" s="787" t="e">
        <f t="shared" ca="1" si="9"/>
        <v>#DIV/0!</v>
      </c>
      <c r="G111" s="788"/>
      <c r="H111" s="765">
        <f t="shared" si="13"/>
        <v>0</v>
      </c>
      <c r="I111" s="789"/>
      <c r="J111" s="787">
        <f t="shared" si="14"/>
        <v>0</v>
      </c>
      <c r="K111" s="788"/>
      <c r="L111" s="765">
        <f t="shared" si="10"/>
        <v>0</v>
      </c>
      <c r="M111" s="789"/>
      <c r="N111" s="787">
        <f t="shared" si="11"/>
        <v>0</v>
      </c>
      <c r="P111" s="790">
        <f ca="1">'Offshore INT'!G111</f>
        <v>0</v>
      </c>
      <c r="Q111" s="790" t="e">
        <f t="shared" ca="1" si="15"/>
        <v>#DIV/0!</v>
      </c>
    </row>
    <row r="112" spans="1:17">
      <c r="A112" s="784">
        <f>'Offshore CF'!B123</f>
        <v>96</v>
      </c>
      <c r="B112" s="310">
        <f>'Offshore CF'!C123</f>
        <v>46480.58650000015</v>
      </c>
      <c r="C112" s="785" t="e">
        <f t="shared" ca="1" si="12"/>
        <v>#DIV/0!</v>
      </c>
      <c r="D112" s="765" t="e">
        <f t="shared" ca="1" si="8"/>
        <v>#DIV/0!</v>
      </c>
      <c r="E112" s="786" t="e">
        <f ca="1">'WBC Cancellation'!E123</f>
        <v>#DIV/0!</v>
      </c>
      <c r="F112" s="787" t="e">
        <f t="shared" ca="1" si="9"/>
        <v>#DIV/0!</v>
      </c>
      <c r="G112" s="788"/>
      <c r="H112" s="765">
        <f t="shared" si="13"/>
        <v>0</v>
      </c>
      <c r="I112" s="789"/>
      <c r="J112" s="787">
        <f t="shared" si="14"/>
        <v>0</v>
      </c>
      <c r="K112" s="788"/>
      <c r="L112" s="765">
        <f t="shared" si="10"/>
        <v>0</v>
      </c>
      <c r="M112" s="789"/>
      <c r="N112" s="787">
        <f t="shared" si="11"/>
        <v>0</v>
      </c>
      <c r="P112" s="790">
        <f ca="1">'Offshore INT'!G112</f>
        <v>0</v>
      </c>
      <c r="Q112" s="790" t="e">
        <f t="shared" ca="1" si="15"/>
        <v>#DIV/0!</v>
      </c>
    </row>
    <row r="113" spans="1:17">
      <c r="A113" s="784">
        <f>'Offshore CF'!B124</f>
        <v>97</v>
      </c>
      <c r="B113" s="310">
        <f>'Offshore CF'!C124</f>
        <v>46511.003200000152</v>
      </c>
      <c r="C113" s="785" t="e">
        <f t="shared" ca="1" si="12"/>
        <v>#DIV/0!</v>
      </c>
      <c r="D113" s="765" t="e">
        <f t="shared" ca="1" si="8"/>
        <v>#DIV/0!</v>
      </c>
      <c r="E113" s="786" t="e">
        <f ca="1">'WBC Cancellation'!E124</f>
        <v>#DIV/0!</v>
      </c>
      <c r="F113" s="787" t="e">
        <f t="shared" ca="1" si="9"/>
        <v>#DIV/0!</v>
      </c>
      <c r="G113" s="788"/>
      <c r="H113" s="765">
        <f t="shared" si="13"/>
        <v>0</v>
      </c>
      <c r="I113" s="789"/>
      <c r="J113" s="787">
        <f t="shared" si="14"/>
        <v>0</v>
      </c>
      <c r="K113" s="788"/>
      <c r="L113" s="765">
        <f t="shared" si="10"/>
        <v>0</v>
      </c>
      <c r="M113" s="789"/>
      <c r="N113" s="787">
        <f t="shared" si="11"/>
        <v>0</v>
      </c>
      <c r="P113" s="790">
        <f ca="1">'Offshore INT'!G113</f>
        <v>0</v>
      </c>
      <c r="Q113" s="790" t="e">
        <f t="shared" ca="1" si="15"/>
        <v>#DIV/0!</v>
      </c>
    </row>
    <row r="114" spans="1:17">
      <c r="A114" s="784">
        <f>'Offshore CF'!B125</f>
        <v>98</v>
      </c>
      <c r="B114" s="310">
        <f>'Offshore CF'!C125</f>
        <v>46541.419900000154</v>
      </c>
      <c r="C114" s="785" t="e">
        <f t="shared" ca="1" si="12"/>
        <v>#DIV/0!</v>
      </c>
      <c r="D114" s="765" t="e">
        <f t="shared" ca="1" si="8"/>
        <v>#DIV/0!</v>
      </c>
      <c r="E114" s="786" t="e">
        <f ca="1">'WBC Cancellation'!E125</f>
        <v>#DIV/0!</v>
      </c>
      <c r="F114" s="787" t="e">
        <f t="shared" ca="1" si="9"/>
        <v>#DIV/0!</v>
      </c>
      <c r="G114" s="788"/>
      <c r="H114" s="765">
        <f t="shared" si="13"/>
        <v>0</v>
      </c>
      <c r="I114" s="789"/>
      <c r="J114" s="787">
        <f t="shared" si="14"/>
        <v>0</v>
      </c>
      <c r="K114" s="788"/>
      <c r="L114" s="765">
        <f t="shared" si="10"/>
        <v>0</v>
      </c>
      <c r="M114" s="789"/>
      <c r="N114" s="787">
        <f t="shared" si="11"/>
        <v>0</v>
      </c>
      <c r="P114" s="790">
        <f ca="1">'Offshore INT'!G114</f>
        <v>0</v>
      </c>
      <c r="Q114" s="790" t="e">
        <f t="shared" ca="1" si="15"/>
        <v>#DIV/0!</v>
      </c>
    </row>
    <row r="115" spans="1:17">
      <c r="A115" s="784">
        <f>'Offshore CF'!B126</f>
        <v>99</v>
      </c>
      <c r="B115" s="310">
        <f>'Offshore CF'!C126</f>
        <v>46571.836600000155</v>
      </c>
      <c r="C115" s="785" t="e">
        <f t="shared" ca="1" si="12"/>
        <v>#DIV/0!</v>
      </c>
      <c r="D115" s="765" t="e">
        <f t="shared" ca="1" si="8"/>
        <v>#DIV/0!</v>
      </c>
      <c r="E115" s="786" t="e">
        <f ca="1">'WBC Cancellation'!E126</f>
        <v>#DIV/0!</v>
      </c>
      <c r="F115" s="787" t="e">
        <f t="shared" ca="1" si="9"/>
        <v>#DIV/0!</v>
      </c>
      <c r="G115" s="788"/>
      <c r="H115" s="765">
        <f t="shared" si="13"/>
        <v>0</v>
      </c>
      <c r="I115" s="789"/>
      <c r="J115" s="787">
        <f t="shared" si="14"/>
        <v>0</v>
      </c>
      <c r="K115" s="788"/>
      <c r="L115" s="765">
        <f t="shared" si="10"/>
        <v>0</v>
      </c>
      <c r="M115" s="789"/>
      <c r="N115" s="787">
        <f t="shared" si="11"/>
        <v>0</v>
      </c>
      <c r="P115" s="790">
        <f ca="1">'Offshore INT'!G115</f>
        <v>0</v>
      </c>
      <c r="Q115" s="790" t="e">
        <f t="shared" ca="1" si="15"/>
        <v>#DIV/0!</v>
      </c>
    </row>
    <row r="116" spans="1:17">
      <c r="A116" s="784">
        <f>'Offshore CF'!B127</f>
        <v>100</v>
      </c>
      <c r="B116" s="310">
        <f>'Offshore CF'!C127</f>
        <v>46602.253300000157</v>
      </c>
      <c r="C116" s="785" t="e">
        <f t="shared" ca="1" si="12"/>
        <v>#DIV/0!</v>
      </c>
      <c r="D116" s="765" t="e">
        <f t="shared" ca="1" si="8"/>
        <v>#DIV/0!</v>
      </c>
      <c r="E116" s="786" t="e">
        <f ca="1">'WBC Cancellation'!E127</f>
        <v>#DIV/0!</v>
      </c>
      <c r="F116" s="787" t="e">
        <f t="shared" ca="1" si="9"/>
        <v>#DIV/0!</v>
      </c>
      <c r="G116" s="788"/>
      <c r="H116" s="765">
        <f t="shared" si="13"/>
        <v>0</v>
      </c>
      <c r="I116" s="789"/>
      <c r="J116" s="787">
        <f t="shared" si="14"/>
        <v>0</v>
      </c>
      <c r="K116" s="788"/>
      <c r="L116" s="765">
        <f t="shared" si="10"/>
        <v>0</v>
      </c>
      <c r="M116" s="789"/>
      <c r="N116" s="787">
        <f t="shared" si="11"/>
        <v>0</v>
      </c>
      <c r="P116" s="790">
        <f ca="1">'Offshore INT'!G116</f>
        <v>0</v>
      </c>
      <c r="Q116" s="790" t="e">
        <f t="shared" ca="1" si="15"/>
        <v>#DIV/0!</v>
      </c>
    </row>
    <row r="117" spans="1:17">
      <c r="A117" s="784">
        <f>'Offshore CF'!B128</f>
        <v>101</v>
      </c>
      <c r="B117" s="310">
        <f>'Offshore CF'!C128</f>
        <v>46632.670000000158</v>
      </c>
      <c r="C117" s="785" t="e">
        <f t="shared" ca="1" si="12"/>
        <v>#DIV/0!</v>
      </c>
      <c r="D117" s="765" t="e">
        <f t="shared" ca="1" si="8"/>
        <v>#DIV/0!</v>
      </c>
      <c r="E117" s="786" t="e">
        <f ca="1">'WBC Cancellation'!E128</f>
        <v>#DIV/0!</v>
      </c>
      <c r="F117" s="787" t="e">
        <f t="shared" ca="1" si="9"/>
        <v>#DIV/0!</v>
      </c>
      <c r="G117" s="788"/>
      <c r="H117" s="765">
        <f t="shared" si="13"/>
        <v>0</v>
      </c>
      <c r="I117" s="789"/>
      <c r="J117" s="787">
        <f t="shared" si="14"/>
        <v>0</v>
      </c>
      <c r="K117" s="788"/>
      <c r="L117" s="765">
        <f t="shared" si="10"/>
        <v>0</v>
      </c>
      <c r="M117" s="789"/>
      <c r="N117" s="787">
        <f t="shared" si="11"/>
        <v>0</v>
      </c>
      <c r="P117" s="790">
        <f ca="1">'Offshore INT'!G117</f>
        <v>0</v>
      </c>
      <c r="Q117" s="790" t="e">
        <f t="shared" ca="1" si="15"/>
        <v>#DIV/0!</v>
      </c>
    </row>
    <row r="118" spans="1:17">
      <c r="A118" s="784">
        <f>'Offshore CF'!B129</f>
        <v>102</v>
      </c>
      <c r="B118" s="310">
        <f>'Offshore CF'!C129</f>
        <v>46663.08670000016</v>
      </c>
      <c r="C118" s="785" t="e">
        <f t="shared" ca="1" si="12"/>
        <v>#DIV/0!</v>
      </c>
      <c r="D118" s="765" t="e">
        <f t="shared" ca="1" si="8"/>
        <v>#DIV/0!</v>
      </c>
      <c r="E118" s="786" t="e">
        <f ca="1">'WBC Cancellation'!E129</f>
        <v>#DIV/0!</v>
      </c>
      <c r="F118" s="787" t="e">
        <f t="shared" ca="1" si="9"/>
        <v>#DIV/0!</v>
      </c>
      <c r="G118" s="788"/>
      <c r="H118" s="765">
        <f t="shared" si="13"/>
        <v>0</v>
      </c>
      <c r="I118" s="789"/>
      <c r="J118" s="787">
        <f t="shared" si="14"/>
        <v>0</v>
      </c>
      <c r="K118" s="788"/>
      <c r="L118" s="765">
        <f t="shared" si="10"/>
        <v>0</v>
      </c>
      <c r="M118" s="789"/>
      <c r="N118" s="787">
        <f t="shared" si="11"/>
        <v>0</v>
      </c>
      <c r="P118" s="790">
        <f ca="1">'Offshore INT'!G118</f>
        <v>0</v>
      </c>
      <c r="Q118" s="790" t="e">
        <f t="shared" ca="1" si="15"/>
        <v>#DIV/0!</v>
      </c>
    </row>
    <row r="119" spans="1:17">
      <c r="A119" s="784">
        <f>'Offshore CF'!B130</f>
        <v>103</v>
      </c>
      <c r="B119" s="310">
        <f>'Offshore CF'!C130</f>
        <v>46693.503400000161</v>
      </c>
      <c r="C119" s="785" t="e">
        <f t="shared" ca="1" si="12"/>
        <v>#DIV/0!</v>
      </c>
      <c r="D119" s="765" t="e">
        <f t="shared" ca="1" si="8"/>
        <v>#DIV/0!</v>
      </c>
      <c r="E119" s="786" t="e">
        <f ca="1">'WBC Cancellation'!E130</f>
        <v>#DIV/0!</v>
      </c>
      <c r="F119" s="787" t="e">
        <f t="shared" ca="1" si="9"/>
        <v>#DIV/0!</v>
      </c>
      <c r="G119" s="788"/>
      <c r="H119" s="765">
        <f t="shared" si="13"/>
        <v>0</v>
      </c>
      <c r="I119" s="789"/>
      <c r="J119" s="787">
        <f t="shared" si="14"/>
        <v>0</v>
      </c>
      <c r="K119" s="788"/>
      <c r="L119" s="765">
        <f t="shared" si="10"/>
        <v>0</v>
      </c>
      <c r="M119" s="789"/>
      <c r="N119" s="787">
        <f t="shared" si="11"/>
        <v>0</v>
      </c>
      <c r="P119" s="790">
        <f ca="1">'Offshore INT'!G119</f>
        <v>0</v>
      </c>
      <c r="Q119" s="790" t="e">
        <f t="shared" ca="1" si="15"/>
        <v>#DIV/0!</v>
      </c>
    </row>
    <row r="120" spans="1:17">
      <c r="A120" s="784">
        <f>'Offshore CF'!B131</f>
        <v>104</v>
      </c>
      <c r="B120" s="310">
        <f>'Offshore CF'!C131</f>
        <v>46723.920100000163</v>
      </c>
      <c r="C120" s="785" t="e">
        <f t="shared" ca="1" si="12"/>
        <v>#DIV/0!</v>
      </c>
      <c r="D120" s="765" t="e">
        <f t="shared" ca="1" si="8"/>
        <v>#DIV/0!</v>
      </c>
      <c r="E120" s="786" t="e">
        <f ca="1">'WBC Cancellation'!E131</f>
        <v>#DIV/0!</v>
      </c>
      <c r="F120" s="787" t="e">
        <f t="shared" ca="1" si="9"/>
        <v>#DIV/0!</v>
      </c>
      <c r="G120" s="788"/>
      <c r="H120" s="765">
        <f t="shared" si="13"/>
        <v>0</v>
      </c>
      <c r="I120" s="789"/>
      <c r="J120" s="787">
        <f t="shared" si="14"/>
        <v>0</v>
      </c>
      <c r="K120" s="788"/>
      <c r="L120" s="765">
        <f t="shared" si="10"/>
        <v>0</v>
      </c>
      <c r="M120" s="789"/>
      <c r="N120" s="787">
        <f t="shared" si="11"/>
        <v>0</v>
      </c>
      <c r="P120" s="790">
        <f ca="1">'Offshore INT'!G120</f>
        <v>0</v>
      </c>
      <c r="Q120" s="790" t="e">
        <f t="shared" ca="1" si="15"/>
        <v>#DIV/0!</v>
      </c>
    </row>
    <row r="121" spans="1:17">
      <c r="A121" s="784">
        <f>'Offshore CF'!B132</f>
        <v>105</v>
      </c>
      <c r="B121" s="310">
        <f>'Offshore CF'!C132</f>
        <v>46754.336800000165</v>
      </c>
      <c r="C121" s="785" t="e">
        <f t="shared" ca="1" si="12"/>
        <v>#DIV/0!</v>
      </c>
      <c r="D121" s="765" t="e">
        <f t="shared" ca="1" si="8"/>
        <v>#DIV/0!</v>
      </c>
      <c r="E121" s="786" t="e">
        <f ca="1">'WBC Cancellation'!E132</f>
        <v>#DIV/0!</v>
      </c>
      <c r="F121" s="787" t="e">
        <f t="shared" ca="1" si="9"/>
        <v>#DIV/0!</v>
      </c>
      <c r="G121" s="788"/>
      <c r="H121" s="765">
        <f t="shared" si="13"/>
        <v>0</v>
      </c>
      <c r="I121" s="789"/>
      <c r="J121" s="787">
        <f t="shared" si="14"/>
        <v>0</v>
      </c>
      <c r="K121" s="788"/>
      <c r="L121" s="765">
        <f t="shared" si="10"/>
        <v>0</v>
      </c>
      <c r="M121" s="789"/>
      <c r="N121" s="787">
        <f t="shared" si="11"/>
        <v>0</v>
      </c>
      <c r="P121" s="790">
        <f ca="1">'Offshore INT'!G121</f>
        <v>0</v>
      </c>
      <c r="Q121" s="790" t="e">
        <f t="shared" ca="1" si="15"/>
        <v>#DIV/0!</v>
      </c>
    </row>
    <row r="122" spans="1:17">
      <c r="A122" s="784">
        <f>'Offshore CF'!B133</f>
        <v>106</v>
      </c>
      <c r="B122" s="310">
        <f>'Offshore CF'!C133</f>
        <v>46784.753500000166</v>
      </c>
      <c r="C122" s="785" t="e">
        <f t="shared" ca="1" si="12"/>
        <v>#DIV/0!</v>
      </c>
      <c r="D122" s="765" t="e">
        <f t="shared" ca="1" si="8"/>
        <v>#DIV/0!</v>
      </c>
      <c r="E122" s="786" t="e">
        <f ca="1">'WBC Cancellation'!E133</f>
        <v>#DIV/0!</v>
      </c>
      <c r="F122" s="787" t="e">
        <f t="shared" ca="1" si="9"/>
        <v>#DIV/0!</v>
      </c>
      <c r="G122" s="788"/>
      <c r="H122" s="765">
        <f t="shared" si="13"/>
        <v>0</v>
      </c>
      <c r="I122" s="789"/>
      <c r="J122" s="787">
        <f t="shared" si="14"/>
        <v>0</v>
      </c>
      <c r="K122" s="788"/>
      <c r="L122" s="765">
        <f t="shared" si="10"/>
        <v>0</v>
      </c>
      <c r="M122" s="789"/>
      <c r="N122" s="787">
        <f t="shared" si="11"/>
        <v>0</v>
      </c>
      <c r="P122" s="790">
        <f ca="1">'Offshore INT'!G122</f>
        <v>0</v>
      </c>
      <c r="Q122" s="790" t="e">
        <f t="shared" ca="1" si="15"/>
        <v>#DIV/0!</v>
      </c>
    </row>
    <row r="123" spans="1:17">
      <c r="A123" s="784">
        <f>'Offshore CF'!B134</f>
        <v>107</v>
      </c>
      <c r="B123" s="310">
        <f>'Offshore CF'!C134</f>
        <v>46815.170200000168</v>
      </c>
      <c r="C123" s="785" t="e">
        <f t="shared" ca="1" si="12"/>
        <v>#DIV/0!</v>
      </c>
      <c r="D123" s="765" t="e">
        <f t="shared" ca="1" si="8"/>
        <v>#DIV/0!</v>
      </c>
      <c r="E123" s="786" t="e">
        <f ca="1">'WBC Cancellation'!E134</f>
        <v>#DIV/0!</v>
      </c>
      <c r="F123" s="787" t="e">
        <f t="shared" ca="1" si="9"/>
        <v>#DIV/0!</v>
      </c>
      <c r="G123" s="788"/>
      <c r="H123" s="765">
        <f t="shared" si="13"/>
        <v>0</v>
      </c>
      <c r="I123" s="789"/>
      <c r="J123" s="787">
        <f t="shared" si="14"/>
        <v>0</v>
      </c>
      <c r="K123" s="788"/>
      <c r="L123" s="765">
        <f t="shared" si="10"/>
        <v>0</v>
      </c>
      <c r="M123" s="789"/>
      <c r="N123" s="787">
        <f t="shared" si="11"/>
        <v>0</v>
      </c>
      <c r="P123" s="790">
        <f ca="1">'Offshore INT'!G123</f>
        <v>0</v>
      </c>
      <c r="Q123" s="790" t="e">
        <f t="shared" ca="1" si="15"/>
        <v>#DIV/0!</v>
      </c>
    </row>
    <row r="124" spans="1:17">
      <c r="A124" s="784">
        <f>'Offshore CF'!B135</f>
        <v>108</v>
      </c>
      <c r="B124" s="310">
        <f>'Offshore CF'!C135</f>
        <v>46845.586900000169</v>
      </c>
      <c r="C124" s="785" t="e">
        <f t="shared" ca="1" si="12"/>
        <v>#DIV/0!</v>
      </c>
      <c r="D124" s="765" t="e">
        <f t="shared" ca="1" si="8"/>
        <v>#DIV/0!</v>
      </c>
      <c r="E124" s="786" t="e">
        <f ca="1">'WBC Cancellation'!E135</f>
        <v>#DIV/0!</v>
      </c>
      <c r="F124" s="787" t="e">
        <f t="shared" ca="1" si="9"/>
        <v>#DIV/0!</v>
      </c>
      <c r="G124" s="788"/>
      <c r="H124" s="765">
        <f t="shared" si="13"/>
        <v>0</v>
      </c>
      <c r="I124" s="789"/>
      <c r="J124" s="787">
        <f t="shared" si="14"/>
        <v>0</v>
      </c>
      <c r="K124" s="788"/>
      <c r="L124" s="765">
        <f t="shared" si="10"/>
        <v>0</v>
      </c>
      <c r="M124" s="789"/>
      <c r="N124" s="787">
        <f t="shared" si="11"/>
        <v>0</v>
      </c>
      <c r="P124" s="790">
        <f ca="1">'Offshore INT'!G124</f>
        <v>0</v>
      </c>
      <c r="Q124" s="790" t="e">
        <f t="shared" ca="1" si="15"/>
        <v>#DIV/0!</v>
      </c>
    </row>
    <row r="125" spans="1:17">
      <c r="A125" s="784">
        <f>'Offshore CF'!B136</f>
        <v>109</v>
      </c>
      <c r="B125" s="310">
        <f>'Offshore CF'!C136</f>
        <v>46876.003600000171</v>
      </c>
      <c r="C125" s="785" t="e">
        <f t="shared" ca="1" si="12"/>
        <v>#DIV/0!</v>
      </c>
      <c r="D125" s="765" t="e">
        <f t="shared" ca="1" si="8"/>
        <v>#DIV/0!</v>
      </c>
      <c r="E125" s="786" t="e">
        <f ca="1">'WBC Cancellation'!E136</f>
        <v>#DIV/0!</v>
      </c>
      <c r="F125" s="787" t="e">
        <f t="shared" ca="1" si="9"/>
        <v>#DIV/0!</v>
      </c>
      <c r="G125" s="788"/>
      <c r="H125" s="765">
        <f t="shared" si="13"/>
        <v>0</v>
      </c>
      <c r="I125" s="789"/>
      <c r="J125" s="787">
        <f t="shared" si="14"/>
        <v>0</v>
      </c>
      <c r="K125" s="788"/>
      <c r="L125" s="765">
        <f t="shared" si="10"/>
        <v>0</v>
      </c>
      <c r="M125" s="789"/>
      <c r="N125" s="787">
        <f t="shared" si="11"/>
        <v>0</v>
      </c>
      <c r="P125" s="790">
        <f ca="1">'Offshore INT'!G125</f>
        <v>0</v>
      </c>
      <c r="Q125" s="790" t="e">
        <f t="shared" ca="1" si="15"/>
        <v>#DIV/0!</v>
      </c>
    </row>
    <row r="126" spans="1:17">
      <c r="A126" s="784">
        <f>'Offshore CF'!B137</f>
        <v>110</v>
      </c>
      <c r="B126" s="310">
        <f>'Offshore CF'!C137</f>
        <v>46906.420300000173</v>
      </c>
      <c r="C126" s="785" t="e">
        <f t="shared" ca="1" si="12"/>
        <v>#DIV/0!</v>
      </c>
      <c r="D126" s="765" t="e">
        <f t="shared" ca="1" si="8"/>
        <v>#DIV/0!</v>
      </c>
      <c r="E126" s="786" t="e">
        <f ca="1">'WBC Cancellation'!E137</f>
        <v>#DIV/0!</v>
      </c>
      <c r="F126" s="787" t="e">
        <f t="shared" ca="1" si="9"/>
        <v>#DIV/0!</v>
      </c>
      <c r="G126" s="788"/>
      <c r="H126" s="765">
        <f t="shared" si="13"/>
        <v>0</v>
      </c>
      <c r="I126" s="789"/>
      <c r="J126" s="787">
        <f t="shared" si="14"/>
        <v>0</v>
      </c>
      <c r="K126" s="788"/>
      <c r="L126" s="765">
        <f t="shared" si="10"/>
        <v>0</v>
      </c>
      <c r="M126" s="789"/>
      <c r="N126" s="787">
        <f t="shared" si="11"/>
        <v>0</v>
      </c>
      <c r="P126" s="790">
        <f ca="1">'Offshore INT'!G126</f>
        <v>0</v>
      </c>
      <c r="Q126" s="790" t="e">
        <f t="shared" ca="1" si="15"/>
        <v>#DIV/0!</v>
      </c>
    </row>
    <row r="127" spans="1:17">
      <c r="A127" s="784">
        <f>'Offshore CF'!B138</f>
        <v>111</v>
      </c>
      <c r="B127" s="310">
        <f>'Offshore CF'!C138</f>
        <v>46936.837000000174</v>
      </c>
      <c r="C127" s="785" t="e">
        <f t="shared" ca="1" si="12"/>
        <v>#DIV/0!</v>
      </c>
      <c r="D127" s="765" t="e">
        <f t="shared" ca="1" si="8"/>
        <v>#DIV/0!</v>
      </c>
      <c r="E127" s="786" t="e">
        <f ca="1">'WBC Cancellation'!E138</f>
        <v>#DIV/0!</v>
      </c>
      <c r="F127" s="787" t="e">
        <f t="shared" ca="1" si="9"/>
        <v>#DIV/0!</v>
      </c>
      <c r="G127" s="788"/>
      <c r="H127" s="765">
        <f t="shared" si="13"/>
        <v>0</v>
      </c>
      <c r="I127" s="789"/>
      <c r="J127" s="787">
        <f t="shared" si="14"/>
        <v>0</v>
      </c>
      <c r="K127" s="788"/>
      <c r="L127" s="765">
        <f t="shared" si="10"/>
        <v>0</v>
      </c>
      <c r="M127" s="789"/>
      <c r="N127" s="787">
        <f t="shared" si="11"/>
        <v>0</v>
      </c>
      <c r="P127" s="790">
        <f ca="1">'Offshore INT'!G127</f>
        <v>0</v>
      </c>
      <c r="Q127" s="790" t="e">
        <f t="shared" ca="1" si="15"/>
        <v>#DIV/0!</v>
      </c>
    </row>
    <row r="128" spans="1:17">
      <c r="A128" s="784">
        <f>'Offshore CF'!B139</f>
        <v>112</v>
      </c>
      <c r="B128" s="310">
        <f>'Offshore CF'!C139</f>
        <v>46967.253700000176</v>
      </c>
      <c r="C128" s="785" t="e">
        <f t="shared" ca="1" si="12"/>
        <v>#DIV/0!</v>
      </c>
      <c r="D128" s="765" t="e">
        <f t="shared" ca="1" si="8"/>
        <v>#DIV/0!</v>
      </c>
      <c r="E128" s="786" t="e">
        <f ca="1">'WBC Cancellation'!E139</f>
        <v>#DIV/0!</v>
      </c>
      <c r="F128" s="787" t="e">
        <f t="shared" ca="1" si="9"/>
        <v>#DIV/0!</v>
      </c>
      <c r="G128" s="788"/>
      <c r="H128" s="765">
        <f t="shared" si="13"/>
        <v>0</v>
      </c>
      <c r="I128" s="789"/>
      <c r="J128" s="787">
        <f t="shared" si="14"/>
        <v>0</v>
      </c>
      <c r="K128" s="788"/>
      <c r="L128" s="765">
        <f t="shared" si="10"/>
        <v>0</v>
      </c>
      <c r="M128" s="789"/>
      <c r="N128" s="787">
        <f t="shared" si="11"/>
        <v>0</v>
      </c>
      <c r="P128" s="790">
        <f ca="1">'Offshore INT'!G128</f>
        <v>0</v>
      </c>
      <c r="Q128" s="790" t="e">
        <f t="shared" ca="1" si="15"/>
        <v>#DIV/0!</v>
      </c>
    </row>
    <row r="129" spans="1:17">
      <c r="A129" s="784">
        <f>'Offshore CF'!B140</f>
        <v>113</v>
      </c>
      <c r="B129" s="310">
        <f>'Offshore CF'!C140</f>
        <v>46997.670400000177</v>
      </c>
      <c r="C129" s="785" t="e">
        <f t="shared" ca="1" si="12"/>
        <v>#DIV/0!</v>
      </c>
      <c r="D129" s="765" t="e">
        <f t="shared" ca="1" si="8"/>
        <v>#DIV/0!</v>
      </c>
      <c r="E129" s="786" t="e">
        <f ca="1">'WBC Cancellation'!E140</f>
        <v>#DIV/0!</v>
      </c>
      <c r="F129" s="787" t="e">
        <f t="shared" ca="1" si="9"/>
        <v>#DIV/0!</v>
      </c>
      <c r="G129" s="788"/>
      <c r="H129" s="765">
        <f t="shared" si="13"/>
        <v>0</v>
      </c>
      <c r="I129" s="789"/>
      <c r="J129" s="787">
        <f t="shared" si="14"/>
        <v>0</v>
      </c>
      <c r="K129" s="788"/>
      <c r="L129" s="765">
        <f t="shared" si="10"/>
        <v>0</v>
      </c>
      <c r="M129" s="789"/>
      <c r="N129" s="787">
        <f t="shared" si="11"/>
        <v>0</v>
      </c>
      <c r="P129" s="790">
        <f ca="1">'Offshore INT'!G129</f>
        <v>0</v>
      </c>
      <c r="Q129" s="790" t="e">
        <f t="shared" ca="1" si="15"/>
        <v>#DIV/0!</v>
      </c>
    </row>
    <row r="130" spans="1:17">
      <c r="A130" s="784">
        <f>'Offshore CF'!B141</f>
        <v>114</v>
      </c>
      <c r="B130" s="310">
        <f>'Offshore CF'!C141</f>
        <v>47028.087100000179</v>
      </c>
      <c r="C130" s="785" t="e">
        <f t="shared" ca="1" si="12"/>
        <v>#DIV/0!</v>
      </c>
      <c r="D130" s="765" t="e">
        <f t="shared" ca="1" si="8"/>
        <v>#DIV/0!</v>
      </c>
      <c r="E130" s="786" t="e">
        <f ca="1">'WBC Cancellation'!E141</f>
        <v>#DIV/0!</v>
      </c>
      <c r="F130" s="787" t="e">
        <f t="shared" ca="1" si="9"/>
        <v>#DIV/0!</v>
      </c>
      <c r="G130" s="788"/>
      <c r="H130" s="765">
        <f t="shared" si="13"/>
        <v>0</v>
      </c>
      <c r="I130" s="789"/>
      <c r="J130" s="787">
        <f t="shared" si="14"/>
        <v>0</v>
      </c>
      <c r="K130" s="788"/>
      <c r="L130" s="765">
        <f t="shared" si="10"/>
        <v>0</v>
      </c>
      <c r="M130" s="789"/>
      <c r="N130" s="787">
        <f t="shared" si="11"/>
        <v>0</v>
      </c>
      <c r="P130" s="790">
        <f ca="1">'Offshore INT'!G130</f>
        <v>0</v>
      </c>
      <c r="Q130" s="790" t="e">
        <f t="shared" ca="1" si="15"/>
        <v>#DIV/0!</v>
      </c>
    </row>
    <row r="131" spans="1:17">
      <c r="A131" s="784">
        <f>'Offshore CF'!B142</f>
        <v>115</v>
      </c>
      <c r="B131" s="310">
        <f>'Offshore CF'!C142</f>
        <v>47058.50380000018</v>
      </c>
      <c r="C131" s="785" t="e">
        <f t="shared" ca="1" si="12"/>
        <v>#DIV/0!</v>
      </c>
      <c r="D131" s="765" t="e">
        <f t="shared" ca="1" si="8"/>
        <v>#DIV/0!</v>
      </c>
      <c r="E131" s="786" t="e">
        <f ca="1">'WBC Cancellation'!E142</f>
        <v>#DIV/0!</v>
      </c>
      <c r="F131" s="787" t="e">
        <f t="shared" ca="1" si="9"/>
        <v>#DIV/0!</v>
      </c>
      <c r="G131" s="788"/>
      <c r="H131" s="765">
        <f t="shared" si="13"/>
        <v>0</v>
      </c>
      <c r="I131" s="789"/>
      <c r="J131" s="787">
        <f t="shared" si="14"/>
        <v>0</v>
      </c>
      <c r="K131" s="788"/>
      <c r="L131" s="765">
        <f t="shared" si="10"/>
        <v>0</v>
      </c>
      <c r="M131" s="789"/>
      <c r="N131" s="787">
        <f t="shared" si="11"/>
        <v>0</v>
      </c>
      <c r="P131" s="790">
        <f ca="1">'Offshore INT'!G131</f>
        <v>0</v>
      </c>
      <c r="Q131" s="790" t="e">
        <f t="shared" ca="1" si="15"/>
        <v>#DIV/0!</v>
      </c>
    </row>
    <row r="132" spans="1:17">
      <c r="A132" s="784">
        <f>'Offshore CF'!B143</f>
        <v>116</v>
      </c>
      <c r="B132" s="310">
        <f>'Offshore CF'!C143</f>
        <v>47088.920500000182</v>
      </c>
      <c r="C132" s="785" t="e">
        <f t="shared" ca="1" si="12"/>
        <v>#DIV/0!</v>
      </c>
      <c r="D132" s="765" t="e">
        <f t="shared" ca="1" si="8"/>
        <v>#DIV/0!</v>
      </c>
      <c r="E132" s="786" t="e">
        <f ca="1">'WBC Cancellation'!E143</f>
        <v>#DIV/0!</v>
      </c>
      <c r="F132" s="787" t="e">
        <f t="shared" ca="1" si="9"/>
        <v>#DIV/0!</v>
      </c>
      <c r="G132" s="788"/>
      <c r="H132" s="765">
        <f t="shared" si="13"/>
        <v>0</v>
      </c>
      <c r="I132" s="789"/>
      <c r="J132" s="787">
        <f t="shared" si="14"/>
        <v>0</v>
      </c>
      <c r="K132" s="788"/>
      <c r="L132" s="765">
        <f t="shared" si="10"/>
        <v>0</v>
      </c>
      <c r="M132" s="789"/>
      <c r="N132" s="787">
        <f t="shared" si="11"/>
        <v>0</v>
      </c>
      <c r="P132" s="790">
        <f ca="1">'Offshore INT'!G132</f>
        <v>0</v>
      </c>
      <c r="Q132" s="790" t="e">
        <f t="shared" ca="1" si="15"/>
        <v>#DIV/0!</v>
      </c>
    </row>
    <row r="133" spans="1:17">
      <c r="A133" s="784">
        <f>'Offshore CF'!B144</f>
        <v>117</v>
      </c>
      <c r="B133" s="310">
        <f>'Offshore CF'!C144</f>
        <v>47119.337200000184</v>
      </c>
      <c r="C133" s="785" t="e">
        <f t="shared" ca="1" si="12"/>
        <v>#DIV/0!</v>
      </c>
      <c r="D133" s="765" t="e">
        <f t="shared" ca="1" si="8"/>
        <v>#DIV/0!</v>
      </c>
      <c r="E133" s="786" t="e">
        <f ca="1">'WBC Cancellation'!E144</f>
        <v>#DIV/0!</v>
      </c>
      <c r="F133" s="787" t="e">
        <f t="shared" ca="1" si="9"/>
        <v>#DIV/0!</v>
      </c>
      <c r="G133" s="788"/>
      <c r="H133" s="765">
        <f t="shared" si="13"/>
        <v>0</v>
      </c>
      <c r="I133" s="789"/>
      <c r="J133" s="787">
        <f t="shared" si="14"/>
        <v>0</v>
      </c>
      <c r="K133" s="788"/>
      <c r="L133" s="765">
        <f t="shared" si="10"/>
        <v>0</v>
      </c>
      <c r="M133" s="789"/>
      <c r="N133" s="787">
        <f t="shared" si="11"/>
        <v>0</v>
      </c>
      <c r="P133" s="790">
        <f ca="1">'Offshore INT'!G133</f>
        <v>0</v>
      </c>
      <c r="Q133" s="790" t="e">
        <f t="shared" ca="1" si="15"/>
        <v>#DIV/0!</v>
      </c>
    </row>
    <row r="134" spans="1:17">
      <c r="A134" s="784">
        <f>'Offshore CF'!B145</f>
        <v>118</v>
      </c>
      <c r="B134" s="310">
        <f>'Offshore CF'!C145</f>
        <v>47149.753900000185</v>
      </c>
      <c r="C134" s="785" t="e">
        <f t="shared" ca="1" si="12"/>
        <v>#DIV/0!</v>
      </c>
      <c r="D134" s="765" t="e">
        <f t="shared" ca="1" si="8"/>
        <v>#DIV/0!</v>
      </c>
      <c r="E134" s="786" t="e">
        <f ca="1">'WBC Cancellation'!E145</f>
        <v>#DIV/0!</v>
      </c>
      <c r="F134" s="787" t="e">
        <f t="shared" ca="1" si="9"/>
        <v>#DIV/0!</v>
      </c>
      <c r="G134" s="788"/>
      <c r="H134" s="765">
        <f t="shared" si="13"/>
        <v>0</v>
      </c>
      <c r="I134" s="789"/>
      <c r="J134" s="787">
        <f t="shared" si="14"/>
        <v>0</v>
      </c>
      <c r="K134" s="788"/>
      <c r="L134" s="765">
        <f t="shared" si="10"/>
        <v>0</v>
      </c>
      <c r="M134" s="789"/>
      <c r="N134" s="787">
        <f t="shared" si="11"/>
        <v>0</v>
      </c>
      <c r="P134" s="790">
        <f ca="1">'Offshore INT'!G134</f>
        <v>0</v>
      </c>
      <c r="Q134" s="790" t="e">
        <f t="shared" ca="1" si="15"/>
        <v>#DIV/0!</v>
      </c>
    </row>
    <row r="135" spans="1:17">
      <c r="A135" s="784">
        <f>'Offshore CF'!B146</f>
        <v>119</v>
      </c>
      <c r="B135" s="310">
        <f>'Offshore CF'!C146</f>
        <v>47180.170600000187</v>
      </c>
      <c r="C135" s="785" t="e">
        <f t="shared" ca="1" si="12"/>
        <v>#DIV/0!</v>
      </c>
      <c r="D135" s="765" t="e">
        <f t="shared" ca="1" si="8"/>
        <v>#DIV/0!</v>
      </c>
      <c r="E135" s="786" t="e">
        <f ca="1">'WBC Cancellation'!E146</f>
        <v>#DIV/0!</v>
      </c>
      <c r="F135" s="787" t="e">
        <f t="shared" ca="1" si="9"/>
        <v>#DIV/0!</v>
      </c>
      <c r="G135" s="788"/>
      <c r="H135" s="765">
        <f t="shared" si="13"/>
        <v>0</v>
      </c>
      <c r="I135" s="789"/>
      <c r="J135" s="787">
        <f t="shared" si="14"/>
        <v>0</v>
      </c>
      <c r="K135" s="788"/>
      <c r="L135" s="765">
        <f t="shared" si="10"/>
        <v>0</v>
      </c>
      <c r="M135" s="789"/>
      <c r="N135" s="787">
        <f t="shared" si="11"/>
        <v>0</v>
      </c>
      <c r="P135" s="790">
        <f ca="1">'Offshore INT'!G135</f>
        <v>0</v>
      </c>
      <c r="Q135" s="790" t="e">
        <f t="shared" ca="1" si="15"/>
        <v>#DIV/0!</v>
      </c>
    </row>
    <row r="136" spans="1:17">
      <c r="A136" s="784">
        <f>'Offshore CF'!B147</f>
        <v>120</v>
      </c>
      <c r="B136" s="310">
        <f>'Offshore CF'!C147</f>
        <v>47210.587300000188</v>
      </c>
      <c r="C136" s="785" t="e">
        <f t="shared" ca="1" si="12"/>
        <v>#DIV/0!</v>
      </c>
      <c r="D136" s="765" t="e">
        <f t="shared" ca="1" si="8"/>
        <v>#DIV/0!</v>
      </c>
      <c r="E136" s="786" t="e">
        <f ca="1">'WBC Cancellation'!E147</f>
        <v>#DIV/0!</v>
      </c>
      <c r="F136" s="787" t="e">
        <f t="shared" ca="1" si="9"/>
        <v>#DIV/0!</v>
      </c>
      <c r="G136" s="788"/>
      <c r="H136" s="765">
        <f t="shared" si="13"/>
        <v>0</v>
      </c>
      <c r="I136" s="789"/>
      <c r="J136" s="787">
        <f t="shared" si="14"/>
        <v>0</v>
      </c>
      <c r="K136" s="788"/>
      <c r="L136" s="765">
        <f t="shared" si="10"/>
        <v>0</v>
      </c>
      <c r="M136" s="789"/>
      <c r="N136" s="787">
        <f t="shared" si="11"/>
        <v>0</v>
      </c>
      <c r="P136" s="790">
        <f ca="1">'Offshore INT'!G136</f>
        <v>0</v>
      </c>
      <c r="Q136" s="790" t="e">
        <f t="shared" ca="1" si="15"/>
        <v>#DIV/0!</v>
      </c>
    </row>
    <row r="137" spans="1:17">
      <c r="A137" s="784">
        <f>'Offshore CF'!B148</f>
        <v>121</v>
      </c>
      <c r="B137" s="310">
        <f>'Offshore CF'!C148</f>
        <v>47241.00400000019</v>
      </c>
      <c r="C137" s="785" t="e">
        <f t="shared" ca="1" si="12"/>
        <v>#DIV/0!</v>
      </c>
      <c r="D137" s="765" t="e">
        <f t="shared" ca="1" si="8"/>
        <v>#DIV/0!</v>
      </c>
      <c r="E137" s="786" t="e">
        <f ca="1">'WBC Cancellation'!E148</f>
        <v>#DIV/0!</v>
      </c>
      <c r="F137" s="787" t="e">
        <f t="shared" ca="1" si="9"/>
        <v>#DIV/0!</v>
      </c>
      <c r="G137" s="788"/>
      <c r="H137" s="765">
        <f t="shared" si="13"/>
        <v>0</v>
      </c>
      <c r="I137" s="789"/>
      <c r="J137" s="787">
        <f t="shared" si="14"/>
        <v>0</v>
      </c>
      <c r="K137" s="788"/>
      <c r="L137" s="765">
        <f t="shared" si="10"/>
        <v>0</v>
      </c>
      <c r="M137" s="789"/>
      <c r="N137" s="787">
        <f t="shared" si="11"/>
        <v>0</v>
      </c>
      <c r="P137" s="790">
        <f ca="1">'Offshore INT'!G137</f>
        <v>0</v>
      </c>
      <c r="Q137" s="790" t="e">
        <f t="shared" ca="1" si="15"/>
        <v>#DIV/0!</v>
      </c>
    </row>
    <row r="138" spans="1:17">
      <c r="A138" s="784">
        <f>'Offshore CF'!B149</f>
        <v>122</v>
      </c>
      <c r="B138" s="310">
        <f>'Offshore CF'!C149</f>
        <v>47271.420700000192</v>
      </c>
      <c r="C138" s="785" t="e">
        <f t="shared" ca="1" si="12"/>
        <v>#DIV/0!</v>
      </c>
      <c r="D138" s="765" t="e">
        <f t="shared" ca="1" si="8"/>
        <v>#DIV/0!</v>
      </c>
      <c r="E138" s="786" t="e">
        <f ca="1">'WBC Cancellation'!E149</f>
        <v>#DIV/0!</v>
      </c>
      <c r="F138" s="787" t="e">
        <f t="shared" ca="1" si="9"/>
        <v>#DIV/0!</v>
      </c>
      <c r="G138" s="788"/>
      <c r="H138" s="765">
        <f t="shared" si="13"/>
        <v>0</v>
      </c>
      <c r="I138" s="789"/>
      <c r="J138" s="787">
        <f t="shared" si="14"/>
        <v>0</v>
      </c>
      <c r="K138" s="788"/>
      <c r="L138" s="765">
        <f t="shared" si="10"/>
        <v>0</v>
      </c>
      <c r="M138" s="789"/>
      <c r="N138" s="787">
        <f t="shared" si="11"/>
        <v>0</v>
      </c>
      <c r="P138" s="790">
        <f ca="1">'Offshore INT'!G138</f>
        <v>0</v>
      </c>
      <c r="Q138" s="790" t="e">
        <f t="shared" ca="1" si="15"/>
        <v>#DIV/0!</v>
      </c>
    </row>
    <row r="139" spans="1:17">
      <c r="A139" s="784">
        <f>'Offshore CF'!B150</f>
        <v>123</v>
      </c>
      <c r="B139" s="310">
        <f>'Offshore CF'!C150</f>
        <v>47301.837400000193</v>
      </c>
      <c r="C139" s="785" t="e">
        <f t="shared" ca="1" si="12"/>
        <v>#DIV/0!</v>
      </c>
      <c r="D139" s="765" t="e">
        <f t="shared" ca="1" si="8"/>
        <v>#DIV/0!</v>
      </c>
      <c r="E139" s="786" t="e">
        <f ca="1">'WBC Cancellation'!E150</f>
        <v>#DIV/0!</v>
      </c>
      <c r="F139" s="787" t="e">
        <f t="shared" ca="1" si="9"/>
        <v>#DIV/0!</v>
      </c>
      <c r="G139" s="788"/>
      <c r="H139" s="765">
        <f t="shared" si="13"/>
        <v>0</v>
      </c>
      <c r="I139" s="789"/>
      <c r="J139" s="787">
        <f t="shared" si="14"/>
        <v>0</v>
      </c>
      <c r="K139" s="788"/>
      <c r="L139" s="765">
        <f t="shared" si="10"/>
        <v>0</v>
      </c>
      <c r="M139" s="789"/>
      <c r="N139" s="787">
        <f t="shared" si="11"/>
        <v>0</v>
      </c>
      <c r="P139" s="790">
        <f ca="1">'Offshore INT'!G139</f>
        <v>0</v>
      </c>
      <c r="Q139" s="790" t="e">
        <f t="shared" ca="1" si="15"/>
        <v>#DIV/0!</v>
      </c>
    </row>
    <row r="140" spans="1:17">
      <c r="A140" s="784">
        <f>'Offshore CF'!B151</f>
        <v>124</v>
      </c>
      <c r="B140" s="310">
        <f>'Offshore CF'!C151</f>
        <v>47332.254100000195</v>
      </c>
      <c r="C140" s="785" t="e">
        <f t="shared" ca="1" si="12"/>
        <v>#DIV/0!</v>
      </c>
      <c r="D140" s="765" t="e">
        <f t="shared" ca="1" si="8"/>
        <v>#DIV/0!</v>
      </c>
      <c r="E140" s="786" t="e">
        <f ca="1">'WBC Cancellation'!E151</f>
        <v>#DIV/0!</v>
      </c>
      <c r="F140" s="787" t="e">
        <f t="shared" ca="1" si="9"/>
        <v>#DIV/0!</v>
      </c>
      <c r="G140" s="788"/>
      <c r="H140" s="765">
        <f t="shared" si="13"/>
        <v>0</v>
      </c>
      <c r="I140" s="789"/>
      <c r="J140" s="787">
        <f t="shared" si="14"/>
        <v>0</v>
      </c>
      <c r="K140" s="788"/>
      <c r="L140" s="765">
        <f t="shared" si="10"/>
        <v>0</v>
      </c>
      <c r="M140" s="789"/>
      <c r="N140" s="787">
        <f t="shared" si="11"/>
        <v>0</v>
      </c>
      <c r="P140" s="790">
        <f ca="1">'Offshore INT'!G140</f>
        <v>0</v>
      </c>
      <c r="Q140" s="790" t="e">
        <f t="shared" ca="1" si="15"/>
        <v>#DIV/0!</v>
      </c>
    </row>
    <row r="141" spans="1:17">
      <c r="A141" s="784">
        <f>'Offshore CF'!B152</f>
        <v>125</v>
      </c>
      <c r="B141" s="310">
        <f>'Offshore CF'!C152</f>
        <v>47362.670800000196</v>
      </c>
      <c r="C141" s="785" t="e">
        <f ca="1">D141/C$10</f>
        <v>#DIV/0!</v>
      </c>
      <c r="D141" s="765" t="e">
        <f ca="1">SUM(F141,H141,J141,L141,N141)</f>
        <v>#DIV/0!</v>
      </c>
      <c r="E141" s="786" t="e">
        <f ca="1">'WBC Cancellation'!E152</f>
        <v>#DIV/0!</v>
      </c>
      <c r="F141" s="787" t="e">
        <f ca="1">E141*E$10</f>
        <v>#DIV/0!</v>
      </c>
      <c r="G141" s="788"/>
      <c r="H141" s="765">
        <f>G141*G$10</f>
        <v>0</v>
      </c>
      <c r="I141" s="789"/>
      <c r="J141" s="787">
        <f>I141*I$10</f>
        <v>0</v>
      </c>
      <c r="K141" s="788"/>
      <c r="L141" s="765">
        <f>K141*K$10</f>
        <v>0</v>
      </c>
      <c r="M141" s="789"/>
      <c r="N141" s="787">
        <f>M141*K$9</f>
        <v>0</v>
      </c>
      <c r="P141" s="790">
        <f ca="1">'Offshore INT'!G141</f>
        <v>0</v>
      </c>
      <c r="Q141" s="790" t="e">
        <f t="shared" ca="1" si="15"/>
        <v>#DIV/0!</v>
      </c>
    </row>
    <row r="142" spans="1:17">
      <c r="A142" s="784">
        <f>'Offshore CF'!B153</f>
        <v>126</v>
      </c>
      <c r="B142" s="310">
        <f>'Offshore CF'!C153</f>
        <v>47393.087500000198</v>
      </c>
      <c r="C142" s="785" t="e">
        <f ca="1">D142/C$10</f>
        <v>#DIV/0!</v>
      </c>
      <c r="D142" s="765" t="e">
        <f ca="1">SUM(F142,H142,J142,L142,N142)</f>
        <v>#DIV/0!</v>
      </c>
      <c r="E142" s="786" t="e">
        <f ca="1">'WBC Cancellation'!E153</f>
        <v>#DIV/0!</v>
      </c>
      <c r="F142" s="787" t="e">
        <f ca="1">E142*E$10</f>
        <v>#DIV/0!</v>
      </c>
      <c r="G142" s="788"/>
      <c r="H142" s="765">
        <f>G142*G$10</f>
        <v>0</v>
      </c>
      <c r="I142" s="789"/>
      <c r="J142" s="787">
        <f>I142*I$10</f>
        <v>0</v>
      </c>
      <c r="K142" s="788"/>
      <c r="L142" s="765">
        <f>K142*K$10</f>
        <v>0</v>
      </c>
      <c r="M142" s="789"/>
      <c r="N142" s="787">
        <f>M142*K$9</f>
        <v>0</v>
      </c>
      <c r="P142" s="790">
        <f ca="1">'Offshore INT'!G142</f>
        <v>0</v>
      </c>
      <c r="Q142" s="790" t="e">
        <f ca="1">D142-P142</f>
        <v>#DIV/0!</v>
      </c>
    </row>
    <row r="143" spans="1:17">
      <c r="A143" s="766"/>
      <c r="B143" s="757"/>
      <c r="C143" s="757"/>
      <c r="D143" s="757"/>
      <c r="E143" s="757"/>
      <c r="F143" s="757"/>
      <c r="G143" s="757"/>
      <c r="H143" s="757"/>
      <c r="I143" s="757"/>
      <c r="J143" s="757"/>
      <c r="K143" s="757"/>
      <c r="L143" s="757"/>
      <c r="M143" s="757"/>
      <c r="N143" s="757"/>
    </row>
  </sheetData>
  <phoneticPr fontId="42" type="noConversion"/>
  <conditionalFormatting sqref="C9">
    <cfRule type="expression" dxfId="0" priority="1" stopIfTrue="1">
      <formula>ABS(C9-C10)&gt;1</formula>
    </cfRule>
  </conditionalFormatting>
  <pageMargins left="0.75" right="0.19" top="0.66" bottom="0.72" header="0.43" footer="0.39"/>
  <pageSetup scale="70" orientation="portrait" r:id="rId1"/>
  <headerFooter alignWithMargins="0">
    <oddHeader>&amp;C&amp;"Arial,Bold"&amp;12Interest Income/Expense Calculation Sheet</oddHeader>
    <oddFooter>&amp;L&amp;F  &amp;A
&amp;D  &amp;T&amp;CDollars by Thousands unless otherwise noted&amp;RFelix Rev. 9 dated 3/14/05
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Charts</vt:lpstr>
      </vt:variant>
      <vt:variant>
        <vt:i4>2</vt:i4>
      </vt:variant>
    </vt:vector>
  </HeadingPairs>
  <TitlesOfParts>
    <vt:vector size="27" baseType="lpstr">
      <vt:lpstr>Rev Info</vt:lpstr>
      <vt:lpstr>Finsum</vt:lpstr>
      <vt:lpstr>Consolidated</vt:lpstr>
      <vt:lpstr>Estimate Summary</vt:lpstr>
      <vt:lpstr>Estimate Detail</vt:lpstr>
      <vt:lpstr>Matl. Price</vt:lpstr>
      <vt:lpstr>Material analysis</vt:lpstr>
      <vt:lpstr>Breakdown</vt:lpstr>
      <vt:lpstr>Sheet1</vt:lpstr>
      <vt:lpstr>WBC PBOM</vt:lpstr>
      <vt:lpstr>Dictionaries</vt:lpstr>
      <vt:lpstr>WBC Mfg Matl</vt:lpstr>
      <vt:lpstr>Equipment(Stretch)</vt:lpstr>
      <vt:lpstr>Manufacture</vt:lpstr>
      <vt:lpstr>PcdCostScope01</vt:lpstr>
      <vt:lpstr>Offshore CF</vt:lpstr>
      <vt:lpstr>WBC Cancellation</vt:lpstr>
      <vt:lpstr>Logistics</vt:lpstr>
      <vt:lpstr>Offshore INT</vt:lpstr>
      <vt:lpstr>Price Accuracy</vt:lpstr>
      <vt:lpstr>HS Code</vt:lpstr>
      <vt:lpstr>Tube Quote</vt:lpstr>
      <vt:lpstr>Plate Quote</vt:lpstr>
      <vt:lpstr>Other Quote</vt:lpstr>
      <vt:lpstr>Consortium Cancellation</vt:lpstr>
      <vt:lpstr>Offshore CF Chart</vt:lpstr>
      <vt:lpstr>Chart2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Alstom</dc:creator>
  <cp:lastModifiedBy>LI, Peiran (GE Power)</cp:lastModifiedBy>
  <cp:lastPrinted>2011-12-21T02:38:04Z</cp:lastPrinted>
  <dcterms:created xsi:type="dcterms:W3CDTF">2009-08-18T09:17:25Z</dcterms:created>
  <dcterms:modified xsi:type="dcterms:W3CDTF">2019-10-11T02:05:37Z</dcterms:modified>
</cp:coreProperties>
</file>